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DeTrabalho"/>
  <mc:AlternateContent xmlns:mc="http://schemas.openxmlformats.org/markup-compatibility/2006">
    <mc:Choice Requires="x15">
      <x15ac:absPath xmlns:x15ac="http://schemas.microsoft.com/office/spreadsheetml/2010/11/ac" url="U:\SEORC\PESQUISAS DE PREÇOS\2022\00200.006613-2022-18 - Manutenção Hidrossanitária\"/>
    </mc:Choice>
  </mc:AlternateContent>
  <bookViews>
    <workbookView xWindow="-120" yWindow="-120" windowWidth="29040" windowHeight="15840" tabRatio="805" activeTab="1"/>
  </bookViews>
  <sheets>
    <sheet name="Composições" sheetId="5" r:id="rId1"/>
    <sheet name="Orçamentária-TR" sheetId="20" r:id="rId2"/>
    <sheet name="Orçamentária-RESUMO" sheetId="21" r:id="rId3"/>
    <sheet name="BDI" sheetId="9" r:id="rId4"/>
  </sheets>
  <externalReferences>
    <externalReference r:id="rId5"/>
  </externalReferences>
  <definedNames>
    <definedName name="_xlnm._FilterDatabase" localSheetId="0" hidden="1">Composições!$A$5:$J$7187</definedName>
    <definedName name="_xlnm._FilterDatabase" localSheetId="1" hidden="1">'Orçamentária-TR'!$A$5:$O$521</definedName>
    <definedName name="_xlnm.Print_Area" localSheetId="0">Composições!$A$1:$H$7188</definedName>
    <definedName name="_xlnm.Print_Area" localSheetId="2">'Orçamentária-RESUMO'!$A$1:$G$13</definedName>
    <definedName name="_xlnm.Print_Area" localSheetId="1">'Orçamentária-TR'!$A$1:$O$528</definedName>
    <definedName name="ÁREA_DE_IMPRESSÃO" localSheetId="2">#REF!</definedName>
    <definedName name="ÁREA_DE_IMPRESSÃO">#REF!</definedName>
    <definedName name="Arial">#REF!</definedName>
    <definedName name="IMPRESSÃO" localSheetId="2">#REF!</definedName>
    <definedName name="IMPRESSÃO">#REF!</definedName>
    <definedName name="IMPRESSÃO_00" localSheetId="2">#REF!</definedName>
    <definedName name="IMPRESSÃO_00">#REF!</definedName>
    <definedName name="k" localSheetId="2">'[1]Orçamentária-base'!#REF!</definedName>
    <definedName name="k">#REF!</definedName>
    <definedName name="LOCAL_MYSQL_DATE_FORMAT" localSheetId="2"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_xlnm.Print_Titles" localSheetId="0">Composições!$1:$5</definedName>
    <definedName name="_xlnm.Print_Titles" localSheetId="1">'Orçamentária-TR'!$1:$5</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06" i="20" l="1"/>
  <c r="J405" i="20"/>
  <c r="J403" i="20"/>
  <c r="J402" i="20"/>
  <c r="J401" i="20"/>
  <c r="J400" i="20"/>
  <c r="J398" i="20"/>
  <c r="J397" i="20"/>
  <c r="J396" i="20"/>
  <c r="J395" i="20"/>
  <c r="J394" i="20"/>
  <c r="J393" i="20"/>
  <c r="J391" i="20"/>
  <c r="J390" i="20"/>
  <c r="J389" i="20"/>
  <c r="J388" i="20"/>
  <c r="J387" i="20"/>
  <c r="J386" i="20"/>
  <c r="J385" i="20"/>
  <c r="J384" i="20"/>
  <c r="J382" i="20"/>
  <c r="J381" i="20"/>
  <c r="J380" i="20"/>
  <c r="J379" i="20"/>
  <c r="J378" i="20"/>
  <c r="J377" i="20"/>
  <c r="J376" i="20"/>
  <c r="J375" i="20"/>
  <c r="J374" i="20"/>
  <c r="J373" i="20"/>
  <c r="J372" i="20"/>
  <c r="J371" i="20"/>
  <c r="J370" i="20"/>
  <c r="J369" i="20"/>
  <c r="J368" i="20"/>
  <c r="J367" i="20"/>
  <c r="J366" i="20"/>
  <c r="J365" i="20"/>
  <c r="J364" i="20"/>
  <c r="J363" i="20"/>
  <c r="J362" i="20"/>
  <c r="J361" i="20"/>
  <c r="J360" i="20"/>
  <c r="J359" i="20"/>
  <c r="J358" i="20"/>
  <c r="J357" i="20"/>
  <c r="J356" i="20"/>
  <c r="J355" i="20"/>
  <c r="J353" i="20"/>
  <c r="J352" i="20"/>
  <c r="J351" i="20"/>
  <c r="J350" i="20"/>
  <c r="J349" i="20"/>
  <c r="J347" i="20"/>
  <c r="J346" i="20"/>
  <c r="J345" i="20"/>
  <c r="J344" i="20"/>
  <c r="J343" i="20"/>
  <c r="J342" i="20"/>
  <c r="J341" i="20"/>
  <c r="J339" i="20"/>
  <c r="J338" i="20"/>
  <c r="J337" i="20"/>
  <c r="J336" i="20"/>
  <c r="J335" i="20"/>
  <c r="J334" i="20"/>
  <c r="J333" i="20"/>
  <c r="J332" i="20"/>
  <c r="J331" i="20"/>
  <c r="J330" i="20"/>
  <c r="J329" i="20"/>
  <c r="J328" i="20"/>
  <c r="J327" i="20"/>
  <c r="J325" i="20"/>
  <c r="J324" i="20"/>
  <c r="J323" i="20"/>
  <c r="J322" i="20"/>
  <c r="J320" i="20"/>
  <c r="J319" i="20"/>
  <c r="J318" i="20"/>
  <c r="J317" i="20"/>
  <c r="J316" i="20"/>
  <c r="J315" i="20"/>
  <c r="J314" i="20"/>
  <c r="J313" i="20"/>
  <c r="J311" i="20"/>
  <c r="J310" i="20"/>
  <c r="J309" i="20"/>
  <c r="J308" i="20"/>
  <c r="J307" i="20"/>
  <c r="J306" i="20"/>
  <c r="J305" i="20"/>
  <c r="J304" i="20"/>
  <c r="J303" i="20"/>
  <c r="J302" i="20"/>
  <c r="J301" i="20"/>
  <c r="J300" i="20"/>
  <c r="J299" i="20"/>
  <c r="J298" i="20"/>
  <c r="J297" i="20"/>
  <c r="J296" i="20"/>
  <c r="J295" i="20"/>
  <c r="J294" i="20"/>
  <c r="J293" i="20"/>
  <c r="J292" i="20"/>
  <c r="J291" i="20"/>
  <c r="J290" i="20"/>
  <c r="J289" i="20"/>
  <c r="J288" i="20"/>
  <c r="J287" i="20"/>
  <c r="J286" i="20"/>
  <c r="J285" i="20"/>
  <c r="J283" i="20"/>
  <c r="J282" i="20"/>
  <c r="J281" i="20"/>
  <c r="J280" i="20"/>
  <c r="J279" i="20"/>
  <c r="J278" i="20"/>
  <c r="J277" i="20"/>
  <c r="J276" i="20"/>
  <c r="J275" i="20"/>
  <c r="J274" i="20"/>
  <c r="J273" i="20"/>
  <c r="J272" i="20"/>
  <c r="J271" i="20"/>
  <c r="J270" i="20"/>
  <c r="J269" i="20"/>
  <c r="J268" i="20"/>
  <c r="J267" i="20"/>
  <c r="J266" i="20"/>
  <c r="J265" i="20"/>
  <c r="J264" i="20"/>
  <c r="J263" i="20"/>
  <c r="J262" i="20"/>
  <c r="J261" i="20"/>
  <c r="J260" i="20"/>
  <c r="J259" i="20"/>
  <c r="J258" i="20"/>
  <c r="J256" i="20"/>
  <c r="J255" i="20"/>
  <c r="J254" i="20"/>
  <c r="J253" i="20"/>
  <c r="J252" i="20"/>
  <c r="J251" i="20"/>
  <c r="J250" i="20"/>
  <c r="J249" i="20"/>
  <c r="J248" i="20"/>
  <c r="J247" i="20"/>
  <c r="J246" i="20"/>
  <c r="J245" i="20"/>
  <c r="J244" i="20"/>
  <c r="J243" i="20"/>
  <c r="J242" i="20"/>
  <c r="J241" i="20"/>
  <c r="J240" i="20"/>
  <c r="J239" i="20"/>
  <c r="J238" i="20"/>
  <c r="J237" i="20"/>
  <c r="J236" i="20"/>
  <c r="J235" i="20"/>
  <c r="J234" i="20"/>
  <c r="J233" i="20"/>
  <c r="J232" i="20"/>
  <c r="J231" i="20"/>
  <c r="J230" i="20"/>
  <c r="J229" i="20"/>
  <c r="J228" i="20"/>
  <c r="J227" i="20"/>
  <c r="J226" i="20"/>
  <c r="J225" i="20"/>
  <c r="J224" i="20"/>
  <c r="J223" i="20"/>
  <c r="J222" i="20"/>
  <c r="J221" i="20"/>
  <c r="J220" i="20"/>
  <c r="J219" i="20"/>
  <c r="J218" i="20"/>
  <c r="J217" i="20"/>
  <c r="J216" i="20"/>
  <c r="J215" i="20"/>
  <c r="J214" i="20"/>
  <c r="J213" i="20"/>
  <c r="J212" i="20"/>
  <c r="J211" i="20"/>
  <c r="J210" i="20"/>
  <c r="J209" i="20"/>
  <c r="J208" i="20"/>
  <c r="J207" i="20"/>
  <c r="J206" i="20"/>
  <c r="J205" i="20"/>
  <c r="J204" i="20"/>
  <c r="J203" i="20"/>
  <c r="J202" i="20"/>
  <c r="J201" i="20"/>
  <c r="J200" i="20"/>
  <c r="J199" i="20"/>
  <c r="J198" i="20"/>
  <c r="J197" i="20"/>
  <c r="J196" i="20"/>
  <c r="J195" i="20"/>
  <c r="J194" i="20"/>
  <c r="J193" i="20"/>
  <c r="J192" i="20"/>
  <c r="J191" i="20"/>
  <c r="J190" i="20"/>
  <c r="J189" i="20"/>
  <c r="J188" i="20"/>
  <c r="J187" i="20"/>
  <c r="J186" i="20"/>
  <c r="J185" i="20"/>
  <c r="J184" i="20"/>
  <c r="J183" i="20"/>
  <c r="J182" i="20"/>
  <c r="J181" i="20"/>
  <c r="J180" i="20"/>
  <c r="J179" i="20"/>
  <c r="J178" i="20"/>
  <c r="J177" i="20"/>
  <c r="J176" i="20"/>
  <c r="J175" i="20"/>
  <c r="J174" i="20"/>
  <c r="J173" i="20"/>
  <c r="J172" i="20"/>
  <c r="J171" i="20"/>
  <c r="J170" i="20"/>
  <c r="J169" i="20"/>
  <c r="J168" i="20"/>
  <c r="J167" i="20"/>
  <c r="J166" i="20"/>
  <c r="J165" i="20"/>
  <c r="J164" i="20"/>
  <c r="J163" i="20"/>
  <c r="J162" i="20"/>
  <c r="J161" i="20"/>
  <c r="J160" i="20"/>
  <c r="J159" i="20"/>
  <c r="J158" i="20"/>
  <c r="J157" i="20"/>
  <c r="J156" i="20"/>
  <c r="J155" i="20"/>
  <c r="J154" i="20"/>
  <c r="J153" i="20"/>
  <c r="J152" i="20"/>
  <c r="J151" i="20"/>
  <c r="J150" i="20"/>
  <c r="J149" i="20"/>
  <c r="J148" i="20"/>
  <c r="J147" i="20"/>
  <c r="J146" i="20"/>
  <c r="J145" i="20"/>
  <c r="J144" i="20"/>
  <c r="J143" i="20"/>
  <c r="J142" i="20"/>
  <c r="J141" i="20"/>
  <c r="J140" i="20"/>
  <c r="J139" i="20"/>
  <c r="J138" i="20"/>
  <c r="J137" i="20"/>
  <c r="J136" i="20"/>
  <c r="J135" i="20"/>
  <c r="J134" i="20"/>
  <c r="J133" i="20"/>
  <c r="J132" i="20"/>
  <c r="J131" i="20"/>
  <c r="J130" i="20"/>
  <c r="J129" i="20"/>
  <c r="J128" i="20"/>
  <c r="J127" i="20"/>
  <c r="J126" i="20"/>
  <c r="J125" i="20"/>
  <c r="J124" i="20"/>
  <c r="J123" i="20"/>
  <c r="J122" i="20"/>
  <c r="J121" i="20"/>
  <c r="J120" i="20"/>
  <c r="J119" i="20"/>
  <c r="J118" i="20"/>
  <c r="J117" i="20"/>
  <c r="J116" i="20"/>
  <c r="J115" i="20"/>
  <c r="J114" i="20"/>
  <c r="J113" i="20"/>
  <c r="J112" i="20"/>
  <c r="J111" i="20"/>
  <c r="J109" i="20"/>
  <c r="J108" i="20"/>
  <c r="J107" i="20"/>
  <c r="J106" i="20"/>
  <c r="J105" i="20"/>
  <c r="J104" i="20"/>
  <c r="J103" i="20"/>
  <c r="J102" i="20"/>
  <c r="J101" i="20"/>
  <c r="J100" i="20"/>
  <c r="J99" i="20"/>
  <c r="J98" i="20"/>
  <c r="J97" i="20"/>
  <c r="J96" i="20"/>
  <c r="J95" i="20"/>
  <c r="J94" i="20"/>
  <c r="J93" i="20"/>
  <c r="J92" i="20"/>
  <c r="J91" i="20"/>
  <c r="J90" i="20"/>
  <c r="J89" i="20"/>
  <c r="J88" i="20"/>
  <c r="J87" i="20"/>
  <c r="J86" i="20"/>
  <c r="J85" i="20"/>
  <c r="J84" i="20"/>
  <c r="J83" i="20"/>
  <c r="J82" i="20"/>
  <c r="J81" i="20"/>
  <c r="J80" i="20"/>
  <c r="J79" i="20"/>
  <c r="J78" i="20"/>
  <c r="J77" i="20"/>
  <c r="J76" i="20"/>
  <c r="J75" i="20"/>
  <c r="J74" i="20"/>
  <c r="J73" i="20"/>
  <c r="J72" i="20"/>
  <c r="J71" i="20"/>
  <c r="J70" i="20"/>
  <c r="J69" i="20"/>
  <c r="J68" i="20"/>
  <c r="J67" i="20"/>
  <c r="J66" i="20"/>
  <c r="J65" i="20"/>
  <c r="J63" i="20"/>
  <c r="J62" i="20"/>
  <c r="J61" i="20"/>
  <c r="J60" i="20"/>
  <c r="J59" i="20"/>
  <c r="J58" i="20"/>
  <c r="J57" i="20"/>
  <c r="J56" i="20"/>
  <c r="J55" i="20"/>
  <c r="J54" i="20"/>
  <c r="J53" i="20"/>
  <c r="J52" i="20"/>
  <c r="J51" i="20"/>
  <c r="J50" i="20"/>
  <c r="J49" i="20"/>
  <c r="J48" i="20"/>
  <c r="J47" i="20"/>
  <c r="J45" i="20"/>
  <c r="J44" i="20"/>
  <c r="J41" i="20"/>
  <c r="J40" i="20"/>
  <c r="J39" i="20"/>
  <c r="J37" i="20"/>
  <c r="J36" i="20"/>
  <c r="J34" i="20"/>
  <c r="J33" i="20"/>
  <c r="J32" i="20"/>
  <c r="J31" i="20"/>
  <c r="J30" i="20"/>
  <c r="J29" i="20"/>
  <c r="J28" i="20"/>
  <c r="J27" i="20"/>
  <c r="J26" i="20"/>
  <c r="J25" i="20"/>
  <c r="J24" i="20"/>
  <c r="J22" i="20"/>
  <c r="J21" i="20"/>
  <c r="J20" i="20"/>
  <c r="J19" i="20"/>
  <c r="J18" i="20"/>
  <c r="J17" i="20"/>
  <c r="J16" i="20"/>
  <c r="J14" i="20"/>
  <c r="J13" i="20"/>
  <c r="J11" i="20"/>
  <c r="J10" i="20"/>
  <c r="J9" i="20"/>
  <c r="J8" i="20"/>
  <c r="J399" i="20" l="1"/>
  <c r="J321" i="20"/>
  <c r="A3" i="21"/>
  <c r="A1" i="21"/>
  <c r="F7" i="21"/>
  <c r="G7" i="21" s="1"/>
  <c r="D7" i="21"/>
  <c r="E7" i="21" s="1"/>
  <c r="A1" i="5"/>
  <c r="A3" i="5"/>
  <c r="J392" i="20" l="1"/>
  <c r="J257" i="20"/>
  <c r="J284" i="20"/>
  <c r="J348" i="20"/>
  <c r="J404" i="20"/>
  <c r="J383" i="20"/>
  <c r="J354" i="20"/>
  <c r="J340" i="20"/>
  <c r="J326" i="20"/>
  <c r="E17" i="9" l="1"/>
  <c r="B17" i="9"/>
  <c r="H519" i="20" l="1"/>
  <c r="H518" i="20" l="1"/>
  <c r="H515" i="20"/>
  <c r="H514" i="20"/>
  <c r="H513" i="20"/>
  <c r="H512" i="20"/>
  <c r="H511" i="20"/>
  <c r="H510" i="20"/>
  <c r="H509" i="20"/>
  <c r="H508" i="20"/>
  <c r="H507" i="20"/>
  <c r="H506" i="20"/>
  <c r="H505" i="20"/>
  <c r="H504" i="20"/>
  <c r="H503" i="20"/>
  <c r="H502" i="20"/>
  <c r="H501" i="20"/>
  <c r="H500" i="20"/>
  <c r="H499" i="20"/>
  <c r="H498" i="20"/>
  <c r="H497" i="20"/>
  <c r="H496" i="20"/>
  <c r="H495" i="20"/>
  <c r="H494" i="20"/>
  <c r="H493" i="20"/>
  <c r="H492" i="20"/>
  <c r="H491" i="20"/>
  <c r="H490" i="20"/>
  <c r="H489" i="20"/>
  <c r="H488" i="20"/>
  <c r="H487" i="20"/>
  <c r="H486" i="20"/>
  <c r="H485" i="20"/>
  <c r="H484" i="20"/>
  <c r="H483" i="20"/>
  <c r="H482" i="20"/>
  <c r="H481" i="20"/>
  <c r="H480" i="20"/>
  <c r="H479" i="20"/>
  <c r="H478" i="20"/>
  <c r="H477" i="20"/>
  <c r="H476" i="20"/>
  <c r="H475" i="20"/>
  <c r="H474" i="20"/>
  <c r="H473" i="20"/>
  <c r="H472" i="20"/>
  <c r="H470" i="20"/>
  <c r="H469" i="20"/>
  <c r="H467" i="20"/>
  <c r="H466" i="20"/>
  <c r="H465" i="20"/>
  <c r="H464" i="20"/>
  <c r="H463" i="20"/>
  <c r="H462" i="20"/>
  <c r="H461" i="20"/>
  <c r="H460" i="20"/>
  <c r="H459" i="20"/>
  <c r="H458" i="20"/>
  <c r="H456" i="20"/>
  <c r="H455" i="20"/>
  <c r="H454" i="20"/>
  <c r="H453" i="20"/>
  <c r="H452" i="20"/>
  <c r="H451" i="20"/>
  <c r="H450" i="20"/>
  <c r="H449" i="20"/>
  <c r="H448" i="20"/>
  <c r="H447" i="20"/>
  <c r="H446" i="20"/>
  <c r="H445" i="20"/>
  <c r="H444" i="20"/>
  <c r="H443" i="20"/>
  <c r="H441" i="20"/>
  <c r="H440" i="20"/>
  <c r="H439" i="20"/>
  <c r="H438" i="20"/>
  <c r="H437" i="20"/>
  <c r="H436" i="20"/>
  <c r="H435" i="20"/>
  <c r="H434" i="20"/>
  <c r="H433" i="20"/>
  <c r="H432" i="20"/>
  <c r="H431" i="20"/>
  <c r="H430" i="20"/>
  <c r="H429" i="20"/>
  <c r="H428" i="20"/>
  <c r="H427" i="20"/>
  <c r="H426" i="20"/>
  <c r="H425" i="20"/>
  <c r="H424" i="20"/>
  <c r="H423" i="20"/>
  <c r="H422" i="20"/>
  <c r="H421" i="20"/>
  <c r="H420" i="20"/>
  <c r="H419" i="20"/>
  <c r="H418" i="20"/>
  <c r="H417" i="20"/>
  <c r="H416" i="20"/>
  <c r="H415" i="20"/>
  <c r="H413" i="20"/>
  <c r="H412" i="20"/>
  <c r="H409" i="20"/>
  <c r="G6935" i="5" l="1"/>
  <c r="G6933" i="5"/>
  <c r="B6932" i="5"/>
  <c r="E6119" i="5"/>
  <c r="G6120" i="5"/>
  <c r="G6118" i="5"/>
  <c r="G6117" i="5"/>
  <c r="B6117" i="5"/>
  <c r="G6116" i="5"/>
  <c r="G6114" i="5"/>
  <c r="B6113" i="5"/>
  <c r="G6112" i="5"/>
  <c r="G6110" i="5"/>
  <c r="B6109" i="5"/>
  <c r="B6041" i="5"/>
  <c r="G6042" i="5"/>
  <c r="G6044" i="5"/>
  <c r="G6048" i="5"/>
  <c r="G6046" i="5"/>
  <c r="B6045" i="5"/>
  <c r="G6028" i="5"/>
  <c r="G6026" i="5"/>
  <c r="B6025" i="5"/>
  <c r="G4747" i="5"/>
  <c r="G4745" i="5"/>
  <c r="B4744" i="5"/>
  <c r="G4735" i="5"/>
  <c r="G4733" i="5"/>
  <c r="B4732" i="5"/>
  <c r="E3543" i="5"/>
  <c r="E3542" i="5"/>
  <c r="G3546" i="5"/>
  <c r="G3545" i="5"/>
  <c r="G3544" i="5"/>
  <c r="G3539" i="5"/>
  <c r="G3538" i="5"/>
  <c r="B3538" i="5"/>
  <c r="G3477" i="5"/>
  <c r="G3476" i="5"/>
  <c r="G3475" i="5"/>
  <c r="E3474" i="5"/>
  <c r="E3472" i="5"/>
  <c r="E3471" i="5"/>
  <c r="E3470" i="5"/>
  <c r="E3469" i="5"/>
  <c r="G3468" i="5"/>
  <c r="G3467" i="5"/>
  <c r="B3467" i="5"/>
  <c r="G3478" i="5"/>
  <c r="G3479" i="5"/>
  <c r="G6045" i="5" l="1"/>
  <c r="G6932" i="5"/>
  <c r="G6025" i="5"/>
  <c r="G6041" i="5"/>
  <c r="G6113" i="5"/>
  <c r="G6109" i="5"/>
  <c r="G4744" i="5"/>
  <c r="G4732" i="5"/>
  <c r="G2763" i="5"/>
  <c r="G2761" i="5"/>
  <c r="B2760" i="5"/>
  <c r="G2751" i="5"/>
  <c r="G2749" i="5"/>
  <c r="B2748" i="5"/>
  <c r="G2731" i="5"/>
  <c r="G2729" i="5"/>
  <c r="B2728" i="5"/>
  <c r="G2727" i="5"/>
  <c r="G2725" i="5"/>
  <c r="B2724" i="5"/>
  <c r="G2723" i="5"/>
  <c r="G2721" i="5"/>
  <c r="B2720" i="5"/>
  <c r="E3823" i="5"/>
  <c r="E3817" i="5"/>
  <c r="E3811" i="5"/>
  <c r="E3805" i="5"/>
  <c r="E3799" i="5"/>
  <c r="E3793" i="5"/>
  <c r="E3787" i="5"/>
  <c r="E3781" i="5"/>
  <c r="E3775" i="5"/>
  <c r="G3826" i="5"/>
  <c r="G3825" i="5"/>
  <c r="G3824" i="5"/>
  <c r="G3822" i="5"/>
  <c r="G3821" i="5"/>
  <c r="B3821" i="5"/>
  <c r="G3820" i="5"/>
  <c r="G3819" i="5"/>
  <c r="G3818" i="5"/>
  <c r="G3816" i="5"/>
  <c r="G3815" i="5"/>
  <c r="B3815" i="5"/>
  <c r="G3814" i="5"/>
  <c r="G3813" i="5"/>
  <c r="G3812" i="5"/>
  <c r="G3810" i="5"/>
  <c r="G3809" i="5"/>
  <c r="B3809" i="5"/>
  <c r="G3808" i="5"/>
  <c r="G3807" i="5"/>
  <c r="G3806" i="5"/>
  <c r="G3804" i="5"/>
  <c r="G3803" i="5"/>
  <c r="B3803" i="5"/>
  <c r="G3802" i="5"/>
  <c r="G3801" i="5"/>
  <c r="G3800" i="5"/>
  <c r="G3798" i="5"/>
  <c r="G3797" i="5"/>
  <c r="B3797" i="5"/>
  <c r="G3796" i="5"/>
  <c r="G3795" i="5"/>
  <c r="G3794" i="5"/>
  <c r="G3792" i="5"/>
  <c r="G3791" i="5"/>
  <c r="B3791" i="5"/>
  <c r="G3790" i="5"/>
  <c r="G3789" i="5"/>
  <c r="G3788" i="5"/>
  <c r="G3786" i="5"/>
  <c r="G3785" i="5"/>
  <c r="B3785" i="5"/>
  <c r="G3784" i="5"/>
  <c r="G3783" i="5"/>
  <c r="G3782" i="5"/>
  <c r="G3780" i="5"/>
  <c r="G3779" i="5"/>
  <c r="B3779" i="5"/>
  <c r="G3778" i="5"/>
  <c r="G3777" i="5"/>
  <c r="G3776" i="5"/>
  <c r="G3774" i="5"/>
  <c r="G3773" i="5"/>
  <c r="B3773" i="5"/>
  <c r="E5597" i="5"/>
  <c r="E5591" i="5"/>
  <c r="E5585" i="5"/>
  <c r="E5579" i="5"/>
  <c r="E5573" i="5"/>
  <c r="E5567" i="5"/>
  <c r="E5561" i="5"/>
  <c r="E5555" i="5"/>
  <c r="E5549" i="5"/>
  <c r="E5543" i="5"/>
  <c r="E5537" i="5"/>
  <c r="E5531" i="5"/>
  <c r="E5525" i="5"/>
  <c r="E5519" i="5"/>
  <c r="E5513" i="5"/>
  <c r="E5507" i="5"/>
  <c r="E5501" i="5"/>
  <c r="E5495" i="5"/>
  <c r="E5489" i="5"/>
  <c r="E5483" i="5"/>
  <c r="E4109" i="5"/>
  <c r="E2716" i="5"/>
  <c r="E2710" i="5"/>
  <c r="E2704" i="5"/>
  <c r="E2698" i="5"/>
  <c r="E2692" i="5"/>
  <c r="E2686" i="5"/>
  <c r="E2680" i="5"/>
  <c r="E2674" i="5"/>
  <c r="E2668" i="5"/>
  <c r="E2662" i="5"/>
  <c r="E7168" i="5"/>
  <c r="E7162" i="5"/>
  <c r="E7156" i="5"/>
  <c r="E7150" i="5"/>
  <c r="E7144" i="5"/>
  <c r="E7138" i="5"/>
  <c r="E7132" i="5"/>
  <c r="E7126" i="5"/>
  <c r="E7120" i="5"/>
  <c r="E7114" i="5"/>
  <c r="G6879" i="5"/>
  <c r="G6877" i="5"/>
  <c r="B6876" i="5"/>
  <c r="G7171" i="5"/>
  <c r="G7170" i="5"/>
  <c r="G7169" i="5"/>
  <c r="G7167" i="5"/>
  <c r="G7166" i="5"/>
  <c r="B7166" i="5"/>
  <c r="G7165" i="5"/>
  <c r="G7164" i="5"/>
  <c r="G7163" i="5"/>
  <c r="G7161" i="5"/>
  <c r="G7160" i="5"/>
  <c r="B7160" i="5"/>
  <c r="G7159" i="5"/>
  <c r="G7158" i="5"/>
  <c r="G7157" i="5"/>
  <c r="G7155" i="5"/>
  <c r="G7154" i="5"/>
  <c r="B7154" i="5"/>
  <c r="G7153" i="5"/>
  <c r="G7152" i="5"/>
  <c r="G7151" i="5"/>
  <c r="G7149" i="5"/>
  <c r="G7148" i="5"/>
  <c r="B7148" i="5"/>
  <c r="G7147" i="5"/>
  <c r="G7146" i="5"/>
  <c r="G7145" i="5"/>
  <c r="G7143" i="5"/>
  <c r="G7142" i="5"/>
  <c r="B7142" i="5"/>
  <c r="G7141" i="5"/>
  <c r="G7140" i="5"/>
  <c r="G7139" i="5"/>
  <c r="G7137" i="5"/>
  <c r="G7136" i="5"/>
  <c r="B7136" i="5"/>
  <c r="G7135" i="5"/>
  <c r="G7134" i="5"/>
  <c r="G7133" i="5"/>
  <c r="G7131" i="5"/>
  <c r="G7130" i="5"/>
  <c r="B7130" i="5"/>
  <c r="G7129" i="5"/>
  <c r="G7128" i="5"/>
  <c r="G7127" i="5"/>
  <c r="G7125" i="5"/>
  <c r="G7124" i="5"/>
  <c r="B7124" i="5"/>
  <c r="G7123" i="5"/>
  <c r="G7122" i="5"/>
  <c r="G7121" i="5"/>
  <c r="G7119" i="5"/>
  <c r="G7118" i="5"/>
  <c r="B7118" i="5"/>
  <c r="G7117" i="5"/>
  <c r="G7116" i="5"/>
  <c r="G7115" i="5"/>
  <c r="G7113" i="5"/>
  <c r="G7112" i="5"/>
  <c r="B7112" i="5"/>
  <c r="G6876" i="5" l="1"/>
  <c r="G2760" i="5"/>
  <c r="G2728" i="5"/>
  <c r="G2724" i="5"/>
  <c r="G2720" i="5"/>
  <c r="G2748" i="5"/>
  <c r="G7179" i="5" l="1"/>
  <c r="G7177" i="5"/>
  <c r="B7176" i="5"/>
  <c r="G7175" i="5"/>
  <c r="G7173" i="5"/>
  <c r="B7172" i="5"/>
  <c r="G7187" i="5"/>
  <c r="G7185" i="5"/>
  <c r="B7184" i="5"/>
  <c r="G6819" i="5"/>
  <c r="G6817" i="5"/>
  <c r="B6816" i="5"/>
  <c r="G6815" i="5"/>
  <c r="G6813" i="5"/>
  <c r="B6812" i="5"/>
  <c r="G6979" i="5"/>
  <c r="G6977" i="5"/>
  <c r="B6976" i="5"/>
  <c r="G6855" i="5"/>
  <c r="G6853" i="5"/>
  <c r="B6852" i="5"/>
  <c r="G6519" i="5"/>
  <c r="G6517" i="5"/>
  <c r="B6516" i="5"/>
  <c r="G6683" i="5"/>
  <c r="G6681" i="5"/>
  <c r="B6680" i="5"/>
  <c r="G6811" i="5"/>
  <c r="G6809" i="5"/>
  <c r="B6808" i="5"/>
  <c r="G7015" i="5"/>
  <c r="G7013" i="5"/>
  <c r="B7012" i="5"/>
  <c r="G7011" i="5"/>
  <c r="G7009" i="5"/>
  <c r="B7008" i="5"/>
  <c r="G7007" i="5"/>
  <c r="G7005" i="5"/>
  <c r="B7004" i="5"/>
  <c r="G7004" i="5" l="1"/>
  <c r="G6808" i="5"/>
  <c r="G6812" i="5"/>
  <c r="G7176" i="5"/>
  <c r="G6680" i="5"/>
  <c r="G7012" i="5"/>
  <c r="G6852" i="5"/>
  <c r="G6976" i="5"/>
  <c r="G7172" i="5"/>
  <c r="G6816" i="5"/>
  <c r="G7008" i="5"/>
  <c r="G6516" i="5"/>
  <c r="G7184" i="5"/>
  <c r="G7183" i="5"/>
  <c r="G7181" i="5"/>
  <c r="B7180" i="5"/>
  <c r="G7111" i="5"/>
  <c r="G7109" i="5"/>
  <c r="B7108" i="5"/>
  <c r="G7107" i="5"/>
  <c r="G7105" i="5"/>
  <c r="B7104" i="5"/>
  <c r="G7103" i="5"/>
  <c r="G7101" i="5"/>
  <c r="B7100" i="5"/>
  <c r="G7099" i="5"/>
  <c r="G7097" i="5"/>
  <c r="B7096" i="5"/>
  <c r="G7095" i="5"/>
  <c r="G7093" i="5"/>
  <c r="B7092" i="5"/>
  <c r="G7091" i="5"/>
  <c r="G7089" i="5"/>
  <c r="B7088" i="5"/>
  <c r="G7087" i="5"/>
  <c r="G7085" i="5"/>
  <c r="B7084" i="5"/>
  <c r="G7083" i="5"/>
  <c r="G7081" i="5"/>
  <c r="B7080" i="5"/>
  <c r="G7079" i="5"/>
  <c r="G7077" i="5"/>
  <c r="B7076" i="5"/>
  <c r="G7075" i="5"/>
  <c r="G7073" i="5"/>
  <c r="B7072" i="5"/>
  <c r="G7071" i="5"/>
  <c r="G7069" i="5"/>
  <c r="B7068" i="5"/>
  <c r="G7067" i="5"/>
  <c r="G7065" i="5"/>
  <c r="B7064" i="5"/>
  <c r="G7063" i="5"/>
  <c r="G7061" i="5"/>
  <c r="B7060" i="5"/>
  <c r="G7059" i="5"/>
  <c r="G7057" i="5"/>
  <c r="B7056" i="5"/>
  <c r="G7055" i="5"/>
  <c r="G7053" i="5"/>
  <c r="B7052" i="5"/>
  <c r="G7051" i="5"/>
  <c r="G7049" i="5"/>
  <c r="B7048" i="5"/>
  <c r="G7047" i="5"/>
  <c r="G7045" i="5"/>
  <c r="B7044" i="5"/>
  <c r="G7043" i="5"/>
  <c r="G7041" i="5"/>
  <c r="B7040" i="5"/>
  <c r="G7039" i="5"/>
  <c r="G7037" i="5"/>
  <c r="B7036" i="5"/>
  <c r="G7035" i="5"/>
  <c r="G7033" i="5"/>
  <c r="B7032" i="5"/>
  <c r="G7031" i="5"/>
  <c r="G7029" i="5"/>
  <c r="B7028" i="5"/>
  <c r="G7027" i="5"/>
  <c r="G7025" i="5"/>
  <c r="B7024" i="5"/>
  <c r="G7023" i="5"/>
  <c r="G7021" i="5"/>
  <c r="B7020" i="5"/>
  <c r="G7019" i="5"/>
  <c r="G7017" i="5"/>
  <c r="B7016" i="5"/>
  <c r="G7003" i="5"/>
  <c r="G7001" i="5"/>
  <c r="B7000" i="5"/>
  <c r="G6999" i="5"/>
  <c r="G6997" i="5"/>
  <c r="B6996" i="5"/>
  <c r="G6995" i="5"/>
  <c r="G6993" i="5"/>
  <c r="B6992" i="5"/>
  <c r="G6991" i="5"/>
  <c r="G6989" i="5"/>
  <c r="B6988" i="5"/>
  <c r="G6987" i="5"/>
  <c r="G6985" i="5"/>
  <c r="B6984" i="5"/>
  <c r="G6983" i="5"/>
  <c r="G6981" i="5"/>
  <c r="B6980" i="5"/>
  <c r="G6975" i="5"/>
  <c r="G6973" i="5"/>
  <c r="B6972" i="5"/>
  <c r="G6971" i="5"/>
  <c r="G6969" i="5"/>
  <c r="B6968" i="5"/>
  <c r="G6967" i="5"/>
  <c r="G6965" i="5"/>
  <c r="B6964" i="5"/>
  <c r="G6963" i="5"/>
  <c r="G6961" i="5"/>
  <c r="B6960" i="5"/>
  <c r="G6959" i="5"/>
  <c r="G6957" i="5"/>
  <c r="B6956" i="5"/>
  <c r="G6955" i="5"/>
  <c r="G6953" i="5"/>
  <c r="B6952" i="5"/>
  <c r="G6951" i="5"/>
  <c r="G6949" i="5"/>
  <c r="B6948" i="5"/>
  <c r="G6947" i="5"/>
  <c r="G6945" i="5"/>
  <c r="B6944" i="5"/>
  <c r="G6943" i="5"/>
  <c r="G6941" i="5"/>
  <c r="B6940" i="5"/>
  <c r="G6939" i="5"/>
  <c r="G6937" i="5"/>
  <c r="B6936" i="5"/>
  <c r="G6931" i="5"/>
  <c r="G6929" i="5"/>
  <c r="B6928" i="5"/>
  <c r="G6927" i="5"/>
  <c r="G6925" i="5"/>
  <c r="B6924" i="5"/>
  <c r="G6891" i="5"/>
  <c r="G6889" i="5"/>
  <c r="B6888" i="5"/>
  <c r="G6887" i="5"/>
  <c r="G6885" i="5"/>
  <c r="B6884" i="5"/>
  <c r="G6875" i="5"/>
  <c r="G6873" i="5"/>
  <c r="B6872" i="5"/>
  <c r="G6871" i="5"/>
  <c r="G6869" i="5"/>
  <c r="B6868" i="5"/>
  <c r="G6867" i="5"/>
  <c r="G6865" i="5"/>
  <c r="B6864" i="5"/>
  <c r="G6827" i="5"/>
  <c r="G6825" i="5"/>
  <c r="B6824" i="5"/>
  <c r="G6823" i="5"/>
  <c r="G6821" i="5"/>
  <c r="B6820" i="5"/>
  <c r="G6807" i="5"/>
  <c r="G6805" i="5"/>
  <c r="B6804" i="5"/>
  <c r="G6803" i="5"/>
  <c r="G6801" i="5"/>
  <c r="B6800" i="5"/>
  <c r="G6799" i="5"/>
  <c r="G6797" i="5"/>
  <c r="B6796" i="5"/>
  <c r="G6795" i="5"/>
  <c r="G6793" i="5"/>
  <c r="B6792" i="5"/>
  <c r="G6791" i="5"/>
  <c r="G6789" i="5"/>
  <c r="B6788" i="5"/>
  <c r="G6787" i="5"/>
  <c r="G6785" i="5"/>
  <c r="B6784" i="5"/>
  <c r="G6783" i="5"/>
  <c r="G6781" i="5"/>
  <c r="B6780" i="5"/>
  <c r="G6779" i="5"/>
  <c r="G6777" i="5"/>
  <c r="B6776" i="5"/>
  <c r="G6775" i="5"/>
  <c r="G6773" i="5"/>
  <c r="B6772" i="5"/>
  <c r="G6771" i="5"/>
  <c r="G6769" i="5"/>
  <c r="B6768" i="5"/>
  <c r="G6767" i="5"/>
  <c r="G6765" i="5"/>
  <c r="B6764" i="5"/>
  <c r="G6763" i="5"/>
  <c r="G6761" i="5"/>
  <c r="B6760" i="5"/>
  <c r="G6759" i="5"/>
  <c r="G6757" i="5"/>
  <c r="B6756" i="5"/>
  <c r="G6755" i="5"/>
  <c r="G6753" i="5"/>
  <c r="B6752" i="5"/>
  <c r="G6751" i="5"/>
  <c r="G6749" i="5"/>
  <c r="B6748" i="5"/>
  <c r="G6747" i="5"/>
  <c r="G6745" i="5"/>
  <c r="B6744" i="5"/>
  <c r="G6743" i="5"/>
  <c r="G6741" i="5"/>
  <c r="B6740" i="5"/>
  <c r="G6739" i="5"/>
  <c r="G6737" i="5"/>
  <c r="B6736" i="5"/>
  <c r="G6735" i="5"/>
  <c r="G6733" i="5"/>
  <c r="B6732" i="5"/>
  <c r="G6731" i="5"/>
  <c r="G6729" i="5"/>
  <c r="B6728" i="5"/>
  <c r="G6727" i="5"/>
  <c r="G6725" i="5"/>
  <c r="B6724" i="5"/>
  <c r="G6723" i="5"/>
  <c r="G6721" i="5"/>
  <c r="B6720" i="5"/>
  <c r="G6719" i="5"/>
  <c r="G6717" i="5"/>
  <c r="B6716" i="5"/>
  <c r="G6715" i="5"/>
  <c r="G6713" i="5"/>
  <c r="B6712" i="5"/>
  <c r="G6711" i="5"/>
  <c r="G6709" i="5"/>
  <c r="B6708" i="5"/>
  <c r="G6707" i="5"/>
  <c r="G6705" i="5"/>
  <c r="B6704" i="5"/>
  <c r="G6703" i="5"/>
  <c r="G6701" i="5"/>
  <c r="B6700" i="5"/>
  <c r="G6699" i="5"/>
  <c r="G6697" i="5"/>
  <c r="B6696" i="5"/>
  <c r="G6695" i="5"/>
  <c r="G6693" i="5"/>
  <c r="B6692" i="5"/>
  <c r="G6691" i="5"/>
  <c r="G6689" i="5"/>
  <c r="B6688" i="5"/>
  <c r="G6687" i="5"/>
  <c r="G6685" i="5"/>
  <c r="B6684" i="5"/>
  <c r="G6679" i="5"/>
  <c r="G6677" i="5"/>
  <c r="B6676" i="5"/>
  <c r="G6675" i="5"/>
  <c r="G6673" i="5"/>
  <c r="B6672" i="5"/>
  <c r="G6671" i="5"/>
  <c r="G6669" i="5"/>
  <c r="B6668" i="5"/>
  <c r="G6667" i="5"/>
  <c r="G6665" i="5"/>
  <c r="B6664" i="5"/>
  <c r="G6663" i="5"/>
  <c r="G6661" i="5"/>
  <c r="B6660" i="5"/>
  <c r="G6659" i="5"/>
  <c r="G6657" i="5"/>
  <c r="B6656" i="5"/>
  <c r="G6655" i="5"/>
  <c r="G6653" i="5"/>
  <c r="B6652" i="5"/>
  <c r="G6651" i="5"/>
  <c r="G6649" i="5"/>
  <c r="B6648" i="5"/>
  <c r="G6647" i="5"/>
  <c r="G6645" i="5"/>
  <c r="B6644" i="5"/>
  <c r="G6643" i="5"/>
  <c r="G6641" i="5"/>
  <c r="B6640" i="5"/>
  <c r="G6591" i="5"/>
  <c r="G6589" i="5"/>
  <c r="B6588" i="5"/>
  <c r="G6587" i="5"/>
  <c r="G6585" i="5"/>
  <c r="B6584" i="5"/>
  <c r="G6619" i="5"/>
  <c r="G6617" i="5"/>
  <c r="B6616" i="5"/>
  <c r="G6615" i="5"/>
  <c r="G6613" i="5"/>
  <c r="B6612" i="5"/>
  <c r="G6611" i="5"/>
  <c r="G6609" i="5"/>
  <c r="B6608" i="5"/>
  <c r="G6547" i="5"/>
  <c r="G6545" i="5"/>
  <c r="B6544" i="5"/>
  <c r="G6499" i="5"/>
  <c r="G6497" i="5"/>
  <c r="B6496" i="5"/>
  <c r="G6455" i="5"/>
  <c r="G6453" i="5"/>
  <c r="B6452" i="5"/>
  <c r="G6595" i="5"/>
  <c r="G6593" i="5"/>
  <c r="B6592" i="5"/>
  <c r="G4751" i="5"/>
  <c r="G4749" i="5"/>
  <c r="B4748" i="5"/>
  <c r="G4743" i="5"/>
  <c r="G4741" i="5"/>
  <c r="B4740" i="5"/>
  <c r="G4739" i="5"/>
  <c r="G4737" i="5"/>
  <c r="B4736" i="5"/>
  <c r="G2759" i="5"/>
  <c r="G2757" i="5"/>
  <c r="B2756" i="5"/>
  <c r="G2755" i="5"/>
  <c r="G2753" i="5"/>
  <c r="B2752" i="5"/>
  <c r="G2747" i="5"/>
  <c r="G2745" i="5"/>
  <c r="B2744" i="5"/>
  <c r="G2743" i="5"/>
  <c r="G2741" i="5"/>
  <c r="B2740" i="5"/>
  <c r="G2737" i="5"/>
  <c r="G2739" i="5"/>
  <c r="B2736" i="5"/>
  <c r="G2735" i="5"/>
  <c r="G2733" i="5"/>
  <c r="B2732" i="5"/>
  <c r="G6923" i="5"/>
  <c r="G6921" i="5"/>
  <c r="G6919" i="5"/>
  <c r="G6917" i="5"/>
  <c r="G6915" i="5"/>
  <c r="G6913" i="5"/>
  <c r="G6911" i="5"/>
  <c r="G6909" i="5"/>
  <c r="G6907" i="5"/>
  <c r="G6905" i="5"/>
  <c r="G6903" i="5"/>
  <c r="G6901" i="5"/>
  <c r="G6899" i="5"/>
  <c r="G6897" i="5"/>
  <c r="G6895" i="5"/>
  <c r="G6893" i="5"/>
  <c r="G6883" i="5"/>
  <c r="G6881" i="5"/>
  <c r="G6863" i="5"/>
  <c r="G6861" i="5"/>
  <c r="G6859" i="5"/>
  <c r="G6857" i="5"/>
  <c r="G6851" i="5"/>
  <c r="G6849" i="5"/>
  <c r="G6847" i="5"/>
  <c r="G6845" i="5"/>
  <c r="G6843" i="5"/>
  <c r="G6841" i="5"/>
  <c r="G6839" i="5"/>
  <c r="G6837" i="5"/>
  <c r="G6835" i="5"/>
  <c r="G6833" i="5"/>
  <c r="G6831" i="5"/>
  <c r="G6829" i="5"/>
  <c r="G6639" i="5"/>
  <c r="G6637" i="5"/>
  <c r="G6635" i="5"/>
  <c r="G6633" i="5"/>
  <c r="G6631" i="5"/>
  <c r="G6629" i="5"/>
  <c r="G6627" i="5"/>
  <c r="G6625" i="5"/>
  <c r="G6623" i="5"/>
  <c r="G6621" i="5"/>
  <c r="G6607" i="5"/>
  <c r="G6605" i="5"/>
  <c r="G6603" i="5"/>
  <c r="G6601" i="5"/>
  <c r="G6599" i="5"/>
  <c r="G6597" i="5"/>
  <c r="G6583" i="5"/>
  <c r="G6581" i="5"/>
  <c r="G6579" i="5"/>
  <c r="G6577" i="5"/>
  <c r="G6575" i="5"/>
  <c r="G6573" i="5"/>
  <c r="G6571" i="5"/>
  <c r="G6569" i="5"/>
  <c r="G6567" i="5"/>
  <c r="G6565" i="5"/>
  <c r="G6563" i="5"/>
  <c r="G6561" i="5"/>
  <c r="G6559" i="5"/>
  <c r="G6557" i="5"/>
  <c r="G6555" i="5"/>
  <c r="G6553" i="5"/>
  <c r="G6551" i="5"/>
  <c r="G6549" i="5"/>
  <c r="G6543" i="5"/>
  <c r="G6541" i="5"/>
  <c r="G6539" i="5"/>
  <c r="G6537" i="5"/>
  <c r="G6535" i="5"/>
  <c r="G6533" i="5"/>
  <c r="G6531" i="5"/>
  <c r="G6529" i="5"/>
  <c r="G6527" i="5"/>
  <c r="G6525" i="5"/>
  <c r="G6523" i="5"/>
  <c r="G6521" i="5"/>
  <c r="G6515" i="5"/>
  <c r="G6513" i="5"/>
  <c r="G6511" i="5"/>
  <c r="G6509" i="5"/>
  <c r="G6507" i="5"/>
  <c r="G6505" i="5"/>
  <c r="G6503" i="5"/>
  <c r="G6501" i="5"/>
  <c r="G6495" i="5"/>
  <c r="G6493" i="5"/>
  <c r="G6491" i="5"/>
  <c r="G6489" i="5"/>
  <c r="G6487" i="5"/>
  <c r="G6485" i="5"/>
  <c r="G6483" i="5"/>
  <c r="G6481" i="5"/>
  <c r="G6479" i="5"/>
  <c r="G6477" i="5"/>
  <c r="G6475" i="5"/>
  <c r="G6473" i="5"/>
  <c r="G6471" i="5"/>
  <c r="G6469" i="5"/>
  <c r="G6467" i="5"/>
  <c r="G6465" i="5"/>
  <c r="G6463" i="5"/>
  <c r="G6461" i="5"/>
  <c r="B6920" i="5"/>
  <c r="B6916" i="5"/>
  <c r="B6912" i="5"/>
  <c r="B6908" i="5"/>
  <c r="B6904" i="5"/>
  <c r="B6900" i="5"/>
  <c r="B6896" i="5"/>
  <c r="B6892" i="5"/>
  <c r="B6880" i="5"/>
  <c r="B6860" i="5"/>
  <c r="B6856" i="5"/>
  <c r="B6848" i="5"/>
  <c r="B6844" i="5"/>
  <c r="B6840" i="5"/>
  <c r="B6836" i="5"/>
  <c r="B6832" i="5"/>
  <c r="B6828" i="5"/>
  <c r="B6636" i="5"/>
  <c r="B6632" i="5"/>
  <c r="B6628" i="5"/>
  <c r="B6624" i="5"/>
  <c r="B6620" i="5"/>
  <c r="B6604" i="5"/>
  <c r="B6600" i="5"/>
  <c r="B6596" i="5"/>
  <c r="B6580" i="5"/>
  <c r="B6576" i="5"/>
  <c r="B6572" i="5"/>
  <c r="B6568" i="5"/>
  <c r="B6564" i="5"/>
  <c r="B6560" i="5"/>
  <c r="B6556" i="5"/>
  <c r="B6552" i="5"/>
  <c r="B6548" i="5"/>
  <c r="B6540" i="5"/>
  <c r="B6536" i="5"/>
  <c r="B6532" i="5"/>
  <c r="B6528" i="5"/>
  <c r="B6524" i="5"/>
  <c r="B6520" i="5"/>
  <c r="B6512" i="5"/>
  <c r="B6508" i="5"/>
  <c r="B6504" i="5"/>
  <c r="B6500" i="5"/>
  <c r="B6492" i="5"/>
  <c r="B6488" i="5"/>
  <c r="B6484" i="5"/>
  <c r="B6480" i="5"/>
  <c r="B6476" i="5"/>
  <c r="B6472" i="5"/>
  <c r="B6468" i="5"/>
  <c r="B6464" i="5"/>
  <c r="B6460" i="5"/>
  <c r="G6459" i="5"/>
  <c r="G6457" i="5"/>
  <c r="B6456" i="5"/>
  <c r="G6464" i="5" l="1"/>
  <c r="G6488" i="5"/>
  <c r="G6652" i="5"/>
  <c r="G6688" i="5"/>
  <c r="G6720" i="5"/>
  <c r="G6736" i="5"/>
  <c r="G6752" i="5"/>
  <c r="G6768" i="5"/>
  <c r="G6784" i="5"/>
  <c r="G6800" i="5"/>
  <c r="G6864" i="5"/>
  <c r="G6888" i="5"/>
  <c r="G6940" i="5"/>
  <c r="G6956" i="5"/>
  <c r="G6972" i="5"/>
  <c r="G6992" i="5"/>
  <c r="G7020" i="5"/>
  <c r="G7052" i="5"/>
  <c r="G7068" i="5"/>
  <c r="G7084" i="5"/>
  <c r="G7100" i="5"/>
  <c r="G6480" i="5"/>
  <c r="G6536" i="5"/>
  <c r="G6580" i="5"/>
  <c r="G6832" i="5"/>
  <c r="G6900" i="5"/>
  <c r="G6672" i="5"/>
  <c r="G6708" i="5"/>
  <c r="G6740" i="5"/>
  <c r="G6756" i="5"/>
  <c r="G6868" i="5"/>
  <c r="G6944" i="5"/>
  <c r="G6980" i="5"/>
  <c r="G7040" i="5"/>
  <c r="G6588" i="5"/>
  <c r="G6500" i="5"/>
  <c r="G6556" i="5"/>
  <c r="G6600" i="5"/>
  <c r="G6840" i="5"/>
  <c r="G6860" i="5"/>
  <c r="G6916" i="5"/>
  <c r="G6788" i="5"/>
  <c r="G7072" i="5"/>
  <c r="G7088" i="5"/>
  <c r="G7104" i="5"/>
  <c r="G6608" i="5"/>
  <c r="G6472" i="5"/>
  <c r="G6520" i="5"/>
  <c r="G6548" i="5"/>
  <c r="G6572" i="5"/>
  <c r="G6628" i="5"/>
  <c r="G6848" i="5"/>
  <c r="G6908" i="5"/>
  <c r="G6656" i="5"/>
  <c r="G6692" i="5"/>
  <c r="G6724" i="5"/>
  <c r="G6508" i="5"/>
  <c r="G6528" i="5"/>
  <c r="G6564" i="5"/>
  <c r="G6620" i="5"/>
  <c r="G6636" i="5"/>
  <c r="G6892" i="5"/>
  <c r="G6640" i="5"/>
  <c r="G6924" i="5"/>
  <c r="G6960" i="5"/>
  <c r="G6996" i="5"/>
  <c r="G6592" i="5"/>
  <c r="G6468" i="5"/>
  <c r="G6484" i="5"/>
  <c r="G6492" i="5"/>
  <c r="G6524" i="5"/>
  <c r="G6540" i="5"/>
  <c r="G6560" i="5"/>
  <c r="G6576" i="5"/>
  <c r="G6604" i="5"/>
  <c r="G6632" i="5"/>
  <c r="G6836" i="5"/>
  <c r="G6856" i="5"/>
  <c r="G6896" i="5"/>
  <c r="G6912" i="5"/>
  <c r="G6920" i="5"/>
  <c r="G6700" i="5"/>
  <c r="G6716" i="5"/>
  <c r="G6732" i="5"/>
  <c r="G6748" i="5"/>
  <c r="G6764" i="5"/>
  <c r="G6796" i="5"/>
  <c r="G6884" i="5"/>
  <c r="G6952" i="5"/>
  <c r="G6988" i="5"/>
  <c r="G7032" i="5"/>
  <c r="G7080" i="5"/>
  <c r="G7180" i="5"/>
  <c r="G6676" i="5"/>
  <c r="G6712" i="5"/>
  <c r="G6728" i="5"/>
  <c r="G6744" i="5"/>
  <c r="G6776" i="5"/>
  <c r="G6792" i="5"/>
  <c r="G6820" i="5"/>
  <c r="G6872" i="5"/>
  <c r="G6964" i="5"/>
  <c r="G6984" i="5"/>
  <c r="G7000" i="5"/>
  <c r="G7028" i="5"/>
  <c r="G7044" i="5"/>
  <c r="G7060" i="5"/>
  <c r="G7076" i="5"/>
  <c r="G7092" i="5"/>
  <c r="G7108" i="5"/>
  <c r="G6544" i="5"/>
  <c r="G6584" i="5"/>
  <c r="G6460" i="5"/>
  <c r="G6476" i="5"/>
  <c r="G6504" i="5"/>
  <c r="G6512" i="5"/>
  <c r="G6532" i="5"/>
  <c r="G6552" i="5"/>
  <c r="G6568" i="5"/>
  <c r="G6596" i="5"/>
  <c r="G6624" i="5"/>
  <c r="G6828" i="5"/>
  <c r="G6844" i="5"/>
  <c r="G6880" i="5"/>
  <c r="G6904" i="5"/>
  <c r="G6648" i="5"/>
  <c r="G6664" i="5"/>
  <c r="G6824" i="5"/>
  <c r="G6936" i="5"/>
  <c r="G6968" i="5"/>
  <c r="G7016" i="5"/>
  <c r="G7048" i="5"/>
  <c r="G7064" i="5"/>
  <c r="G7096" i="5"/>
  <c r="G6496" i="5"/>
  <c r="G6616" i="5"/>
  <c r="G6456" i="5"/>
  <c r="G6452" i="5"/>
  <c r="G6612" i="5"/>
  <c r="G2744" i="5"/>
  <c r="G2740" i="5"/>
  <c r="G2752" i="5"/>
  <c r="G4740" i="5"/>
  <c r="G2756" i="5"/>
  <c r="G2732" i="5"/>
  <c r="G4748" i="5"/>
  <c r="G2736" i="5"/>
  <c r="G6660" i="5"/>
  <c r="G6668" i="5"/>
  <c r="G6696" i="5"/>
  <c r="G7024" i="5"/>
  <c r="G6804" i="5"/>
  <c r="G6772" i="5"/>
  <c r="G6928" i="5"/>
  <c r="G6644" i="5"/>
  <c r="G6704" i="5"/>
  <c r="G7036" i="5"/>
  <c r="G6684" i="5"/>
  <c r="G7056" i="5"/>
  <c r="G6760" i="5"/>
  <c r="G6780" i="5"/>
  <c r="G6948" i="5"/>
  <c r="G4736" i="5"/>
  <c r="E519" i="5" l="1"/>
  <c r="G6451" i="5" l="1"/>
  <c r="G6446" i="5"/>
  <c r="B6445" i="5"/>
  <c r="G6444" i="5"/>
  <c r="G6439" i="5"/>
  <c r="B6438" i="5"/>
  <c r="G6437" i="5"/>
  <c r="G6432" i="5"/>
  <c r="G6431" i="5" l="1"/>
  <c r="G6445" i="5"/>
  <c r="G6438" i="5"/>
  <c r="G6430" i="5" l="1"/>
  <c r="G6423" i="5"/>
  <c r="B6422" i="5"/>
  <c r="G6421" i="5"/>
  <c r="G6418" i="5"/>
  <c r="B6417" i="5"/>
  <c r="G6417" i="5" l="1"/>
  <c r="G6422" i="5"/>
  <c r="E6405" i="5" l="1"/>
  <c r="G6406" i="5"/>
  <c r="G6404" i="5"/>
  <c r="G6403" i="5"/>
  <c r="B6403" i="5"/>
  <c r="G6402" i="5"/>
  <c r="G6400" i="5"/>
  <c r="G6399" i="5"/>
  <c r="B6399" i="5"/>
  <c r="G6407" i="5"/>
  <c r="G6398" i="5"/>
  <c r="G6395" i="5"/>
  <c r="G6394" i="5"/>
  <c r="B6394" i="5"/>
  <c r="G6393" i="5"/>
  <c r="G6391" i="5"/>
  <c r="G6390" i="5"/>
  <c r="B6390" i="5"/>
  <c r="G6389" i="5"/>
  <c r="G6384" i="5"/>
  <c r="B6383" i="5"/>
  <c r="G6383" i="5" l="1"/>
  <c r="G6416" i="5"/>
  <c r="G6413" i="5"/>
  <c r="B6412" i="5"/>
  <c r="G6411" i="5"/>
  <c r="G6408" i="5"/>
  <c r="B6407" i="5"/>
  <c r="G6412" i="5" l="1"/>
  <c r="E5405" i="5" l="1"/>
  <c r="E5404" i="5"/>
  <c r="E5251" i="5"/>
  <c r="E5252" i="5"/>
  <c r="E4952" i="5"/>
  <c r="E4951" i="5"/>
  <c r="E4945" i="5"/>
  <c r="E4944" i="5"/>
  <c r="E4579" i="5"/>
  <c r="E4578" i="5"/>
  <c r="E4577" i="5"/>
  <c r="E4576" i="5"/>
  <c r="E4574" i="5"/>
  <c r="E4573" i="5"/>
  <c r="E4572" i="5"/>
  <c r="E4571" i="5"/>
  <c r="E3686" i="5" l="1"/>
  <c r="E469" i="5" l="1"/>
  <c r="E3685" i="5" l="1"/>
  <c r="E3684" i="5"/>
  <c r="G6226" i="5" l="1"/>
  <c r="B6225" i="5"/>
  <c r="G6219" i="5"/>
  <c r="B6218" i="5"/>
  <c r="G6213" i="5"/>
  <c r="G6212" i="5"/>
  <c r="B6212" i="5"/>
  <c r="G6206" i="5"/>
  <c r="B6205" i="5"/>
  <c r="G6218" i="5" l="1"/>
  <c r="G6225" i="5"/>
  <c r="G6205" i="5"/>
  <c r="G6197" i="5"/>
  <c r="B6196" i="5"/>
  <c r="G6181" i="5"/>
  <c r="E6184" i="5"/>
  <c r="B6180" i="5"/>
  <c r="G6196" i="5" l="1"/>
  <c r="G6180" i="5"/>
  <c r="G6189" i="5"/>
  <c r="G6188" i="5"/>
  <c r="B6188" i="5"/>
  <c r="G6176" i="5"/>
  <c r="G6175" i="5"/>
  <c r="B6175" i="5"/>
  <c r="G6171" i="5"/>
  <c r="G6170" i="5"/>
  <c r="B6170" i="5"/>
  <c r="E6161" i="5"/>
  <c r="E6150" i="5"/>
  <c r="E6144" i="5"/>
  <c r="E6143" i="5"/>
  <c r="G6162" i="5"/>
  <c r="G6153" i="5"/>
  <c r="G6152" i="5"/>
  <c r="B6152" i="5"/>
  <c r="G6151" i="5"/>
  <c r="G6142" i="5"/>
  <c r="G6141" i="5"/>
  <c r="B6141" i="5"/>
  <c r="G6164" i="5" l="1"/>
  <c r="G6163" i="5"/>
  <c r="B6163" i="5"/>
  <c r="E6361" i="5" l="1"/>
  <c r="E6366" i="5"/>
  <c r="E6365" i="5"/>
  <c r="G6382" i="5" l="1"/>
  <c r="G6378" i="5"/>
  <c r="G6377" i="5"/>
  <c r="B6377" i="5"/>
  <c r="G6376" i="5"/>
  <c r="G6371" i="5"/>
  <c r="B6370" i="5"/>
  <c r="G6356" i="5"/>
  <c r="G6355" i="5"/>
  <c r="B6355" i="5"/>
  <c r="G6342" i="5"/>
  <c r="B6341" i="5"/>
  <c r="G6337" i="5"/>
  <c r="G6336" i="5"/>
  <c r="B6336" i="5"/>
  <c r="G6328" i="5"/>
  <c r="G6327" i="5"/>
  <c r="B6327" i="5"/>
  <c r="G6318" i="5"/>
  <c r="G6317" i="5"/>
  <c r="B6317" i="5"/>
  <c r="G6294" i="5"/>
  <c r="B6293" i="5"/>
  <c r="G6283" i="5"/>
  <c r="B6282" i="5"/>
  <c r="G6274" i="5"/>
  <c r="B6273" i="5"/>
  <c r="G6266" i="5"/>
  <c r="G6265" i="5"/>
  <c r="B6265" i="5"/>
  <c r="G6258" i="5"/>
  <c r="B6257" i="5"/>
  <c r="G6247" i="5"/>
  <c r="B6246" i="5"/>
  <c r="G6238" i="5"/>
  <c r="B6237" i="5"/>
  <c r="G6232" i="5"/>
  <c r="G6231" i="5"/>
  <c r="B6231" i="5"/>
  <c r="E6375" i="5"/>
  <c r="E6374" i="5"/>
  <c r="G6293" i="5" l="1"/>
  <c r="G6341" i="5"/>
  <c r="G6237" i="5"/>
  <c r="G6370" i="5"/>
  <c r="G6273" i="5"/>
  <c r="G6282" i="5"/>
  <c r="G6257" i="5"/>
  <c r="G6246" i="5"/>
  <c r="G5476" i="5" l="1"/>
  <c r="G5471" i="5"/>
  <c r="B5470" i="5"/>
  <c r="G5470" i="5" l="1"/>
  <c r="B5477" i="5"/>
  <c r="B5466" i="5"/>
  <c r="B5460" i="5"/>
  <c r="B5454" i="5"/>
  <c r="B5448" i="5"/>
  <c r="B5441" i="5"/>
  <c r="B5435" i="5"/>
  <c r="B5429" i="5"/>
  <c r="B5417" i="5"/>
  <c r="B5407" i="5"/>
  <c r="B5400" i="5"/>
  <c r="B5392" i="5"/>
  <c r="B5384" i="5"/>
  <c r="B5376" i="5"/>
  <c r="B5370" i="5"/>
  <c r="B5364" i="5"/>
  <c r="B5357" i="5"/>
  <c r="B5351" i="5"/>
  <c r="B5345" i="5"/>
  <c r="B5338" i="5"/>
  <c r="B5331" i="5"/>
  <c r="B5324" i="5"/>
  <c r="B5318" i="5"/>
  <c r="B5312" i="5"/>
  <c r="B5306" i="5"/>
  <c r="B5300" i="5"/>
  <c r="B5294" i="5"/>
  <c r="G5480" i="5"/>
  <c r="G5478" i="5"/>
  <c r="G5477" i="5"/>
  <c r="G5469" i="5"/>
  <c r="G5467" i="5"/>
  <c r="G5465" i="5"/>
  <c r="G5461" i="5"/>
  <c r="G5460" i="5"/>
  <c r="G5459" i="5"/>
  <c r="G5455" i="5"/>
  <c r="G5453" i="5"/>
  <c r="G5449" i="5"/>
  <c r="G5447" i="5"/>
  <c r="G5442" i="5"/>
  <c r="G5440" i="5"/>
  <c r="G5436" i="5"/>
  <c r="G5435" i="5"/>
  <c r="G5434" i="5"/>
  <c r="G5430" i="5"/>
  <c r="G5429" i="5"/>
  <c r="G5428" i="5"/>
  <c r="G5418" i="5"/>
  <c r="G5416" i="5"/>
  <c r="G5408" i="5"/>
  <c r="G5406" i="5"/>
  <c r="G5401" i="5"/>
  <c r="G5399" i="5"/>
  <c r="G5393" i="5"/>
  <c r="G5391" i="5"/>
  <c r="G5385" i="5"/>
  <c r="G5383" i="5"/>
  <c r="G5377" i="5"/>
  <c r="G5375" i="5"/>
  <c r="G5371" i="5"/>
  <c r="G5370" i="5"/>
  <c r="G5369" i="5"/>
  <c r="G5365" i="5"/>
  <c r="G5364" i="5"/>
  <c r="G5363" i="5"/>
  <c r="G5358" i="5"/>
  <c r="G5357" i="5"/>
  <c r="G5356" i="5"/>
  <c r="G5352" i="5"/>
  <c r="G5350" i="5"/>
  <c r="G5346" i="5"/>
  <c r="G5345" i="5"/>
  <c r="G5344" i="5"/>
  <c r="G5339" i="5"/>
  <c r="G5337" i="5"/>
  <c r="G5332" i="5"/>
  <c r="G5330" i="5"/>
  <c r="G5325" i="5"/>
  <c r="G5323" i="5"/>
  <c r="G5319" i="5"/>
  <c r="G5317" i="5"/>
  <c r="G5313" i="5"/>
  <c r="G5311" i="5"/>
  <c r="G5307" i="5"/>
  <c r="G5305" i="5"/>
  <c r="G5301" i="5"/>
  <c r="G5299" i="5"/>
  <c r="G5295" i="5"/>
  <c r="E5425" i="5"/>
  <c r="E5424" i="5"/>
  <c r="E5423" i="5"/>
  <c r="E5422" i="5"/>
  <c r="E5421" i="5"/>
  <c r="E5420" i="5"/>
  <c r="E5419" i="5"/>
  <c r="E5415" i="5"/>
  <c r="E5414" i="5"/>
  <c r="E5413" i="5"/>
  <c r="E5412" i="5"/>
  <c r="E5411" i="5"/>
  <c r="E5410" i="5"/>
  <c r="E5409" i="5"/>
  <c r="E5360" i="5"/>
  <c r="E5359" i="5"/>
  <c r="G5331" i="5" l="1"/>
  <c r="G5384" i="5"/>
  <c r="G5448" i="5"/>
  <c r="G5300" i="5"/>
  <c r="G5407" i="5"/>
  <c r="G5466" i="5"/>
  <c r="G5318" i="5"/>
  <c r="G5306" i="5"/>
  <c r="G5417" i="5"/>
  <c r="G5338" i="5"/>
  <c r="G5392" i="5"/>
  <c r="G5454" i="5"/>
  <c r="G5324" i="5"/>
  <c r="G5376" i="5"/>
  <c r="G5441" i="5"/>
  <c r="G5294" i="5"/>
  <c r="G5400" i="5"/>
  <c r="G5312" i="5"/>
  <c r="G5351" i="5"/>
  <c r="E2251" i="5" l="1"/>
  <c r="E2267" i="5"/>
  <c r="E2277" i="5"/>
  <c r="E2287" i="5"/>
  <c r="E2297" i="5"/>
  <c r="E2307" i="5"/>
  <c r="E5259" i="5" l="1"/>
  <c r="E5258" i="5"/>
  <c r="E5257" i="5"/>
  <c r="E5256" i="5"/>
  <c r="E5255" i="5"/>
  <c r="E5254" i="5"/>
  <c r="E5253" i="5"/>
  <c r="B6137" i="5"/>
  <c r="B6133" i="5"/>
  <c r="B6129" i="5"/>
  <c r="B6121" i="5"/>
  <c r="B6105" i="5"/>
  <c r="B6101" i="5"/>
  <c r="B6097" i="5"/>
  <c r="B6093" i="5"/>
  <c r="B6089" i="5"/>
  <c r="B6085" i="5"/>
  <c r="B6081" i="5"/>
  <c r="B6077" i="5"/>
  <c r="B6073" i="5"/>
  <c r="B6069" i="5"/>
  <c r="B6065" i="5"/>
  <c r="B6061" i="5"/>
  <c r="B6057" i="5"/>
  <c r="B6053" i="5"/>
  <c r="B6049" i="5"/>
  <c r="B6037" i="5"/>
  <c r="B6033" i="5"/>
  <c r="B6029" i="5"/>
  <c r="B6021" i="5"/>
  <c r="B6017" i="5"/>
  <c r="B6013" i="5"/>
  <c r="B6009" i="5"/>
  <c r="B6005" i="5"/>
  <c r="B6001" i="5"/>
  <c r="B5997" i="5"/>
  <c r="B5993" i="5"/>
  <c r="B5989" i="5"/>
  <c r="B5985" i="5"/>
  <c r="B5981" i="5"/>
  <c r="B5977" i="5"/>
  <c r="B5973" i="5"/>
  <c r="B5969" i="5"/>
  <c r="B5965" i="5"/>
  <c r="B5961" i="5"/>
  <c r="B5957" i="5"/>
  <c r="B5953" i="5"/>
  <c r="B5949" i="5"/>
  <c r="B5945" i="5"/>
  <c r="B5941" i="5"/>
  <c r="B5937" i="5"/>
  <c r="B5933" i="5"/>
  <c r="B5929" i="5"/>
  <c r="B5925" i="5"/>
  <c r="B5921" i="5"/>
  <c r="B5917" i="5"/>
  <c r="B5913" i="5"/>
  <c r="B5909" i="5"/>
  <c r="B5905" i="5"/>
  <c r="B5901" i="5"/>
  <c r="B5897" i="5"/>
  <c r="B5893" i="5"/>
  <c r="B5889" i="5"/>
  <c r="B5885" i="5"/>
  <c r="B5881" i="5"/>
  <c r="B5877" i="5"/>
  <c r="B5873" i="5"/>
  <c r="B5869" i="5"/>
  <c r="B5865" i="5"/>
  <c r="B5861" i="5"/>
  <c r="B5857" i="5"/>
  <c r="B5853" i="5"/>
  <c r="B5849" i="5"/>
  <c r="B5845" i="5"/>
  <c r="B5841" i="5"/>
  <c r="B5837" i="5"/>
  <c r="B5833" i="5"/>
  <c r="B5829" i="5"/>
  <c r="B5825" i="5"/>
  <c r="B5821" i="5"/>
  <c r="B5817" i="5"/>
  <c r="B5813" i="5"/>
  <c r="B5809" i="5"/>
  <c r="B5805" i="5"/>
  <c r="B5797" i="5"/>
  <c r="B5793" i="5"/>
  <c r="B5789" i="5"/>
  <c r="B5785" i="5"/>
  <c r="B5781" i="5"/>
  <c r="B5777" i="5"/>
  <c r="B5773" i="5"/>
  <c r="B5769" i="5"/>
  <c r="B5765" i="5"/>
  <c r="B5761" i="5"/>
  <c r="B5757" i="5"/>
  <c r="B5753" i="5"/>
  <c r="B5749" i="5"/>
  <c r="B5745" i="5"/>
  <c r="B5741" i="5"/>
  <c r="B5737" i="5"/>
  <c r="B5733" i="5"/>
  <c r="B5729" i="5"/>
  <c r="B5725" i="5"/>
  <c r="B5721" i="5"/>
  <c r="B5717" i="5"/>
  <c r="B5713" i="5"/>
  <c r="B5709" i="5"/>
  <c r="B5705" i="5"/>
  <c r="B5701" i="5"/>
  <c r="B5697" i="5"/>
  <c r="B5693" i="5"/>
  <c r="B5689" i="5"/>
  <c r="B5685" i="5"/>
  <c r="B5681" i="5"/>
  <c r="B5677" i="5"/>
  <c r="B5673" i="5"/>
  <c r="B5669" i="5"/>
  <c r="B5665" i="5"/>
  <c r="B5661" i="5"/>
  <c r="B5657" i="5"/>
  <c r="B5653" i="5"/>
  <c r="B5649" i="5"/>
  <c r="B5645" i="5"/>
  <c r="B5641" i="5"/>
  <c r="B5637" i="5"/>
  <c r="B5633" i="5"/>
  <c r="B5629" i="5"/>
  <c r="B5625" i="5"/>
  <c r="B5621" i="5"/>
  <c r="B5609" i="5"/>
  <c r="B5617" i="5"/>
  <c r="B5613" i="5"/>
  <c r="B5605" i="5"/>
  <c r="B5601" i="5"/>
  <c r="G6140" i="5"/>
  <c r="G6138" i="5"/>
  <c r="G6136" i="5"/>
  <c r="G6134" i="5"/>
  <c r="G6132" i="5"/>
  <c r="G6130" i="5"/>
  <c r="G6122" i="5"/>
  <c r="G6121" i="5"/>
  <c r="G6108" i="5"/>
  <c r="G6106" i="5"/>
  <c r="G6104" i="5"/>
  <c r="G6102" i="5"/>
  <c r="G6100" i="5"/>
  <c r="G6098" i="5"/>
  <c r="G6096" i="5"/>
  <c r="G6094" i="5"/>
  <c r="G6092" i="5"/>
  <c r="G6090" i="5"/>
  <c r="G6088" i="5"/>
  <c r="G6086" i="5"/>
  <c r="G6084" i="5"/>
  <c r="G6082" i="5"/>
  <c r="G6080" i="5"/>
  <c r="G6078" i="5"/>
  <c r="G6076" i="5"/>
  <c r="G6074" i="5"/>
  <c r="G6072" i="5"/>
  <c r="G6070" i="5"/>
  <c r="G6068" i="5"/>
  <c r="G6066" i="5"/>
  <c r="G6065" i="5"/>
  <c r="G6064" i="5"/>
  <c r="G6062" i="5"/>
  <c r="G6060" i="5"/>
  <c r="G6058" i="5"/>
  <c r="G6057" i="5"/>
  <c r="G6056" i="5"/>
  <c r="G6054" i="5"/>
  <c r="G6052" i="5"/>
  <c r="G6050" i="5"/>
  <c r="G6040" i="5"/>
  <c r="G6038" i="5"/>
  <c r="G6036" i="5"/>
  <c r="G6034" i="5"/>
  <c r="G6032" i="5"/>
  <c r="G6030" i="5"/>
  <c r="G6024" i="5"/>
  <c r="G6022" i="5"/>
  <c r="G6020" i="5"/>
  <c r="G6018" i="5"/>
  <c r="G6017" i="5"/>
  <c r="G6016" i="5"/>
  <c r="G6014" i="5"/>
  <c r="G6013" i="5"/>
  <c r="G6012" i="5"/>
  <c r="G6010" i="5"/>
  <c r="G6009" i="5"/>
  <c r="G6008" i="5"/>
  <c r="G6006" i="5"/>
  <c r="G6005" i="5"/>
  <c r="G6004" i="5"/>
  <c r="G6002" i="5"/>
  <c r="G6001" i="5"/>
  <c r="G6000" i="5"/>
  <c r="G5998" i="5"/>
  <c r="G5997" i="5"/>
  <c r="G5996" i="5"/>
  <c r="G5994" i="5"/>
  <c r="G5993" i="5"/>
  <c r="G5992" i="5"/>
  <c r="G5990" i="5"/>
  <c r="G5989" i="5"/>
  <c r="G5988" i="5"/>
  <c r="G5986" i="5"/>
  <c r="G5984" i="5"/>
  <c r="G5982" i="5"/>
  <c r="G5980" i="5"/>
  <c r="G5978" i="5"/>
  <c r="G5976" i="5"/>
  <c r="G5974" i="5"/>
  <c r="G5972" i="5"/>
  <c r="G5970" i="5"/>
  <c r="G5968" i="5"/>
  <c r="G5966" i="5"/>
  <c r="G5964" i="5"/>
  <c r="G5962" i="5"/>
  <c r="G5960" i="5"/>
  <c r="G5958" i="5"/>
  <c r="G5956" i="5"/>
  <c r="G5954" i="5"/>
  <c r="G5952" i="5"/>
  <c r="G5950" i="5"/>
  <c r="G5948" i="5"/>
  <c r="G5946" i="5"/>
  <c r="G5944" i="5"/>
  <c r="G5942" i="5"/>
  <c r="G5940" i="5"/>
  <c r="G5938" i="5"/>
  <c r="G5936" i="5"/>
  <c r="G5934" i="5"/>
  <c r="G5932" i="5"/>
  <c r="G5930" i="5"/>
  <c r="G5928" i="5"/>
  <c r="G5926" i="5"/>
  <c r="G5924" i="5"/>
  <c r="G5922" i="5"/>
  <c r="G5920" i="5"/>
  <c r="G5918" i="5"/>
  <c r="G5916" i="5"/>
  <c r="G5914" i="5"/>
  <c r="G5912" i="5"/>
  <c r="G5910" i="5"/>
  <c r="G5908" i="5"/>
  <c r="G5906" i="5"/>
  <c r="G5904" i="5"/>
  <c r="G5902" i="5"/>
  <c r="G5900" i="5"/>
  <c r="G5898" i="5"/>
  <c r="G5896" i="5"/>
  <c r="G5894" i="5"/>
  <c r="G5892" i="5"/>
  <c r="G5890" i="5"/>
  <c r="G5888" i="5"/>
  <c r="G5886" i="5"/>
  <c r="G5884" i="5"/>
  <c r="G5882" i="5"/>
  <c r="G5880" i="5"/>
  <c r="G5878" i="5"/>
  <c r="G5876" i="5"/>
  <c r="G5874" i="5"/>
  <c r="G5872" i="5"/>
  <c r="G5870" i="5"/>
  <c r="G5868" i="5"/>
  <c r="G5866" i="5"/>
  <c r="G5864" i="5"/>
  <c r="G5862" i="5"/>
  <c r="G5860" i="5"/>
  <c r="G5858" i="5"/>
  <c r="G5856" i="5"/>
  <c r="G5854" i="5"/>
  <c r="G5852" i="5"/>
  <c r="G5850" i="5"/>
  <c r="G5848" i="5"/>
  <c r="G5846" i="5"/>
  <c r="G5844" i="5"/>
  <c r="G5842" i="5"/>
  <c r="G5840" i="5"/>
  <c r="G5838" i="5"/>
  <c r="G5836" i="5"/>
  <c r="G5834" i="5"/>
  <c r="G5832" i="5"/>
  <c r="G5830" i="5"/>
  <c r="G5828" i="5"/>
  <c r="G5826" i="5"/>
  <c r="G5824" i="5"/>
  <c r="G5822" i="5"/>
  <c r="G5820" i="5"/>
  <c r="G5818" i="5"/>
  <c r="G5816" i="5"/>
  <c r="G5814" i="5"/>
  <c r="G5812" i="5"/>
  <c r="G5810" i="5"/>
  <c r="G5808" i="5"/>
  <c r="G5806" i="5"/>
  <c r="G5804" i="5"/>
  <c r="G5802" i="5"/>
  <c r="B5801" i="5"/>
  <c r="G5800" i="5"/>
  <c r="G5798" i="5"/>
  <c r="G5796" i="5"/>
  <c r="G5794" i="5"/>
  <c r="G5792" i="5"/>
  <c r="G5790" i="5"/>
  <c r="G5788" i="5"/>
  <c r="G5786" i="5"/>
  <c r="G5784" i="5"/>
  <c r="G5782" i="5"/>
  <c r="G5780" i="5"/>
  <c r="G5778" i="5"/>
  <c r="G5776" i="5"/>
  <c r="G5774" i="5"/>
  <c r="G5772" i="5"/>
  <c r="G5770" i="5"/>
  <c r="G5768" i="5"/>
  <c r="G5766" i="5"/>
  <c r="G5764" i="5"/>
  <c r="G5762" i="5"/>
  <c r="G5760" i="5"/>
  <c r="G5758" i="5"/>
  <c r="G5756" i="5"/>
  <c r="G5754" i="5"/>
  <c r="G5752" i="5"/>
  <c r="G5750" i="5"/>
  <c r="G5748" i="5"/>
  <c r="G5746" i="5"/>
  <c r="G5744" i="5"/>
  <c r="G5742" i="5"/>
  <c r="G5740" i="5"/>
  <c r="G5738" i="5"/>
  <c r="G5736" i="5"/>
  <c r="G5734" i="5"/>
  <c r="G5732" i="5"/>
  <c r="G5730" i="5"/>
  <c r="G5729" i="5"/>
  <c r="G5728" i="5"/>
  <c r="G5726" i="5"/>
  <c r="G5725" i="5"/>
  <c r="G5724" i="5"/>
  <c r="G5722" i="5"/>
  <c r="G5721" i="5"/>
  <c r="G5720" i="5"/>
  <c r="G5718" i="5"/>
  <c r="G5717" i="5"/>
  <c r="G5716" i="5"/>
  <c r="G5714" i="5"/>
  <c r="G5713" i="5"/>
  <c r="G5712" i="5"/>
  <c r="G5710" i="5"/>
  <c r="G5709" i="5"/>
  <c r="G5708" i="5"/>
  <c r="G5706" i="5"/>
  <c r="G5705" i="5"/>
  <c r="G5704" i="5"/>
  <c r="G5702" i="5"/>
  <c r="G5701" i="5"/>
  <c r="G5700" i="5"/>
  <c r="G5698" i="5"/>
  <c r="G5696" i="5"/>
  <c r="G5694" i="5"/>
  <c r="G5692" i="5"/>
  <c r="G5690" i="5"/>
  <c r="G5688" i="5"/>
  <c r="G5686" i="5"/>
  <c r="G5684" i="5"/>
  <c r="G5682" i="5"/>
  <c r="G5680" i="5"/>
  <c r="G5678" i="5"/>
  <c r="G5676" i="5"/>
  <c r="G5674" i="5"/>
  <c r="G5672" i="5"/>
  <c r="G5670" i="5"/>
  <c r="G5668" i="5"/>
  <c r="G5666" i="5"/>
  <c r="G5664" i="5"/>
  <c r="G5662" i="5"/>
  <c r="G5660" i="5"/>
  <c r="G5658" i="5"/>
  <c r="G5656" i="5"/>
  <c r="G5654" i="5"/>
  <c r="G5652" i="5"/>
  <c r="G5650" i="5"/>
  <c r="G5648" i="5"/>
  <c r="G5646" i="5"/>
  <c r="G5644" i="5"/>
  <c r="G5642" i="5"/>
  <c r="G5640" i="5"/>
  <c r="G5638" i="5"/>
  <c r="G5636" i="5"/>
  <c r="G5634" i="5"/>
  <c r="G5632" i="5"/>
  <c r="G5630" i="5"/>
  <c r="G5628" i="5"/>
  <c r="G5626" i="5"/>
  <c r="G5624" i="5"/>
  <c r="G5622" i="5"/>
  <c r="G5620" i="5"/>
  <c r="G5618" i="5"/>
  <c r="G5616" i="5"/>
  <c r="G5614" i="5"/>
  <c r="G5612" i="5"/>
  <c r="G5610" i="5"/>
  <c r="G5608" i="5"/>
  <c r="G5606" i="5"/>
  <c r="G5604" i="5"/>
  <c r="G5602" i="5"/>
  <c r="G5600" i="5"/>
  <c r="G5599" i="5"/>
  <c r="G5598" i="5"/>
  <c r="G5596" i="5"/>
  <c r="B5595" i="5"/>
  <c r="G5594" i="5"/>
  <c r="G5593" i="5"/>
  <c r="G5592" i="5"/>
  <c r="G5590" i="5"/>
  <c r="B5589" i="5"/>
  <c r="G5588" i="5"/>
  <c r="G5587" i="5"/>
  <c r="G5586" i="5"/>
  <c r="G5584" i="5"/>
  <c r="B5583" i="5"/>
  <c r="G5582" i="5"/>
  <c r="G5581" i="5"/>
  <c r="G5580" i="5"/>
  <c r="G5578" i="5"/>
  <c r="B5577" i="5"/>
  <c r="G5576" i="5"/>
  <c r="G5575" i="5"/>
  <c r="G5574" i="5"/>
  <c r="G5572" i="5"/>
  <c r="B5571" i="5"/>
  <c r="G5570" i="5"/>
  <c r="G5569" i="5"/>
  <c r="G5568" i="5"/>
  <c r="G5566" i="5"/>
  <c r="B5565" i="5"/>
  <c r="G5564" i="5"/>
  <c r="G5563" i="5"/>
  <c r="G5562" i="5"/>
  <c r="G5560" i="5"/>
  <c r="B5559" i="5"/>
  <c r="G5558" i="5"/>
  <c r="G5557" i="5"/>
  <c r="G5556" i="5"/>
  <c r="G5554" i="5"/>
  <c r="B5553" i="5"/>
  <c r="G5552" i="5"/>
  <c r="G5551" i="5"/>
  <c r="G5550" i="5"/>
  <c r="G5548" i="5"/>
  <c r="B5547" i="5"/>
  <c r="G5546" i="5"/>
  <c r="G5545" i="5"/>
  <c r="G5544" i="5"/>
  <c r="G5542" i="5"/>
  <c r="B5541" i="5"/>
  <c r="G5540" i="5"/>
  <c r="G5539" i="5"/>
  <c r="G5538" i="5"/>
  <c r="G5536" i="5"/>
  <c r="B5535" i="5"/>
  <c r="G5534" i="5"/>
  <c r="G5533" i="5"/>
  <c r="G5532" i="5"/>
  <c r="G5530" i="5"/>
  <c r="B5529" i="5"/>
  <c r="G5528" i="5"/>
  <c r="G5527" i="5"/>
  <c r="G5526" i="5"/>
  <c r="G5524" i="5"/>
  <c r="B5523" i="5"/>
  <c r="G5522" i="5"/>
  <c r="G5521" i="5"/>
  <c r="G5520" i="5"/>
  <c r="G5518" i="5"/>
  <c r="B5517" i="5"/>
  <c r="G5516" i="5"/>
  <c r="G5515" i="5"/>
  <c r="G5514" i="5"/>
  <c r="G5512" i="5"/>
  <c r="B5511" i="5"/>
  <c r="G5510" i="5"/>
  <c r="G5509" i="5"/>
  <c r="G5508" i="5"/>
  <c r="G5506" i="5"/>
  <c r="B5505" i="5"/>
  <c r="G5504" i="5"/>
  <c r="G5503" i="5"/>
  <c r="G5502" i="5"/>
  <c r="G5500" i="5"/>
  <c r="B5499" i="5"/>
  <c r="G5498" i="5"/>
  <c r="G5497" i="5"/>
  <c r="G5496" i="5"/>
  <c r="G5494" i="5"/>
  <c r="B5493" i="5"/>
  <c r="G5492" i="5"/>
  <c r="G5491" i="5"/>
  <c r="G5490" i="5"/>
  <c r="G5488" i="5"/>
  <c r="B5487" i="5"/>
  <c r="G5486" i="5"/>
  <c r="G5485" i="5"/>
  <c r="G5484" i="5"/>
  <c r="G5482" i="5"/>
  <c r="B5481" i="5"/>
  <c r="G2775" i="5"/>
  <c r="G2773" i="5"/>
  <c r="B2772" i="5"/>
  <c r="G2767" i="5"/>
  <c r="G2765" i="5"/>
  <c r="B2764" i="5"/>
  <c r="G5657" i="5" l="1"/>
  <c r="G5629" i="5"/>
  <c r="G5661" i="5"/>
  <c r="G5689" i="5"/>
  <c r="G5609" i="5"/>
  <c r="G5641" i="5"/>
  <c r="G5673" i="5"/>
  <c r="G5665" i="5"/>
  <c r="G5697" i="5"/>
  <c r="G5653" i="5"/>
  <c r="G5633" i="5"/>
  <c r="G5481" i="5"/>
  <c r="G5529" i="5"/>
  <c r="G5553" i="5"/>
  <c r="G5613" i="5"/>
  <c r="G5645" i="5"/>
  <c r="G5677" i="5"/>
  <c r="G5637" i="5"/>
  <c r="G5669" i="5"/>
  <c r="G5685" i="5"/>
  <c r="G5625" i="5"/>
  <c r="G5617" i="5"/>
  <c r="G5649" i="5"/>
  <c r="G5681" i="5"/>
  <c r="G5749" i="5"/>
  <c r="G5753" i="5"/>
  <c r="G6021" i="5"/>
  <c r="G6037" i="5"/>
  <c r="G6049" i="5"/>
  <c r="G6061" i="5"/>
  <c r="G6069" i="5"/>
  <c r="G6073" i="5"/>
  <c r="G6077" i="5"/>
  <c r="G6097" i="5"/>
  <c r="G6101" i="5"/>
  <c r="G6105" i="5"/>
  <c r="G6129" i="5"/>
  <c r="G6137" i="5"/>
  <c r="G2764" i="5"/>
  <c r="G5511" i="5"/>
  <c r="G5535" i="5"/>
  <c r="G5559" i="5"/>
  <c r="G5781" i="5"/>
  <c r="G5929" i="5"/>
  <c r="G5961" i="5"/>
  <c r="G5793" i="5"/>
  <c r="G5813" i="5"/>
  <c r="G5857" i="5"/>
  <c r="G5889" i="5"/>
  <c r="G5921" i="5"/>
  <c r="G5953" i="5"/>
  <c r="G5837" i="5"/>
  <c r="G5869" i="5"/>
  <c r="G5901" i="5"/>
  <c r="G5933" i="5"/>
  <c r="G5965" i="5"/>
  <c r="G5765" i="5"/>
  <c r="G5817" i="5"/>
  <c r="G5913" i="5"/>
  <c r="G5945" i="5"/>
  <c r="G5977" i="5"/>
  <c r="G5829" i="5"/>
  <c r="G5861" i="5"/>
  <c r="G5925" i="5"/>
  <c r="G5849" i="5"/>
  <c r="G2772" i="5"/>
  <c r="G5517" i="5"/>
  <c r="G5541" i="5"/>
  <c r="G5565" i="5"/>
  <c r="G5589" i="5"/>
  <c r="G5757" i="5"/>
  <c r="G5789" i="5"/>
  <c r="G5841" i="5"/>
  <c r="G5873" i="5"/>
  <c r="G5937" i="5"/>
  <c r="G5969" i="5"/>
  <c r="G5769" i="5"/>
  <c r="G5821" i="5"/>
  <c r="G5917" i="5"/>
  <c r="G5949" i="5"/>
  <c r="G5981" i="5"/>
  <c r="G5761" i="5"/>
  <c r="G5845" i="5"/>
  <c r="G5909" i="5"/>
  <c r="G5941" i="5"/>
  <c r="G5973" i="5"/>
  <c r="G6081" i="5"/>
  <c r="G5985" i="5"/>
  <c r="G6133" i="5"/>
  <c r="G5905" i="5"/>
  <c r="G6089" i="5"/>
  <c r="G6033" i="5"/>
  <c r="G6053" i="5"/>
  <c r="G6029" i="5"/>
  <c r="G6085" i="5"/>
  <c r="G5877" i="5"/>
  <c r="G6093" i="5"/>
  <c r="G5881" i="5"/>
  <c r="G5737" i="5"/>
  <c r="G5853" i="5"/>
  <c r="G5957" i="5"/>
  <c r="G5805" i="5"/>
  <c r="G5801" i="5"/>
  <c r="G5809" i="5"/>
  <c r="G5833" i="5"/>
  <c r="G5773" i="5"/>
  <c r="G5825" i="5"/>
  <c r="G5797" i="5"/>
  <c r="G5865" i="5"/>
  <c r="G5897" i="5"/>
  <c r="G5893" i="5"/>
  <c r="G5777" i="5"/>
  <c r="G5741" i="5"/>
  <c r="G5885" i="5"/>
  <c r="G5785" i="5"/>
  <c r="G5745" i="5"/>
  <c r="G5693" i="5"/>
  <c r="G5583" i="5"/>
  <c r="G5547" i="5"/>
  <c r="G5595" i="5"/>
  <c r="G5605" i="5"/>
  <c r="G5601" i="5"/>
  <c r="G5621" i="5"/>
  <c r="G5571" i="5"/>
  <c r="G5499" i="5"/>
  <c r="G5733" i="5"/>
  <c r="G5505" i="5"/>
  <c r="G5493" i="5"/>
  <c r="G5523" i="5"/>
  <c r="G5577" i="5"/>
  <c r="G5487" i="5"/>
  <c r="G2769" i="5"/>
  <c r="G2768" i="5"/>
  <c r="G2771" i="5"/>
  <c r="B2768" i="5"/>
  <c r="G2459" i="5" l="1"/>
  <c r="G2457" i="5"/>
  <c r="G2456" i="5"/>
  <c r="B2456" i="5"/>
  <c r="G2455" i="5"/>
  <c r="G2453" i="5"/>
  <c r="G2452" i="5"/>
  <c r="B2452" i="5"/>
  <c r="G2659" i="5" l="1"/>
  <c r="G2657" i="5"/>
  <c r="G2656" i="5"/>
  <c r="B2656" i="5"/>
  <c r="G2651" i="5"/>
  <c r="G2649" i="5"/>
  <c r="G2648" i="5"/>
  <c r="B2648" i="5"/>
  <c r="G2559" i="5" l="1"/>
  <c r="G2557" i="5"/>
  <c r="G2556" i="5"/>
  <c r="B2556" i="5"/>
  <c r="G2555" i="5"/>
  <c r="G2553" i="5"/>
  <c r="B2552" i="5"/>
  <c r="G2551" i="5"/>
  <c r="G2549" i="5"/>
  <c r="B2548" i="5"/>
  <c r="G2547" i="5"/>
  <c r="G2545" i="5"/>
  <c r="G2544" i="5"/>
  <c r="B2544" i="5"/>
  <c r="G2543" i="5"/>
  <c r="G2541" i="5"/>
  <c r="B2540" i="5"/>
  <c r="G2539" i="5"/>
  <c r="G2537" i="5"/>
  <c r="G2536" i="5"/>
  <c r="B2536" i="5"/>
  <c r="G2535" i="5"/>
  <c r="G2533" i="5"/>
  <c r="G2532" i="5"/>
  <c r="B2532" i="5"/>
  <c r="G2531" i="5"/>
  <c r="G2529" i="5"/>
  <c r="B2528" i="5"/>
  <c r="G2527" i="5"/>
  <c r="G2525" i="5"/>
  <c r="G2524" i="5"/>
  <c r="B2524" i="5"/>
  <c r="G2523" i="5"/>
  <c r="G2521" i="5"/>
  <c r="G2520" i="5"/>
  <c r="B2520" i="5"/>
  <c r="G2519" i="5"/>
  <c r="G2517" i="5"/>
  <c r="G2516" i="5"/>
  <c r="B2516" i="5"/>
  <c r="G2515" i="5"/>
  <c r="G2513" i="5"/>
  <c r="G2512" i="5"/>
  <c r="B2512" i="5"/>
  <c r="G2511" i="5"/>
  <c r="G2509" i="5"/>
  <c r="G2508" i="5"/>
  <c r="B2508" i="5"/>
  <c r="G2507" i="5"/>
  <c r="G2505" i="5"/>
  <c r="G2504" i="5"/>
  <c r="B2504" i="5"/>
  <c r="G2503" i="5"/>
  <c r="G2501" i="5"/>
  <c r="G2500" i="5"/>
  <c r="B2500" i="5"/>
  <c r="G2499" i="5"/>
  <c r="G2497" i="5"/>
  <c r="B2496" i="5"/>
  <c r="G2495" i="5"/>
  <c r="G2493" i="5"/>
  <c r="G2492" i="5"/>
  <c r="B2492" i="5"/>
  <c r="G2491" i="5"/>
  <c r="G2489" i="5"/>
  <c r="B2488" i="5"/>
  <c r="G2487" i="5"/>
  <c r="G2485" i="5"/>
  <c r="G2484" i="5"/>
  <c r="B2484" i="5"/>
  <c r="G2483" i="5"/>
  <c r="G2481" i="5"/>
  <c r="G2480" i="5"/>
  <c r="B2480" i="5"/>
  <c r="G2479" i="5"/>
  <c r="G2477" i="5"/>
  <c r="B2476" i="5"/>
  <c r="G2475" i="5"/>
  <c r="G2473" i="5"/>
  <c r="G2472" i="5"/>
  <c r="B2472" i="5"/>
  <c r="G2471" i="5"/>
  <c r="G2469" i="5"/>
  <c r="G2468" i="5"/>
  <c r="B2468" i="5"/>
  <c r="G2467" i="5"/>
  <c r="G2465" i="5"/>
  <c r="G2464" i="5"/>
  <c r="B2464" i="5"/>
  <c r="E2462" i="5"/>
  <c r="G2463" i="5"/>
  <c r="G2461" i="5"/>
  <c r="G2460" i="5"/>
  <c r="B2460" i="5"/>
  <c r="G2451" i="5"/>
  <c r="G2449" i="5"/>
  <c r="G2448" i="5"/>
  <c r="B2448" i="5"/>
  <c r="G2447" i="5"/>
  <c r="G2445" i="5"/>
  <c r="G2444" i="5"/>
  <c r="B2444" i="5"/>
  <c r="G2439" i="5"/>
  <c r="G2437" i="5"/>
  <c r="G2436" i="5"/>
  <c r="B2436" i="5"/>
  <c r="G2435" i="5"/>
  <c r="G2433" i="5"/>
  <c r="G2432" i="5"/>
  <c r="B2432" i="5"/>
  <c r="G2431" i="5"/>
  <c r="G2429" i="5"/>
  <c r="B2428" i="5"/>
  <c r="G2427" i="5"/>
  <c r="G2425" i="5"/>
  <c r="G2424" i="5"/>
  <c r="B2424" i="5"/>
  <c r="G2423" i="5"/>
  <c r="G2421" i="5"/>
  <c r="G2420" i="5"/>
  <c r="B2420" i="5"/>
  <c r="G2419" i="5"/>
  <c r="G2417" i="5"/>
  <c r="B2416" i="5"/>
  <c r="G2411" i="5"/>
  <c r="G2409" i="5"/>
  <c r="G2408" i="5"/>
  <c r="B2408" i="5"/>
  <c r="G2407" i="5"/>
  <c r="G2405" i="5"/>
  <c r="G2404" i="5"/>
  <c r="B2404" i="5"/>
  <c r="G2552" i="5" l="1"/>
  <c r="G2548" i="5"/>
  <c r="G2540" i="5"/>
  <c r="G2528" i="5"/>
  <c r="G2488" i="5"/>
  <c r="G2496" i="5"/>
  <c r="G2476" i="5"/>
  <c r="G2428" i="5"/>
  <c r="G2416" i="5"/>
  <c r="B5288" i="5" l="1"/>
  <c r="G5293" i="5"/>
  <c r="G5289" i="5"/>
  <c r="G5287" i="5"/>
  <c r="G5283" i="5"/>
  <c r="B5282" i="5"/>
  <c r="G5288" i="5" l="1"/>
  <c r="G5282" i="5"/>
  <c r="G5268" i="5" l="1"/>
  <c r="G5262" i="5"/>
  <c r="G5261" i="5"/>
  <c r="B5261" i="5"/>
  <c r="E4203" i="5" l="1"/>
  <c r="E721" i="5" l="1"/>
  <c r="E720" i="5"/>
  <c r="E719" i="5"/>
  <c r="E718" i="5"/>
  <c r="E717" i="5"/>
  <c r="E716" i="5"/>
  <c r="E467" i="5" l="1"/>
  <c r="E457" i="5"/>
  <c r="G5281" i="5"/>
  <c r="G5276" i="5"/>
  <c r="B5275" i="5"/>
  <c r="G5274" i="5"/>
  <c r="G5270" i="5"/>
  <c r="B5269" i="5"/>
  <c r="G5260" i="5"/>
  <c r="G5250" i="5"/>
  <c r="B5249" i="5"/>
  <c r="G5269" i="5" l="1"/>
  <c r="G5275" i="5"/>
  <c r="G5249" i="5"/>
  <c r="G5248" i="5"/>
  <c r="G5243" i="5"/>
  <c r="B5242" i="5"/>
  <c r="G5241" i="5"/>
  <c r="G5237" i="5"/>
  <c r="B5236" i="5"/>
  <c r="G5235" i="5"/>
  <c r="G5231" i="5"/>
  <c r="B5230" i="5"/>
  <c r="G5229" i="5"/>
  <c r="G5224" i="5"/>
  <c r="B5223" i="5"/>
  <c r="G5222" i="5"/>
  <c r="G5217" i="5"/>
  <c r="B5216" i="5"/>
  <c r="G5215" i="5"/>
  <c r="G5202" i="5"/>
  <c r="B5201" i="5"/>
  <c r="G5200" i="5"/>
  <c r="G5187" i="5"/>
  <c r="B5186" i="5"/>
  <c r="G5242" i="5" l="1"/>
  <c r="G5201" i="5"/>
  <c r="G5216" i="5"/>
  <c r="G5223" i="5"/>
  <c r="G5230" i="5"/>
  <c r="G5236" i="5"/>
  <c r="G5186" i="5"/>
  <c r="E5184" i="5"/>
  <c r="E5183" i="5"/>
  <c r="E5182" i="5"/>
  <c r="E5180" i="5"/>
  <c r="G5185" i="5"/>
  <c r="G5179" i="5"/>
  <c r="B5178" i="5"/>
  <c r="G5178" i="5" l="1"/>
  <c r="E5176" i="5"/>
  <c r="E5175" i="5"/>
  <c r="E5174" i="5"/>
  <c r="E5172" i="5"/>
  <c r="G5177" i="5" l="1"/>
  <c r="G5171" i="5"/>
  <c r="B5170" i="5"/>
  <c r="G5169" i="5"/>
  <c r="G5163" i="5"/>
  <c r="B5162" i="5"/>
  <c r="G5170" i="5" l="1"/>
  <c r="G5162" i="5"/>
  <c r="E5160" i="5"/>
  <c r="E5159" i="5"/>
  <c r="G5161" i="5"/>
  <c r="G5157" i="5"/>
  <c r="B5156" i="5"/>
  <c r="E5154" i="5"/>
  <c r="E5153" i="5"/>
  <c r="E5152" i="5"/>
  <c r="E5150" i="5"/>
  <c r="G5155" i="5"/>
  <c r="G5149" i="5"/>
  <c r="B5148" i="5"/>
  <c r="E5140" i="5"/>
  <c r="E5139" i="5"/>
  <c r="E5138" i="5"/>
  <c r="E5136" i="5"/>
  <c r="E5132" i="5"/>
  <c r="E5131" i="5"/>
  <c r="E5130" i="5"/>
  <c r="E5128" i="5"/>
  <c r="E5124" i="5"/>
  <c r="E5123" i="5"/>
  <c r="E5122" i="5"/>
  <c r="E5120" i="5"/>
  <c r="E5116" i="5"/>
  <c r="E5115" i="5"/>
  <c r="E5114" i="5"/>
  <c r="E5112" i="5"/>
  <c r="G5147" i="5"/>
  <c r="G5143" i="5"/>
  <c r="B5142" i="5"/>
  <c r="G5141" i="5"/>
  <c r="G5135" i="5"/>
  <c r="B5134" i="5"/>
  <c r="G5133" i="5"/>
  <c r="G5127" i="5"/>
  <c r="B5126" i="5"/>
  <c r="G5125" i="5"/>
  <c r="G5119" i="5"/>
  <c r="B5118" i="5"/>
  <c r="G5117" i="5"/>
  <c r="G5111" i="5"/>
  <c r="B5110" i="5"/>
  <c r="G5109" i="5"/>
  <c r="G5105" i="5"/>
  <c r="B5104" i="5"/>
  <c r="G5104" i="5" l="1"/>
  <c r="G5110" i="5"/>
  <c r="G5126" i="5"/>
  <c r="G5134" i="5"/>
  <c r="G5142" i="5"/>
  <c r="G5148" i="5"/>
  <c r="G5118" i="5"/>
  <c r="G5156" i="5"/>
  <c r="E5096" i="5"/>
  <c r="E5098" i="5"/>
  <c r="E5097" i="5"/>
  <c r="E5095" i="5"/>
  <c r="G5103" i="5"/>
  <c r="G5094" i="5"/>
  <c r="B5093" i="5"/>
  <c r="E5089" i="5"/>
  <c r="E5088" i="5"/>
  <c r="E5091" i="5"/>
  <c r="E5090" i="5"/>
  <c r="G5092" i="5"/>
  <c r="G5087" i="5"/>
  <c r="B5086" i="5"/>
  <c r="B6431" i="5" l="1"/>
  <c r="G5086" i="5"/>
  <c r="G5093" i="5"/>
  <c r="E5037" i="5"/>
  <c r="E2249" i="5" l="1"/>
  <c r="E2247" i="5"/>
  <c r="E2246" i="5"/>
  <c r="E2250" i="5"/>
  <c r="E2305" i="5"/>
  <c r="E2304" i="5"/>
  <c r="E2295" i="5"/>
  <c r="E2294" i="5"/>
  <c r="E2285" i="5"/>
  <c r="E2284" i="5"/>
  <c r="E2275" i="5"/>
  <c r="E2274" i="5"/>
  <c r="E2265" i="5"/>
  <c r="E2264" i="5"/>
  <c r="E2306" i="5"/>
  <c r="E2296" i="5"/>
  <c r="E2286" i="5"/>
  <c r="E2276" i="5"/>
  <c r="E2266" i="5"/>
  <c r="E4981" i="5"/>
  <c r="E4980" i="5"/>
  <c r="E4975" i="5"/>
  <c r="E4974" i="5"/>
  <c r="E4969" i="5"/>
  <c r="E4968" i="5"/>
  <c r="E4963" i="5"/>
  <c r="E4962" i="5"/>
  <c r="G5085" i="5" l="1"/>
  <c r="G5080" i="5"/>
  <c r="B5079" i="5"/>
  <c r="G5078" i="5"/>
  <c r="G5074" i="5"/>
  <c r="B5073" i="5"/>
  <c r="G5072" i="5"/>
  <c r="G5068" i="5"/>
  <c r="B5067" i="5"/>
  <c r="G5066" i="5"/>
  <c r="G5062" i="5"/>
  <c r="B5061" i="5"/>
  <c r="G5060" i="5"/>
  <c r="G5056" i="5"/>
  <c r="B5055" i="5"/>
  <c r="G5067" i="5" l="1"/>
  <c r="G5079" i="5"/>
  <c r="G5055" i="5"/>
  <c r="G5073" i="5"/>
  <c r="G5061" i="5"/>
  <c r="E5053" i="5"/>
  <c r="G5054" i="5"/>
  <c r="G5048" i="5"/>
  <c r="G5047" i="5"/>
  <c r="B5047" i="5"/>
  <c r="G5046" i="5"/>
  <c r="G5041" i="5"/>
  <c r="B5040" i="5"/>
  <c r="G5039" i="5"/>
  <c r="G5034" i="5"/>
  <c r="G5033" i="5"/>
  <c r="B5033" i="5"/>
  <c r="E4988" i="5"/>
  <c r="E4987" i="5"/>
  <c r="E4986" i="5"/>
  <c r="E4985" i="5"/>
  <c r="G5032" i="5"/>
  <c r="G5026" i="5"/>
  <c r="B5025" i="5"/>
  <c r="G5024" i="5"/>
  <c r="G5020" i="5"/>
  <c r="B5019" i="5"/>
  <c r="G5018" i="5"/>
  <c r="G5014" i="5"/>
  <c r="B5013" i="5"/>
  <c r="G5012" i="5"/>
  <c r="G5010" i="5"/>
  <c r="G5009" i="5"/>
  <c r="B5009" i="5"/>
  <c r="G5002" i="5"/>
  <c r="G4996" i="5"/>
  <c r="B4995" i="5"/>
  <c r="G5008" i="5"/>
  <c r="G5004" i="5"/>
  <c r="B5003" i="5"/>
  <c r="G4994" i="5"/>
  <c r="G4991" i="5"/>
  <c r="G4990" i="5"/>
  <c r="B4990" i="5"/>
  <c r="G4989" i="5"/>
  <c r="G4984" i="5"/>
  <c r="G4983" i="5"/>
  <c r="B4983" i="5"/>
  <c r="G4982" i="5"/>
  <c r="G4978" i="5"/>
  <c r="B4977" i="5"/>
  <c r="G4976" i="5"/>
  <c r="G4972" i="5"/>
  <c r="B4971" i="5"/>
  <c r="G4970" i="5"/>
  <c r="G4966" i="5"/>
  <c r="B4965" i="5"/>
  <c r="G4964" i="5"/>
  <c r="G4960" i="5"/>
  <c r="B4959" i="5"/>
  <c r="G4958" i="5"/>
  <c r="G4955" i="5"/>
  <c r="G4954" i="5"/>
  <c r="B4954" i="5"/>
  <c r="G4953" i="5"/>
  <c r="G4948" i="5"/>
  <c r="B4947" i="5"/>
  <c r="G4946" i="5"/>
  <c r="G4941" i="5"/>
  <c r="B4940" i="5"/>
  <c r="B4933" i="5"/>
  <c r="G4934" i="5"/>
  <c r="G4939" i="5"/>
  <c r="G4932" i="5"/>
  <c r="G4927" i="5"/>
  <c r="B4926" i="5"/>
  <c r="G4925" i="5"/>
  <c r="G4922" i="5"/>
  <c r="G4921" i="5"/>
  <c r="B4921" i="5"/>
  <c r="G4920" i="5"/>
  <c r="G4915" i="5"/>
  <c r="B4914" i="5"/>
  <c r="G4913" i="5"/>
  <c r="G4908" i="5"/>
  <c r="B4907" i="5"/>
  <c r="G4906" i="5"/>
  <c r="G4901" i="5"/>
  <c r="B4900" i="5"/>
  <c r="G4965" i="5" l="1"/>
  <c r="G4971" i="5"/>
  <c r="G4933" i="5"/>
  <c r="G5013" i="5"/>
  <c r="G4926" i="5"/>
  <c r="G5040" i="5"/>
  <c r="G4959" i="5"/>
  <c r="G5025" i="5"/>
  <c r="G4914" i="5"/>
  <c r="G4977" i="5"/>
  <c r="G4940" i="5"/>
  <c r="G4995" i="5"/>
  <c r="G5019" i="5"/>
  <c r="G5003" i="5"/>
  <c r="G4907" i="5"/>
  <c r="G4900" i="5"/>
  <c r="G4947" i="5"/>
  <c r="G4899" i="5" l="1"/>
  <c r="G4894" i="5"/>
  <c r="B4893" i="5"/>
  <c r="G4892" i="5"/>
  <c r="G4887" i="5"/>
  <c r="B4886" i="5"/>
  <c r="G4885" i="5"/>
  <c r="G4878" i="5"/>
  <c r="B4877" i="5"/>
  <c r="G4877" i="5" l="1"/>
  <c r="G4886" i="5"/>
  <c r="G4893" i="5"/>
  <c r="G4876" i="5"/>
  <c r="G4868" i="5"/>
  <c r="B4867" i="5"/>
  <c r="G4867" i="5" l="1"/>
  <c r="G4866" i="5"/>
  <c r="G4860" i="5"/>
  <c r="G4859" i="5"/>
  <c r="B4859" i="5"/>
  <c r="G4858" i="5"/>
  <c r="G4852" i="5"/>
  <c r="G4851" i="5"/>
  <c r="B4851" i="5"/>
  <c r="G4850" i="5"/>
  <c r="G4844" i="5"/>
  <c r="G4843" i="5"/>
  <c r="B4843" i="5"/>
  <c r="G4842" i="5"/>
  <c r="G4836" i="5"/>
  <c r="G4835" i="5"/>
  <c r="B4835" i="5"/>
  <c r="G4834" i="5"/>
  <c r="G4828" i="5"/>
  <c r="G4827" i="5"/>
  <c r="B4827" i="5"/>
  <c r="G4826" i="5"/>
  <c r="G4820" i="5"/>
  <c r="G4819" i="5"/>
  <c r="B4819" i="5"/>
  <c r="G4818" i="5"/>
  <c r="G4812" i="5"/>
  <c r="G4811" i="5"/>
  <c r="B4811" i="5"/>
  <c r="G4809" i="5"/>
  <c r="G4804" i="5"/>
  <c r="G4803" i="5"/>
  <c r="B4803" i="5"/>
  <c r="G4802" i="5"/>
  <c r="G4799" i="5"/>
  <c r="G4798" i="5"/>
  <c r="B4798" i="5"/>
  <c r="G4797" i="5"/>
  <c r="G4794" i="5"/>
  <c r="G4793" i="5"/>
  <c r="B4793" i="5"/>
  <c r="E712" i="5"/>
  <c r="E711" i="5"/>
  <c r="E710" i="5"/>
  <c r="E709" i="5"/>
  <c r="E708" i="5"/>
  <c r="E707" i="5"/>
  <c r="E706" i="5"/>
  <c r="E684" i="5"/>
  <c r="E683" i="5"/>
  <c r="E682" i="5"/>
  <c r="E681" i="5"/>
  <c r="E680" i="5"/>
  <c r="E679" i="5"/>
  <c r="E678" i="5"/>
  <c r="E3855" i="5"/>
  <c r="E3851" i="5"/>
  <c r="E3852" i="5"/>
  <c r="E3853" i="5"/>
  <c r="E3854" i="5"/>
  <c r="E3857" i="5"/>
  <c r="E3856" i="5"/>
  <c r="G4792" i="5"/>
  <c r="G4789" i="5"/>
  <c r="G4788" i="5"/>
  <c r="B4788" i="5"/>
  <c r="E4783" i="5"/>
  <c r="E4782" i="5"/>
  <c r="E4780" i="5"/>
  <c r="G4779" i="5"/>
  <c r="E4773" i="5"/>
  <c r="E4772" i="5"/>
  <c r="E4770" i="5"/>
  <c r="G4787" i="5"/>
  <c r="B4778" i="5"/>
  <c r="G4777" i="5"/>
  <c r="G4769" i="5"/>
  <c r="B4768" i="5"/>
  <c r="G4768" i="5" l="1"/>
  <c r="G4778" i="5"/>
  <c r="E4501" i="5" l="1"/>
  <c r="E4492" i="5"/>
  <c r="E4165" i="5"/>
  <c r="E4115" i="5" l="1"/>
  <c r="E527" i="5" l="1"/>
  <c r="E4761" i="5" l="1"/>
  <c r="G2806" i="5" l="1"/>
  <c r="G2803" i="5"/>
  <c r="B2802" i="5"/>
  <c r="G2801" i="5"/>
  <c r="G2798" i="5"/>
  <c r="B2797" i="5"/>
  <c r="G2802" i="5" l="1"/>
  <c r="G2797" i="5"/>
  <c r="B4763" i="5" l="1"/>
  <c r="B4752" i="5"/>
  <c r="B4724" i="5"/>
  <c r="B4718" i="5"/>
  <c r="B4706" i="5"/>
  <c r="B4697" i="5"/>
  <c r="B4689" i="5"/>
  <c r="B4683" i="5"/>
  <c r="B4673" i="5"/>
  <c r="B4665" i="5"/>
  <c r="B4657" i="5"/>
  <c r="B4651" i="5"/>
  <c r="B4643" i="5"/>
  <c r="B4631" i="5"/>
  <c r="B4625" i="5"/>
  <c r="B4617" i="5"/>
  <c r="B4608" i="5"/>
  <c r="B4600" i="5"/>
  <c r="B4581" i="5"/>
  <c r="B4569" i="5"/>
  <c r="B4557" i="5"/>
  <c r="B4551" i="5"/>
  <c r="B4546" i="5"/>
  <c r="B4538" i="5"/>
  <c r="B4530" i="5"/>
  <c r="B4525" i="5"/>
  <c r="B4520" i="5"/>
  <c r="B4514" i="5"/>
  <c r="B4506" i="5"/>
  <c r="B4498" i="5"/>
  <c r="B4478" i="5"/>
  <c r="B4472" i="5"/>
  <c r="B4460" i="5"/>
  <c r="B4448" i="5"/>
  <c r="B4440" i="5"/>
  <c r="B4430" i="5"/>
  <c r="B4420" i="5"/>
  <c r="B4410" i="5"/>
  <c r="B4402" i="5"/>
  <c r="B4394" i="5"/>
  <c r="B4384" i="5"/>
  <c r="B4375" i="5"/>
  <c r="B4366" i="5"/>
  <c r="B4357" i="5"/>
  <c r="B4348" i="5"/>
  <c r="B4337" i="5"/>
  <c r="B4330" i="5"/>
  <c r="B4303" i="5"/>
  <c r="B4287" i="5"/>
  <c r="B4278" i="5"/>
  <c r="B4270" i="5"/>
  <c r="B4265" i="5"/>
  <c r="B4258" i="5"/>
  <c r="B4249" i="5"/>
  <c r="B4241" i="5"/>
  <c r="B4233" i="5"/>
  <c r="B4227" i="5"/>
  <c r="B4217" i="5"/>
  <c r="B4211" i="5"/>
  <c r="B4205" i="5"/>
  <c r="B4199" i="5"/>
  <c r="B4192" i="5"/>
  <c r="B4185" i="5"/>
  <c r="B4181" i="5"/>
  <c r="B4170" i="5"/>
  <c r="B4159" i="5"/>
  <c r="B4152" i="5"/>
  <c r="B4148" i="5"/>
  <c r="B4140" i="5"/>
  <c r="B4132" i="5"/>
  <c r="B4124" i="5"/>
  <c r="B4117" i="5"/>
  <c r="B4113" i="5"/>
  <c r="B4107" i="5"/>
  <c r="B4100" i="5"/>
  <c r="B4094" i="5"/>
  <c r="B4088" i="5"/>
  <c r="B4079" i="5"/>
  <c r="B4070" i="5"/>
  <c r="B4061" i="5"/>
  <c r="B4052" i="5"/>
  <c r="B4043" i="5"/>
  <c r="B4034" i="5"/>
  <c r="B4030" i="5"/>
  <c r="B4026" i="5"/>
  <c r="B4021" i="5"/>
  <c r="B4008" i="5"/>
  <c r="B3995" i="5"/>
  <c r="B3987" i="5"/>
  <c r="B3980" i="5"/>
  <c r="B3970" i="5"/>
  <c r="B3962" i="5"/>
  <c r="B3953" i="5"/>
  <c r="B3946" i="5"/>
  <c r="B3940" i="5"/>
  <c r="B3934" i="5"/>
  <c r="B3928" i="5"/>
  <c r="B3910" i="5"/>
  <c r="B3903" i="5"/>
  <c r="B3888" i="5"/>
  <c r="B3876" i="5"/>
  <c r="B3868" i="5"/>
  <c r="B3859" i="5"/>
  <c r="B3849" i="5"/>
  <c r="B3838" i="5"/>
  <c r="B3833" i="5"/>
  <c r="B3827" i="5"/>
  <c r="B3769" i="5"/>
  <c r="B3765" i="5"/>
  <c r="B3761" i="5"/>
  <c r="B3754" i="5"/>
  <c r="B3745" i="5"/>
  <c r="B3740" i="5"/>
  <c r="B3730" i="5"/>
  <c r="B3726" i="5"/>
  <c r="B3715" i="5"/>
  <c r="B3702" i="5"/>
  <c r="B3690" i="5"/>
  <c r="B3682" i="5"/>
  <c r="B3667" i="5"/>
  <c r="B3661" i="5"/>
  <c r="B3657" i="5"/>
  <c r="B3649" i="5"/>
  <c r="B3644" i="5"/>
  <c r="B3639" i="5"/>
  <c r="B3629" i="5"/>
  <c r="B3623" i="5"/>
  <c r="B3616" i="5"/>
  <c r="B3610" i="5"/>
  <c r="B3602" i="5"/>
  <c r="B3597" i="5"/>
  <c r="B3590" i="5"/>
  <c r="B3582" i="5"/>
  <c r="B3576" i="5"/>
  <c r="B3570" i="5"/>
  <c r="B3554" i="5"/>
  <c r="B3547" i="5"/>
  <c r="B3528" i="5"/>
  <c r="B3511" i="5"/>
  <c r="B3503" i="5"/>
  <c r="B3486" i="5"/>
  <c r="B3478" i="5"/>
  <c r="B3456" i="5"/>
  <c r="B3446" i="5"/>
  <c r="B3442" i="5"/>
  <c r="B3438" i="5"/>
  <c r="B3433" i="5"/>
  <c r="B3428" i="5"/>
  <c r="B3423" i="5"/>
  <c r="B3416" i="5"/>
  <c r="B3409" i="5"/>
  <c r="B3402" i="5"/>
  <c r="B3398" i="5"/>
  <c r="B3394" i="5"/>
  <c r="B3389" i="5"/>
  <c r="B3385" i="5"/>
  <c r="B3381" i="5"/>
  <c r="B3374" i="5"/>
  <c r="B3367" i="5"/>
  <c r="B3360" i="5"/>
  <c r="B3355" i="5"/>
  <c r="B3346" i="5"/>
  <c r="B3340" i="5"/>
  <c r="B3334" i="5"/>
  <c r="B3327" i="5"/>
  <c r="B3320" i="5"/>
  <c r="B3313" i="5"/>
  <c r="B3306" i="5"/>
  <c r="B3299" i="5"/>
  <c r="B3292" i="5"/>
  <c r="B3285" i="5"/>
  <c r="B3278" i="5"/>
  <c r="B3271" i="5"/>
  <c r="B3264" i="5"/>
  <c r="B3259" i="5"/>
  <c r="B3249" i="5"/>
  <c r="B3243" i="5"/>
  <c r="B3237" i="5"/>
  <c r="B3231" i="5"/>
  <c r="B3218" i="5"/>
  <c r="B3211" i="5"/>
  <c r="B3207" i="5"/>
  <c r="B3202" i="5"/>
  <c r="B3194" i="5"/>
  <c r="B3186" i="5"/>
  <c r="B3177" i="5"/>
  <c r="B3172" i="5"/>
  <c r="B3166" i="5"/>
  <c r="B3161" i="5"/>
  <c r="B3155" i="5"/>
  <c r="B3149" i="5"/>
  <c r="B3143" i="5"/>
  <c r="B3137" i="5"/>
  <c r="B3132" i="5"/>
  <c r="B3127" i="5"/>
  <c r="B3122" i="5"/>
  <c r="B3117" i="5"/>
  <c r="B3112" i="5"/>
  <c r="B3107" i="5"/>
  <c r="B3102" i="5"/>
  <c r="B3097" i="5"/>
  <c r="B3092" i="5"/>
  <c r="B3084" i="5"/>
  <c r="B3079" i="5"/>
  <c r="B3071" i="5"/>
  <c r="B3067" i="5"/>
  <c r="B3059" i="5"/>
  <c r="B3054" i="5"/>
  <c r="B3046" i="5"/>
  <c r="B3041" i="5"/>
  <c r="B3036" i="5"/>
  <c r="B3031" i="5"/>
  <c r="B3026" i="5"/>
  <c r="B3021" i="5"/>
  <c r="B3016" i="5"/>
  <c r="B3011" i="5"/>
  <c r="B3006" i="5"/>
  <c r="B3001" i="5"/>
  <c r="B2991" i="5"/>
  <c r="B2986" i="5"/>
  <c r="B2981" i="5"/>
  <c r="B2976" i="5"/>
  <c r="B2971" i="5"/>
  <c r="B2966" i="5"/>
  <c r="B2961" i="5"/>
  <c r="B2956" i="5"/>
  <c r="B2951" i="5"/>
  <c r="B2946" i="5"/>
  <c r="B2941" i="5"/>
  <c r="B2933" i="5"/>
  <c r="B2925" i="5"/>
  <c r="B2917" i="5"/>
  <c r="B2909" i="5"/>
  <c r="B2901" i="5"/>
  <c r="B2896" i="5"/>
  <c r="B2891" i="5"/>
  <c r="B2886" i="5"/>
  <c r="B2879" i="5"/>
  <c r="B2874" i="5"/>
  <c r="B2869" i="5"/>
  <c r="B2864" i="5"/>
  <c r="B2859" i="5"/>
  <c r="B2854" i="5"/>
  <c r="B2849" i="5"/>
  <c r="B2844" i="5"/>
  <c r="B2839" i="5"/>
  <c r="B2832" i="5"/>
  <c r="B2827" i="5"/>
  <c r="B2822" i="5"/>
  <c r="B2817" i="5"/>
  <c r="B2807" i="5"/>
  <c r="B2791" i="5"/>
  <c r="B2781" i="5"/>
  <c r="B2776" i="5"/>
  <c r="B2714" i="5"/>
  <c r="B2708" i="5"/>
  <c r="B2702" i="5"/>
  <c r="B2696" i="5"/>
  <c r="B2690" i="5"/>
  <c r="B2684" i="5"/>
  <c r="B2678" i="5"/>
  <c r="B2672" i="5"/>
  <c r="B2666" i="5"/>
  <c r="B2660" i="5"/>
  <c r="B2652" i="5"/>
  <c r="B2644" i="5"/>
  <c r="B2640" i="5"/>
  <c r="B2636" i="5"/>
  <c r="B2632" i="5"/>
  <c r="B2628" i="5"/>
  <c r="B2624" i="5"/>
  <c r="B2620" i="5"/>
  <c r="B2616" i="5"/>
  <c r="B2612" i="5"/>
  <c r="B2608" i="5"/>
  <c r="B2604" i="5"/>
  <c r="B2596" i="5"/>
  <c r="B2588" i="5"/>
  <c r="B2580" i="5"/>
  <c r="B2576" i="5"/>
  <c r="B2572" i="5"/>
  <c r="B2568" i="5"/>
  <c r="B2564" i="5"/>
  <c r="B2560" i="5"/>
  <c r="B2440" i="5"/>
  <c r="B2412" i="5"/>
  <c r="B2398" i="5"/>
  <c r="B2391" i="5"/>
  <c r="B2385" i="5"/>
  <c r="B2378" i="5"/>
  <c r="B2370" i="5"/>
  <c r="B2364" i="5"/>
  <c r="B2359" i="5"/>
  <c r="B2354" i="5"/>
  <c r="B2349" i="5"/>
  <c r="B2343" i="5"/>
  <c r="B2337" i="5"/>
  <c r="B2331" i="5"/>
  <c r="B2325" i="5"/>
  <c r="B2318" i="5"/>
  <c r="B2311" i="5"/>
  <c r="B2301" i="5"/>
  <c r="B2291" i="5"/>
  <c r="B2281" i="5"/>
  <c r="B2271" i="5"/>
  <c r="B2261" i="5"/>
  <c r="B2255" i="5"/>
  <c r="B2241" i="5"/>
  <c r="B2235" i="5"/>
  <c r="B2229" i="5"/>
  <c r="B2222" i="5"/>
  <c r="B2215" i="5"/>
  <c r="B2210" i="5"/>
  <c r="B2202" i="5"/>
  <c r="B2194" i="5"/>
  <c r="B2186" i="5"/>
  <c r="B2178" i="5"/>
  <c r="B2170" i="5"/>
  <c r="B2162" i="5"/>
  <c r="B2154" i="5"/>
  <c r="B2146" i="5"/>
  <c r="B2140" i="5"/>
  <c r="B2134" i="5"/>
  <c r="B2128" i="5"/>
  <c r="B2122" i="5"/>
  <c r="B2116" i="5"/>
  <c r="B2108" i="5"/>
  <c r="B2100" i="5"/>
  <c r="B2092" i="5"/>
  <c r="B2084" i="5"/>
  <c r="B2076" i="5"/>
  <c r="B2068" i="5"/>
  <c r="B2060" i="5"/>
  <c r="B2052" i="5"/>
  <c r="B2044" i="5"/>
  <c r="B2036" i="5"/>
  <c r="B2028" i="5"/>
  <c r="B2022" i="5"/>
  <c r="B2015" i="5"/>
  <c r="B2008" i="5"/>
  <c r="B2001" i="5"/>
  <c r="B1994" i="5"/>
  <c r="B1986" i="5"/>
  <c r="B1978" i="5"/>
  <c r="B1971" i="5"/>
  <c r="B1964" i="5"/>
  <c r="B1958" i="5"/>
  <c r="B1952" i="5"/>
  <c r="B1945" i="5"/>
  <c r="B1940" i="5"/>
  <c r="B1935" i="5"/>
  <c r="B1929" i="5"/>
  <c r="B1924" i="5"/>
  <c r="B1919" i="5"/>
  <c r="B1914" i="5"/>
  <c r="B1908" i="5"/>
  <c r="B1902" i="5"/>
  <c r="B1896" i="5"/>
  <c r="B1890" i="5"/>
  <c r="B1884" i="5"/>
  <c r="B1878" i="5"/>
  <c r="B1872" i="5"/>
  <c r="B1866" i="5"/>
  <c r="B1860" i="5"/>
  <c r="B1854" i="5"/>
  <c r="B1848" i="5"/>
  <c r="B1842" i="5"/>
  <c r="B1835" i="5"/>
  <c r="B1829" i="5"/>
  <c r="B1823" i="5"/>
  <c r="B1818" i="5"/>
  <c r="B1813" i="5"/>
  <c r="B1806" i="5"/>
  <c r="B1799" i="5"/>
  <c r="B1792" i="5"/>
  <c r="B1785" i="5"/>
  <c r="B1778" i="5"/>
  <c r="B1771" i="5"/>
  <c r="B1764" i="5"/>
  <c r="B1757" i="5"/>
  <c r="B1746" i="5"/>
  <c r="B1735" i="5"/>
  <c r="B1724" i="5"/>
  <c r="B1713" i="5"/>
  <c r="B1705" i="5"/>
  <c r="B1699" i="5"/>
  <c r="B1692" i="5"/>
  <c r="B1685" i="5"/>
  <c r="B1679" i="5"/>
  <c r="B1674" i="5"/>
  <c r="B1669" i="5"/>
  <c r="B1664" i="5"/>
  <c r="B1658" i="5"/>
  <c r="B1652" i="5"/>
  <c r="B1646" i="5"/>
  <c r="B1640" i="5"/>
  <c r="B1635" i="5"/>
  <c r="B1629" i="5"/>
  <c r="B1623" i="5"/>
  <c r="B1618" i="5"/>
  <c r="B1611" i="5"/>
  <c r="B1605" i="5"/>
  <c r="B1599" i="5"/>
  <c r="B1593" i="5"/>
  <c r="B1578" i="5"/>
  <c r="B1571" i="5"/>
  <c r="B1564" i="5"/>
  <c r="B1557" i="5"/>
  <c r="B1550" i="5"/>
  <c r="B1542" i="5"/>
  <c r="B1534" i="5"/>
  <c r="B1526" i="5"/>
  <c r="B1518" i="5"/>
  <c r="B1510" i="5"/>
  <c r="B1495" i="5"/>
  <c r="B1480" i="5"/>
  <c r="B1465" i="5"/>
  <c r="B1450" i="5"/>
  <c r="B1435" i="5"/>
  <c r="B1420" i="5"/>
  <c r="B1405" i="5"/>
  <c r="B1398" i="5"/>
  <c r="B1392" i="5"/>
  <c r="B1386" i="5"/>
  <c r="B1380" i="5"/>
  <c r="B1373" i="5"/>
  <c r="B1367" i="5"/>
  <c r="B1361" i="5"/>
  <c r="B1354" i="5"/>
  <c r="B1348" i="5"/>
  <c r="B1341" i="5"/>
  <c r="B1335" i="5"/>
  <c r="B1329" i="5"/>
  <c r="B1323" i="5"/>
  <c r="B1317" i="5"/>
  <c r="B1308" i="5"/>
  <c r="B1300" i="5"/>
  <c r="B1293" i="5"/>
  <c r="B1286" i="5"/>
  <c r="B1279" i="5"/>
  <c r="B1272" i="5"/>
  <c r="B1266" i="5"/>
  <c r="B1259" i="5"/>
  <c r="B1252" i="5"/>
  <c r="B1245" i="5"/>
  <c r="B1239" i="5"/>
  <c r="B1233" i="5"/>
  <c r="B1227" i="5"/>
  <c r="B1221" i="5"/>
  <c r="B1214" i="5"/>
  <c r="B1207" i="5"/>
  <c r="B1200" i="5"/>
  <c r="B1193" i="5"/>
  <c r="B1186" i="5"/>
  <c r="B1179" i="5"/>
  <c r="B1172" i="5"/>
  <c r="B1165" i="5"/>
  <c r="B1158" i="5"/>
  <c r="B1151" i="5"/>
  <c r="B1144" i="5"/>
  <c r="B1137" i="5"/>
  <c r="B1132" i="5"/>
  <c r="B1126" i="5"/>
  <c r="B1121" i="5"/>
  <c r="B1116" i="5"/>
  <c r="B1108" i="5"/>
  <c r="B1098" i="5"/>
  <c r="B1090" i="5"/>
  <c r="B1082" i="5"/>
  <c r="B1073" i="5"/>
  <c r="B1066" i="5"/>
  <c r="B1059" i="5"/>
  <c r="B1052" i="5"/>
  <c r="B1045" i="5"/>
  <c r="B1036" i="5"/>
  <c r="B1026" i="5"/>
  <c r="B1021" i="5"/>
  <c r="B1012" i="5"/>
  <c r="B1007" i="5"/>
  <c r="B1002" i="5"/>
  <c r="B991" i="5"/>
  <c r="B980" i="5"/>
  <c r="B973" i="5"/>
  <c r="B966" i="5"/>
  <c r="B959" i="5"/>
  <c r="B953" i="5"/>
  <c r="B947" i="5"/>
  <c r="B938" i="5"/>
  <c r="B929" i="5"/>
  <c r="B922" i="5"/>
  <c r="B913" i="5"/>
  <c r="B907" i="5"/>
  <c r="B903" i="5"/>
  <c r="B896" i="5"/>
  <c r="B891" i="5"/>
  <c r="B883" i="5"/>
  <c r="B875" i="5"/>
  <c r="B867" i="5"/>
  <c r="B862" i="5"/>
  <c r="B856" i="5"/>
  <c r="B850" i="5"/>
  <c r="B845" i="5"/>
  <c r="B839" i="5"/>
  <c r="B832" i="5"/>
  <c r="B827" i="5"/>
  <c r="B823" i="5"/>
  <c r="B818" i="5"/>
  <c r="B814" i="5"/>
  <c r="B804" i="5"/>
  <c r="B790" i="5"/>
  <c r="B783" i="5"/>
  <c r="B772" i="5"/>
  <c r="B766" i="5"/>
  <c r="B755" i="5"/>
  <c r="B748" i="5"/>
  <c r="B744" i="5"/>
  <c r="B736" i="5"/>
  <c r="B730" i="5"/>
  <c r="B723" i="5"/>
  <c r="B714" i="5"/>
  <c r="B704" i="5"/>
  <c r="B696" i="5"/>
  <c r="B686" i="5"/>
  <c r="B676" i="5"/>
  <c r="B668" i="5"/>
  <c r="B664" i="5"/>
  <c r="B660" i="5"/>
  <c r="B656" i="5"/>
  <c r="B652" i="5"/>
  <c r="B648" i="5"/>
  <c r="B644" i="5"/>
  <c r="B637" i="5"/>
  <c r="B629" i="5"/>
  <c r="B621" i="5"/>
  <c r="B615" i="5"/>
  <c r="B606" i="5"/>
  <c r="B596" i="5"/>
  <c r="B588" i="5"/>
  <c r="B579" i="5"/>
  <c r="B569" i="5"/>
  <c r="B561" i="5"/>
  <c r="B553" i="5"/>
  <c r="B545" i="5"/>
  <c r="B537" i="5"/>
  <c r="B531" i="5"/>
  <c r="B524" i="5"/>
  <c r="B517" i="5"/>
  <c r="B511" i="5"/>
  <c r="B504" i="5"/>
  <c r="B497" i="5"/>
  <c r="B489" i="5"/>
  <c r="B483" i="5"/>
  <c r="B471" i="5"/>
  <c r="B464" i="5"/>
  <c r="B454" i="5"/>
  <c r="B446" i="5"/>
  <c r="B440" i="5"/>
  <c r="B434" i="5"/>
  <c r="B422" i="5"/>
  <c r="B415" i="5"/>
  <c r="B401" i="5"/>
  <c r="B394" i="5"/>
  <c r="B380" i="5"/>
  <c r="B371" i="5"/>
  <c r="B365" i="5"/>
  <c r="B351" i="5"/>
  <c r="B341" i="5"/>
  <c r="B326" i="5"/>
  <c r="B320" i="5"/>
  <c r="B305" i="5"/>
  <c r="B290" i="5"/>
  <c r="B283" i="5"/>
  <c r="B276" i="5"/>
  <c r="B268" i="5"/>
  <c r="B263" i="5"/>
  <c r="B236" i="5"/>
  <c r="B232" i="5"/>
  <c r="B228" i="5"/>
  <c r="B224" i="5"/>
  <c r="B219" i="5"/>
  <c r="B214" i="5"/>
  <c r="B210" i="5"/>
  <c r="B205" i="5"/>
  <c r="B201" i="5"/>
  <c r="B197" i="5"/>
  <c r="B190" i="5"/>
  <c r="B183" i="5"/>
  <c r="B179" i="5"/>
  <c r="B175" i="5"/>
  <c r="B171" i="5"/>
  <c r="B166" i="5"/>
  <c r="B161" i="5"/>
  <c r="B154" i="5"/>
  <c r="B149" i="5"/>
  <c r="B144" i="5"/>
  <c r="B139" i="5"/>
  <c r="B135" i="5"/>
  <c r="B131" i="5"/>
  <c r="B126" i="5"/>
  <c r="B121" i="5"/>
  <c r="B116" i="5"/>
  <c r="B111" i="5"/>
  <c r="B106" i="5"/>
  <c r="B102" i="5"/>
  <c r="B97" i="5"/>
  <c r="B92" i="5"/>
  <c r="B87" i="5"/>
  <c r="B82" i="5"/>
  <c r="B77" i="5"/>
  <c r="B69" i="5"/>
  <c r="B64" i="5"/>
  <c r="B59" i="5"/>
  <c r="B52" i="5"/>
  <c r="B47" i="5"/>
  <c r="B42" i="5"/>
  <c r="B37" i="5"/>
  <c r="B33" i="5"/>
  <c r="B28" i="5"/>
  <c r="B23" i="5"/>
  <c r="B18" i="5"/>
  <c r="B14" i="5"/>
  <c r="B10" i="5"/>
  <c r="B6" i="5"/>
  <c r="I35" i="20" l="1"/>
  <c r="J35" i="20" s="1"/>
  <c r="I23" i="20"/>
  <c r="J23" i="20" s="1"/>
  <c r="G3473" i="5"/>
  <c r="G6447" i="5" l="1"/>
  <c r="G6441" i="5"/>
  <c r="G6184" i="5"/>
  <c r="G5473" i="5"/>
  <c r="G5378" i="5"/>
  <c r="G5374" i="5"/>
  <c r="G5336" i="5"/>
  <c r="G5302" i="5"/>
  <c r="G5320" i="5"/>
  <c r="G5437" i="5"/>
  <c r="G5362" i="5"/>
  <c r="G5446" i="5"/>
  <c r="G5343" i="5"/>
  <c r="G5431" i="5"/>
  <c r="G5347" i="5"/>
  <c r="G5314" i="5"/>
  <c r="G5456" i="5"/>
  <c r="G5464" i="5"/>
  <c r="G5308" i="5"/>
  <c r="G5368" i="5"/>
  <c r="G5296" i="5"/>
  <c r="G5108" i="5"/>
  <c r="G5165" i="5"/>
  <c r="G5232" i="5"/>
  <c r="G5238" i="5"/>
  <c r="G5151" i="5"/>
  <c r="G5226" i="5"/>
  <c r="G5181" i="5"/>
  <c r="G5069" i="5"/>
  <c r="G5173" i="5"/>
  <c r="G5158" i="5"/>
  <c r="G5113" i="5"/>
  <c r="G5121" i="5"/>
  <c r="G5129" i="5"/>
  <c r="G5137" i="5"/>
  <c r="G5144" i="5"/>
  <c r="G4888" i="5"/>
  <c r="G5042" i="5"/>
  <c r="G5038" i="5"/>
  <c r="G4910" i="5"/>
  <c r="G4924" i="5"/>
  <c r="G4896" i="5"/>
  <c r="G4943" i="5"/>
  <c r="G4950" i="5"/>
  <c r="G4903" i="5"/>
  <c r="G4917" i="5"/>
  <c r="G4869" i="5"/>
  <c r="G4879" i="5"/>
  <c r="G4801" i="5"/>
  <c r="G4796" i="5"/>
  <c r="G4767" i="5" l="1"/>
  <c r="G4764" i="5"/>
  <c r="G4763" i="5"/>
  <c r="G4762" i="5"/>
  <c r="G4753" i="5"/>
  <c r="G4752" i="5"/>
  <c r="G4731" i="5"/>
  <c r="G4730" i="5"/>
  <c r="G4729" i="5"/>
  <c r="E4728" i="5"/>
  <c r="E4727" i="5"/>
  <c r="G4725" i="5"/>
  <c r="G4724" i="5"/>
  <c r="G4723" i="5"/>
  <c r="G4722" i="5"/>
  <c r="G4721" i="5"/>
  <c r="G4719" i="5"/>
  <c r="G4718" i="5"/>
  <c r="G4717" i="5"/>
  <c r="G4716" i="5"/>
  <c r="G4715" i="5"/>
  <c r="G4714" i="5"/>
  <c r="E4712" i="5"/>
  <c r="G4707" i="5"/>
  <c r="G4706" i="5"/>
  <c r="G4705" i="5"/>
  <c r="G4698" i="5"/>
  <c r="G4697" i="5"/>
  <c r="G4696" i="5"/>
  <c r="G4695" i="5"/>
  <c r="G4694" i="5"/>
  <c r="G4693" i="5"/>
  <c r="G4690" i="5"/>
  <c r="G4689" i="5"/>
  <c r="G4688" i="5"/>
  <c r="G4684" i="5"/>
  <c r="G4683" i="5"/>
  <c r="G4682" i="5"/>
  <c r="G4674" i="5"/>
  <c r="G4673" i="5"/>
  <c r="G4672" i="5"/>
  <c r="G4666" i="5"/>
  <c r="G4665" i="5"/>
  <c r="G4664" i="5"/>
  <c r="G4658" i="5"/>
  <c r="G4657" i="5"/>
  <c r="G4656" i="5"/>
  <c r="G4652" i="5"/>
  <c r="G4651" i="5"/>
  <c r="G4650" i="5"/>
  <c r="G4649" i="5"/>
  <c r="G4648" i="5"/>
  <c r="G4647" i="5"/>
  <c r="G4644" i="5"/>
  <c r="G4642" i="5"/>
  <c r="G4641" i="5"/>
  <c r="G4640" i="5"/>
  <c r="E4639" i="5"/>
  <c r="E4638" i="5"/>
  <c r="G4632" i="5"/>
  <c r="G4631" i="5"/>
  <c r="G4630" i="5"/>
  <c r="G4626" i="5"/>
  <c r="G4625" i="5"/>
  <c r="G4624" i="5"/>
  <c r="G4623" i="5"/>
  <c r="G4622" i="5"/>
  <c r="E4621" i="5"/>
  <c r="G4618" i="5"/>
  <c r="G4617" i="5"/>
  <c r="G4616" i="5"/>
  <c r="G4609" i="5"/>
  <c r="G4608" i="5"/>
  <c r="G4607" i="5"/>
  <c r="E4606" i="5"/>
  <c r="E4605" i="5"/>
  <c r="E4604" i="5"/>
  <c r="E4603" i="5"/>
  <c r="E4602" i="5"/>
  <c r="G4601" i="5"/>
  <c r="G4600" i="5"/>
  <c r="G4599" i="5"/>
  <c r="G4598" i="5"/>
  <c r="G4597" i="5"/>
  <c r="E4596" i="5"/>
  <c r="E4595" i="5"/>
  <c r="G4582" i="5"/>
  <c r="G4581" i="5"/>
  <c r="G4580" i="5"/>
  <c r="E4575" i="5"/>
  <c r="G4570" i="5"/>
  <c r="G4569" i="5"/>
  <c r="G4568" i="5"/>
  <c r="G4558" i="5"/>
  <c r="G4556" i="5"/>
  <c r="G4552" i="5"/>
  <c r="G4551" i="5"/>
  <c r="G4550" i="5"/>
  <c r="G4547" i="5"/>
  <c r="G4546" i="5"/>
  <c r="G4545" i="5"/>
  <c r="E4544" i="5"/>
  <c r="G4539" i="5"/>
  <c r="G4538" i="5"/>
  <c r="G4537" i="5"/>
  <c r="G4531" i="5"/>
  <c r="G4530" i="5"/>
  <c r="G4529" i="5"/>
  <c r="G4526" i="5"/>
  <c r="G4525" i="5"/>
  <c r="G4524" i="5"/>
  <c r="G4521" i="5"/>
  <c r="G4520" i="5"/>
  <c r="G4519" i="5"/>
  <c r="G4515" i="5"/>
  <c r="G4514" i="5"/>
  <c r="G4513" i="5"/>
  <c r="G4507" i="5"/>
  <c r="G4506" i="5"/>
  <c r="G4505" i="5"/>
  <c r="G4499" i="5"/>
  <c r="G4498" i="5"/>
  <c r="G4497" i="5"/>
  <c r="E4486" i="5"/>
  <c r="G4479" i="5"/>
  <c r="G4478" i="5"/>
  <c r="G4477" i="5"/>
  <c r="G4473" i="5"/>
  <c r="G4472" i="5"/>
  <c r="G4471" i="5"/>
  <c r="G4461" i="5"/>
  <c r="G4460" i="5"/>
  <c r="G4459" i="5"/>
  <c r="G4449" i="5"/>
  <c r="G4448" i="5"/>
  <c r="G4447" i="5"/>
  <c r="G4441" i="5"/>
  <c r="G4440" i="5"/>
  <c r="G4439" i="5"/>
  <c r="G4431" i="5"/>
  <c r="G4430" i="5"/>
  <c r="G4429" i="5"/>
  <c r="G4421" i="5"/>
  <c r="G4419" i="5"/>
  <c r="G4411" i="5"/>
  <c r="G4410" i="5"/>
  <c r="G4409" i="5"/>
  <c r="E4408" i="5"/>
  <c r="E4406" i="5"/>
  <c r="E4405" i="5"/>
  <c r="E4404" i="5"/>
  <c r="G4403" i="5"/>
  <c r="G4402" i="5"/>
  <c r="G4401" i="5"/>
  <c r="E4400" i="5"/>
  <c r="E4398" i="5"/>
  <c r="E4397" i="5"/>
  <c r="E4396" i="5"/>
  <c r="G4395" i="5"/>
  <c r="G4394" i="5"/>
  <c r="G4393" i="5"/>
  <c r="G4385" i="5"/>
  <c r="G4384" i="5"/>
  <c r="G4383" i="5"/>
  <c r="G4376" i="5"/>
  <c r="G4375" i="5"/>
  <c r="G4374" i="5"/>
  <c r="G4367" i="5"/>
  <c r="G4366" i="5"/>
  <c r="G4365" i="5"/>
  <c r="G4358" i="5"/>
  <c r="G4357" i="5"/>
  <c r="G4356" i="5"/>
  <c r="G4349" i="5"/>
  <c r="G4348" i="5"/>
  <c r="G4347" i="5"/>
  <c r="G4338" i="5"/>
  <c r="G4337" i="5"/>
  <c r="G4336" i="5"/>
  <c r="E4334" i="5"/>
  <c r="E4333" i="5"/>
  <c r="E4332" i="5"/>
  <c r="G4331" i="5"/>
  <c r="G4330" i="5"/>
  <c r="G4329" i="5"/>
  <c r="G4328" i="5"/>
  <c r="G4327" i="5"/>
  <c r="E4326" i="5"/>
  <c r="E4325" i="5"/>
  <c r="G4304" i="5"/>
  <c r="G4303" i="5"/>
  <c r="G4302" i="5"/>
  <c r="G4301" i="5"/>
  <c r="G4300" i="5"/>
  <c r="E4299" i="5"/>
  <c r="E4298" i="5"/>
  <c r="G4288" i="5"/>
  <c r="G4287" i="5"/>
  <c r="G4286" i="5"/>
  <c r="E4282" i="5"/>
  <c r="E4281" i="5"/>
  <c r="E4280" i="5"/>
  <c r="G4279" i="5"/>
  <c r="G4278" i="5"/>
  <c r="G4277" i="5"/>
  <c r="G4271" i="5"/>
  <c r="G4270" i="5"/>
  <c r="G4269" i="5"/>
  <c r="G4266" i="5"/>
  <c r="G4265" i="5"/>
  <c r="G4264" i="5"/>
  <c r="G4259" i="5"/>
  <c r="G4258" i="5"/>
  <c r="G4257" i="5"/>
  <c r="G4250" i="5"/>
  <c r="G4249" i="5"/>
  <c r="G4248" i="5"/>
  <c r="G4242" i="5"/>
  <c r="G4241" i="5"/>
  <c r="G4240" i="5"/>
  <c r="G4239" i="5"/>
  <c r="G4238" i="5"/>
  <c r="E4235" i="5"/>
  <c r="G4234" i="5"/>
  <c r="G4233" i="5"/>
  <c r="G4232" i="5"/>
  <c r="G4228" i="5"/>
  <c r="G4227" i="5"/>
  <c r="G4226" i="5"/>
  <c r="G4218" i="5"/>
  <c r="G4217" i="5"/>
  <c r="G4216" i="5"/>
  <c r="G4212" i="5"/>
  <c r="G4211" i="5"/>
  <c r="G4210" i="5"/>
  <c r="G4206" i="5"/>
  <c r="G4205" i="5"/>
  <c r="G4204" i="5"/>
  <c r="G4200" i="5"/>
  <c r="G4199" i="5"/>
  <c r="G4198" i="5"/>
  <c r="G4193" i="5"/>
  <c r="G4192" i="5"/>
  <c r="G4191" i="5"/>
  <c r="G4186" i="5"/>
  <c r="G4185" i="5"/>
  <c r="G4184" i="5"/>
  <c r="G4182" i="5"/>
  <c r="G4181" i="5"/>
  <c r="G4180" i="5"/>
  <c r="G4179" i="5"/>
  <c r="G4178" i="5"/>
  <c r="E4173" i="5"/>
  <c r="G4171" i="5"/>
  <c r="G4170" i="5"/>
  <c r="G4169" i="5"/>
  <c r="G4160" i="5"/>
  <c r="G4159" i="5"/>
  <c r="G4158" i="5"/>
  <c r="G4153" i="5"/>
  <c r="G4152" i="5"/>
  <c r="G4151" i="5"/>
  <c r="G4149" i="5"/>
  <c r="G4148" i="5"/>
  <c r="G4147" i="5"/>
  <c r="G4141" i="5"/>
  <c r="G4140" i="5"/>
  <c r="G4139" i="5"/>
  <c r="G4133" i="5"/>
  <c r="G4132" i="5"/>
  <c r="G4131" i="5"/>
  <c r="G4125" i="5"/>
  <c r="G4123" i="5"/>
  <c r="G4118" i="5"/>
  <c r="G4117" i="5"/>
  <c r="G4116" i="5"/>
  <c r="G4114" i="5"/>
  <c r="G4113" i="5"/>
  <c r="G4112" i="5"/>
  <c r="G4111" i="5"/>
  <c r="G4110" i="5"/>
  <c r="G4108" i="5"/>
  <c r="G4107" i="5"/>
  <c r="G4106" i="5"/>
  <c r="G4101" i="5"/>
  <c r="G4100" i="5"/>
  <c r="G4099" i="5"/>
  <c r="G4095" i="5"/>
  <c r="G4093" i="5"/>
  <c r="G4089" i="5"/>
  <c r="G4088" i="5"/>
  <c r="G4087" i="5"/>
  <c r="G4080" i="5"/>
  <c r="G4078" i="5"/>
  <c r="G4071" i="5"/>
  <c r="G4070" i="5"/>
  <c r="G4069" i="5"/>
  <c r="G4062" i="5"/>
  <c r="G4061" i="5"/>
  <c r="G4060" i="5"/>
  <c r="G4053" i="5"/>
  <c r="G4052" i="5"/>
  <c r="G4051" i="5"/>
  <c r="G4044" i="5"/>
  <c r="G4042" i="5"/>
  <c r="G4035" i="5"/>
  <c r="G4034" i="5"/>
  <c r="G4033" i="5"/>
  <c r="G4031" i="5"/>
  <c r="G4030" i="5"/>
  <c r="G4029" i="5"/>
  <c r="G4027" i="5"/>
  <c r="G4026" i="5"/>
  <c r="G4025" i="5"/>
  <c r="E4023" i="5"/>
  <c r="G4022" i="5"/>
  <c r="G4021" i="5"/>
  <c r="G4020" i="5"/>
  <c r="G4009" i="5"/>
  <c r="G4008" i="5"/>
  <c r="G4007" i="5"/>
  <c r="G4006" i="5"/>
  <c r="G4005" i="5"/>
  <c r="E4004" i="5"/>
  <c r="E4003" i="5"/>
  <c r="G3996" i="5"/>
  <c r="G3995" i="5"/>
  <c r="G3994" i="5"/>
  <c r="G3988" i="5"/>
  <c r="G3987" i="5"/>
  <c r="G3986" i="5"/>
  <c r="G3981" i="5"/>
  <c r="G3980" i="5"/>
  <c r="G3979" i="5"/>
  <c r="G3971" i="5"/>
  <c r="G3969" i="5"/>
  <c r="G3963" i="5"/>
  <c r="G3962" i="5"/>
  <c r="G3961" i="5"/>
  <c r="G3954" i="5"/>
  <c r="G3953" i="5"/>
  <c r="G3952" i="5"/>
  <c r="E3951" i="5"/>
  <c r="E3950" i="5"/>
  <c r="E3949" i="5"/>
  <c r="E3948" i="5"/>
  <c r="G3947" i="5"/>
  <c r="G3946" i="5"/>
  <c r="G3945" i="5"/>
  <c r="G3941" i="5"/>
  <c r="G3940" i="5"/>
  <c r="G3939" i="5"/>
  <c r="G3935" i="5"/>
  <c r="G3934" i="5"/>
  <c r="G3933" i="5"/>
  <c r="G3929" i="5"/>
  <c r="G3927" i="5"/>
  <c r="G3911" i="5"/>
  <c r="G3909" i="5"/>
  <c r="G3904" i="5"/>
  <c r="G3902" i="5"/>
  <c r="G3889" i="5"/>
  <c r="G3888" i="5"/>
  <c r="G3887" i="5"/>
  <c r="G3886" i="5"/>
  <c r="G3885" i="5"/>
  <c r="E3884" i="5"/>
  <c r="E3883" i="5"/>
  <c r="G3877" i="5"/>
  <c r="G3876" i="5"/>
  <c r="G3875" i="5"/>
  <c r="G3869" i="5"/>
  <c r="G3867" i="5"/>
  <c r="G3860" i="5"/>
  <c r="G3859" i="5"/>
  <c r="G3858" i="5"/>
  <c r="G3850" i="5"/>
  <c r="G3848" i="5"/>
  <c r="G3847" i="5"/>
  <c r="G3846" i="5"/>
  <c r="E3845" i="5"/>
  <c r="G3839" i="5"/>
  <c r="G3838" i="5"/>
  <c r="G3837" i="5"/>
  <c r="E3836" i="5"/>
  <c r="E3835" i="5"/>
  <c r="G3834" i="5"/>
  <c r="G3833" i="5"/>
  <c r="G3832" i="5"/>
  <c r="G3831" i="5"/>
  <c r="G3830" i="5"/>
  <c r="E3829" i="5"/>
  <c r="G3828" i="5"/>
  <c r="G3827" i="5"/>
  <c r="G3772" i="5"/>
  <c r="G3770" i="5"/>
  <c r="G3769" i="5"/>
  <c r="G3768" i="5"/>
  <c r="G3766" i="5"/>
  <c r="G3764" i="5"/>
  <c r="G3762" i="5"/>
  <c r="G3761" i="5"/>
  <c r="G3760" i="5"/>
  <c r="G3755" i="5"/>
  <c r="G3754" i="5"/>
  <c r="G3753" i="5"/>
  <c r="G3752" i="5"/>
  <c r="G3751" i="5"/>
  <c r="G3750" i="5"/>
  <c r="E3749" i="5"/>
  <c r="E3748" i="5"/>
  <c r="E3747" i="5"/>
  <c r="G3746" i="5"/>
  <c r="G3745" i="5"/>
  <c r="G3744" i="5"/>
  <c r="E3743" i="5"/>
  <c r="G3741" i="5"/>
  <c r="G3740" i="5"/>
  <c r="G3739" i="5"/>
  <c r="G3731" i="5"/>
  <c r="G3729" i="5"/>
  <c r="G3727" i="5"/>
  <c r="G3725" i="5"/>
  <c r="G3724" i="5"/>
  <c r="G3723" i="5"/>
  <c r="E3722" i="5"/>
  <c r="E3720" i="5"/>
  <c r="E3719" i="5"/>
  <c r="E3718" i="5"/>
  <c r="E3717" i="5"/>
  <c r="G3716" i="5"/>
  <c r="G3715" i="5"/>
  <c r="G3714" i="5"/>
  <c r="G3713" i="5"/>
  <c r="G3712" i="5"/>
  <c r="E3711" i="5"/>
  <c r="E3710" i="5"/>
  <c r="G3703" i="5"/>
  <c r="G3701" i="5"/>
  <c r="G3700" i="5"/>
  <c r="G3699" i="5"/>
  <c r="E3698" i="5"/>
  <c r="E3697" i="5"/>
  <c r="G3691" i="5"/>
  <c r="G3690" i="5"/>
  <c r="G3689" i="5"/>
  <c r="G3688" i="5"/>
  <c r="G3687" i="5"/>
  <c r="G3683" i="5"/>
  <c r="G3682" i="5"/>
  <c r="G3681" i="5"/>
  <c r="G3680" i="5"/>
  <c r="G3679" i="5"/>
  <c r="E3676" i="5"/>
  <c r="E3675" i="5"/>
  <c r="E3674" i="5"/>
  <c r="E3673" i="5"/>
  <c r="E3672" i="5"/>
  <c r="G3668" i="5"/>
  <c r="G3666" i="5"/>
  <c r="G3662" i="5"/>
  <c r="G3661" i="5"/>
  <c r="G3660" i="5"/>
  <c r="G3658" i="5"/>
  <c r="G3657" i="5"/>
  <c r="G3656" i="5"/>
  <c r="E3653" i="5"/>
  <c r="G3650" i="5"/>
  <c r="G3649" i="5"/>
  <c r="G3648" i="5"/>
  <c r="G3645" i="5"/>
  <c r="G3644" i="5"/>
  <c r="G3643" i="5"/>
  <c r="G3640" i="5"/>
  <c r="G3639" i="5"/>
  <c r="G3638" i="5"/>
  <c r="G3630" i="5"/>
  <c r="G3629" i="5"/>
  <c r="G3628" i="5"/>
  <c r="G3624" i="5"/>
  <c r="G3623" i="5"/>
  <c r="G3622" i="5"/>
  <c r="G3617" i="5"/>
  <c r="G3615" i="5"/>
  <c r="E3614" i="5"/>
  <c r="G3611" i="5"/>
  <c r="G3610" i="5"/>
  <c r="G3609" i="5"/>
  <c r="E3608" i="5"/>
  <c r="G3603" i="5"/>
  <c r="G3602" i="5"/>
  <c r="G3601" i="5"/>
  <c r="G3598" i="5"/>
  <c r="G3597" i="5"/>
  <c r="G3596" i="5"/>
  <c r="E3593" i="5"/>
  <c r="G3591" i="5"/>
  <c r="G3590" i="5"/>
  <c r="G3589" i="5"/>
  <c r="E3588" i="5"/>
  <c r="E3587" i="5"/>
  <c r="E3586" i="5"/>
  <c r="E3585" i="5"/>
  <c r="G3583" i="5"/>
  <c r="G3582" i="5"/>
  <c r="G3581" i="5"/>
  <c r="G3577" i="5"/>
  <c r="G3576" i="5"/>
  <c r="G3575" i="5"/>
  <c r="G3571" i="5"/>
  <c r="G3570" i="5"/>
  <c r="G3569" i="5"/>
  <c r="G3568" i="5"/>
  <c r="G3567" i="5"/>
  <c r="G3566" i="5"/>
  <c r="E3564" i="5"/>
  <c r="E3563" i="5"/>
  <c r="E3562" i="5"/>
  <c r="E3561" i="5"/>
  <c r="E3558" i="5"/>
  <c r="E3556" i="5"/>
  <c r="G3555" i="5"/>
  <c r="G3554" i="5"/>
  <c r="G3553" i="5"/>
  <c r="G3548" i="5"/>
  <c r="G3547" i="5"/>
  <c r="G3537" i="5"/>
  <c r="G3536" i="5"/>
  <c r="G3535" i="5"/>
  <c r="E3534" i="5"/>
  <c r="E3533" i="5"/>
  <c r="G3529" i="5"/>
  <c r="G3528" i="5"/>
  <c r="G3527" i="5"/>
  <c r="G3526" i="5"/>
  <c r="G3525" i="5"/>
  <c r="G3524" i="5"/>
  <c r="E3522" i="5"/>
  <c r="E3521" i="5"/>
  <c r="E3520" i="5"/>
  <c r="E3519" i="5"/>
  <c r="E3516" i="5"/>
  <c r="E3514" i="5"/>
  <c r="G3512" i="5"/>
  <c r="G3511" i="5"/>
  <c r="G3510" i="5"/>
  <c r="G3504" i="5"/>
  <c r="G3503" i="5"/>
  <c r="G3502" i="5"/>
  <c r="G3501" i="5"/>
  <c r="G3500" i="5"/>
  <c r="G3499" i="5"/>
  <c r="E3497" i="5"/>
  <c r="E3496" i="5"/>
  <c r="E3495" i="5"/>
  <c r="E3494" i="5"/>
  <c r="E3491" i="5"/>
  <c r="E3489" i="5"/>
  <c r="G3487" i="5"/>
  <c r="G3486" i="5"/>
  <c r="G3485" i="5"/>
  <c r="G3466" i="5"/>
  <c r="G3465" i="5"/>
  <c r="G3464" i="5"/>
  <c r="E3463" i="5"/>
  <c r="E3461" i="5"/>
  <c r="E3460" i="5"/>
  <c r="E3459" i="5"/>
  <c r="E3458" i="5"/>
  <c r="G3457" i="5"/>
  <c r="G3456" i="5"/>
  <c r="G3455" i="5"/>
  <c r="G3454" i="5"/>
  <c r="G3453" i="5"/>
  <c r="E3452" i="5"/>
  <c r="E3451" i="5"/>
  <c r="E3450" i="5"/>
  <c r="E3449" i="5"/>
  <c r="E3448" i="5"/>
  <c r="G3447" i="5"/>
  <c r="G3446" i="5"/>
  <c r="G3445" i="5"/>
  <c r="G3443" i="5"/>
  <c r="G3442" i="5"/>
  <c r="G3441" i="5"/>
  <c r="G3439" i="5"/>
  <c r="G3438" i="5"/>
  <c r="G3437" i="5"/>
  <c r="G3434" i="5"/>
  <c r="G3433" i="5"/>
  <c r="G3432" i="5"/>
  <c r="G3429" i="5"/>
  <c r="G3428" i="5"/>
  <c r="G3427" i="5"/>
  <c r="G3424" i="5"/>
  <c r="G3423" i="5"/>
  <c r="G3422" i="5"/>
  <c r="G3417" i="5"/>
  <c r="G3415" i="5"/>
  <c r="G3410" i="5"/>
  <c r="G3409" i="5"/>
  <c r="G3408" i="5"/>
  <c r="G3403" i="5"/>
  <c r="G3401" i="5"/>
  <c r="G3399" i="5"/>
  <c r="G3398" i="5"/>
  <c r="G3397" i="5"/>
  <c r="G3395" i="5"/>
  <c r="G3394" i="5"/>
  <c r="G3393" i="5"/>
  <c r="G3390" i="5"/>
  <c r="G3389" i="5"/>
  <c r="G3388" i="5"/>
  <c r="G3386" i="5"/>
  <c r="G3385" i="5"/>
  <c r="G3384" i="5"/>
  <c r="G3382" i="5"/>
  <c r="G3380" i="5"/>
  <c r="G3375" i="5"/>
  <c r="G3374" i="5"/>
  <c r="G3373" i="5"/>
  <c r="G3368" i="5"/>
  <c r="G3367" i="5"/>
  <c r="G3366" i="5"/>
  <c r="G3361" i="5"/>
  <c r="G3360" i="5"/>
  <c r="G3359" i="5"/>
  <c r="G3356" i="5"/>
  <c r="G3355" i="5"/>
  <c r="G3354" i="5"/>
  <c r="G3353" i="5"/>
  <c r="G3352" i="5"/>
  <c r="E3349" i="5"/>
  <c r="G3347" i="5"/>
  <c r="G3346" i="5"/>
  <c r="G3345" i="5"/>
  <c r="G3341" i="5"/>
  <c r="G3340" i="5"/>
  <c r="G3339" i="5"/>
  <c r="G3335" i="5"/>
  <c r="G3333" i="5"/>
  <c r="G3328" i="5"/>
  <c r="G3327" i="5"/>
  <c r="G3326" i="5"/>
  <c r="G3321" i="5"/>
  <c r="G3320" i="5"/>
  <c r="G3319" i="5"/>
  <c r="G3314" i="5"/>
  <c r="G3312" i="5"/>
  <c r="G3307" i="5"/>
  <c r="G3305" i="5"/>
  <c r="G3300" i="5"/>
  <c r="G3299" i="5"/>
  <c r="G3298" i="5"/>
  <c r="G3293" i="5"/>
  <c r="G3292" i="5"/>
  <c r="G3291" i="5"/>
  <c r="G3286" i="5"/>
  <c r="G3284" i="5"/>
  <c r="G3279" i="5"/>
  <c r="G3277" i="5"/>
  <c r="G3272" i="5"/>
  <c r="G3271" i="5"/>
  <c r="G3270" i="5"/>
  <c r="G3265" i="5"/>
  <c r="G3264" i="5"/>
  <c r="G3263" i="5"/>
  <c r="G3260" i="5"/>
  <c r="G3259" i="5"/>
  <c r="G3258" i="5"/>
  <c r="G3250" i="5"/>
  <c r="G3249" i="5"/>
  <c r="G3248" i="5"/>
  <c r="G3244" i="5"/>
  <c r="G3243" i="5"/>
  <c r="G3242" i="5"/>
  <c r="G3238" i="5"/>
  <c r="G3237" i="5"/>
  <c r="G3236" i="5"/>
  <c r="G3232" i="5"/>
  <c r="G3231" i="5"/>
  <c r="G3230" i="5"/>
  <c r="G3229" i="5"/>
  <c r="G3228" i="5"/>
  <c r="E3227" i="5"/>
  <c r="E3226" i="5"/>
  <c r="G3219" i="5"/>
  <c r="G3218" i="5"/>
  <c r="G3217" i="5"/>
  <c r="G3212" i="5"/>
  <c r="G3211" i="5"/>
  <c r="G3210" i="5"/>
  <c r="G3208" i="5"/>
  <c r="G3206" i="5"/>
  <c r="G3203" i="5"/>
  <c r="G3202" i="5"/>
  <c r="G3201" i="5"/>
  <c r="G3195" i="5"/>
  <c r="G3194" i="5"/>
  <c r="G3193" i="5"/>
  <c r="G3187" i="5"/>
  <c r="G3186" i="5"/>
  <c r="G3185" i="5"/>
  <c r="G3178" i="5"/>
  <c r="G3176" i="5"/>
  <c r="G3173" i="5"/>
  <c r="G3172" i="5"/>
  <c r="G3171" i="5"/>
  <c r="G3167" i="5"/>
  <c r="G3165" i="5"/>
  <c r="G3162" i="5"/>
  <c r="G3161" i="5"/>
  <c r="G3160" i="5"/>
  <c r="G3156" i="5"/>
  <c r="G3155" i="5"/>
  <c r="G3154" i="5"/>
  <c r="G3150" i="5"/>
  <c r="G3149" i="5"/>
  <c r="G3148" i="5"/>
  <c r="G3144" i="5"/>
  <c r="G3143" i="5"/>
  <c r="G3142" i="5"/>
  <c r="G3141" i="5"/>
  <c r="G3140" i="5"/>
  <c r="G3138" i="5"/>
  <c r="G3137" i="5"/>
  <c r="G3136" i="5"/>
  <c r="G3133" i="5"/>
  <c r="G3132" i="5"/>
  <c r="G3131" i="5"/>
  <c r="G3128" i="5"/>
  <c r="G3127" i="5"/>
  <c r="G3126" i="5"/>
  <c r="G3123" i="5"/>
  <c r="G3122" i="5"/>
  <c r="G3121" i="5"/>
  <c r="G3118" i="5"/>
  <c r="G3117" i="5"/>
  <c r="G3116" i="5"/>
  <c r="G3113" i="5"/>
  <c r="G3112" i="5"/>
  <c r="G3111" i="5"/>
  <c r="G3108" i="5"/>
  <c r="G3107" i="5"/>
  <c r="G3106" i="5"/>
  <c r="G3103" i="5"/>
  <c r="G3102" i="5"/>
  <c r="G3101" i="5"/>
  <c r="G3098" i="5"/>
  <c r="G3097" i="5"/>
  <c r="G3096" i="5"/>
  <c r="G3093" i="5"/>
  <c r="G3092" i="5"/>
  <c r="G3091" i="5"/>
  <c r="G3085" i="5"/>
  <c r="G3084" i="5"/>
  <c r="G3083" i="5"/>
  <c r="G3080" i="5"/>
  <c r="G3079" i="5"/>
  <c r="G3078" i="5"/>
  <c r="G3072" i="5"/>
  <c r="G3071" i="5"/>
  <c r="G3070" i="5"/>
  <c r="G3068" i="5"/>
  <c r="G3067" i="5"/>
  <c r="G3066" i="5"/>
  <c r="G3065" i="5"/>
  <c r="G3064" i="5"/>
  <c r="G3063" i="5"/>
  <c r="G3060" i="5"/>
  <c r="G3059" i="5"/>
  <c r="G3058" i="5"/>
  <c r="G3055" i="5"/>
  <c r="G3054" i="5"/>
  <c r="G3053" i="5"/>
  <c r="G3052" i="5"/>
  <c r="G3051" i="5"/>
  <c r="G3050" i="5"/>
  <c r="G3047" i="5"/>
  <c r="G3046" i="5"/>
  <c r="G3045" i="5"/>
  <c r="G3042" i="5"/>
  <c r="G3041" i="5"/>
  <c r="G3040" i="5"/>
  <c r="G3037" i="5"/>
  <c r="G3036" i="5"/>
  <c r="G3035" i="5"/>
  <c r="G3032" i="5"/>
  <c r="G3031" i="5"/>
  <c r="G3030" i="5"/>
  <c r="G3027" i="5"/>
  <c r="G3026" i="5"/>
  <c r="G3025" i="5"/>
  <c r="G3022" i="5"/>
  <c r="G3021" i="5"/>
  <c r="G3020" i="5"/>
  <c r="G3017" i="5"/>
  <c r="G3016" i="5"/>
  <c r="G3015" i="5"/>
  <c r="G3012" i="5"/>
  <c r="G3011" i="5"/>
  <c r="G3010" i="5"/>
  <c r="G3007" i="5"/>
  <c r="G3006" i="5"/>
  <c r="G3005" i="5"/>
  <c r="G3002" i="5"/>
  <c r="G3001" i="5"/>
  <c r="G3000" i="5"/>
  <c r="G2992" i="5"/>
  <c r="G2991" i="5"/>
  <c r="G2990" i="5"/>
  <c r="G2987" i="5"/>
  <c r="G2986" i="5"/>
  <c r="G2985" i="5"/>
  <c r="G2982" i="5"/>
  <c r="G2981" i="5"/>
  <c r="G2980" i="5"/>
  <c r="G2977" i="5"/>
  <c r="G2976" i="5"/>
  <c r="G2975" i="5"/>
  <c r="G2972" i="5"/>
  <c r="G2971" i="5"/>
  <c r="G2970" i="5"/>
  <c r="G2967" i="5"/>
  <c r="G2966" i="5"/>
  <c r="G2965" i="5"/>
  <c r="G2962" i="5"/>
  <c r="G2961" i="5"/>
  <c r="G2960" i="5"/>
  <c r="G2957" i="5"/>
  <c r="G2956" i="5"/>
  <c r="G2955" i="5"/>
  <c r="G2952" i="5"/>
  <c r="G2951" i="5"/>
  <c r="G2950" i="5"/>
  <c r="G2947" i="5"/>
  <c r="G2946" i="5"/>
  <c r="G2945" i="5"/>
  <c r="G2942" i="5"/>
  <c r="G2941" i="5"/>
  <c r="G2940" i="5"/>
  <c r="G2939" i="5"/>
  <c r="G2938" i="5"/>
  <c r="G2937" i="5"/>
  <c r="G2934" i="5"/>
  <c r="G2933" i="5"/>
  <c r="G2932" i="5"/>
  <c r="G2931" i="5"/>
  <c r="G2930" i="5"/>
  <c r="G2929" i="5"/>
  <c r="G2926" i="5"/>
  <c r="G2925" i="5"/>
  <c r="G2924" i="5"/>
  <c r="G2923" i="5"/>
  <c r="G2922" i="5"/>
  <c r="G2921" i="5"/>
  <c r="G2918" i="5"/>
  <c r="G2917" i="5"/>
  <c r="G2916" i="5"/>
  <c r="G2915" i="5"/>
  <c r="G2914" i="5"/>
  <c r="G2913" i="5"/>
  <c r="G2910" i="5"/>
  <c r="G2909" i="5"/>
  <c r="G2908" i="5"/>
  <c r="G2907" i="5"/>
  <c r="G2906" i="5"/>
  <c r="G2905" i="5"/>
  <c r="G2902" i="5"/>
  <c r="G2901" i="5"/>
  <c r="G2900" i="5"/>
  <c r="G2897" i="5"/>
  <c r="G2896" i="5"/>
  <c r="G2895" i="5"/>
  <c r="G2892" i="5"/>
  <c r="G2891" i="5"/>
  <c r="G2890" i="5"/>
  <c r="G2887" i="5"/>
  <c r="G2886" i="5"/>
  <c r="G2885" i="5"/>
  <c r="G2880" i="5"/>
  <c r="G2879" i="5"/>
  <c r="G2878" i="5"/>
  <c r="G2875" i="5"/>
  <c r="G2874" i="5"/>
  <c r="G2873" i="5"/>
  <c r="G2870" i="5"/>
  <c r="G2869" i="5"/>
  <c r="G2868" i="5"/>
  <c r="G2865" i="5"/>
  <c r="G2864" i="5"/>
  <c r="G2863" i="5"/>
  <c r="G2860" i="5"/>
  <c r="G2859" i="5"/>
  <c r="G2858" i="5"/>
  <c r="G2855" i="5"/>
  <c r="G2854" i="5"/>
  <c r="G2853" i="5"/>
  <c r="G2850" i="5"/>
  <c r="G2849" i="5"/>
  <c r="G2848" i="5"/>
  <c r="G2845" i="5"/>
  <c r="G2844" i="5"/>
  <c r="G2843" i="5"/>
  <c r="G2840" i="5"/>
  <c r="G2839" i="5"/>
  <c r="G2838" i="5"/>
  <c r="G2837" i="5"/>
  <c r="G2836" i="5"/>
  <c r="G2833" i="5"/>
  <c r="G2832" i="5"/>
  <c r="G2831" i="5"/>
  <c r="G2828" i="5"/>
  <c r="G2827" i="5"/>
  <c r="G2826" i="5"/>
  <c r="G2823" i="5"/>
  <c r="G2822" i="5"/>
  <c r="G2821" i="5"/>
  <c r="G2818" i="5"/>
  <c r="G2817" i="5"/>
  <c r="G2816" i="5"/>
  <c r="G2808" i="5"/>
  <c r="G2807" i="5"/>
  <c r="G2796" i="5"/>
  <c r="G2792" i="5"/>
  <c r="G2791" i="5"/>
  <c r="G2790" i="5"/>
  <c r="G2782" i="5"/>
  <c r="G2781" i="5"/>
  <c r="G2780" i="5"/>
  <c r="G2777" i="5"/>
  <c r="G2776" i="5"/>
  <c r="G2719" i="5"/>
  <c r="G2718" i="5"/>
  <c r="G2717" i="5"/>
  <c r="G2715" i="5"/>
  <c r="G2714" i="5"/>
  <c r="G2713" i="5"/>
  <c r="G2712" i="5"/>
  <c r="G2711" i="5"/>
  <c r="G2709" i="5"/>
  <c r="G2708" i="5"/>
  <c r="G2707" i="5"/>
  <c r="G2706" i="5"/>
  <c r="G2705" i="5"/>
  <c r="G2703" i="5"/>
  <c r="G2702" i="5"/>
  <c r="G2701" i="5"/>
  <c r="G2700" i="5"/>
  <c r="G2699" i="5"/>
  <c r="G2697" i="5"/>
  <c r="G2696" i="5"/>
  <c r="G2695" i="5"/>
  <c r="G2694" i="5"/>
  <c r="G2693" i="5"/>
  <c r="G2691" i="5"/>
  <c r="G2690" i="5"/>
  <c r="G2689" i="5"/>
  <c r="G2688" i="5"/>
  <c r="G2687" i="5"/>
  <c r="G2685" i="5"/>
  <c r="G2684" i="5"/>
  <c r="G2683" i="5"/>
  <c r="G2682" i="5"/>
  <c r="G2681" i="5"/>
  <c r="G2679" i="5"/>
  <c r="G2678" i="5"/>
  <c r="G2677" i="5"/>
  <c r="G2676" i="5"/>
  <c r="G2675" i="5"/>
  <c r="G2673" i="5"/>
  <c r="G2672" i="5"/>
  <c r="G2671" i="5"/>
  <c r="G2670" i="5"/>
  <c r="G2669" i="5"/>
  <c r="G2667" i="5"/>
  <c r="G2666" i="5"/>
  <c r="G2665" i="5"/>
  <c r="G2664" i="5"/>
  <c r="G2663" i="5"/>
  <c r="G2661" i="5"/>
  <c r="G2660" i="5"/>
  <c r="G2655" i="5"/>
  <c r="G2653" i="5"/>
  <c r="G2647" i="5"/>
  <c r="G2645" i="5"/>
  <c r="G2644" i="5"/>
  <c r="G2643" i="5"/>
  <c r="G2641" i="5"/>
  <c r="G2640" i="5"/>
  <c r="G2639" i="5"/>
  <c r="G2637" i="5"/>
  <c r="G2636" i="5"/>
  <c r="G2635" i="5"/>
  <c r="G2633" i="5"/>
  <c r="G2632" i="5"/>
  <c r="G2631" i="5"/>
  <c r="G2629" i="5"/>
  <c r="G2628" i="5"/>
  <c r="G2627" i="5"/>
  <c r="G2625" i="5"/>
  <c r="G2624" i="5"/>
  <c r="G2623" i="5"/>
  <c r="G2621" i="5"/>
  <c r="G2620" i="5"/>
  <c r="G2619" i="5"/>
  <c r="G2617" i="5"/>
  <c r="G2616" i="5"/>
  <c r="G2615" i="5"/>
  <c r="G2613" i="5"/>
  <c r="G2612" i="5"/>
  <c r="G2611" i="5"/>
  <c r="G2609" i="5"/>
  <c r="G2608" i="5"/>
  <c r="G2607" i="5"/>
  <c r="E2606" i="5"/>
  <c r="G2605" i="5"/>
  <c r="G2604" i="5"/>
  <c r="G2603" i="5"/>
  <c r="G2602" i="5"/>
  <c r="G2601" i="5"/>
  <c r="E2600" i="5"/>
  <c r="E2599" i="5"/>
  <c r="G2597" i="5"/>
  <c r="G2596" i="5"/>
  <c r="G2595" i="5"/>
  <c r="G2594" i="5"/>
  <c r="G2593" i="5"/>
  <c r="E2592" i="5"/>
  <c r="E2591" i="5"/>
  <c r="G2589" i="5"/>
  <c r="G2588" i="5"/>
  <c r="G2587" i="5"/>
  <c r="G2586" i="5"/>
  <c r="G2585" i="5"/>
  <c r="E2584" i="5"/>
  <c r="E2583" i="5"/>
  <c r="G2581" i="5"/>
  <c r="G2580" i="5"/>
  <c r="G2579" i="5"/>
  <c r="G2577" i="5"/>
  <c r="G2576" i="5"/>
  <c r="G2575" i="5"/>
  <c r="G2573" i="5"/>
  <c r="G2572" i="5"/>
  <c r="G2571" i="5"/>
  <c r="G2569" i="5"/>
  <c r="G2568" i="5"/>
  <c r="G2567" i="5"/>
  <c r="G2565" i="5"/>
  <c r="G2564" i="5"/>
  <c r="G2563" i="5"/>
  <c r="G2561" i="5"/>
  <c r="G2560" i="5"/>
  <c r="G2443" i="5"/>
  <c r="G2441" i="5"/>
  <c r="G2440" i="5"/>
  <c r="G2415" i="5"/>
  <c r="G2413" i="5"/>
  <c r="G2403" i="5"/>
  <c r="G2399" i="5"/>
  <c r="G2398" i="5"/>
  <c r="G2397" i="5"/>
  <c r="G2392" i="5"/>
  <c r="G2391" i="5"/>
  <c r="G2390" i="5"/>
  <c r="G2386" i="5"/>
  <c r="G2385" i="5"/>
  <c r="G2384" i="5"/>
  <c r="E2381" i="5"/>
  <c r="E2380" i="5"/>
  <c r="G2379" i="5"/>
  <c r="G2378" i="5"/>
  <c r="G2377" i="5"/>
  <c r="E2376" i="5"/>
  <c r="E2375" i="5"/>
  <c r="G2371" i="5"/>
  <c r="G2370" i="5"/>
  <c r="G2369" i="5"/>
  <c r="G2365" i="5"/>
  <c r="G2364" i="5"/>
  <c r="G2363" i="5"/>
  <c r="E2361" i="5"/>
  <c r="G2360" i="5"/>
  <c r="G2359" i="5"/>
  <c r="G2358" i="5"/>
  <c r="G2355" i="5"/>
  <c r="G2354" i="5"/>
  <c r="G2353" i="5"/>
  <c r="G2350" i="5"/>
  <c r="G2349" i="5"/>
  <c r="G2348" i="5"/>
  <c r="G2344" i="5"/>
  <c r="G2343" i="5"/>
  <c r="G2342" i="5"/>
  <c r="G2338" i="5"/>
  <c r="G2337" i="5"/>
  <c r="G2336" i="5"/>
  <c r="G2332" i="5"/>
  <c r="G2331" i="5"/>
  <c r="G2330" i="5"/>
  <c r="G2326" i="5"/>
  <c r="G2325" i="5"/>
  <c r="G2324" i="5"/>
  <c r="G2319" i="5"/>
  <c r="G2318" i="5"/>
  <c r="G2317" i="5"/>
  <c r="G2312" i="5"/>
  <c r="G2311" i="5"/>
  <c r="G2310" i="5"/>
  <c r="G2302" i="5"/>
  <c r="G2301" i="5"/>
  <c r="G2300" i="5"/>
  <c r="G2292" i="5"/>
  <c r="G2291" i="5"/>
  <c r="G2290" i="5"/>
  <c r="G2282" i="5"/>
  <c r="G2280" i="5"/>
  <c r="G2272" i="5"/>
  <c r="G2270" i="5"/>
  <c r="G2262" i="5"/>
  <c r="G2261" i="5"/>
  <c r="G2260" i="5"/>
  <c r="G2256" i="5"/>
  <c r="G2255" i="5"/>
  <c r="G2254" i="5"/>
  <c r="G2242" i="5"/>
  <c r="G2241" i="5"/>
  <c r="G2240" i="5"/>
  <c r="G2236" i="5"/>
  <c r="G2235" i="5"/>
  <c r="G2234" i="5"/>
  <c r="G2230" i="5"/>
  <c r="G2229" i="5"/>
  <c r="G2228" i="5"/>
  <c r="G2223" i="5"/>
  <c r="G2222" i="5"/>
  <c r="G2221" i="5"/>
  <c r="E2218" i="5"/>
  <c r="G2216" i="5"/>
  <c r="G2215" i="5"/>
  <c r="G2214" i="5"/>
  <c r="G2211" i="5"/>
  <c r="G2210" i="5"/>
  <c r="G2209" i="5"/>
  <c r="G2208" i="5"/>
  <c r="G2207" i="5"/>
  <c r="E2206" i="5"/>
  <c r="E2205" i="5"/>
  <c r="G2203" i="5"/>
  <c r="G2202" i="5"/>
  <c r="G2201" i="5"/>
  <c r="G2200" i="5"/>
  <c r="G2199" i="5"/>
  <c r="E2198" i="5"/>
  <c r="E2197" i="5"/>
  <c r="G2195" i="5"/>
  <c r="G2194" i="5"/>
  <c r="G2193" i="5"/>
  <c r="G2192" i="5"/>
  <c r="G2191" i="5"/>
  <c r="E2190" i="5"/>
  <c r="E2189" i="5"/>
  <c r="G2187" i="5"/>
  <c r="G2185" i="5"/>
  <c r="G2184" i="5"/>
  <c r="G2183" i="5"/>
  <c r="E2182" i="5"/>
  <c r="E2181" i="5"/>
  <c r="G2179" i="5"/>
  <c r="G2177" i="5"/>
  <c r="G2176" i="5"/>
  <c r="G2175" i="5"/>
  <c r="E2174" i="5"/>
  <c r="E2173" i="5"/>
  <c r="G2171" i="5"/>
  <c r="G2170" i="5"/>
  <c r="G2169" i="5"/>
  <c r="G2168" i="5"/>
  <c r="G2167" i="5"/>
  <c r="E2166" i="5"/>
  <c r="E2165" i="5"/>
  <c r="G2163" i="5"/>
  <c r="G2162" i="5"/>
  <c r="G2161" i="5"/>
  <c r="G2160" i="5"/>
  <c r="G2159" i="5"/>
  <c r="E2158" i="5"/>
  <c r="E2157" i="5"/>
  <c r="G2155" i="5"/>
  <c r="G2153" i="5"/>
  <c r="G2152" i="5"/>
  <c r="G2151" i="5"/>
  <c r="E2150" i="5"/>
  <c r="E2149" i="5"/>
  <c r="G2147" i="5"/>
  <c r="G2146" i="5"/>
  <c r="G2145" i="5"/>
  <c r="G2141" i="5"/>
  <c r="G2139" i="5"/>
  <c r="G2135" i="5"/>
  <c r="G2134" i="5"/>
  <c r="G2133" i="5"/>
  <c r="G2129" i="5"/>
  <c r="G2128" i="5"/>
  <c r="G2127" i="5"/>
  <c r="G2123" i="5"/>
  <c r="G2121" i="5"/>
  <c r="G2117" i="5"/>
  <c r="G2116" i="5"/>
  <c r="G2115" i="5"/>
  <c r="G2114" i="5"/>
  <c r="G2113" i="5"/>
  <c r="E2112" i="5"/>
  <c r="E2111" i="5"/>
  <c r="G2109" i="5"/>
  <c r="G2107" i="5"/>
  <c r="G2106" i="5"/>
  <c r="G2105" i="5"/>
  <c r="E2104" i="5"/>
  <c r="E2103" i="5"/>
  <c r="G2101" i="5"/>
  <c r="G2100" i="5"/>
  <c r="G2099" i="5"/>
  <c r="G2098" i="5"/>
  <c r="G2097" i="5"/>
  <c r="E2096" i="5"/>
  <c r="E2095" i="5"/>
  <c r="G2093" i="5"/>
  <c r="G2092" i="5"/>
  <c r="G2091" i="5"/>
  <c r="G2090" i="5"/>
  <c r="G2089" i="5"/>
  <c r="E2088" i="5"/>
  <c r="E2087" i="5"/>
  <c r="G2085" i="5"/>
  <c r="G2084" i="5"/>
  <c r="G2083" i="5"/>
  <c r="G2082" i="5"/>
  <c r="G2081" i="5"/>
  <c r="E2080" i="5"/>
  <c r="E2079" i="5"/>
  <c r="G2077" i="5"/>
  <c r="G2075" i="5"/>
  <c r="G2074" i="5"/>
  <c r="G2073" i="5"/>
  <c r="E2072" i="5"/>
  <c r="E2071" i="5"/>
  <c r="G2069" i="5"/>
  <c r="G2068" i="5"/>
  <c r="G2067" i="5"/>
  <c r="G2066" i="5"/>
  <c r="G2065" i="5"/>
  <c r="E2064" i="5"/>
  <c r="E2063" i="5"/>
  <c r="G2061" i="5"/>
  <c r="G2059" i="5"/>
  <c r="G2058" i="5"/>
  <c r="G2057" i="5"/>
  <c r="E2056" i="5"/>
  <c r="E2055" i="5"/>
  <c r="G2053" i="5"/>
  <c r="G2052" i="5"/>
  <c r="G2051" i="5"/>
  <c r="G2050" i="5"/>
  <c r="G2049" i="5"/>
  <c r="E2048" i="5"/>
  <c r="E2047" i="5"/>
  <c r="G2045" i="5"/>
  <c r="G2043" i="5"/>
  <c r="G2042" i="5"/>
  <c r="G2041" i="5"/>
  <c r="E2040" i="5"/>
  <c r="E2039" i="5"/>
  <c r="G2037" i="5"/>
  <c r="G2036" i="5"/>
  <c r="G2035" i="5"/>
  <c r="G2034" i="5"/>
  <c r="G2033" i="5"/>
  <c r="E2032" i="5"/>
  <c r="E2031" i="5"/>
  <c r="G2029" i="5"/>
  <c r="G2027" i="5"/>
  <c r="G2023" i="5"/>
  <c r="G2022" i="5"/>
  <c r="G2021" i="5"/>
  <c r="G2016" i="5"/>
  <c r="G2015" i="5"/>
  <c r="G2014" i="5"/>
  <c r="G2009" i="5"/>
  <c r="G2008" i="5"/>
  <c r="G2007" i="5"/>
  <c r="G2002" i="5"/>
  <c r="G2000" i="5"/>
  <c r="G1995" i="5"/>
  <c r="G1994" i="5"/>
  <c r="G1993" i="5"/>
  <c r="G1987" i="5"/>
  <c r="G1985" i="5"/>
  <c r="G1979" i="5"/>
  <c r="G1978" i="5"/>
  <c r="G1977" i="5"/>
  <c r="G1972" i="5"/>
  <c r="G1970" i="5"/>
  <c r="G1965" i="5"/>
  <c r="G1964" i="5"/>
  <c r="G1963" i="5"/>
  <c r="G1959" i="5"/>
  <c r="G1958" i="5"/>
  <c r="G1957" i="5"/>
  <c r="G1953" i="5"/>
  <c r="G1952" i="5"/>
  <c r="G1951" i="5"/>
  <c r="G1946" i="5"/>
  <c r="G1945" i="5"/>
  <c r="G1944" i="5"/>
  <c r="G1941" i="5"/>
  <c r="G1940" i="5"/>
  <c r="G1939" i="5"/>
  <c r="G1936" i="5"/>
  <c r="G1935" i="5"/>
  <c r="G1934" i="5"/>
  <c r="G1930" i="5"/>
  <c r="G1929" i="5"/>
  <c r="G1928" i="5"/>
  <c r="G1925" i="5"/>
  <c r="G1924" i="5"/>
  <c r="G1923" i="5"/>
  <c r="G1920" i="5"/>
  <c r="G1919" i="5"/>
  <c r="G1918" i="5"/>
  <c r="G1915" i="5"/>
  <c r="G1914" i="5"/>
  <c r="G1913" i="5"/>
  <c r="G1909" i="5"/>
  <c r="G1908" i="5"/>
  <c r="G1907" i="5"/>
  <c r="G1903" i="5"/>
  <c r="G1902" i="5"/>
  <c r="G1901" i="5"/>
  <c r="G1897" i="5"/>
  <c r="G1896" i="5"/>
  <c r="G1895" i="5"/>
  <c r="G1891" i="5"/>
  <c r="G1890" i="5"/>
  <c r="G1889" i="5"/>
  <c r="G1885" i="5"/>
  <c r="G1884" i="5"/>
  <c r="G1883" i="5"/>
  <c r="G1879" i="5"/>
  <c r="G1878" i="5"/>
  <c r="G1877" i="5"/>
  <c r="G1873" i="5"/>
  <c r="G1872" i="5"/>
  <c r="G1871" i="5"/>
  <c r="G1867" i="5"/>
  <c r="G1866" i="5"/>
  <c r="G1865" i="5"/>
  <c r="G1861" i="5"/>
  <c r="G1860" i="5"/>
  <c r="G1859" i="5"/>
  <c r="G1855" i="5"/>
  <c r="G1854" i="5"/>
  <c r="G1853" i="5"/>
  <c r="G1849" i="5"/>
  <c r="G1848" i="5"/>
  <c r="G1847" i="5"/>
  <c r="G1843" i="5"/>
  <c r="G1842" i="5"/>
  <c r="G1841" i="5"/>
  <c r="G1836" i="5"/>
  <c r="G1835" i="5"/>
  <c r="G1834" i="5"/>
  <c r="G1830" i="5"/>
  <c r="G1829" i="5"/>
  <c r="G1828" i="5"/>
  <c r="G1824" i="5"/>
  <c r="G1823" i="5"/>
  <c r="G1822" i="5"/>
  <c r="G1819" i="5"/>
  <c r="G1818" i="5"/>
  <c r="G1817" i="5"/>
  <c r="G1814" i="5"/>
  <c r="G1813" i="5"/>
  <c r="G1812" i="5"/>
  <c r="G1807" i="5"/>
  <c r="G1805" i="5"/>
  <c r="G1800" i="5"/>
  <c r="G1799" i="5"/>
  <c r="G1798" i="5"/>
  <c r="G1793" i="5"/>
  <c r="G1792" i="5"/>
  <c r="G1791" i="5"/>
  <c r="G1786" i="5"/>
  <c r="G1785" i="5"/>
  <c r="G1784" i="5"/>
  <c r="G1779" i="5"/>
  <c r="G1777" i="5"/>
  <c r="G1772" i="5"/>
  <c r="G1771" i="5"/>
  <c r="G1770" i="5"/>
  <c r="G1765" i="5"/>
  <c r="G1764" i="5"/>
  <c r="G1763" i="5"/>
  <c r="G1758" i="5"/>
  <c r="G1757" i="5"/>
  <c r="G1756" i="5"/>
  <c r="G1747" i="5"/>
  <c r="G1746" i="5"/>
  <c r="G1745" i="5"/>
  <c r="G1736" i="5"/>
  <c r="G1735" i="5"/>
  <c r="G1734" i="5"/>
  <c r="G1725" i="5"/>
  <c r="G1724" i="5"/>
  <c r="G1723" i="5"/>
  <c r="G1714" i="5"/>
  <c r="G1713" i="5"/>
  <c r="G1712" i="5"/>
  <c r="G1706" i="5"/>
  <c r="G1705" i="5"/>
  <c r="G1704" i="5"/>
  <c r="G1700" i="5"/>
  <c r="G1699" i="5"/>
  <c r="G1698" i="5"/>
  <c r="G1693" i="5"/>
  <c r="G1692" i="5"/>
  <c r="G1691" i="5"/>
  <c r="G1686" i="5"/>
  <c r="G1685" i="5"/>
  <c r="G1684" i="5"/>
  <c r="G1680" i="5"/>
  <c r="G1679" i="5"/>
  <c r="G1678" i="5"/>
  <c r="G1675" i="5"/>
  <c r="G1674" i="5"/>
  <c r="G1673" i="5"/>
  <c r="G1670" i="5"/>
  <c r="G1669" i="5"/>
  <c r="G1668" i="5"/>
  <c r="G1665" i="5"/>
  <c r="G1664" i="5"/>
  <c r="G1663" i="5"/>
  <c r="E1661" i="5"/>
  <c r="E1660" i="5"/>
  <c r="G1659" i="5"/>
  <c r="G1658" i="5"/>
  <c r="G1657" i="5"/>
  <c r="G1653" i="5"/>
  <c r="G1652" i="5"/>
  <c r="G1651" i="5"/>
  <c r="G1647" i="5"/>
  <c r="G1646" i="5"/>
  <c r="G1645" i="5"/>
  <c r="G1641" i="5"/>
  <c r="G1639" i="5"/>
  <c r="G1636" i="5"/>
  <c r="G1635" i="5"/>
  <c r="G1634" i="5"/>
  <c r="G1630" i="5"/>
  <c r="G1628" i="5"/>
  <c r="G1624" i="5"/>
  <c r="G1623" i="5"/>
  <c r="G1622" i="5"/>
  <c r="G1619" i="5"/>
  <c r="G1618" i="5"/>
  <c r="G1617" i="5"/>
  <c r="E1614" i="5"/>
  <c r="E1613" i="5"/>
  <c r="G1612" i="5"/>
  <c r="G1611" i="5"/>
  <c r="G1610" i="5"/>
  <c r="G1606" i="5"/>
  <c r="G1605" i="5"/>
  <c r="G1604" i="5"/>
  <c r="G1600" i="5"/>
  <c r="G1599" i="5"/>
  <c r="G1598" i="5"/>
  <c r="G1594" i="5"/>
  <c r="G1593" i="5"/>
  <c r="G1592" i="5"/>
  <c r="G1579" i="5"/>
  <c r="G1578" i="5"/>
  <c r="G1577" i="5"/>
  <c r="G1572" i="5"/>
  <c r="G1571" i="5"/>
  <c r="G1570" i="5"/>
  <c r="G1565" i="5"/>
  <c r="G1564" i="5"/>
  <c r="G1563" i="5"/>
  <c r="G1558" i="5"/>
  <c r="G1557" i="5"/>
  <c r="G1556" i="5"/>
  <c r="G1551" i="5"/>
  <c r="G1550" i="5"/>
  <c r="G1549" i="5"/>
  <c r="G1543" i="5"/>
  <c r="G1542" i="5"/>
  <c r="G1541" i="5"/>
  <c r="G1535" i="5"/>
  <c r="G1534" i="5"/>
  <c r="G1533" i="5"/>
  <c r="G1527" i="5"/>
  <c r="G1526" i="5"/>
  <c r="G1525" i="5"/>
  <c r="G1519" i="5"/>
  <c r="G1518" i="5"/>
  <c r="G1517" i="5"/>
  <c r="G1511" i="5"/>
  <c r="G1510" i="5"/>
  <c r="G1509" i="5"/>
  <c r="G1496" i="5"/>
  <c r="G1495" i="5"/>
  <c r="G1494" i="5"/>
  <c r="G1481" i="5"/>
  <c r="G1480" i="5"/>
  <c r="G1479" i="5"/>
  <c r="G1466" i="5"/>
  <c r="G1465" i="5"/>
  <c r="G1464" i="5"/>
  <c r="G1451" i="5"/>
  <c r="G1450" i="5"/>
  <c r="G1449" i="5"/>
  <c r="G1436" i="5"/>
  <c r="G1435" i="5"/>
  <c r="G1434" i="5"/>
  <c r="G1421" i="5"/>
  <c r="G1420" i="5"/>
  <c r="G1419" i="5"/>
  <c r="G1406" i="5"/>
  <c r="G1405" i="5"/>
  <c r="G1404" i="5"/>
  <c r="G1399" i="5"/>
  <c r="G1398" i="5"/>
  <c r="G1397" i="5"/>
  <c r="G1393" i="5"/>
  <c r="G1392" i="5"/>
  <c r="G1391" i="5"/>
  <c r="G1387" i="5"/>
  <c r="G1386" i="5"/>
  <c r="G1385" i="5"/>
  <c r="G1381" i="5"/>
  <c r="G1380" i="5"/>
  <c r="G1379" i="5"/>
  <c r="G1374" i="5"/>
  <c r="G1373" i="5"/>
  <c r="G1372" i="5"/>
  <c r="G1368" i="5"/>
  <c r="G1367" i="5"/>
  <c r="G1366" i="5"/>
  <c r="G1362" i="5"/>
  <c r="G1361" i="5"/>
  <c r="G1360" i="5"/>
  <c r="G1355" i="5"/>
  <c r="G1354" i="5"/>
  <c r="G1353" i="5"/>
  <c r="G1349" i="5"/>
  <c r="G1348" i="5"/>
  <c r="G1347" i="5"/>
  <c r="G1342" i="5"/>
  <c r="G1340" i="5"/>
  <c r="G1336" i="5"/>
  <c r="G1335" i="5"/>
  <c r="G1334" i="5"/>
  <c r="G1330" i="5"/>
  <c r="G1329" i="5"/>
  <c r="G1328" i="5"/>
  <c r="G1324" i="5"/>
  <c r="G1323" i="5"/>
  <c r="G1322" i="5"/>
  <c r="G1318" i="5"/>
  <c r="G1316" i="5"/>
  <c r="G1309" i="5"/>
  <c r="G1308" i="5"/>
  <c r="G1307" i="5"/>
  <c r="G1301" i="5"/>
  <c r="G1300" i="5"/>
  <c r="G1299" i="5"/>
  <c r="G1294" i="5"/>
  <c r="G1293" i="5"/>
  <c r="G1292" i="5"/>
  <c r="G1287" i="5"/>
  <c r="G1286" i="5"/>
  <c r="G1285" i="5"/>
  <c r="G1280" i="5"/>
  <c r="G1279" i="5"/>
  <c r="G1278" i="5"/>
  <c r="G1273" i="5"/>
  <c r="G1272" i="5"/>
  <c r="G1271" i="5"/>
  <c r="G1267" i="5"/>
  <c r="G1266" i="5"/>
  <c r="G1265" i="5"/>
  <c r="G1260" i="5"/>
  <c r="G1258" i="5"/>
  <c r="G1253" i="5"/>
  <c r="G1252" i="5"/>
  <c r="G1251" i="5"/>
  <c r="G1246" i="5"/>
  <c r="G1245" i="5"/>
  <c r="G1244" i="5"/>
  <c r="G1240" i="5"/>
  <c r="G1239" i="5"/>
  <c r="G1238" i="5"/>
  <c r="G1234" i="5"/>
  <c r="G1233" i="5"/>
  <c r="G1232" i="5"/>
  <c r="G1228" i="5"/>
  <c r="G1227" i="5"/>
  <c r="G1226" i="5"/>
  <c r="G1222" i="5"/>
  <c r="G1221" i="5"/>
  <c r="G1220" i="5"/>
  <c r="G1215" i="5"/>
  <c r="G1214" i="5"/>
  <c r="G1213" i="5"/>
  <c r="G1208" i="5"/>
  <c r="G1207" i="5"/>
  <c r="G1206" i="5"/>
  <c r="G1201" i="5"/>
  <c r="G1200" i="5"/>
  <c r="G1199" i="5"/>
  <c r="G1194" i="5"/>
  <c r="G1193" i="5"/>
  <c r="G1192" i="5"/>
  <c r="G1187" i="5"/>
  <c r="G1186" i="5"/>
  <c r="G1185" i="5"/>
  <c r="G1180" i="5"/>
  <c r="G1178" i="5"/>
  <c r="G1173" i="5"/>
  <c r="G1172" i="5"/>
  <c r="G1171" i="5"/>
  <c r="G1166" i="5"/>
  <c r="G1165" i="5"/>
  <c r="G1164" i="5"/>
  <c r="G1159" i="5"/>
  <c r="G1158" i="5"/>
  <c r="G1157" i="5"/>
  <c r="G1152" i="5"/>
  <c r="G1151" i="5"/>
  <c r="G1150" i="5"/>
  <c r="G1145" i="5"/>
  <c r="G1144" i="5"/>
  <c r="G1143" i="5"/>
  <c r="G1138" i="5"/>
  <c r="G1137" i="5"/>
  <c r="G1136" i="5"/>
  <c r="G1133" i="5"/>
  <c r="G1132" i="5"/>
  <c r="G1131" i="5"/>
  <c r="G1127" i="5"/>
  <c r="G1126" i="5"/>
  <c r="G1125" i="5"/>
  <c r="G1122" i="5"/>
  <c r="G1121" i="5"/>
  <c r="G1120" i="5"/>
  <c r="G1117" i="5"/>
  <c r="G1116" i="5"/>
  <c r="G1115" i="5"/>
  <c r="G1109" i="5"/>
  <c r="G1108" i="5"/>
  <c r="G1107" i="5"/>
  <c r="G1106" i="5"/>
  <c r="G1105" i="5"/>
  <c r="E1104" i="5"/>
  <c r="E1103" i="5"/>
  <c r="G1099" i="5"/>
  <c r="G1098" i="5"/>
  <c r="G1097" i="5"/>
  <c r="G1091" i="5"/>
  <c r="G1090" i="5"/>
  <c r="G1089" i="5"/>
  <c r="G1083" i="5"/>
  <c r="G1082" i="5"/>
  <c r="G1081" i="5"/>
  <c r="G1080" i="5"/>
  <c r="G1079" i="5"/>
  <c r="E1078" i="5"/>
  <c r="E1077" i="5"/>
  <c r="G1074" i="5"/>
  <c r="G1073" i="5"/>
  <c r="G1072" i="5"/>
  <c r="G1067" i="5"/>
  <c r="G1066" i="5"/>
  <c r="G1065" i="5"/>
  <c r="G1060" i="5"/>
  <c r="G1058" i="5"/>
  <c r="G1053" i="5"/>
  <c r="G1051" i="5"/>
  <c r="G1046" i="5"/>
  <c r="G1045" i="5"/>
  <c r="G1044" i="5"/>
  <c r="G1037" i="5"/>
  <c r="G1036" i="5"/>
  <c r="G1035" i="5"/>
  <c r="G1027" i="5"/>
  <c r="G1026" i="5"/>
  <c r="G1025" i="5"/>
  <c r="G1022" i="5"/>
  <c r="G1021" i="5"/>
  <c r="G1020" i="5"/>
  <c r="G1013" i="5"/>
  <c r="G1011" i="5"/>
  <c r="G1008" i="5"/>
  <c r="G1007" i="5"/>
  <c r="G1006" i="5"/>
  <c r="G1003" i="5"/>
  <c r="G1002" i="5"/>
  <c r="G1001" i="5"/>
  <c r="G992" i="5"/>
  <c r="G991" i="5"/>
  <c r="G990" i="5"/>
  <c r="G981" i="5"/>
  <c r="G979" i="5"/>
  <c r="G974" i="5"/>
  <c r="G972" i="5"/>
  <c r="G967" i="5"/>
  <c r="G966" i="5"/>
  <c r="G965" i="5"/>
  <c r="G960" i="5"/>
  <c r="G959" i="5"/>
  <c r="G958" i="5"/>
  <c r="G954" i="5"/>
  <c r="G953" i="5"/>
  <c r="G952" i="5"/>
  <c r="G948" i="5"/>
  <c r="G946" i="5"/>
  <c r="G939" i="5"/>
  <c r="G938" i="5"/>
  <c r="G937" i="5"/>
  <c r="G930" i="5"/>
  <c r="G929" i="5"/>
  <c r="G928" i="5"/>
  <c r="G923" i="5"/>
  <c r="G921" i="5"/>
  <c r="G914" i="5"/>
  <c r="G912" i="5"/>
  <c r="G908" i="5"/>
  <c r="G907" i="5"/>
  <c r="G906" i="5"/>
  <c r="E905" i="5"/>
  <c r="G904" i="5"/>
  <c r="G903" i="5"/>
  <c r="G902" i="5"/>
  <c r="G897" i="5"/>
  <c r="G895" i="5"/>
  <c r="E894" i="5"/>
  <c r="E893" i="5"/>
  <c r="G892" i="5"/>
  <c r="G891" i="5"/>
  <c r="G890" i="5"/>
  <c r="G884" i="5"/>
  <c r="G882" i="5"/>
  <c r="G876" i="5"/>
  <c r="G875" i="5"/>
  <c r="G874" i="5"/>
  <c r="G873" i="5"/>
  <c r="G872" i="5"/>
  <c r="E871" i="5"/>
  <c r="G868" i="5"/>
  <c r="G867" i="5"/>
  <c r="G866" i="5"/>
  <c r="G863" i="5"/>
  <c r="G862" i="5"/>
  <c r="G861" i="5"/>
  <c r="G857" i="5"/>
  <c r="G856" i="5"/>
  <c r="G855" i="5"/>
  <c r="E853" i="5"/>
  <c r="G851" i="5"/>
  <c r="G850" i="5"/>
  <c r="G849" i="5"/>
  <c r="G846" i="5"/>
  <c r="G845" i="5"/>
  <c r="G844" i="5"/>
  <c r="G840" i="5"/>
  <c r="G839" i="5"/>
  <c r="G838" i="5"/>
  <c r="G833" i="5"/>
  <c r="G831" i="5"/>
  <c r="G828" i="5"/>
  <c r="G827" i="5"/>
  <c r="G826" i="5"/>
  <c r="E825" i="5"/>
  <c r="G824" i="5"/>
  <c r="G822" i="5"/>
  <c r="E820" i="5"/>
  <c r="G819" i="5"/>
  <c r="G818" i="5"/>
  <c r="G817" i="5"/>
  <c r="G815" i="5"/>
  <c r="G814" i="5"/>
  <c r="G813" i="5"/>
  <c r="G805" i="5"/>
  <c r="G804" i="5"/>
  <c r="G803" i="5"/>
  <c r="G791" i="5"/>
  <c r="G789" i="5"/>
  <c r="G784" i="5"/>
  <c r="G783" i="5"/>
  <c r="G782" i="5"/>
  <c r="G773" i="5"/>
  <c r="G772" i="5"/>
  <c r="G771" i="5"/>
  <c r="E770" i="5"/>
  <c r="G767" i="5"/>
  <c r="G766" i="5"/>
  <c r="G765" i="5"/>
  <c r="G756" i="5"/>
  <c r="G755" i="5"/>
  <c r="G754" i="5"/>
  <c r="E751" i="5"/>
  <c r="E750" i="5"/>
  <c r="G749" i="5"/>
  <c r="G748" i="5"/>
  <c r="G747" i="5"/>
  <c r="G745" i="5"/>
  <c r="G744" i="5"/>
  <c r="G743" i="5"/>
  <c r="E738" i="5"/>
  <c r="G737" i="5"/>
  <c r="G735" i="5"/>
  <c r="G731" i="5"/>
  <c r="G729" i="5"/>
  <c r="E728" i="5"/>
  <c r="E727" i="5"/>
  <c r="E726" i="5"/>
  <c r="E725" i="5"/>
  <c r="G724" i="5"/>
  <c r="G722" i="5"/>
  <c r="G715" i="5"/>
  <c r="G713" i="5"/>
  <c r="G705" i="5"/>
  <c r="G704" i="5"/>
  <c r="G703" i="5"/>
  <c r="E702" i="5"/>
  <c r="E701" i="5"/>
  <c r="E700" i="5"/>
  <c r="E699" i="5"/>
  <c r="E698" i="5"/>
  <c r="G697" i="5"/>
  <c r="G696" i="5"/>
  <c r="G695" i="5"/>
  <c r="G687" i="5"/>
  <c r="G686" i="5"/>
  <c r="G685" i="5"/>
  <c r="G677" i="5"/>
  <c r="G675" i="5"/>
  <c r="E674" i="5"/>
  <c r="E673" i="5"/>
  <c r="E672" i="5"/>
  <c r="E671" i="5"/>
  <c r="E670" i="5"/>
  <c r="G669" i="5"/>
  <c r="G667" i="5"/>
  <c r="G665" i="5"/>
  <c r="G664" i="5"/>
  <c r="G663" i="5"/>
  <c r="G661" i="5"/>
  <c r="G660" i="5"/>
  <c r="G659" i="5"/>
  <c r="G657" i="5"/>
  <c r="G656" i="5"/>
  <c r="G655" i="5"/>
  <c r="G653" i="5"/>
  <c r="G652" i="5"/>
  <c r="G651" i="5"/>
  <c r="G649" i="5"/>
  <c r="G648" i="5"/>
  <c r="G647" i="5"/>
  <c r="G645" i="5"/>
  <c r="G644" i="5"/>
  <c r="G643" i="5"/>
  <c r="G638" i="5"/>
  <c r="G637" i="5"/>
  <c r="G636" i="5"/>
  <c r="G630" i="5"/>
  <c r="G628" i="5"/>
  <c r="G622" i="5"/>
  <c r="G621" i="5"/>
  <c r="G620" i="5"/>
  <c r="G616" i="5"/>
  <c r="G615" i="5"/>
  <c r="G614" i="5"/>
  <c r="G613" i="5"/>
  <c r="G612" i="5"/>
  <c r="E611" i="5"/>
  <c r="E610" i="5"/>
  <c r="E609" i="5"/>
  <c r="E608" i="5"/>
  <c r="G607" i="5"/>
  <c r="G605" i="5"/>
  <c r="G604" i="5"/>
  <c r="G603" i="5"/>
  <c r="E602" i="5"/>
  <c r="E601" i="5"/>
  <c r="E600" i="5"/>
  <c r="E599" i="5"/>
  <c r="E598" i="5"/>
  <c r="G597" i="5"/>
  <c r="G595" i="5"/>
  <c r="G589" i="5"/>
  <c r="G588" i="5"/>
  <c r="G587" i="5"/>
  <c r="G586" i="5"/>
  <c r="G585" i="5"/>
  <c r="E584" i="5"/>
  <c r="E583" i="5"/>
  <c r="E582" i="5"/>
  <c r="E581" i="5"/>
  <c r="G580" i="5"/>
  <c r="G579" i="5"/>
  <c r="G578" i="5"/>
  <c r="G577" i="5"/>
  <c r="G576" i="5"/>
  <c r="E575" i="5"/>
  <c r="E574" i="5"/>
  <c r="E573" i="5"/>
  <c r="E572" i="5"/>
  <c r="E571" i="5"/>
  <c r="G570" i="5"/>
  <c r="G568" i="5"/>
  <c r="G562" i="5"/>
  <c r="G561" i="5"/>
  <c r="G560" i="5"/>
  <c r="G554" i="5"/>
  <c r="G553" i="5"/>
  <c r="G552" i="5"/>
  <c r="G546" i="5"/>
  <c r="G544" i="5"/>
  <c r="G538" i="5"/>
  <c r="G537" i="5"/>
  <c r="G536" i="5"/>
  <c r="G532" i="5"/>
  <c r="G531" i="5"/>
  <c r="G530" i="5"/>
  <c r="G525" i="5"/>
  <c r="G523" i="5"/>
  <c r="G518" i="5"/>
  <c r="G517" i="5"/>
  <c r="G516" i="5"/>
  <c r="G512" i="5"/>
  <c r="G510" i="5"/>
  <c r="G505" i="5"/>
  <c r="G504" i="5"/>
  <c r="G503" i="5"/>
  <c r="G498" i="5"/>
  <c r="G497" i="5"/>
  <c r="G496" i="5"/>
  <c r="G495" i="5"/>
  <c r="G494" i="5"/>
  <c r="G493" i="5"/>
  <c r="E492" i="5"/>
  <c r="E491" i="5"/>
  <c r="G490" i="5"/>
  <c r="G488" i="5"/>
  <c r="G484" i="5"/>
  <c r="G483" i="5"/>
  <c r="G482" i="5"/>
  <c r="G481" i="5"/>
  <c r="G480" i="5"/>
  <c r="G479" i="5"/>
  <c r="G478" i="5"/>
  <c r="E476" i="5"/>
  <c r="G472" i="5"/>
  <c r="G471" i="5"/>
  <c r="G470" i="5"/>
  <c r="E468" i="5"/>
  <c r="E466" i="5"/>
  <c r="G465" i="5"/>
  <c r="G463" i="5"/>
  <c r="G462" i="5"/>
  <c r="G461" i="5"/>
  <c r="G460" i="5"/>
  <c r="E459" i="5"/>
  <c r="E456" i="5"/>
  <c r="G455" i="5"/>
  <c r="G454" i="5"/>
  <c r="G453" i="5"/>
  <c r="G452" i="5"/>
  <c r="G451" i="5"/>
  <c r="G447" i="5"/>
  <c r="G446" i="5"/>
  <c r="G445" i="5"/>
  <c r="G441" i="5"/>
  <c r="G439" i="5"/>
  <c r="G435" i="5"/>
  <c r="G433" i="5"/>
  <c r="G423" i="5"/>
  <c r="G422" i="5"/>
  <c r="G421" i="5"/>
  <c r="E420" i="5"/>
  <c r="E419" i="5"/>
  <c r="G416" i="5"/>
  <c r="G415" i="5"/>
  <c r="G414" i="5"/>
  <c r="G402" i="5"/>
  <c r="G401" i="5"/>
  <c r="G400" i="5"/>
  <c r="G395" i="5"/>
  <c r="G394" i="5"/>
  <c r="G393" i="5"/>
  <c r="G381" i="5"/>
  <c r="G380" i="5"/>
  <c r="G379" i="5"/>
  <c r="G372" i="5"/>
  <c r="G371" i="5"/>
  <c r="G370" i="5"/>
  <c r="G366" i="5"/>
  <c r="G365" i="5"/>
  <c r="G364" i="5"/>
  <c r="G363" i="5"/>
  <c r="G362" i="5"/>
  <c r="E361" i="5"/>
  <c r="E360" i="5"/>
  <c r="G352" i="5"/>
  <c r="G351" i="5"/>
  <c r="G350" i="5"/>
  <c r="G342" i="5"/>
  <c r="G341" i="5"/>
  <c r="G340" i="5"/>
  <c r="E334" i="5"/>
  <c r="G327" i="5"/>
  <c r="G326" i="5"/>
  <c r="G325" i="5"/>
  <c r="G321" i="5"/>
  <c r="G320" i="5"/>
  <c r="G319" i="5"/>
  <c r="G318" i="5"/>
  <c r="G317" i="5"/>
  <c r="E316" i="5"/>
  <c r="E315" i="5"/>
  <c r="G306" i="5"/>
  <c r="G305" i="5"/>
  <c r="G304" i="5"/>
  <c r="G303" i="5"/>
  <c r="G302" i="5"/>
  <c r="E301" i="5"/>
  <c r="E300" i="5"/>
  <c r="G291" i="5"/>
  <c r="G290" i="5"/>
  <c r="G289" i="5"/>
  <c r="G284" i="5"/>
  <c r="G283" i="5"/>
  <c r="G282" i="5"/>
  <c r="G277" i="5"/>
  <c r="G275" i="5"/>
  <c r="G269" i="5"/>
  <c r="G268" i="5"/>
  <c r="G267" i="5"/>
  <c r="G264" i="5"/>
  <c r="G263" i="5"/>
  <c r="G262" i="5"/>
  <c r="G249" i="5"/>
  <c r="G248" i="5"/>
  <c r="G247" i="5"/>
  <c r="G241" i="5"/>
  <c r="G240" i="5"/>
  <c r="G239" i="5"/>
  <c r="G237" i="5"/>
  <c r="G236" i="5"/>
  <c r="G235" i="5"/>
  <c r="G233" i="5"/>
  <c r="G231" i="5"/>
  <c r="G229" i="5"/>
  <c r="G228" i="5"/>
  <c r="G227" i="5"/>
  <c r="G225" i="5"/>
  <c r="G224" i="5"/>
  <c r="G223" i="5"/>
  <c r="G220" i="5"/>
  <c r="G218" i="5"/>
  <c r="G215" i="5"/>
  <c r="G214" i="5"/>
  <c r="G213" i="5"/>
  <c r="G211" i="5"/>
  <c r="G210" i="5"/>
  <c r="G209" i="5"/>
  <c r="G206" i="5"/>
  <c r="G205" i="5"/>
  <c r="G204" i="5"/>
  <c r="E203" i="5"/>
  <c r="G202" i="5"/>
  <c r="G201" i="5"/>
  <c r="G200" i="5"/>
  <c r="G198" i="5"/>
  <c r="G197" i="5"/>
  <c r="G196" i="5"/>
  <c r="G191" i="5"/>
  <c r="G190" i="5"/>
  <c r="G189" i="5"/>
  <c r="G188" i="5"/>
  <c r="G187" i="5"/>
  <c r="E186" i="5"/>
  <c r="E185" i="5"/>
  <c r="G184" i="5"/>
  <c r="G182" i="5"/>
  <c r="G180" i="5"/>
  <c r="G179" i="5"/>
  <c r="G178" i="5"/>
  <c r="E177" i="5"/>
  <c r="G176" i="5"/>
  <c r="G175" i="5"/>
  <c r="G174" i="5"/>
  <c r="G172" i="5"/>
  <c r="G171" i="5"/>
  <c r="G170" i="5"/>
  <c r="G167" i="5"/>
  <c r="G166" i="5"/>
  <c r="G165" i="5"/>
  <c r="G162" i="5"/>
  <c r="G160" i="5"/>
  <c r="G159" i="5"/>
  <c r="G158" i="5"/>
  <c r="E157" i="5"/>
  <c r="E156" i="5"/>
  <c r="G155" i="5"/>
  <c r="G154" i="5"/>
  <c r="G153" i="5"/>
  <c r="G150" i="5"/>
  <c r="G148" i="5"/>
  <c r="G145" i="5"/>
  <c r="G144" i="5"/>
  <c r="G143" i="5"/>
  <c r="G140" i="5"/>
  <c r="G139" i="5"/>
  <c r="G138" i="5"/>
  <c r="E137" i="5"/>
  <c r="G136" i="5"/>
  <c r="G135" i="5"/>
  <c r="G134" i="5"/>
  <c r="G132" i="5"/>
  <c r="G131" i="5"/>
  <c r="G130" i="5"/>
  <c r="G127" i="5"/>
  <c r="G126" i="5"/>
  <c r="G125" i="5"/>
  <c r="G122" i="5"/>
  <c r="G121" i="5"/>
  <c r="G120" i="5"/>
  <c r="G117" i="5"/>
  <c r="G116" i="5"/>
  <c r="G115" i="5"/>
  <c r="G112" i="5"/>
  <c r="G111" i="5"/>
  <c r="G110" i="5"/>
  <c r="G107" i="5"/>
  <c r="G106" i="5"/>
  <c r="G105" i="5"/>
  <c r="E104" i="5"/>
  <c r="G103" i="5"/>
  <c r="G102" i="5"/>
  <c r="G101" i="5"/>
  <c r="G98" i="5"/>
  <c r="G97" i="5"/>
  <c r="G96" i="5"/>
  <c r="E95" i="5"/>
  <c r="E94" i="5"/>
  <c r="G93" i="5"/>
  <c r="G92" i="5"/>
  <c r="G91" i="5"/>
  <c r="E90" i="5"/>
  <c r="E89" i="5"/>
  <c r="G88" i="5"/>
  <c r="G87" i="5"/>
  <c r="G86" i="5"/>
  <c r="G83" i="5"/>
  <c r="G82" i="5"/>
  <c r="G81" i="5"/>
  <c r="G78" i="5"/>
  <c r="G77" i="5"/>
  <c r="G76" i="5"/>
  <c r="G70" i="5"/>
  <c r="G68" i="5"/>
  <c r="G65" i="5"/>
  <c r="G64" i="5"/>
  <c r="G63" i="5"/>
  <c r="G60" i="5"/>
  <c r="G59" i="5"/>
  <c r="G58" i="5"/>
  <c r="G53" i="5"/>
  <c r="G51" i="5"/>
  <c r="E50" i="5"/>
  <c r="E49" i="5"/>
  <c r="G48" i="5"/>
  <c r="G47" i="5"/>
  <c r="G46" i="5"/>
  <c r="G43" i="5"/>
  <c r="G41" i="5"/>
  <c r="G38" i="5"/>
  <c r="G36" i="5"/>
  <c r="G34" i="5"/>
  <c r="G33" i="5"/>
  <c r="G32" i="5"/>
  <c r="G29" i="5"/>
  <c r="G28" i="5"/>
  <c r="G27" i="5"/>
  <c r="G24" i="5"/>
  <c r="G23" i="5"/>
  <c r="G22" i="5"/>
  <c r="G19" i="5"/>
  <c r="G18" i="5"/>
  <c r="G17" i="5"/>
  <c r="G15" i="5"/>
  <c r="G14" i="5"/>
  <c r="G13" i="5"/>
  <c r="G11" i="5"/>
  <c r="G9" i="5"/>
  <c r="G7" i="5"/>
  <c r="G6" i="5"/>
  <c r="E3678" i="5" l="1"/>
  <c r="G832" i="5"/>
  <c r="G434" i="5"/>
  <c r="G440" i="5"/>
  <c r="G3313" i="5"/>
  <c r="G947" i="5"/>
  <c r="G3306" i="5"/>
  <c r="G730" i="5"/>
  <c r="G1317" i="5"/>
  <c r="G2281" i="5"/>
  <c r="G10" i="5"/>
  <c r="G823" i="5"/>
  <c r="G149" i="5"/>
  <c r="G183" i="5"/>
  <c r="G569" i="5"/>
  <c r="G723" i="5"/>
  <c r="G883" i="5"/>
  <c r="G896" i="5"/>
  <c r="G913" i="5"/>
  <c r="G1012" i="5"/>
  <c r="G1052" i="5"/>
  <c r="G1059" i="5"/>
  <c r="G790" i="5"/>
  <c r="G2154" i="5"/>
  <c r="G3928" i="5"/>
  <c r="G3278" i="5"/>
  <c r="G3702" i="5"/>
  <c r="G3730" i="5"/>
  <c r="G4079" i="5"/>
  <c r="G4420" i="5"/>
  <c r="G3177" i="5"/>
  <c r="G3765" i="5"/>
  <c r="G4094" i="5"/>
  <c r="G4557" i="5"/>
  <c r="G668" i="5"/>
  <c r="G232" i="5"/>
  <c r="G676" i="5"/>
  <c r="G37" i="5"/>
  <c r="G714" i="5"/>
  <c r="G736" i="5"/>
  <c r="G2060" i="5"/>
  <c r="G2271" i="5"/>
  <c r="G1259" i="5"/>
  <c r="G1341" i="5"/>
  <c r="G464" i="5"/>
  <c r="G922" i="5"/>
  <c r="G973" i="5"/>
  <c r="G1179" i="5"/>
  <c r="G2186" i="5"/>
  <c r="G2412" i="5"/>
  <c r="G606" i="5"/>
  <c r="G980" i="5"/>
  <c r="G3726" i="5"/>
  <c r="G4043" i="5"/>
  <c r="G3416" i="5"/>
  <c r="G3616" i="5"/>
  <c r="G219" i="5"/>
  <c r="G489" i="5"/>
  <c r="G596" i="5"/>
  <c r="G69" i="5"/>
  <c r="G161" i="5"/>
  <c r="G276" i="5"/>
  <c r="G511" i="5"/>
  <c r="G524" i="5"/>
  <c r="G545" i="5"/>
  <c r="G629" i="5"/>
  <c r="G2028" i="5"/>
  <c r="G2178" i="5"/>
  <c r="G3207" i="5"/>
  <c r="G3667" i="5"/>
  <c r="G3849" i="5"/>
  <c r="G4124" i="5"/>
  <c r="G3402" i="5"/>
  <c r="G3166" i="5"/>
  <c r="G3334" i="5"/>
  <c r="G3381" i="5"/>
  <c r="G3910" i="5"/>
  <c r="G3285" i="5"/>
  <c r="G3868" i="5"/>
  <c r="G3903" i="5"/>
  <c r="G4643" i="5"/>
  <c r="G42" i="5"/>
  <c r="G52" i="5"/>
  <c r="G1778" i="5"/>
  <c r="G1806" i="5"/>
  <c r="G1629" i="5"/>
  <c r="G1640" i="5"/>
  <c r="G1971" i="5"/>
  <c r="G1986" i="5"/>
  <c r="G2001" i="5"/>
  <c r="G2044" i="5"/>
  <c r="G2076" i="5"/>
  <c r="G2108" i="5"/>
  <c r="G2122" i="5"/>
  <c r="G2140" i="5"/>
  <c r="G2652" i="5"/>
  <c r="E3677" i="5"/>
  <c r="G3970" i="5"/>
  <c r="K401" i="20" l="1"/>
  <c r="K391" i="20"/>
  <c r="K382" i="20"/>
  <c r="K374" i="20"/>
  <c r="K366" i="20"/>
  <c r="K358" i="20"/>
  <c r="K349" i="20"/>
  <c r="K339" i="20"/>
  <c r="K331" i="20"/>
  <c r="K322" i="20"/>
  <c r="K313" i="20"/>
  <c r="K304" i="20"/>
  <c r="K296" i="20"/>
  <c r="K288" i="20"/>
  <c r="K279" i="20"/>
  <c r="K271" i="20"/>
  <c r="K263" i="20"/>
  <c r="K254" i="20"/>
  <c r="K246" i="20"/>
  <c r="K238" i="20"/>
  <c r="K230" i="20"/>
  <c r="K222" i="20"/>
  <c r="K214" i="20"/>
  <c r="K206" i="20"/>
  <c r="K198" i="20"/>
  <c r="K190" i="20"/>
  <c r="K182" i="20"/>
  <c r="K174" i="20"/>
  <c r="K398" i="20"/>
  <c r="K389" i="20"/>
  <c r="K380" i="20"/>
  <c r="K372" i="20"/>
  <c r="K364" i="20"/>
  <c r="K356" i="20"/>
  <c r="K346" i="20"/>
  <c r="K337" i="20"/>
  <c r="K329" i="20"/>
  <c r="K319" i="20"/>
  <c r="K310" i="20"/>
  <c r="K302" i="20"/>
  <c r="K294" i="20"/>
  <c r="K286" i="20"/>
  <c r="K277" i="20"/>
  <c r="K269" i="20"/>
  <c r="K261" i="20"/>
  <c r="K252" i="20"/>
  <c r="K244" i="20"/>
  <c r="K236" i="20"/>
  <c r="K228" i="20"/>
  <c r="K220" i="20"/>
  <c r="K212" i="20"/>
  <c r="K204" i="20"/>
  <c r="K196" i="20"/>
  <c r="K188" i="20"/>
  <c r="K180" i="20"/>
  <c r="K172" i="20"/>
  <c r="K164" i="20"/>
  <c r="K156" i="20"/>
  <c r="K148" i="20"/>
  <c r="K140" i="20"/>
  <c r="K132" i="20"/>
  <c r="K124" i="20"/>
  <c r="K397" i="20"/>
  <c r="K388" i="20"/>
  <c r="K379" i="20"/>
  <c r="K371" i="20"/>
  <c r="K363" i="20"/>
  <c r="K355" i="20"/>
  <c r="K345" i="20"/>
  <c r="K336" i="20"/>
  <c r="K328" i="20"/>
  <c r="K318" i="20"/>
  <c r="K309" i="20"/>
  <c r="K301" i="20"/>
  <c r="K293" i="20"/>
  <c r="K285" i="20"/>
  <c r="K276" i="20"/>
  <c r="K268" i="20"/>
  <c r="K260" i="20"/>
  <c r="K251" i="20"/>
  <c r="K243" i="20"/>
  <c r="K235" i="20"/>
  <c r="K227" i="20"/>
  <c r="K219" i="20"/>
  <c r="K211" i="20"/>
  <c r="K203" i="20"/>
  <c r="K195" i="20"/>
  <c r="K187" i="20"/>
  <c r="K179" i="20"/>
  <c r="K394" i="20"/>
  <c r="K378" i="20"/>
  <c r="K367" i="20"/>
  <c r="K352" i="20"/>
  <c r="K338" i="20"/>
  <c r="K324" i="20"/>
  <c r="K308" i="20"/>
  <c r="K297" i="20"/>
  <c r="K282" i="20"/>
  <c r="K270" i="20"/>
  <c r="K256" i="20"/>
  <c r="K242" i="20"/>
  <c r="K231" i="20"/>
  <c r="K217" i="20"/>
  <c r="K205" i="20"/>
  <c r="K192" i="20"/>
  <c r="K178" i="20"/>
  <c r="K168" i="20"/>
  <c r="K159" i="20"/>
  <c r="K150" i="20"/>
  <c r="K141" i="20"/>
  <c r="K131" i="20"/>
  <c r="K122" i="20"/>
  <c r="K114" i="20"/>
  <c r="K105" i="20"/>
  <c r="K97" i="20"/>
  <c r="K89" i="20"/>
  <c r="K81" i="20"/>
  <c r="K73" i="20"/>
  <c r="K65" i="20"/>
  <c r="K56" i="20"/>
  <c r="K48" i="20"/>
  <c r="K13" i="20"/>
  <c r="K390" i="20"/>
  <c r="K362" i="20"/>
  <c r="K320" i="20"/>
  <c r="K292" i="20"/>
  <c r="K406" i="20"/>
  <c r="K393" i="20"/>
  <c r="K377" i="20"/>
  <c r="K365" i="20"/>
  <c r="K351" i="20"/>
  <c r="K335" i="20"/>
  <c r="K323" i="20"/>
  <c r="K307" i="20"/>
  <c r="K295" i="20"/>
  <c r="K281" i="20"/>
  <c r="K267" i="20"/>
  <c r="K255" i="20"/>
  <c r="K241" i="20"/>
  <c r="K229" i="20"/>
  <c r="K216" i="20"/>
  <c r="K202" i="20"/>
  <c r="K191" i="20"/>
  <c r="K177" i="20"/>
  <c r="K167" i="20"/>
  <c r="K158" i="20"/>
  <c r="K149" i="20"/>
  <c r="K139" i="20"/>
  <c r="K130" i="20"/>
  <c r="K121" i="20"/>
  <c r="K113" i="20"/>
  <c r="K104" i="20"/>
  <c r="K96" i="20"/>
  <c r="K88" i="20"/>
  <c r="K80" i="20"/>
  <c r="K72" i="20"/>
  <c r="K63" i="20"/>
  <c r="K55" i="20"/>
  <c r="K47" i="20"/>
  <c r="K9" i="20"/>
  <c r="K405" i="20"/>
  <c r="K376" i="20"/>
  <c r="K350" i="20"/>
  <c r="K334" i="20"/>
  <c r="K306" i="20"/>
  <c r="K385" i="20"/>
  <c r="K361" i="20"/>
  <c r="K342" i="20"/>
  <c r="K316" i="20"/>
  <c r="K298" i="20"/>
  <c r="K275" i="20"/>
  <c r="K259" i="20"/>
  <c r="K240" i="20"/>
  <c r="K224" i="20"/>
  <c r="K208" i="20"/>
  <c r="K189" i="20"/>
  <c r="K173" i="20"/>
  <c r="K161" i="20"/>
  <c r="K147" i="20"/>
  <c r="K136" i="20"/>
  <c r="K125" i="20"/>
  <c r="K112" i="20"/>
  <c r="K101" i="20"/>
  <c r="K91" i="20"/>
  <c r="K79" i="20"/>
  <c r="K69" i="20"/>
  <c r="K58" i="20"/>
  <c r="K45" i="20"/>
  <c r="K8" i="20"/>
  <c r="K134" i="20"/>
  <c r="K87" i="20"/>
  <c r="K67" i="20"/>
  <c r="K54" i="20"/>
  <c r="K86" i="20"/>
  <c r="K66" i="20"/>
  <c r="K215" i="20"/>
  <c r="K347" i="20"/>
  <c r="K265" i="20"/>
  <c r="K213" i="20"/>
  <c r="K128" i="20"/>
  <c r="K84" i="20"/>
  <c r="K14" i="20"/>
  <c r="K325" i="20"/>
  <c r="K280" i="20"/>
  <c r="K210" i="20"/>
  <c r="K163" i="20"/>
  <c r="K127" i="20"/>
  <c r="K83" i="20"/>
  <c r="K317" i="20"/>
  <c r="K225" i="20"/>
  <c r="K175" i="20"/>
  <c r="K115" i="20"/>
  <c r="K82" i="20"/>
  <c r="K11" i="20"/>
  <c r="K403" i="20"/>
  <c r="K384" i="20"/>
  <c r="K360" i="20"/>
  <c r="N360" i="20" s="1"/>
  <c r="O360" i="20" s="1"/>
  <c r="K341" i="20"/>
  <c r="K315" i="20"/>
  <c r="K291" i="20"/>
  <c r="K274" i="20"/>
  <c r="K258" i="20"/>
  <c r="K239" i="20"/>
  <c r="K223" i="20"/>
  <c r="K207" i="20"/>
  <c r="K186" i="20"/>
  <c r="K171" i="20"/>
  <c r="K160" i="20"/>
  <c r="K146" i="20"/>
  <c r="K135" i="20"/>
  <c r="K123" i="20"/>
  <c r="K111" i="20"/>
  <c r="K100" i="20"/>
  <c r="K90" i="20"/>
  <c r="K78" i="20"/>
  <c r="K68" i="20"/>
  <c r="K57" i="20"/>
  <c r="K44" i="20"/>
  <c r="K120" i="20"/>
  <c r="K99" i="20"/>
  <c r="K77" i="20"/>
  <c r="K41" i="20"/>
  <c r="K76" i="20"/>
  <c r="K53" i="20"/>
  <c r="K166" i="20"/>
  <c r="K283" i="20"/>
  <c r="K197" i="20"/>
  <c r="K153" i="20"/>
  <c r="K94" i="20"/>
  <c r="K51" i="20"/>
  <c r="K387" i="20"/>
  <c r="K300" i="20"/>
  <c r="K247" i="20"/>
  <c r="K194" i="20"/>
  <c r="K138" i="20"/>
  <c r="K116" i="20"/>
  <c r="K71" i="20"/>
  <c r="K10" i="20"/>
  <c r="K386" i="20"/>
  <c r="K299" i="20"/>
  <c r="K245" i="20"/>
  <c r="K162" i="20"/>
  <c r="K126" i="20"/>
  <c r="K70" i="20"/>
  <c r="K402" i="20"/>
  <c r="K381" i="20"/>
  <c r="K359" i="20"/>
  <c r="K333" i="20"/>
  <c r="K314" i="20"/>
  <c r="K290" i="20"/>
  <c r="K273" i="20"/>
  <c r="K253" i="20"/>
  <c r="K237" i="20"/>
  <c r="K221" i="20"/>
  <c r="K201" i="20"/>
  <c r="K185" i="20"/>
  <c r="K170" i="20"/>
  <c r="K157" i="20"/>
  <c r="K145" i="20"/>
  <c r="K109" i="20"/>
  <c r="K396" i="20"/>
  <c r="K330" i="20"/>
  <c r="K287" i="20"/>
  <c r="K249" i="20"/>
  <c r="K199" i="20"/>
  <c r="K154" i="20"/>
  <c r="K129" i="20"/>
  <c r="K107" i="20"/>
  <c r="K85" i="20"/>
  <c r="K62" i="20"/>
  <c r="K39" i="20"/>
  <c r="K370" i="20"/>
  <c r="K303" i="20"/>
  <c r="K232" i="20"/>
  <c r="K165" i="20"/>
  <c r="K142" i="20"/>
  <c r="K106" i="20"/>
  <c r="K61" i="20"/>
  <c r="K369" i="20"/>
  <c r="K226" i="20"/>
  <c r="K152" i="20"/>
  <c r="K93" i="20"/>
  <c r="K50" i="20"/>
  <c r="K343" i="20"/>
  <c r="K262" i="20"/>
  <c r="K193" i="20"/>
  <c r="K151" i="20"/>
  <c r="K102" i="20"/>
  <c r="K59" i="20"/>
  <c r="K400" i="20"/>
  <c r="K375" i="20"/>
  <c r="K357" i="20"/>
  <c r="N357" i="20" s="1"/>
  <c r="O357" i="20" s="1"/>
  <c r="K332" i="20"/>
  <c r="K311" i="20"/>
  <c r="K289" i="20"/>
  <c r="K272" i="20"/>
  <c r="K250" i="20"/>
  <c r="K234" i="20"/>
  <c r="K218" i="20"/>
  <c r="K200" i="20"/>
  <c r="K184" i="20"/>
  <c r="K169" i="20"/>
  <c r="K155" i="20"/>
  <c r="K144" i="20"/>
  <c r="K133" i="20"/>
  <c r="K119" i="20"/>
  <c r="K108" i="20"/>
  <c r="K98" i="20"/>
  <c r="K40" i="20"/>
  <c r="K373" i="20"/>
  <c r="K353" i="20"/>
  <c r="K305" i="20"/>
  <c r="K266" i="20"/>
  <c r="K233" i="20"/>
  <c r="K183" i="20"/>
  <c r="K143" i="20"/>
  <c r="K118" i="20"/>
  <c r="K95" i="20"/>
  <c r="K75" i="20"/>
  <c r="K52" i="20"/>
  <c r="K395" i="20"/>
  <c r="K327" i="20"/>
  <c r="K248" i="20"/>
  <c r="K181" i="20"/>
  <c r="K117" i="20"/>
  <c r="K74" i="20"/>
  <c r="K344" i="20"/>
  <c r="K264" i="20"/>
  <c r="K176" i="20"/>
  <c r="K103" i="20"/>
  <c r="K60" i="20"/>
  <c r="K368" i="20"/>
  <c r="K278" i="20"/>
  <c r="K209" i="20"/>
  <c r="K137" i="20"/>
  <c r="K92" i="20"/>
  <c r="K49" i="20"/>
  <c r="K19" i="20"/>
  <c r="K27" i="20"/>
  <c r="K35" i="20"/>
  <c r="K21" i="20"/>
  <c r="K29" i="20"/>
  <c r="K37" i="20"/>
  <c r="K22" i="20"/>
  <c r="K30" i="20"/>
  <c r="K16" i="20"/>
  <c r="K24" i="20"/>
  <c r="K36" i="20"/>
  <c r="K26" i="20"/>
  <c r="K25" i="20"/>
  <c r="K17" i="20"/>
  <c r="K34" i="20"/>
  <c r="K32" i="20"/>
  <c r="K33" i="20"/>
  <c r="K18" i="20"/>
  <c r="K31" i="20"/>
  <c r="K20" i="20"/>
  <c r="K23" i="20"/>
  <c r="K28" i="20"/>
  <c r="L473" i="20"/>
  <c r="M473" i="20" s="1"/>
  <c r="L430" i="20"/>
  <c r="M430" i="20" s="1"/>
  <c r="L413" i="20"/>
  <c r="M413" i="20" s="1"/>
  <c r="L440" i="20"/>
  <c r="M440" i="20" s="1"/>
  <c r="L498" i="20"/>
  <c r="M498" i="20" s="1"/>
  <c r="L501" i="20"/>
  <c r="M501" i="20" s="1"/>
  <c r="L467" i="20"/>
  <c r="M467" i="20" s="1"/>
  <c r="L503" i="20"/>
  <c r="M503" i="20" s="1"/>
  <c r="L447" i="20"/>
  <c r="M447" i="20" s="1"/>
  <c r="N356" i="20"/>
  <c r="O356" i="20" s="1"/>
  <c r="N335" i="20"/>
  <c r="O335" i="20" s="1"/>
  <c r="N387" i="20"/>
  <c r="O387" i="20" s="1"/>
  <c r="N406" i="20"/>
  <c r="O406" i="20" s="1"/>
  <c r="N394" i="20"/>
  <c r="O394" i="20" s="1"/>
  <c r="N371" i="20"/>
  <c r="O371" i="20" s="1"/>
  <c r="N402" i="20"/>
  <c r="O402" i="20" s="1"/>
  <c r="N355" i="20"/>
  <c r="O355" i="20" s="1"/>
  <c r="G5198" i="5"/>
  <c r="N18" i="20"/>
  <c r="O18" i="20" s="1"/>
  <c r="L519" i="20" l="1"/>
  <c r="M519" i="20" s="1"/>
  <c r="N374" i="20"/>
  <c r="O374" i="20" s="1"/>
  <c r="N367" i="20"/>
  <c r="O367" i="20" s="1"/>
  <c r="N372" i="20"/>
  <c r="O372" i="20" s="1"/>
  <c r="N376" i="20"/>
  <c r="O376" i="20" s="1"/>
  <c r="N368" i="20"/>
  <c r="O368" i="20" s="1"/>
  <c r="N363" i="20"/>
  <c r="O363" i="20" s="1"/>
  <c r="N377" i="20"/>
  <c r="O377" i="20" s="1"/>
  <c r="N361" i="20"/>
  <c r="O361" i="20" s="1"/>
  <c r="N364" i="20"/>
  <c r="O364" i="20" s="1"/>
  <c r="N365" i="20"/>
  <c r="O365" i="20" s="1"/>
  <c r="N358" i="20"/>
  <c r="O358" i="20" s="1"/>
  <c r="N359" i="20"/>
  <c r="O359" i="20" s="1"/>
  <c r="N375" i="20"/>
  <c r="O375" i="20" s="1"/>
  <c r="N369" i="20"/>
  <c r="O369" i="20" s="1"/>
  <c r="N373" i="20"/>
  <c r="O373" i="20" s="1"/>
  <c r="N366" i="20"/>
  <c r="O366" i="20" s="1"/>
  <c r="N362" i="20"/>
  <c r="O362" i="20" s="1"/>
  <c r="N370" i="20"/>
  <c r="O370" i="20" s="1"/>
  <c r="N382" i="20"/>
  <c r="O382" i="20" s="1"/>
  <c r="G6119" i="5"/>
  <c r="G6814" i="5"/>
  <c r="G6690" i="5"/>
  <c r="G6670" i="5"/>
  <c r="G6714" i="5"/>
  <c r="G7186" i="5"/>
  <c r="G6926" i="5"/>
  <c r="G6826" i="5"/>
  <c r="G7106" i="5"/>
  <c r="G7006" i="5"/>
  <c r="G6954" i="5"/>
  <c r="G6930" i="5"/>
  <c r="G7168" i="5"/>
  <c r="G7126" i="5"/>
  <c r="G7150" i="5"/>
  <c r="G6702" i="5"/>
  <c r="G7098" i="5"/>
  <c r="G6802" i="5"/>
  <c r="G7178" i="5"/>
  <c r="G6770" i="5"/>
  <c r="G6718" i="5"/>
  <c r="G6043" i="5"/>
  <c r="G7042" i="5"/>
  <c r="G6806" i="5"/>
  <c r="G6822" i="5"/>
  <c r="G6518" i="5"/>
  <c r="G6966" i="5"/>
  <c r="G7026" i="5"/>
  <c r="G6746" i="5"/>
  <c r="G6642" i="5"/>
  <c r="G6694" i="5"/>
  <c r="G3799" i="5"/>
  <c r="G3787" i="5"/>
  <c r="G3781" i="5"/>
  <c r="G6115" i="5"/>
  <c r="G6854" i="5"/>
  <c r="G6990" i="5"/>
  <c r="G6698" i="5"/>
  <c r="G6974" i="5"/>
  <c r="G6750" i="5"/>
  <c r="G6658" i="5"/>
  <c r="G7018" i="5"/>
  <c r="G6810" i="5"/>
  <c r="G6778" i="5"/>
  <c r="G6786" i="5"/>
  <c r="G6794" i="5"/>
  <c r="G6111" i="5"/>
  <c r="G7144" i="5"/>
  <c r="G3469" i="5"/>
  <c r="G3541" i="5"/>
  <c r="G6934" i="5"/>
  <c r="G6762" i="5"/>
  <c r="G6970" i="5"/>
  <c r="G6730" i="5"/>
  <c r="G7050" i="5"/>
  <c r="G6878" i="5"/>
  <c r="G7086" i="5"/>
  <c r="G6870" i="5"/>
  <c r="G6942" i="5"/>
  <c r="G6726" i="5"/>
  <c r="G6866" i="5"/>
  <c r="G6650" i="5"/>
  <c r="G6798" i="5"/>
  <c r="G7110" i="5"/>
  <c r="G6678" i="5"/>
  <c r="G3817" i="5"/>
  <c r="G7120" i="5"/>
  <c r="G7132" i="5"/>
  <c r="G2722" i="5"/>
  <c r="G6998" i="5"/>
  <c r="G6654" i="5"/>
  <c r="G6662" i="5"/>
  <c r="G7138" i="5"/>
  <c r="G6706" i="5"/>
  <c r="G6742" i="5"/>
  <c r="G6994" i="5"/>
  <c r="G4734" i="5"/>
  <c r="G6938" i="5"/>
  <c r="G6646" i="5"/>
  <c r="G6782" i="5"/>
  <c r="G7094" i="5"/>
  <c r="G3823" i="5"/>
  <c r="G3811" i="5"/>
  <c r="G3793" i="5"/>
  <c r="G7054" i="5"/>
  <c r="G2750" i="5"/>
  <c r="G6818" i="5"/>
  <c r="G7066" i="5"/>
  <c r="G6666" i="5"/>
  <c r="G2726" i="5"/>
  <c r="G6774" i="5"/>
  <c r="G6874" i="5"/>
  <c r="G7102" i="5"/>
  <c r="G6738" i="5"/>
  <c r="G7046" i="5"/>
  <c r="G7038" i="5"/>
  <c r="G6047" i="5"/>
  <c r="G7058" i="5"/>
  <c r="G7074" i="5"/>
  <c r="G6766" i="5"/>
  <c r="G7010" i="5"/>
  <c r="G6674" i="5"/>
  <c r="G7070" i="5"/>
  <c r="G6986" i="5"/>
  <c r="G7156" i="5"/>
  <c r="G7162" i="5"/>
  <c r="G6978" i="5"/>
  <c r="G6790" i="5"/>
  <c r="G6758" i="5"/>
  <c r="G6710" i="5"/>
  <c r="G2762" i="5"/>
  <c r="G6890" i="5"/>
  <c r="G7034" i="5"/>
  <c r="G6962" i="5"/>
  <c r="G2730" i="5"/>
  <c r="G6982" i="5"/>
  <c r="G7090" i="5"/>
  <c r="G6950" i="5"/>
  <c r="G3775" i="5"/>
  <c r="G3805" i="5"/>
  <c r="G6027" i="5"/>
  <c r="G6754" i="5"/>
  <c r="G7002" i="5"/>
  <c r="G7182" i="5"/>
  <c r="G7174" i="5"/>
  <c r="G7062" i="5"/>
  <c r="G7082" i="5"/>
  <c r="G4746" i="5"/>
  <c r="G6686" i="5"/>
  <c r="G7022" i="5"/>
  <c r="G7078" i="5"/>
  <c r="G7030" i="5"/>
  <c r="G7014" i="5"/>
  <c r="G6886" i="5"/>
  <c r="G6958" i="5"/>
  <c r="G6734" i="5"/>
  <c r="G6682" i="5"/>
  <c r="G6722" i="5"/>
  <c r="G6946" i="5"/>
  <c r="G7114" i="5"/>
  <c r="G3470" i="5"/>
  <c r="G3540" i="5"/>
  <c r="L460" i="20"/>
  <c r="M460" i="20" s="1"/>
  <c r="L507" i="20"/>
  <c r="M507" i="20" s="1"/>
  <c r="L435" i="20"/>
  <c r="M435" i="20" s="1"/>
  <c r="L415" i="20"/>
  <c r="M415" i="20" s="1"/>
  <c r="L412" i="20"/>
  <c r="M412" i="20" s="1"/>
  <c r="M411" i="20" s="1"/>
  <c r="L515" i="20"/>
  <c r="M515" i="20" s="1"/>
  <c r="L504" i="20"/>
  <c r="M504" i="20" s="1"/>
  <c r="L508" i="20"/>
  <c r="M508" i="20" s="1"/>
  <c r="L505" i="20"/>
  <c r="M505" i="20" s="1"/>
  <c r="L506" i="20"/>
  <c r="M506" i="20" s="1"/>
  <c r="L417" i="20"/>
  <c r="M417" i="20" s="1"/>
  <c r="L425" i="20"/>
  <c r="M425" i="20" s="1"/>
  <c r="L465" i="20"/>
  <c r="M465" i="20" s="1"/>
  <c r="L499" i="20"/>
  <c r="M499" i="20" s="1"/>
  <c r="L455" i="20"/>
  <c r="M455" i="20" s="1"/>
  <c r="L502" i="20"/>
  <c r="M502" i="20" s="1"/>
  <c r="L500" i="20"/>
  <c r="M500" i="20" s="1"/>
  <c r="L469" i="20"/>
  <c r="M469" i="20" s="1"/>
  <c r="L445" i="20"/>
  <c r="M445" i="20" s="1"/>
  <c r="L450" i="20"/>
  <c r="M450" i="20" s="1"/>
  <c r="G3472" i="5"/>
  <c r="G3543" i="5"/>
  <c r="G3542" i="5"/>
  <c r="G3471" i="5"/>
  <c r="G3480" i="5"/>
  <c r="G6502" i="5"/>
  <c r="G6522" i="5"/>
  <c r="G6614" i="5"/>
  <c r="G6574" i="5"/>
  <c r="G6510" i="5"/>
  <c r="G6846" i="5"/>
  <c r="G6922" i="5"/>
  <c r="G6638" i="5"/>
  <c r="G2738" i="5"/>
  <c r="G6634" i="5"/>
  <c r="G6622" i="5"/>
  <c r="G6582" i="5"/>
  <c r="G6602" i="5"/>
  <c r="G6470" i="5"/>
  <c r="G6842" i="5"/>
  <c r="G6630" i="5"/>
  <c r="G6882" i="5"/>
  <c r="G6902" i="5"/>
  <c r="G6594" i="5"/>
  <c r="G6490" i="5"/>
  <c r="G6482" i="5"/>
  <c r="G6862" i="5"/>
  <c r="G6566" i="5"/>
  <c r="G6834" i="5"/>
  <c r="G6570" i="5"/>
  <c r="G6606" i="5"/>
  <c r="G6530" i="5"/>
  <c r="G6454" i="5"/>
  <c r="G2746" i="5"/>
  <c r="G6514" i="5"/>
  <c r="G6546" i="5"/>
  <c r="G6550" i="5"/>
  <c r="G6462" i="5"/>
  <c r="G6910" i="5"/>
  <c r="G6562" i="5"/>
  <c r="G6506" i="5"/>
  <c r="G6618" i="5"/>
  <c r="G4750" i="5"/>
  <c r="G6554" i="5"/>
  <c r="G6494" i="5"/>
  <c r="G6858" i="5"/>
  <c r="G2758" i="5"/>
  <c r="G2734" i="5"/>
  <c r="G6830" i="5"/>
  <c r="G6590" i="5"/>
  <c r="G6838" i="5"/>
  <c r="G6586" i="5"/>
  <c r="G6478" i="5"/>
  <c r="G4742" i="5"/>
  <c r="G6558" i="5"/>
  <c r="G6542" i="5"/>
  <c r="G6538" i="5"/>
  <c r="G6486" i="5"/>
  <c r="G6626" i="5"/>
  <c r="G2754" i="5"/>
  <c r="G6474" i="5"/>
  <c r="G6918" i="5"/>
  <c r="G6906" i="5"/>
  <c r="G2742" i="5"/>
  <c r="G6914" i="5"/>
  <c r="G6610" i="5"/>
  <c r="G6894" i="5"/>
  <c r="G4738" i="5"/>
  <c r="G6598" i="5"/>
  <c r="G6578" i="5"/>
  <c r="G6466" i="5"/>
  <c r="G6898" i="5"/>
  <c r="G6850" i="5"/>
  <c r="G6498" i="5"/>
  <c r="G6458" i="5"/>
  <c r="G6526" i="5"/>
  <c r="G6534" i="5"/>
  <c r="G5209" i="5"/>
  <c r="G5194" i="5"/>
  <c r="G3922" i="5"/>
  <c r="G3923" i="5"/>
  <c r="G6443" i="5"/>
  <c r="G6440" i="5"/>
  <c r="G6450" i="5"/>
  <c r="G6435" i="5"/>
  <c r="G6442" i="5"/>
  <c r="G6434" i="5"/>
  <c r="G6433" i="5"/>
  <c r="G6436" i="5"/>
  <c r="G6449" i="5"/>
  <c r="G6426" i="5"/>
  <c r="G6424" i="5"/>
  <c r="G6420" i="5"/>
  <c r="G6419" i="5"/>
  <c r="G6429" i="5"/>
  <c r="G6425" i="5"/>
  <c r="G6428" i="5"/>
  <c r="G6427" i="5"/>
  <c r="G1321" i="5"/>
  <c r="G6397" i="5"/>
  <c r="G6409" i="5"/>
  <c r="G887" i="5"/>
  <c r="G886" i="5"/>
  <c r="G6388" i="5"/>
  <c r="G4534" i="5"/>
  <c r="G6415" i="5"/>
  <c r="G6386" i="5"/>
  <c r="G6385" i="5"/>
  <c r="G6387" i="5"/>
  <c r="G6410" i="5"/>
  <c r="G879" i="5"/>
  <c r="G880" i="5"/>
  <c r="G6414" i="5"/>
  <c r="G1320" i="5"/>
  <c r="G6401" i="5"/>
  <c r="G6392" i="5"/>
  <c r="G4535" i="5"/>
  <c r="G6405" i="5"/>
  <c r="G6396" i="5"/>
  <c r="G4880" i="5"/>
  <c r="G5028" i="5"/>
  <c r="G4253" i="5"/>
  <c r="G4255" i="5"/>
  <c r="G4346" i="5"/>
  <c r="G4247" i="5"/>
  <c r="G4246" i="5"/>
  <c r="G3968" i="5"/>
  <c r="G4256" i="5"/>
  <c r="G4415" i="5"/>
  <c r="G3707" i="5"/>
  <c r="G6166" i="5"/>
  <c r="G6155" i="5"/>
  <c r="G6158" i="5"/>
  <c r="G6216" i="5"/>
  <c r="G6207" i="5"/>
  <c r="G6177" i="5"/>
  <c r="G6165" i="5"/>
  <c r="G6167" i="5"/>
  <c r="G6173" i="5"/>
  <c r="G6215" i="5"/>
  <c r="G6193" i="5"/>
  <c r="G6202" i="5"/>
  <c r="G6220" i="5"/>
  <c r="G6182" i="5"/>
  <c r="G6178" i="5"/>
  <c r="G6168" i="5"/>
  <c r="G6159" i="5"/>
  <c r="G6191" i="5"/>
  <c r="G6203" i="5"/>
  <c r="G6190" i="5"/>
  <c r="G6208" i="5"/>
  <c r="G6154" i="5"/>
  <c r="G6147" i="5"/>
  <c r="G6214" i="5"/>
  <c r="G6183" i="5"/>
  <c r="G6209" i="5"/>
  <c r="G6201" i="5"/>
  <c r="G6365" i="5"/>
  <c r="G6229" i="5"/>
  <c r="G6221" i="5"/>
  <c r="G6210" i="5"/>
  <c r="G6172" i="5"/>
  <c r="G6192" i="5"/>
  <c r="G6228" i="5"/>
  <c r="G6143" i="5"/>
  <c r="G6144" i="5"/>
  <c r="G6148" i="5"/>
  <c r="G6227" i="5"/>
  <c r="G6200" i="5"/>
  <c r="G6199" i="5"/>
  <c r="G6260" i="5"/>
  <c r="G6346" i="5"/>
  <c r="G6350" i="5"/>
  <c r="G6251" i="5"/>
  <c r="G6351" i="5"/>
  <c r="G6259" i="5"/>
  <c r="G6271" i="5"/>
  <c r="G6239" i="5"/>
  <c r="G6243" i="5"/>
  <c r="G6288" i="5"/>
  <c r="G6298" i="5"/>
  <c r="G6302" i="5"/>
  <c r="G6331" i="5"/>
  <c r="G6364" i="5"/>
  <c r="G6244" i="5"/>
  <c r="G6303" i="5"/>
  <c r="G6363" i="5"/>
  <c r="G6289" i="5"/>
  <c r="G6295" i="5"/>
  <c r="G6304" i="5"/>
  <c r="G6343" i="5"/>
  <c r="G6285" i="5"/>
  <c r="G6300" i="5"/>
  <c r="G6278" i="5"/>
  <c r="G6296" i="5"/>
  <c r="G6344" i="5"/>
  <c r="G6361" i="5"/>
  <c r="G6301" i="5"/>
  <c r="G6332" i="5"/>
  <c r="G6268" i="5"/>
  <c r="G6275" i="5"/>
  <c r="G6362" i="5"/>
  <c r="G6373" i="5"/>
  <c r="G6287" i="5"/>
  <c r="G6299" i="5"/>
  <c r="G6250" i="5"/>
  <c r="G6347" i="5"/>
  <c r="G5472" i="5"/>
  <c r="G6381" i="5"/>
  <c r="G6280" i="5"/>
  <c r="G6338" i="5"/>
  <c r="G6334" i="5"/>
  <c r="G6360" i="5"/>
  <c r="G6329" i="5"/>
  <c r="G6307" i="5"/>
  <c r="G6240" i="5"/>
  <c r="G6348" i="5"/>
  <c r="G6279" i="5"/>
  <c r="G6249" i="5"/>
  <c r="G6330" i="5"/>
  <c r="G6252" i="5"/>
  <c r="G6375" i="5"/>
  <c r="G6339" i="5"/>
  <c r="G6349" i="5"/>
  <c r="G6270" i="5"/>
  <c r="G5475" i="5"/>
  <c r="G6241" i="5"/>
  <c r="G6235" i="5"/>
  <c r="G6242" i="5"/>
  <c r="G5474" i="5"/>
  <c r="G6323" i="5"/>
  <c r="G6358" i="5"/>
  <c r="G6324" i="5"/>
  <c r="G6290" i="5"/>
  <c r="G6261" i="5"/>
  <c r="G6374" i="5"/>
  <c r="G6269" i="5"/>
  <c r="G6262" i="5"/>
  <c r="G6333" i="5"/>
  <c r="G6234" i="5"/>
  <c r="G6359" i="5"/>
  <c r="G6380" i="5"/>
  <c r="G6306" i="5"/>
  <c r="G6267" i="5"/>
  <c r="G6276" i="5"/>
  <c r="G6248" i="5"/>
  <c r="G6284" i="5"/>
  <c r="G6277" i="5"/>
  <c r="G6286" i="5"/>
  <c r="G6297" i="5"/>
  <c r="G6345" i="5"/>
  <c r="G5390" i="5"/>
  <c r="G5341" i="5"/>
  <c r="G5348" i="5"/>
  <c r="G5355" i="5"/>
  <c r="G5349" i="5"/>
  <c r="G5367" i="5"/>
  <c r="G5316" i="5"/>
  <c r="G5310" i="5"/>
  <c r="G5372" i="5"/>
  <c r="G5444" i="5"/>
  <c r="G5334" i="5"/>
  <c r="G5359" i="5"/>
  <c r="G5326" i="5"/>
  <c r="G5309" i="5"/>
  <c r="G5452" i="5"/>
  <c r="G5412" i="5"/>
  <c r="G5366" i="5"/>
  <c r="G5340" i="5"/>
  <c r="G5405" i="5"/>
  <c r="G5451" i="5"/>
  <c r="G5458" i="5"/>
  <c r="G5382" i="5"/>
  <c r="G5424" i="5"/>
  <c r="G5298" i="5"/>
  <c r="G5360" i="5"/>
  <c r="G5438" i="5"/>
  <c r="G5373" i="5"/>
  <c r="G5432" i="5"/>
  <c r="G5327" i="5"/>
  <c r="G5411" i="5"/>
  <c r="G5462" i="5"/>
  <c r="G5322" i="5"/>
  <c r="G5457" i="5"/>
  <c r="G5333" i="5"/>
  <c r="G5397" i="5"/>
  <c r="G5468" i="5"/>
  <c r="G5439" i="5"/>
  <c r="G5463" i="5"/>
  <c r="G5297" i="5"/>
  <c r="G5423" i="5"/>
  <c r="G5321" i="5"/>
  <c r="G5433" i="5"/>
  <c r="G5354" i="5"/>
  <c r="G5303" i="5"/>
  <c r="G5443" i="5"/>
  <c r="G5404" i="5"/>
  <c r="G5315" i="5"/>
  <c r="G5389" i="5"/>
  <c r="G5398" i="5"/>
  <c r="G5304" i="5"/>
  <c r="G5381" i="5"/>
  <c r="G5245" i="5"/>
  <c r="G692" i="5"/>
  <c r="G2787" i="5"/>
  <c r="G2813" i="5"/>
  <c r="G2786" i="5"/>
  <c r="G2812" i="5"/>
  <c r="G4466" i="5"/>
  <c r="G693" i="5"/>
  <c r="G3974" i="5"/>
  <c r="G877" i="5"/>
  <c r="G118" i="5"/>
  <c r="G2997" i="5"/>
  <c r="G2996" i="5"/>
  <c r="G860" i="5"/>
  <c r="G4263" i="5"/>
  <c r="G2788" i="5"/>
  <c r="G3075" i="5"/>
  <c r="G3708" i="5"/>
  <c r="G2998" i="5"/>
  <c r="G864" i="5"/>
  <c r="G3170" i="5"/>
  <c r="G3975" i="5"/>
  <c r="G4262" i="5"/>
  <c r="G119" i="5"/>
  <c r="G4465" i="5"/>
  <c r="G2789" i="5"/>
  <c r="G885" i="5"/>
  <c r="G2785" i="5"/>
  <c r="G2811" i="5"/>
  <c r="G3169" i="5"/>
  <c r="G3709" i="5"/>
  <c r="G5651" i="5"/>
  <c r="G5619" i="5"/>
  <c r="G5631" i="5"/>
  <c r="G5679" i="5"/>
  <c r="G5675" i="5"/>
  <c r="G5643" i="5"/>
  <c r="G5687" i="5"/>
  <c r="G5655" i="5"/>
  <c r="G5667" i="5"/>
  <c r="G5603" i="5"/>
  <c r="G5639" i="5"/>
  <c r="G5699" i="5"/>
  <c r="G5615" i="5"/>
  <c r="G5691" i="5"/>
  <c r="G5627" i="5"/>
  <c r="G5663" i="5"/>
  <c r="G6124" i="5"/>
  <c r="G5863" i="5"/>
  <c r="G5935" i="5"/>
  <c r="G5739" i="5"/>
  <c r="G6063" i="5"/>
  <c r="G5827" i="5"/>
  <c r="G5751" i="5"/>
  <c r="G5987" i="5"/>
  <c r="G6055" i="5"/>
  <c r="G5807" i="5"/>
  <c r="G5735" i="5"/>
  <c r="G5931" i="5"/>
  <c r="G5519" i="5"/>
  <c r="G5537" i="5"/>
  <c r="G5959" i="5"/>
  <c r="G6075" i="5"/>
  <c r="G5899" i="5"/>
  <c r="G5823" i="5"/>
  <c r="G5867" i="5"/>
  <c r="G2770" i="5"/>
  <c r="G5879" i="5"/>
  <c r="G5955" i="5"/>
  <c r="G5835" i="5"/>
  <c r="G5755" i="5"/>
  <c r="G6039" i="5"/>
  <c r="G5795" i="5"/>
  <c r="G6099" i="5"/>
  <c r="G5549" i="5"/>
  <c r="G5495" i="5"/>
  <c r="G5799" i="5"/>
  <c r="G5907" i="5"/>
  <c r="G5903" i="5"/>
  <c r="G5779" i="5"/>
  <c r="G5859" i="5"/>
  <c r="G5695" i="5"/>
  <c r="G5983" i="5"/>
  <c r="G6079" i="5"/>
  <c r="G5843" i="5"/>
  <c r="G5803" i="5"/>
  <c r="G5525" i="5"/>
  <c r="G5507" i="5"/>
  <c r="G5561" i="5"/>
  <c r="G5927" i="5"/>
  <c r="G6035" i="5"/>
  <c r="G5747" i="5"/>
  <c r="G5815" i="5"/>
  <c r="G6071" i="5"/>
  <c r="G6095" i="5"/>
  <c r="G2766" i="5"/>
  <c r="G5647" i="5"/>
  <c r="G6103" i="5"/>
  <c r="G5891" i="5"/>
  <c r="G5975" i="5"/>
  <c r="G5923" i="5"/>
  <c r="G6083" i="5"/>
  <c r="G5919" i="5"/>
  <c r="G5671" i="5"/>
  <c r="G5585" i="5"/>
  <c r="G6123" i="5"/>
  <c r="G5555" i="5"/>
  <c r="G5579" i="5"/>
  <c r="G5855" i="5"/>
  <c r="G5791" i="5"/>
  <c r="G5775" i="5"/>
  <c r="G5951" i="5"/>
  <c r="G5831" i="5"/>
  <c r="G6051" i="5"/>
  <c r="G5501" i="5"/>
  <c r="G5767" i="5"/>
  <c r="G5895" i="5"/>
  <c r="G5971" i="5"/>
  <c r="G5683" i="5"/>
  <c r="G6139" i="5"/>
  <c r="G5979" i="5"/>
  <c r="G6031" i="5"/>
  <c r="G5847" i="5"/>
  <c r="G5947" i="5"/>
  <c r="G5943" i="5"/>
  <c r="G5607" i="5"/>
  <c r="G5811" i="5"/>
  <c r="G5915" i="5"/>
  <c r="G5887" i="5"/>
  <c r="G5659" i="5"/>
  <c r="G6091" i="5"/>
  <c r="G5759" i="5"/>
  <c r="G5573" i="5"/>
  <c r="G5483" i="5"/>
  <c r="G5567" i="5"/>
  <c r="G6087" i="5"/>
  <c r="G5875" i="5"/>
  <c r="G5743" i="5"/>
  <c r="G5871" i="5"/>
  <c r="G5771" i="5"/>
  <c r="G5611" i="5"/>
  <c r="G5783" i="5"/>
  <c r="G5635" i="5"/>
  <c r="G5839" i="5"/>
  <c r="G6135" i="5"/>
  <c r="G5883" i="5"/>
  <c r="G5513" i="5"/>
  <c r="G5591" i="5"/>
  <c r="G5531" i="5"/>
  <c r="G5597" i="5"/>
  <c r="G6023" i="5"/>
  <c r="G5623" i="5"/>
  <c r="G5939" i="5"/>
  <c r="G5851" i="5"/>
  <c r="G5967" i="5"/>
  <c r="G6107" i="5"/>
  <c r="G5819" i="5"/>
  <c r="G5911" i="5"/>
  <c r="G5763" i="5"/>
  <c r="G5963" i="5"/>
  <c r="G5787" i="5"/>
  <c r="G6131" i="5"/>
  <c r="G2774" i="5"/>
  <c r="G5489" i="5"/>
  <c r="G5543" i="5"/>
  <c r="G2795" i="5"/>
  <c r="G2454" i="5"/>
  <c r="G2458" i="5"/>
  <c r="G2426" i="5"/>
  <c r="G2430" i="5"/>
  <c r="G2550" i="5"/>
  <c r="G2498" i="5"/>
  <c r="G2466" i="5"/>
  <c r="G2422" i="5"/>
  <c r="G2502" i="5"/>
  <c r="G2506" i="5"/>
  <c r="G2470" i="5"/>
  <c r="G2474" i="5"/>
  <c r="G2546" i="5"/>
  <c r="G2462" i="5"/>
  <c r="G2418" i="5"/>
  <c r="G2522" i="5"/>
  <c r="G2490" i="5"/>
  <c r="G2450" i="5"/>
  <c r="G2526" i="5"/>
  <c r="G2494" i="5"/>
  <c r="G2406" i="5"/>
  <c r="G2486" i="5"/>
  <c r="G2446" i="5"/>
  <c r="G2542" i="5"/>
  <c r="G2514" i="5"/>
  <c r="G2482" i="5"/>
  <c r="G2410" i="5"/>
  <c r="G2518" i="5"/>
  <c r="G2510" i="5"/>
  <c r="G2558" i="5"/>
  <c r="G2538" i="5"/>
  <c r="G2658" i="5"/>
  <c r="G2478" i="5"/>
  <c r="G2650" i="5"/>
  <c r="G2434" i="5"/>
  <c r="G2554" i="5"/>
  <c r="G2534" i="5"/>
  <c r="G2438" i="5"/>
  <c r="G2530" i="5"/>
  <c r="G5292" i="5"/>
  <c r="G5285" i="5"/>
  <c r="G5286" i="5"/>
  <c r="G5291" i="5"/>
  <c r="G5263" i="5"/>
  <c r="G5265" i="5"/>
  <c r="G5266" i="5"/>
  <c r="G5264" i="5"/>
  <c r="G3664" i="5"/>
  <c r="G266" i="5"/>
  <c r="G619" i="5"/>
  <c r="G618" i="5"/>
  <c r="G3665" i="5"/>
  <c r="G3636" i="5"/>
  <c r="G617" i="5"/>
  <c r="G717" i="5"/>
  <c r="G5082" i="5"/>
  <c r="G719" i="5"/>
  <c r="G5053" i="5"/>
  <c r="G5037" i="5"/>
  <c r="G4774" i="5"/>
  <c r="G4998" i="5"/>
  <c r="G5205" i="5"/>
  <c r="G5251" i="5"/>
  <c r="G4822" i="5"/>
  <c r="G4952" i="5"/>
  <c r="G3856" i="5"/>
  <c r="G5036" i="5"/>
  <c r="G5123" i="5"/>
  <c r="G4962" i="5"/>
  <c r="G2251" i="5"/>
  <c r="G5244" i="5"/>
  <c r="G4890" i="5"/>
  <c r="G5070" i="5"/>
  <c r="G5207" i="5"/>
  <c r="G4986" i="5"/>
  <c r="G5115" i="5"/>
  <c r="G4897" i="5"/>
  <c r="G1333" i="5"/>
  <c r="G5167" i="5"/>
  <c r="G4911" i="5"/>
  <c r="G2274" i="5"/>
  <c r="G5273" i="5"/>
  <c r="G4963" i="5"/>
  <c r="G5100" i="5"/>
  <c r="G2263" i="5"/>
  <c r="G4780" i="5"/>
  <c r="G5188" i="5"/>
  <c r="G710" i="5"/>
  <c r="G678" i="5"/>
  <c r="G5112" i="5"/>
  <c r="G716" i="5"/>
  <c r="G5029" i="5"/>
  <c r="G5219" i="5"/>
  <c r="G4967" i="5"/>
  <c r="G5043" i="5"/>
  <c r="G4889" i="5"/>
  <c r="G4830" i="5"/>
  <c r="G5199" i="5"/>
  <c r="G4771" i="5"/>
  <c r="G4956" i="5"/>
  <c r="G4993" i="5"/>
  <c r="G2297" i="5"/>
  <c r="G4837" i="5"/>
  <c r="G1327" i="5"/>
  <c r="G5116" i="5"/>
  <c r="G5007" i="5"/>
  <c r="G4931" i="5"/>
  <c r="G2264" i="5"/>
  <c r="G5227" i="5"/>
  <c r="G4776" i="5"/>
  <c r="G5030" i="5"/>
  <c r="G5152" i="5"/>
  <c r="G4904" i="5"/>
  <c r="G5059" i="5"/>
  <c r="G5191" i="5"/>
  <c r="G4944" i="5"/>
  <c r="G5256" i="5"/>
  <c r="G4785" i="5"/>
  <c r="G4985" i="5"/>
  <c r="G5122" i="5"/>
  <c r="G707" i="5"/>
  <c r="G681" i="5"/>
  <c r="G2293" i="5"/>
  <c r="G4949" i="5"/>
  <c r="G2248" i="5"/>
  <c r="G5136" i="5"/>
  <c r="G5190" i="5"/>
  <c r="G5089" i="5"/>
  <c r="G5001" i="5"/>
  <c r="G5098" i="5"/>
  <c r="G4861" i="5"/>
  <c r="G5076" i="5"/>
  <c r="G5183" i="5"/>
  <c r="G5031" i="5"/>
  <c r="G5131" i="5"/>
  <c r="G4945" i="5"/>
  <c r="G2277" i="5"/>
  <c r="G5239" i="5"/>
  <c r="G711" i="5"/>
  <c r="G5051" i="5"/>
  <c r="G5168" i="5"/>
  <c r="G4938" i="5"/>
  <c r="G2305" i="5"/>
  <c r="G5279" i="5"/>
  <c r="G4969" i="5"/>
  <c r="G5090" i="5"/>
  <c r="G4795" i="5"/>
  <c r="G5035" i="5"/>
  <c r="G5132" i="5"/>
  <c r="G5204" i="5"/>
  <c r="G5005" i="5"/>
  <c r="G709" i="5"/>
  <c r="G4873" i="5"/>
  <c r="G3855" i="5"/>
  <c r="G2303" i="5"/>
  <c r="G5252" i="5"/>
  <c r="G4881" i="5"/>
  <c r="G4973" i="5"/>
  <c r="G5081" i="5"/>
  <c r="G4979" i="5"/>
  <c r="G5225" i="5"/>
  <c r="G5015" i="5"/>
  <c r="G5027" i="5"/>
  <c r="G5075" i="5"/>
  <c r="G4781" i="5"/>
  <c r="G4800" i="5"/>
  <c r="G5049" i="5"/>
  <c r="G5138" i="5"/>
  <c r="G4912" i="5"/>
  <c r="G2284" i="5"/>
  <c r="G5220" i="5"/>
  <c r="G4790" i="5"/>
  <c r="G5050" i="5"/>
  <c r="G5146" i="5"/>
  <c r="G4957" i="5"/>
  <c r="G5106" i="5"/>
  <c r="G4845" i="5"/>
  <c r="G1332" i="5"/>
  <c r="G5192" i="5"/>
  <c r="G4968" i="5"/>
  <c r="G5000" i="5"/>
  <c r="G5145" i="5"/>
  <c r="G720" i="5"/>
  <c r="G4813" i="5"/>
  <c r="G5064" i="5"/>
  <c r="G5175" i="5"/>
  <c r="G682" i="5"/>
  <c r="G5150" i="5"/>
  <c r="G5189" i="5"/>
  <c r="G4784" i="5"/>
  <c r="G5096" i="5"/>
  <c r="G5203" i="5"/>
  <c r="G4770" i="5"/>
  <c r="G4829" i="5"/>
  <c r="G5065" i="5"/>
  <c r="G5130" i="5"/>
  <c r="G4951" i="5"/>
  <c r="G2295" i="5"/>
  <c r="G5246" i="5"/>
  <c r="G684" i="5"/>
  <c r="G1326" i="5"/>
  <c r="G5153" i="5"/>
  <c r="G5006" i="5"/>
  <c r="G5124" i="5"/>
  <c r="G4898" i="5"/>
  <c r="G5083" i="5"/>
  <c r="G5208" i="5"/>
  <c r="G4987" i="5"/>
  <c r="G5091" i="5"/>
  <c r="G721" i="5"/>
  <c r="G4786" i="5"/>
  <c r="G5017" i="5"/>
  <c r="G5139" i="5"/>
  <c r="G4883" i="5"/>
  <c r="G5077" i="5"/>
  <c r="G5193" i="5"/>
  <c r="G5218" i="5"/>
  <c r="G706" i="5"/>
  <c r="G5088" i="5"/>
  <c r="G2283" i="5"/>
  <c r="G4895" i="5"/>
  <c r="G4961" i="5"/>
  <c r="G4872" i="5"/>
  <c r="G4806" i="5"/>
  <c r="G5214" i="5"/>
  <c r="G4838" i="5"/>
  <c r="G4909" i="5"/>
  <c r="G5120" i="5"/>
  <c r="G5180" i="5"/>
  <c r="G5128" i="5"/>
  <c r="G4862" i="5"/>
  <c r="G5164" i="5"/>
  <c r="G4884" i="5"/>
  <c r="G5071" i="5"/>
  <c r="G5176" i="5"/>
  <c r="G4975" i="5"/>
  <c r="G4821" i="5"/>
  <c r="G5084" i="5"/>
  <c r="G5184" i="5"/>
  <c r="G5016" i="5"/>
  <c r="G5154" i="5"/>
  <c r="G4930" i="5"/>
  <c r="G2285" i="5"/>
  <c r="G5272" i="5"/>
  <c r="G4775" i="5"/>
  <c r="G5011" i="5"/>
  <c r="G5140" i="5"/>
  <c r="G4853" i="5"/>
  <c r="G5045" i="5"/>
  <c r="G5159" i="5"/>
  <c r="G4905" i="5"/>
  <c r="G2294" i="5"/>
  <c r="G5234" i="5"/>
  <c r="G4999" i="5"/>
  <c r="G2273" i="5"/>
  <c r="G4902" i="5"/>
  <c r="G5021" i="5"/>
  <c r="G5172" i="5"/>
  <c r="G4871" i="5"/>
  <c r="G4846" i="5"/>
  <c r="G4916" i="5"/>
  <c r="G4923" i="5"/>
  <c r="G2265" i="5"/>
  <c r="G5221" i="5"/>
  <c r="G4992" i="5"/>
  <c r="G4918" i="5"/>
  <c r="G2304" i="5"/>
  <c r="G5206" i="5"/>
  <c r="G712" i="5"/>
  <c r="G5052" i="5"/>
  <c r="G5166" i="5"/>
  <c r="G4981" i="5"/>
  <c r="G2267" i="5"/>
  <c r="G4805" i="5"/>
  <c r="G5023" i="5"/>
  <c r="G5114" i="5"/>
  <c r="G4875" i="5"/>
  <c r="G1338" i="5"/>
  <c r="G5174" i="5"/>
  <c r="G4919" i="5"/>
  <c r="G2287" i="5"/>
  <c r="G4936" i="5"/>
  <c r="G718" i="5"/>
  <c r="G679" i="5"/>
  <c r="G4935" i="5"/>
  <c r="G4854" i="5"/>
  <c r="G4814" i="5"/>
  <c r="G5271" i="5"/>
  <c r="G5095" i="5"/>
  <c r="G4882" i="5"/>
  <c r="G5277" i="5"/>
  <c r="G4942" i="5"/>
  <c r="G4974" i="5"/>
  <c r="G2275" i="5"/>
  <c r="G5240" i="5"/>
  <c r="G5022" i="5"/>
  <c r="G5097" i="5"/>
  <c r="G4937" i="5"/>
  <c r="G5228" i="5"/>
  <c r="G683" i="5"/>
  <c r="G1339" i="5"/>
  <c r="G5182" i="5"/>
  <c r="G4980" i="5"/>
  <c r="G5107" i="5"/>
  <c r="G4874" i="5"/>
  <c r="G5044" i="5"/>
  <c r="G5160" i="5"/>
  <c r="G4891" i="5"/>
  <c r="G5058" i="5"/>
  <c r="G5233" i="5"/>
  <c r="G4988" i="5"/>
  <c r="G2307" i="5"/>
  <c r="G3641" i="5"/>
  <c r="G1033" i="5"/>
  <c r="G4754" i="5"/>
  <c r="G4517" i="5"/>
  <c r="G4092" i="5"/>
  <c r="G444" i="5"/>
  <c r="G2237" i="5"/>
  <c r="G4098" i="5"/>
  <c r="G3013" i="5"/>
  <c r="G1922" i="5"/>
  <c r="G4464" i="5"/>
  <c r="G3444" i="5"/>
  <c r="G4468" i="5"/>
  <c r="G3405" i="5"/>
  <c r="G3532" i="5"/>
  <c r="G2834" i="5"/>
  <c r="G1218" i="5"/>
  <c r="G4759" i="5"/>
  <c r="G4758" i="5"/>
  <c r="G1310" i="5"/>
  <c r="G3396" i="5"/>
  <c r="G1311" i="5"/>
  <c r="G151" i="5"/>
  <c r="G1743" i="5"/>
  <c r="G2804" i="5"/>
  <c r="G2799" i="5"/>
  <c r="G2805" i="5"/>
  <c r="G2800" i="5"/>
  <c r="G438" i="5"/>
  <c r="G936" i="5"/>
  <c r="G399" i="5"/>
  <c r="G3089" i="5"/>
  <c r="G1155" i="5"/>
  <c r="G3372" i="5"/>
  <c r="G1198" i="5"/>
  <c r="G625" i="5"/>
  <c r="G4564" i="5"/>
  <c r="G4197" i="5"/>
  <c r="G1256" i="5"/>
  <c r="G909" i="5"/>
  <c r="G1661" i="5"/>
  <c r="G4230" i="5"/>
  <c r="G4397" i="5"/>
  <c r="G1521" i="5"/>
  <c r="G2919" i="5"/>
  <c r="G3081" i="5"/>
  <c r="G2137" i="5"/>
  <c r="G4104" i="5"/>
  <c r="G4628" i="5"/>
  <c r="G3579" i="5"/>
  <c r="G1389" i="5"/>
  <c r="G1874" i="5"/>
  <c r="G2142" i="5"/>
  <c r="G3959" i="5"/>
  <c r="G347" i="5"/>
  <c r="G2662" i="5"/>
  <c r="G2935" i="5"/>
  <c r="G1513" i="5"/>
  <c r="G3633" i="5"/>
  <c r="G4662" i="5"/>
  <c r="G1826" i="5"/>
  <c r="G4484" i="5"/>
  <c r="G4019" i="5"/>
  <c r="G2866" i="5"/>
  <c r="G4766" i="5"/>
  <c r="G1851" i="5"/>
  <c r="G1407" i="5"/>
  <c r="G2851" i="5"/>
  <c r="G3604" i="5"/>
  <c r="G412" i="5"/>
  <c r="G1010" i="5"/>
  <c r="G1650" i="5"/>
  <c r="G2088" i="5"/>
  <c r="G3235" i="5"/>
  <c r="G280" i="5"/>
  <c r="G591" i="5"/>
  <c r="G1191" i="5"/>
  <c r="G1892" i="5"/>
  <c r="G2131" i="5"/>
  <c r="G89" i="5"/>
  <c r="G1095" i="5"/>
  <c r="G1582" i="5"/>
  <c r="G2005" i="5"/>
  <c r="G185" i="5"/>
  <c r="G727" i="5"/>
  <c r="G1296" i="5"/>
  <c r="G1875" i="5"/>
  <c r="G3283" i="5"/>
  <c r="G4000" i="5"/>
  <c r="G4404" i="5"/>
  <c r="G4490" i="5"/>
  <c r="G61" i="5"/>
  <c r="G147" i="5"/>
  <c r="G354" i="5"/>
  <c r="G611" i="5"/>
  <c r="G1096" i="5"/>
  <c r="G1553" i="5"/>
  <c r="G1687" i="5"/>
  <c r="G1904" i="5"/>
  <c r="G2225" i="5"/>
  <c r="G2352" i="5"/>
  <c r="G2968" i="5"/>
  <c r="G3378" i="5"/>
  <c r="G3625" i="5"/>
  <c r="G80" i="5"/>
  <c r="G1064" i="5"/>
  <c r="G1170" i="5"/>
  <c r="G1375" i="5"/>
  <c r="G1538" i="5"/>
  <c r="G1815" i="5"/>
  <c r="G1973" i="5"/>
  <c r="G2119" i="5"/>
  <c r="G2381" i="5"/>
  <c r="G2824" i="5"/>
  <c r="G564" i="5"/>
  <c r="G1290" i="5"/>
  <c r="G1688" i="5"/>
  <c r="G1998" i="5"/>
  <c r="G3145" i="5"/>
  <c r="G534" i="5"/>
  <c r="G212" i="5"/>
  <c r="G584" i="5"/>
  <c r="G812" i="5"/>
  <c r="G957" i="5"/>
  <c r="G1268" i="5"/>
  <c r="G1560" i="5"/>
  <c r="G1721" i="5"/>
  <c r="G1863" i="5"/>
  <c r="G1974" i="5"/>
  <c r="G2231" i="5"/>
  <c r="G2994" i="5"/>
  <c r="G3204" i="5"/>
  <c r="G3556" i="5"/>
  <c r="G3937" i="5"/>
  <c r="G4172" i="5"/>
  <c r="G4352" i="5"/>
  <c r="G4553" i="5"/>
  <c r="G3960" i="5"/>
  <c r="G3931" i="5"/>
  <c r="G4316" i="5"/>
  <c r="G4755" i="5"/>
  <c r="G3748" i="5"/>
  <c r="G3874" i="5"/>
  <c r="G4386" i="5"/>
  <c r="G137" i="5"/>
  <c r="G508" i="5"/>
  <c r="G935" i="5"/>
  <c r="G1104" i="5"/>
  <c r="G1291" i="5"/>
  <c r="G1767" i="5"/>
  <c r="G1857" i="5"/>
  <c r="G1967" i="5"/>
  <c r="G2335" i="5"/>
  <c r="G2819" i="5"/>
  <c r="G3343" i="5"/>
  <c r="G3489" i="5"/>
  <c r="G67" i="5"/>
  <c r="G368" i="5"/>
  <c r="G437" i="5"/>
  <c r="G733" i="5"/>
  <c r="G870" i="5"/>
  <c r="G1015" i="5"/>
  <c r="G1124" i="5"/>
  <c r="G1269" i="5"/>
  <c r="G1655" i="5"/>
  <c r="G1868" i="5"/>
  <c r="G1932" i="5"/>
  <c r="G2096" i="5"/>
  <c r="G2212" i="5"/>
  <c r="G2316" i="5"/>
  <c r="G3003" i="5"/>
  <c r="G3205" i="5"/>
  <c r="G3364" i="5"/>
  <c r="G3612" i="5"/>
  <c r="G473" i="5"/>
  <c r="G1057" i="5"/>
  <c r="G1306" i="5"/>
  <c r="G1522" i="5"/>
  <c r="G1632" i="5"/>
  <c r="G1794" i="5"/>
  <c r="G2095" i="5"/>
  <c r="G2341" i="5"/>
  <c r="G2396" i="5"/>
  <c r="G3028" i="5"/>
  <c r="G3234" i="5"/>
  <c r="G3592" i="5"/>
  <c r="G57" i="5"/>
  <c r="G195" i="5"/>
  <c r="G726" i="5"/>
  <c r="G1568" i="5"/>
  <c r="G1755" i="5"/>
  <c r="G2903" i="5"/>
  <c r="G3074" i="5"/>
  <c r="G3337" i="5"/>
  <c r="G3407" i="5"/>
  <c r="G3507" i="5"/>
  <c r="G3516" i="5"/>
  <c r="G3734" i="5"/>
  <c r="G4435" i="5"/>
  <c r="G4686" i="5"/>
  <c r="G3873" i="5"/>
  <c r="G4049" i="5"/>
  <c r="G4293" i="5"/>
  <c r="G4442" i="5"/>
  <c r="G4594" i="5"/>
  <c r="G4370" i="5"/>
  <c r="G4692" i="5"/>
  <c r="G3835" i="5"/>
  <c r="G4203" i="5"/>
  <c r="G4491" i="5"/>
  <c r="G4655" i="5"/>
  <c r="G157" i="5"/>
  <c r="G377" i="5"/>
  <c r="G501" i="5"/>
  <c r="G956" i="5"/>
  <c r="G1005" i="5"/>
  <c r="G1149" i="5"/>
  <c r="G1676" i="5"/>
  <c r="G1820" i="5"/>
  <c r="G1931" i="5"/>
  <c r="G2124" i="5"/>
  <c r="G2328" i="5"/>
  <c r="G2881" i="5"/>
  <c r="G3158" i="5"/>
  <c r="G3557" i="5"/>
  <c r="G164" i="5"/>
  <c r="G432" i="5"/>
  <c r="G1343" i="5"/>
  <c r="G1695" i="5"/>
  <c r="G2013" i="5"/>
  <c r="G2400" i="5"/>
  <c r="G3276" i="5"/>
  <c r="G467" i="5"/>
  <c r="G964" i="5"/>
  <c r="G1113" i="5"/>
  <c r="G1276" i="5"/>
  <c r="G1497" i="5"/>
  <c r="G1816" i="5"/>
  <c r="G2125" i="5"/>
  <c r="G2351" i="5"/>
  <c r="G2995" i="5"/>
  <c r="G3191" i="5"/>
  <c r="G3303" i="5"/>
  <c r="G3621" i="5"/>
  <c r="G502" i="5"/>
  <c r="G94" i="5"/>
  <c r="G485" i="5"/>
  <c r="G672" i="5"/>
  <c r="G1840" i="5"/>
  <c r="G2698" i="5"/>
  <c r="G3134" i="5"/>
  <c r="G3430" i="5"/>
  <c r="G3977" i="5"/>
  <c r="G4018" i="5"/>
  <c r="G4362" i="5"/>
  <c r="G4452" i="5"/>
  <c r="G4620" i="5"/>
  <c r="G4522" i="5"/>
  <c r="G3993" i="5"/>
  <c r="G4489" i="5"/>
  <c r="G4670" i="5"/>
  <c r="G141" i="5"/>
  <c r="G226" i="5"/>
  <c r="G837" i="5"/>
  <c r="G1056" i="5"/>
  <c r="G1277" i="5"/>
  <c r="G2149" i="5"/>
  <c r="G3018" i="5"/>
  <c r="G3357" i="5"/>
  <c r="G74" i="5"/>
  <c r="G156" i="5"/>
  <c r="G700" i="5"/>
  <c r="G893" i="5"/>
  <c r="G1230" i="5"/>
  <c r="G1468" i="5"/>
  <c r="G1780" i="5"/>
  <c r="G2048" i="5"/>
  <c r="G2778" i="5"/>
  <c r="G3043" i="5"/>
  <c r="G3431" i="5"/>
  <c r="G217" i="5"/>
  <c r="G633" i="5"/>
  <c r="G978" i="5"/>
  <c r="G1682" i="5"/>
  <c r="G2888" i="5"/>
  <c r="G3209" i="5"/>
  <c r="G3414" i="5"/>
  <c r="G44" i="5"/>
  <c r="G474" i="5"/>
  <c r="G311" i="5"/>
  <c r="G1637" i="5"/>
  <c r="G1773" i="5"/>
  <c r="G2893" i="5"/>
  <c r="G3124" i="5"/>
  <c r="G3379" i="5"/>
  <c r="G3420" i="5"/>
  <c r="G3605" i="5"/>
  <c r="G3932" i="5"/>
  <c r="G4173" i="5"/>
  <c r="G4202" i="5"/>
  <c r="G4458" i="5"/>
  <c r="G4387" i="5"/>
  <c r="G3642" i="5"/>
  <c r="G3758" i="5"/>
  <c r="G3938" i="5"/>
  <c r="G4380" i="5"/>
  <c r="G4119" i="5"/>
  <c r="G4214" i="5"/>
  <c r="G4443" i="5"/>
  <c r="G194" i="5"/>
  <c r="G610" i="5"/>
  <c r="G1142" i="5"/>
  <c r="G1363" i="5"/>
  <c r="G1575" i="5"/>
  <c r="G2006" i="5"/>
  <c r="G2166" i="5"/>
  <c r="G2340" i="5"/>
  <c r="G2784" i="5"/>
  <c r="G2911" i="5"/>
  <c r="G3371" i="5"/>
  <c r="G3506" i="5"/>
  <c r="G168" i="5"/>
  <c r="G459" i="5"/>
  <c r="G753" i="5"/>
  <c r="G926" i="5"/>
  <c r="G1049" i="5"/>
  <c r="G1886" i="5"/>
  <c r="G1961" i="5"/>
  <c r="G2136" i="5"/>
  <c r="G2232" i="5"/>
  <c r="G2376" i="5"/>
  <c r="G2809" i="5"/>
  <c r="G3069" i="5"/>
  <c r="G3282" i="5"/>
  <c r="G3620" i="5"/>
  <c r="G853" i="5"/>
  <c r="G1070" i="5"/>
  <c r="G1249" i="5"/>
  <c r="G1357" i="5"/>
  <c r="G1545" i="5"/>
  <c r="G1703" i="5"/>
  <c r="G1821" i="5"/>
  <c r="G1937" i="5"/>
  <c r="G2158" i="5"/>
  <c r="G2347" i="5"/>
  <c r="G3151" i="5"/>
  <c r="G3241" i="5"/>
  <c r="G3626" i="5"/>
  <c r="G75" i="5"/>
  <c r="G243" i="5"/>
  <c r="G951" i="5"/>
  <c r="G1212" i="5"/>
  <c r="G1614" i="5"/>
  <c r="G1781" i="5"/>
  <c r="G1960" i="5"/>
  <c r="G2157" i="5"/>
  <c r="G2387" i="5"/>
  <c r="G2948" i="5"/>
  <c r="G3351" i="5"/>
  <c r="G3426" i="5"/>
  <c r="G3944" i="5"/>
  <c r="G4127" i="5"/>
  <c r="G4543" i="5"/>
  <c r="G3916" i="5"/>
  <c r="G4077" i="5"/>
  <c r="G4305" i="5"/>
  <c r="G4516" i="5"/>
  <c r="G4023" i="5"/>
  <c r="G4128" i="5"/>
  <c r="G4416" i="5"/>
  <c r="G4704" i="5"/>
  <c r="G3985" i="5"/>
  <c r="G4585" i="5"/>
  <c r="G181" i="5"/>
  <c r="G398" i="5"/>
  <c r="G533" i="5"/>
  <c r="G802" i="5"/>
  <c r="G1077" i="5"/>
  <c r="G1231" i="5"/>
  <c r="G1344" i="5"/>
  <c r="G1774" i="5"/>
  <c r="G1839" i="5"/>
  <c r="G1989" i="5"/>
  <c r="G2205" i="5"/>
  <c r="G2346" i="5"/>
  <c r="G3246" i="5"/>
  <c r="G3685" i="5"/>
  <c r="G378" i="5"/>
  <c r="G208" i="5"/>
  <c r="G334" i="5"/>
  <c r="G458" i="5"/>
  <c r="G732" i="5"/>
  <c r="G1014" i="5"/>
  <c r="G1438" i="5"/>
  <c r="G1707" i="5"/>
  <c r="G2245" i="5"/>
  <c r="G3199" i="5"/>
  <c r="G3290" i="5"/>
  <c r="G3550" i="5"/>
  <c r="G982" i="5"/>
  <c r="G1129" i="5"/>
  <c r="G1356" i="5"/>
  <c r="G1649" i="5"/>
  <c r="G1831" i="5"/>
  <c r="G2150" i="5"/>
  <c r="G2704" i="5"/>
  <c r="G3048" i="5"/>
  <c r="G3247" i="5"/>
  <c r="G3310" i="5"/>
  <c r="G3436" i="5"/>
  <c r="G558" i="5"/>
  <c r="G109" i="5"/>
  <c r="G513" i="5"/>
  <c r="G740" i="5"/>
  <c r="G905" i="5"/>
  <c r="G1437" i="5"/>
  <c r="G1845" i="5"/>
  <c r="G2182" i="5"/>
  <c r="G2323" i="5"/>
  <c r="G3152" i="5"/>
  <c r="G3449" i="5"/>
  <c r="G4190" i="5"/>
  <c r="G4371" i="5"/>
  <c r="G4059" i="5"/>
  <c r="G4208" i="5"/>
  <c r="G4627" i="5"/>
  <c r="G4532" i="5"/>
  <c r="G3718" i="5"/>
  <c r="G4500" i="5"/>
  <c r="G4687" i="5"/>
  <c r="G90" i="5"/>
  <c r="G177" i="5"/>
  <c r="G491" i="5"/>
  <c r="G650" i="5"/>
  <c r="G963" i="5"/>
  <c r="G1071" i="5"/>
  <c r="G1305" i="5"/>
  <c r="G1671" i="5"/>
  <c r="G2080" i="5"/>
  <c r="G2246" i="5"/>
  <c r="G2841" i="5"/>
  <c r="G3109" i="5"/>
  <c r="G3223" i="5"/>
  <c r="G3634" i="5"/>
  <c r="G84" i="5"/>
  <c r="G163" i="5"/>
  <c r="G811" i="5"/>
  <c r="G899" i="5"/>
  <c r="G1350" i="5"/>
  <c r="G2165" i="5"/>
  <c r="G3061" i="5"/>
  <c r="G3481" i="5"/>
  <c r="G392" i="5"/>
  <c r="G801" i="5"/>
  <c r="G1810" i="5"/>
  <c r="G1947" i="5"/>
  <c r="G2380" i="5"/>
  <c r="G2963" i="5"/>
  <c r="G3262" i="5"/>
  <c r="G142" i="5"/>
  <c r="G514" i="5"/>
  <c r="G431" i="5"/>
  <c r="G1034" i="5"/>
  <c r="G1400" i="5"/>
  <c r="G1537" i="5"/>
  <c r="G3157" i="5"/>
  <c r="G3440" i="5"/>
  <c r="G3686" i="5"/>
  <c r="G3613" i="5"/>
  <c r="G3950" i="5"/>
  <c r="G4245" i="5"/>
  <c r="G3759" i="5"/>
  <c r="G3915" i="5"/>
  <c r="G4453" i="5"/>
  <c r="G4577" i="5"/>
  <c r="G4593" i="5"/>
  <c r="G35" i="5"/>
  <c r="G1597" i="5"/>
  <c r="G1981" i="5"/>
  <c r="G3038" i="5"/>
  <c r="G3659" i="5"/>
  <c r="G346" i="5"/>
  <c r="G1087" i="5"/>
  <c r="G1609" i="5"/>
  <c r="G2056" i="5"/>
  <c r="G2856" i="5"/>
  <c r="G830" i="5"/>
  <c r="G1364" i="5"/>
  <c r="G1898" i="5"/>
  <c r="G592" i="5"/>
  <c r="G971" i="5"/>
  <c r="G1759" i="5"/>
  <c r="G3578" i="5"/>
  <c r="G4663" i="5"/>
  <c r="G297" i="5"/>
  <c r="G100" i="5"/>
  <c r="G457" i="5"/>
  <c r="G658" i="5"/>
  <c r="G1024" i="5"/>
  <c r="G1197" i="5"/>
  <c r="G1620" i="5"/>
  <c r="G1656" i="5"/>
  <c r="G1881" i="5"/>
  <c r="G2079" i="5"/>
  <c r="G2104" i="5"/>
  <c r="G2829" i="5"/>
  <c r="G3094" i="5"/>
  <c r="G3317" i="5"/>
  <c r="G242" i="5"/>
  <c r="G420" i="5"/>
  <c r="G600" i="5"/>
  <c r="G1114" i="5"/>
  <c r="G1211" i="5"/>
  <c r="G1467" i="5"/>
  <c r="G1754" i="5"/>
  <c r="G1910" i="5"/>
  <c r="G2047" i="5"/>
  <c r="G2071" i="5"/>
  <c r="G2143" i="5"/>
  <c r="G2680" i="5"/>
  <c r="G3164" i="5"/>
  <c r="G3670" i="5"/>
  <c r="G288" i="5"/>
  <c r="G770" i="5"/>
  <c r="G898" i="5"/>
  <c r="G1422" i="5"/>
  <c r="G1642" i="5"/>
  <c r="G1744" i="5"/>
  <c r="G1825" i="5"/>
  <c r="G1942" i="5"/>
  <c r="G2032" i="5"/>
  <c r="G2197" i="5"/>
  <c r="G2361" i="5"/>
  <c r="G3749" i="5"/>
  <c r="G193" i="5"/>
  <c r="G271" i="5"/>
  <c r="G429" i="5"/>
  <c r="G640" i="5"/>
  <c r="G852" i="5"/>
  <c r="G977" i="5"/>
  <c r="G1162" i="5"/>
  <c r="G1893" i="5"/>
  <c r="G2012" i="5"/>
  <c r="G2692" i="5"/>
  <c r="G3163" i="5"/>
  <c r="G3296" i="5"/>
  <c r="G3558" i="5"/>
  <c r="G3694" i="5"/>
  <c r="G4244" i="5"/>
  <c r="G4426" i="5"/>
  <c r="G4703" i="5"/>
  <c r="G3736" i="5"/>
  <c r="G3992" i="5"/>
  <c r="G4231" i="5"/>
  <c r="G3900" i="5"/>
  <c r="G4041" i="5"/>
  <c r="G4156" i="5"/>
  <c r="G4436" i="5"/>
  <c r="G4587" i="5"/>
  <c r="G3917" i="5"/>
  <c r="G4135" i="5"/>
  <c r="G4276" i="5"/>
  <c r="G4511" i="5"/>
  <c r="G639" i="5"/>
  <c r="G993" i="5"/>
  <c r="G1205" i="5"/>
  <c r="G1396" i="5"/>
  <c r="G1633" i="5"/>
  <c r="G1811" i="5"/>
  <c r="G1880" i="5"/>
  <c r="G2024" i="5"/>
  <c r="G2174" i="5"/>
  <c r="G2356" i="5"/>
  <c r="G2793" i="5"/>
  <c r="G2953" i="5"/>
  <c r="G281" i="5"/>
  <c r="G950" i="5"/>
  <c r="G1148" i="5"/>
  <c r="G1177" i="5"/>
  <c r="G1917" i="5"/>
  <c r="G2040" i="5"/>
  <c r="G2973" i="5"/>
  <c r="G3297" i="5"/>
  <c r="G3400" i="5"/>
  <c r="G3655" i="5"/>
  <c r="G764" i="5"/>
  <c r="G1135" i="5"/>
  <c r="G1263" i="5"/>
  <c r="G1376" i="5"/>
  <c r="G1569" i="5"/>
  <c r="G1733" i="5"/>
  <c r="G2190" i="5"/>
  <c r="G2366" i="5"/>
  <c r="G3174" i="5"/>
  <c r="G3695" i="5"/>
  <c r="G273" i="5"/>
  <c r="G114" i="5"/>
  <c r="G583" i="5"/>
  <c r="G1237" i="5"/>
  <c r="G1453" i="5"/>
  <c r="G1681" i="5"/>
  <c r="G1887" i="5"/>
  <c r="G2031" i="5"/>
  <c r="G2189" i="5"/>
  <c r="G2315" i="5"/>
  <c r="G2401" i="5"/>
  <c r="G2983" i="5"/>
  <c r="G3190" i="5"/>
  <c r="G3365" i="5"/>
  <c r="G3459" i="5"/>
  <c r="G3587" i="5"/>
  <c r="G3984" i="5"/>
  <c r="G4565" i="5"/>
  <c r="G3943" i="5"/>
  <c r="G4097" i="5"/>
  <c r="G4332" i="5"/>
  <c r="G4527" i="5"/>
  <c r="G3844" i="5"/>
  <c r="G4076" i="5"/>
  <c r="G4146" i="5"/>
  <c r="G4040" i="5"/>
  <c r="G4085" i="5"/>
  <c r="G4605" i="5"/>
  <c r="G565" i="5"/>
  <c r="G847" i="5"/>
  <c r="G1103" i="5"/>
  <c r="G1250" i="5"/>
  <c r="G1401" i="5"/>
  <c r="G1788" i="5"/>
  <c r="G2019" i="5"/>
  <c r="G2213" i="5"/>
  <c r="G2846" i="5"/>
  <c r="G3342" i="5"/>
  <c r="G50" i="5"/>
  <c r="G825" i="5"/>
  <c r="G1156" i="5"/>
  <c r="G1236" i="5"/>
  <c r="G1844" i="5"/>
  <c r="G2322" i="5"/>
  <c r="G3023" i="5"/>
  <c r="G3304" i="5"/>
  <c r="G919" i="5"/>
  <c r="G994" i="5"/>
  <c r="G1141" i="5"/>
  <c r="G1242" i="5"/>
  <c r="G1408" i="5"/>
  <c r="G1850" i="5"/>
  <c r="G2173" i="5"/>
  <c r="G2247" i="5"/>
  <c r="G2861" i="5"/>
  <c r="G3099" i="5"/>
  <c r="G3269" i="5"/>
  <c r="G3318" i="5"/>
  <c r="G30" i="5"/>
  <c r="G128" i="5"/>
  <c r="G520" i="5"/>
  <c r="G785" i="5"/>
  <c r="G1169" i="5"/>
  <c r="G1581" i="5"/>
  <c r="G1911" i="5"/>
  <c r="G1966" i="5"/>
  <c r="G3056" i="5"/>
  <c r="G3256" i="5"/>
  <c r="G3490" i="5"/>
  <c r="G3899" i="5"/>
  <c r="G4236" i="5"/>
  <c r="G4613" i="5"/>
  <c r="G3841" i="5"/>
  <c r="G4105" i="5"/>
  <c r="G4533" i="5"/>
  <c r="G4654" i="5"/>
  <c r="G3880" i="5"/>
  <c r="G4469" i="5"/>
  <c r="G4542" i="5"/>
  <c r="G4676" i="5"/>
  <c r="G3599" i="5"/>
  <c r="G3735" i="5"/>
  <c r="G3967" i="5"/>
  <c r="G4058" i="5"/>
  <c r="G4268" i="5"/>
  <c r="G4713" i="5"/>
  <c r="G169" i="5"/>
  <c r="G203" i="5"/>
  <c r="G542" i="5"/>
  <c r="G701" i="5"/>
  <c r="G920" i="5"/>
  <c r="G1243" i="5"/>
  <c r="G1530" i="5"/>
  <c r="G1732" i="5"/>
  <c r="G2111" i="5"/>
  <c r="G2943" i="5"/>
  <c r="G3240" i="5"/>
  <c r="G312" i="5"/>
  <c r="G95" i="5"/>
  <c r="G186" i="5"/>
  <c r="G601" i="5"/>
  <c r="G1370" i="5"/>
  <c r="G2257" i="5"/>
  <c r="G2674" i="5"/>
  <c r="G3255" i="5"/>
  <c r="G3586" i="5"/>
  <c r="G526" i="5"/>
  <c r="G869" i="5"/>
  <c r="G1295" i="5"/>
  <c r="G1559" i="5"/>
  <c r="G1988" i="5"/>
  <c r="G2039" i="5"/>
  <c r="G3119" i="5"/>
  <c r="G3275" i="5"/>
  <c r="G335" i="5"/>
  <c r="G548" i="5"/>
  <c r="G443" i="5"/>
  <c r="G1050" i="5"/>
  <c r="G1603" i="5"/>
  <c r="G1869" i="5"/>
  <c r="G2118" i="5"/>
  <c r="G3448" i="5"/>
  <c r="G3573" i="5"/>
  <c r="G3743" i="5"/>
  <c r="G3966" i="5"/>
  <c r="G3866" i="5"/>
  <c r="G4189" i="5"/>
  <c r="G4606" i="5"/>
  <c r="G4274" i="5"/>
  <c r="G632" i="5"/>
  <c r="G1119" i="5"/>
  <c r="G1702" i="5"/>
  <c r="G2395" i="5"/>
  <c r="G3458" i="5"/>
  <c r="G129" i="5"/>
  <c r="G781" i="5"/>
  <c r="G1383" i="5"/>
  <c r="G1999" i="5"/>
  <c r="G2388" i="5"/>
  <c r="G741" i="5"/>
  <c r="G1184" i="5"/>
  <c r="G1694" i="5"/>
  <c r="G250" i="5"/>
  <c r="G842" i="5"/>
  <c r="G1483" i="5"/>
  <c r="G3549" i="5"/>
  <c r="G4225" i="5"/>
  <c r="G4196" i="5"/>
  <c r="G62" i="5"/>
  <c r="G123" i="5"/>
  <c r="G251" i="5"/>
  <c r="G549" i="5"/>
  <c r="G927" i="5"/>
  <c r="G1042" i="5"/>
  <c r="G1217" i="5"/>
  <c r="G1546" i="5"/>
  <c r="G1666" i="5"/>
  <c r="G2181" i="5"/>
  <c r="G2958" i="5"/>
  <c r="G3139" i="5"/>
  <c r="G3350" i="5"/>
  <c r="G3515" i="5"/>
  <c r="G133" i="5"/>
  <c r="G287" i="5"/>
  <c r="G486" i="5"/>
  <c r="G690" i="5"/>
  <c r="G970" i="5"/>
  <c r="G1130" i="5"/>
  <c r="G1369" i="5"/>
  <c r="G1529" i="5"/>
  <c r="G1766" i="5"/>
  <c r="G1795" i="5"/>
  <c r="G2103" i="5"/>
  <c r="G2198" i="5"/>
  <c r="G2783" i="5"/>
  <c r="G3213" i="5"/>
  <c r="G509" i="5"/>
  <c r="G1063" i="5"/>
  <c r="G1224" i="5"/>
  <c r="G1660" i="5"/>
  <c r="G1787" i="5"/>
  <c r="G1980" i="5"/>
  <c r="G2063" i="5"/>
  <c r="G2206" i="5"/>
  <c r="G2329" i="5"/>
  <c r="G3008" i="5"/>
  <c r="G3421" i="5"/>
  <c r="G199" i="5"/>
  <c r="G573" i="5"/>
  <c r="G691" i="5"/>
  <c r="G894" i="5"/>
  <c r="G1183" i="5"/>
  <c r="G1351" i="5"/>
  <c r="G1927" i="5"/>
  <c r="G2055" i="5"/>
  <c r="G2876" i="5"/>
  <c r="G3198" i="5"/>
  <c r="G3325" i="5"/>
  <c r="G3514" i="5"/>
  <c r="G3879" i="5"/>
  <c r="G4157" i="5"/>
  <c r="G4280" i="5"/>
  <c r="G4454" i="5"/>
  <c r="G3857" i="5"/>
  <c r="G4086" i="5"/>
  <c r="G3918" i="5"/>
  <c r="G4067" i="5"/>
  <c r="G4237" i="5"/>
  <c r="G4612" i="5"/>
  <c r="G3717" i="5"/>
  <c r="G3840" i="5"/>
  <c r="G4379" i="5"/>
  <c r="G99" i="5"/>
  <c r="G1078" i="5"/>
  <c r="G1225" i="5"/>
  <c r="G1423" i="5"/>
  <c r="G1708" i="5"/>
  <c r="G1832" i="5"/>
  <c r="G2072" i="5"/>
  <c r="G2810" i="5"/>
  <c r="G3311" i="5"/>
  <c r="G124" i="5"/>
  <c r="G353" i="5"/>
  <c r="G428" i="5"/>
  <c r="G559" i="5"/>
  <c r="G1204" i="5"/>
  <c r="G1482" i="5"/>
  <c r="G1802" i="5"/>
  <c r="G1921" i="5"/>
  <c r="G2064" i="5"/>
  <c r="G2988" i="5"/>
  <c r="G3114" i="5"/>
  <c r="G3406" i="5"/>
  <c r="G3706" i="5"/>
  <c r="G786" i="5"/>
  <c r="G983" i="5"/>
  <c r="G1161" i="5"/>
  <c r="G1283" i="5"/>
  <c r="G1395" i="5"/>
  <c r="G1576" i="5"/>
  <c r="G2087" i="5"/>
  <c r="G2238" i="5"/>
  <c r="G2375" i="5"/>
  <c r="G2927" i="5"/>
  <c r="G3180" i="5"/>
  <c r="G31" i="5"/>
  <c r="G673" i="5"/>
  <c r="G1554" i="5"/>
  <c r="G1899" i="5"/>
  <c r="G2217" i="5"/>
  <c r="G2716" i="5"/>
  <c r="G3033" i="5"/>
  <c r="G3289" i="5"/>
  <c r="G3391" i="5"/>
  <c r="G3491" i="5"/>
  <c r="G3672" i="5"/>
  <c r="G4068" i="5"/>
  <c r="G4162" i="5"/>
  <c r="G4396" i="5"/>
  <c r="G4675" i="5"/>
  <c r="G3854" i="5"/>
  <c r="G4425" i="5"/>
  <c r="G4161" i="5"/>
  <c r="G4633" i="5"/>
  <c r="G4050" i="5"/>
  <c r="G4115" i="5"/>
  <c r="G4361" i="5"/>
  <c r="G4619" i="5"/>
  <c r="G40" i="5"/>
  <c r="G222" i="5"/>
  <c r="G469" i="5"/>
  <c r="G624" i="5"/>
  <c r="G944" i="5"/>
  <c r="G1134" i="5"/>
  <c r="G1284" i="5"/>
  <c r="G1498" i="5"/>
  <c r="G1801" i="5"/>
  <c r="G1856" i="5"/>
  <c r="G2112" i="5"/>
  <c r="G2218" i="5"/>
  <c r="G2871" i="5"/>
  <c r="G3146" i="5"/>
  <c r="G3531" i="5"/>
  <c r="G85" i="5"/>
  <c r="G265" i="5"/>
  <c r="G646" i="5"/>
  <c r="G841" i="5"/>
  <c r="G1176" i="5"/>
  <c r="G1862" i="5"/>
  <c r="G2334" i="5"/>
  <c r="G3073" i="5"/>
  <c r="G3425" i="5"/>
  <c r="G152" i="5"/>
  <c r="G752" i="5"/>
  <c r="G945" i="5"/>
  <c r="G1043" i="5"/>
  <c r="G1257" i="5"/>
  <c r="G1452" i="5"/>
  <c r="G1722" i="5"/>
  <c r="G1760" i="5"/>
  <c r="G2224" i="5"/>
  <c r="G2898" i="5"/>
  <c r="G3179" i="5"/>
  <c r="G3358" i="5"/>
  <c r="G468" i="5"/>
  <c r="G45" i="5"/>
  <c r="G449" i="5"/>
  <c r="G1382" i="5"/>
  <c r="G1916" i="5"/>
  <c r="G2258" i="5"/>
  <c r="G2686" i="5"/>
  <c r="G3104" i="5"/>
  <c r="G3336" i="5"/>
  <c r="G3737" i="5"/>
  <c r="G3951" i="5"/>
  <c r="G4091" i="5"/>
  <c r="G4252" i="5"/>
  <c r="G4765" i="5"/>
  <c r="G4344" i="5"/>
  <c r="G4549" i="5"/>
  <c r="G4576" i="5"/>
  <c r="G4671" i="5"/>
  <c r="G3908" i="5"/>
  <c r="G4512" i="5"/>
  <c r="G4712" i="5"/>
  <c r="G3865" i="5"/>
  <c r="G3976" i="5"/>
  <c r="G4483" i="5"/>
  <c r="G270" i="5"/>
  <c r="G221" i="5"/>
  <c r="G391" i="5"/>
  <c r="G820" i="5"/>
  <c r="G1264" i="5"/>
  <c r="G1627" i="5"/>
  <c r="G1905" i="5"/>
  <c r="G2130" i="5"/>
  <c r="G2367" i="5"/>
  <c r="G2978" i="5"/>
  <c r="G3268" i="5"/>
  <c r="G419" i="5"/>
  <c r="G146" i="5"/>
  <c r="G654" i="5"/>
  <c r="G1388" i="5"/>
  <c r="G1613" i="5"/>
  <c r="G2025" i="5"/>
  <c r="G2710" i="5"/>
  <c r="G3324" i="5"/>
  <c r="G3632" i="5"/>
  <c r="G543" i="5"/>
  <c r="G1643" i="5"/>
  <c r="G2321" i="5"/>
  <c r="G2882" i="5"/>
  <c r="G3129" i="5"/>
  <c r="G3332" i="5"/>
  <c r="G413" i="5"/>
  <c r="G574" i="5"/>
  <c r="G829" i="5"/>
  <c r="G1088" i="5"/>
  <c r="G1190" i="5"/>
  <c r="G1514" i="5"/>
  <c r="G1626" i="5"/>
  <c r="G2020" i="5"/>
  <c r="G3331" i="5"/>
  <c r="G3413" i="5"/>
  <c r="G3482" i="5"/>
  <c r="G3572" i="5"/>
  <c r="G3907" i="5"/>
  <c r="G4145" i="5"/>
  <c r="G4136" i="5"/>
  <c r="G4405" i="5"/>
  <c r="G4224" i="5"/>
  <c r="G4474" i="5"/>
  <c r="G4646" i="5"/>
  <c r="G4292" i="5"/>
  <c r="G2668" i="5"/>
  <c r="G3088" i="5"/>
  <c r="G369" i="5"/>
  <c r="G3383" i="5"/>
  <c r="G4109" i="5"/>
  <c r="G49" i="5"/>
  <c r="G207" i="5"/>
  <c r="G56" i="5"/>
  <c r="G173" i="5"/>
  <c r="G296" i="5"/>
  <c r="G1954" i="5"/>
  <c r="G66" i="5"/>
  <c r="G323" i="5"/>
  <c r="G1955" i="5"/>
  <c r="G4120" i="5"/>
  <c r="G192" i="5"/>
  <c r="G257" i="5"/>
  <c r="G3671" i="5"/>
  <c r="G39" i="5"/>
  <c r="G104" i="5"/>
  <c r="G216" i="5"/>
  <c r="G12" i="5"/>
  <c r="G4353" i="5"/>
  <c r="G25" i="5"/>
  <c r="G8" i="5"/>
  <c r="G16" i="5"/>
  <c r="G113" i="5"/>
  <c r="G20" i="5"/>
  <c r="G79" i="5"/>
  <c r="G1926" i="5"/>
  <c r="G3829" i="5"/>
  <c r="G448" i="5"/>
  <c r="G272" i="5"/>
  <c r="G26" i="5"/>
  <c r="G108" i="5"/>
  <c r="G258" i="5"/>
  <c r="G3654" i="5"/>
  <c r="H7114" i="5" l="1"/>
  <c r="H6734" i="5"/>
  <c r="H7030" i="5"/>
  <c r="H4746" i="5"/>
  <c r="H7182" i="5"/>
  <c r="H3787" i="5"/>
  <c r="H7126" i="5"/>
  <c r="H6930" i="5"/>
  <c r="H6826" i="5"/>
  <c r="H6670" i="5"/>
  <c r="H6982" i="5"/>
  <c r="H6890" i="5"/>
  <c r="H6790" i="5"/>
  <c r="H6986" i="5"/>
  <c r="H6766" i="5"/>
  <c r="H7038" i="5"/>
  <c r="H6874" i="5"/>
  <c r="H7066" i="5"/>
  <c r="H7094" i="5"/>
  <c r="H4734" i="5"/>
  <c r="H7138" i="5"/>
  <c r="H2722" i="5"/>
  <c r="H6678" i="5"/>
  <c r="H6866" i="5"/>
  <c r="H7086" i="5"/>
  <c r="H6970" i="5"/>
  <c r="H7144" i="5"/>
  <c r="H6786" i="5"/>
  <c r="H6658" i="5"/>
  <c r="H6990" i="5"/>
  <c r="H6746" i="5"/>
  <c r="H6822" i="5"/>
  <c r="H6718" i="5"/>
  <c r="H7098" i="5"/>
  <c r="H6946" i="5"/>
  <c r="H6958" i="5"/>
  <c r="H7078" i="5"/>
  <c r="H7082" i="5"/>
  <c r="H7002" i="5"/>
  <c r="H3793" i="5"/>
  <c r="H3799" i="5"/>
  <c r="H7168" i="5"/>
  <c r="H6954" i="5"/>
  <c r="H6926" i="5"/>
  <c r="H6690" i="5"/>
  <c r="H2730" i="5"/>
  <c r="H2762" i="5"/>
  <c r="H6978" i="5"/>
  <c r="H7070" i="5"/>
  <c r="H7074" i="5"/>
  <c r="H7046" i="5"/>
  <c r="H6774" i="5"/>
  <c r="H6818" i="5"/>
  <c r="H6782" i="5"/>
  <c r="H6994" i="5"/>
  <c r="H6662" i="5"/>
  <c r="H7132" i="5"/>
  <c r="H7110" i="5"/>
  <c r="H6726" i="5"/>
  <c r="H6878" i="5"/>
  <c r="H6762" i="5"/>
  <c r="H6778" i="5"/>
  <c r="H6750" i="5"/>
  <c r="H6854" i="5"/>
  <c r="H7026" i="5"/>
  <c r="H6806" i="5"/>
  <c r="H6770" i="5"/>
  <c r="H6722" i="5"/>
  <c r="H6886" i="5"/>
  <c r="H7022" i="5"/>
  <c r="H7062" i="5"/>
  <c r="H6754" i="5"/>
  <c r="H3805" i="5"/>
  <c r="H3811" i="5"/>
  <c r="H7006" i="5"/>
  <c r="H7186" i="5"/>
  <c r="H6814" i="5"/>
  <c r="H6950" i="5"/>
  <c r="H6962" i="5"/>
  <c r="H6710" i="5"/>
  <c r="H7162" i="5"/>
  <c r="H6674" i="5"/>
  <c r="H7058" i="5"/>
  <c r="H6738" i="5"/>
  <c r="H2726" i="5"/>
  <c r="H2750" i="5"/>
  <c r="H6646" i="5"/>
  <c r="H6742" i="5"/>
  <c r="H6654" i="5"/>
  <c r="H7120" i="5"/>
  <c r="H6798" i="5"/>
  <c r="H6942" i="5"/>
  <c r="H7050" i="5"/>
  <c r="H6934" i="5"/>
  <c r="H6111" i="5"/>
  <c r="H6810" i="5"/>
  <c r="H6974" i="5"/>
  <c r="H6115" i="5"/>
  <c r="H6694" i="5"/>
  <c r="H6966" i="5"/>
  <c r="H7042" i="5"/>
  <c r="H7178" i="5"/>
  <c r="H6682" i="5"/>
  <c r="H7014" i="5"/>
  <c r="H6686" i="5"/>
  <c r="H7174" i="5"/>
  <c r="H6027" i="5"/>
  <c r="H3775" i="5"/>
  <c r="H3823" i="5"/>
  <c r="H3817" i="5"/>
  <c r="H3781" i="5"/>
  <c r="H7150" i="5"/>
  <c r="H7106" i="5"/>
  <c r="H6714" i="5"/>
  <c r="H6119" i="5"/>
  <c r="H7090" i="5"/>
  <c r="H7034" i="5"/>
  <c r="H6758" i="5"/>
  <c r="H7156" i="5"/>
  <c r="H7010" i="5"/>
  <c r="H6047" i="5"/>
  <c r="H7102" i="5"/>
  <c r="H6666" i="5"/>
  <c r="H7054" i="5"/>
  <c r="H6938" i="5"/>
  <c r="H6706" i="5"/>
  <c r="H6998" i="5"/>
  <c r="H6650" i="5"/>
  <c r="H6870" i="5"/>
  <c r="H6730" i="5"/>
  <c r="H6794" i="5"/>
  <c r="H7018" i="5"/>
  <c r="H6698" i="5"/>
  <c r="H6642" i="5"/>
  <c r="H6518" i="5"/>
  <c r="H6043" i="5"/>
  <c r="H6802" i="5"/>
  <c r="H6702" i="5"/>
  <c r="G6320" i="5"/>
  <c r="G6325" i="5"/>
  <c r="H3540" i="5"/>
  <c r="G858" i="5"/>
  <c r="H6534" i="5"/>
  <c r="H6850" i="5"/>
  <c r="H6598" i="5"/>
  <c r="H6914" i="5"/>
  <c r="H6474" i="5"/>
  <c r="H6538" i="5"/>
  <c r="H6478" i="5"/>
  <c r="H6830" i="5"/>
  <c r="H6494" i="5"/>
  <c r="H6506" i="5"/>
  <c r="H6550" i="5"/>
  <c r="H6454" i="5"/>
  <c r="H6834" i="5"/>
  <c r="H6490" i="5"/>
  <c r="H6630" i="5"/>
  <c r="H6582" i="5"/>
  <c r="H6638" i="5"/>
  <c r="H6574" i="5"/>
  <c r="H6526" i="5"/>
  <c r="H6898" i="5"/>
  <c r="H4738" i="5"/>
  <c r="H2742" i="5"/>
  <c r="H2754" i="5"/>
  <c r="H6542" i="5"/>
  <c r="H6586" i="5"/>
  <c r="H2734" i="5"/>
  <c r="H6554" i="5"/>
  <c r="H6562" i="5"/>
  <c r="H6546" i="5"/>
  <c r="H6530" i="5"/>
  <c r="H6566" i="5"/>
  <c r="H6594" i="5"/>
  <c r="H6842" i="5"/>
  <c r="H6622" i="5"/>
  <c r="H6922" i="5"/>
  <c r="H6614" i="5"/>
  <c r="H6458" i="5"/>
  <c r="H6466" i="5"/>
  <c r="H6894" i="5"/>
  <c r="H6906" i="5"/>
  <c r="H6626" i="5"/>
  <c r="H6558" i="5"/>
  <c r="H6838" i="5"/>
  <c r="H2758" i="5"/>
  <c r="H4750" i="5"/>
  <c r="H6910" i="5"/>
  <c r="H6514" i="5"/>
  <c r="H6606" i="5"/>
  <c r="H6862" i="5"/>
  <c r="H6902" i="5"/>
  <c r="H6470" i="5"/>
  <c r="H6634" i="5"/>
  <c r="H6846" i="5"/>
  <c r="H6522" i="5"/>
  <c r="H6498" i="5"/>
  <c r="H6578" i="5"/>
  <c r="H6610" i="5"/>
  <c r="H6918" i="5"/>
  <c r="H6486" i="5"/>
  <c r="H4742" i="5"/>
  <c r="H6590" i="5"/>
  <c r="H6858" i="5"/>
  <c r="H6618" i="5"/>
  <c r="H6462" i="5"/>
  <c r="H2746" i="5"/>
  <c r="H6570" i="5"/>
  <c r="H6482" i="5"/>
  <c r="H6882" i="5"/>
  <c r="H6602" i="5"/>
  <c r="H2738" i="5"/>
  <c r="H6510" i="5"/>
  <c r="H6502" i="5"/>
  <c r="G6319" i="5"/>
  <c r="G6321" i="5"/>
  <c r="G6322" i="5"/>
  <c r="H6433" i="5"/>
  <c r="H6440" i="5"/>
  <c r="H6419" i="5"/>
  <c r="H6424" i="5"/>
  <c r="H6385" i="5"/>
  <c r="H6409" i="5"/>
  <c r="H6396" i="5"/>
  <c r="H6392" i="5"/>
  <c r="H6414" i="5"/>
  <c r="H6405" i="5"/>
  <c r="H6401" i="5"/>
  <c r="G1377" i="5"/>
  <c r="G519" i="5"/>
  <c r="G6357" i="5"/>
  <c r="H6207" i="5"/>
  <c r="H6177" i="5"/>
  <c r="H6227" i="5"/>
  <c r="H6172" i="5"/>
  <c r="H6182" i="5"/>
  <c r="H6214" i="5"/>
  <c r="H6165" i="5"/>
  <c r="H6239" i="5"/>
  <c r="H6275" i="5"/>
  <c r="H6329" i="5"/>
  <c r="H6338" i="5"/>
  <c r="H5472" i="5"/>
  <c r="H6267" i="5"/>
  <c r="H5308" i="5"/>
  <c r="H5372" i="5"/>
  <c r="H5347" i="5"/>
  <c r="H5437" i="5"/>
  <c r="H5366" i="5"/>
  <c r="H5320" i="5"/>
  <c r="H5314" i="5"/>
  <c r="H5468" i="5"/>
  <c r="H5296" i="5"/>
  <c r="H5462" i="5"/>
  <c r="H5456" i="5"/>
  <c r="H5431" i="5"/>
  <c r="H5302" i="5"/>
  <c r="H5603" i="5"/>
  <c r="H118" i="5"/>
  <c r="G4260" i="5"/>
  <c r="G4261" i="5"/>
  <c r="H5699" i="5"/>
  <c r="H5651" i="5"/>
  <c r="H5639" i="5"/>
  <c r="H5667" i="5"/>
  <c r="H5631" i="5"/>
  <c r="H5679" i="5"/>
  <c r="H5663" i="5"/>
  <c r="H5643" i="5"/>
  <c r="H5675" i="5"/>
  <c r="H5627" i="5"/>
  <c r="H5655" i="5"/>
  <c r="H5687" i="5"/>
  <c r="H5691" i="5"/>
  <c r="H5615" i="5"/>
  <c r="H5619" i="5"/>
  <c r="G5715" i="5"/>
  <c r="G5711" i="5"/>
  <c r="G6125" i="5"/>
  <c r="G5723" i="5"/>
  <c r="G5703" i="5"/>
  <c r="G5727" i="5"/>
  <c r="G6126" i="5"/>
  <c r="G859" i="5"/>
  <c r="H5591" i="5"/>
  <c r="H5883" i="5"/>
  <c r="H5783" i="5"/>
  <c r="H5871" i="5"/>
  <c r="H5567" i="5"/>
  <c r="H6091" i="5"/>
  <c r="H5811" i="5"/>
  <c r="H5847" i="5"/>
  <c r="H6139" i="5"/>
  <c r="H5767" i="5"/>
  <c r="H5525" i="5"/>
  <c r="H5803" i="5"/>
  <c r="H5695" i="5"/>
  <c r="H5903" i="5"/>
  <c r="H5495" i="5"/>
  <c r="H2774" i="5"/>
  <c r="H5963" i="5"/>
  <c r="H6107" i="5"/>
  <c r="H5623" i="5"/>
  <c r="G5719" i="5"/>
  <c r="G5707" i="5"/>
  <c r="H5951" i="5"/>
  <c r="H5855" i="5"/>
  <c r="H5975" i="5"/>
  <c r="H2766" i="5"/>
  <c r="G6067" i="5"/>
  <c r="G6015" i="5"/>
  <c r="H6039" i="5"/>
  <c r="H5867" i="5"/>
  <c r="H5959" i="5"/>
  <c r="H5735" i="5"/>
  <c r="H5739" i="5"/>
  <c r="G5995" i="5"/>
  <c r="H5513" i="5"/>
  <c r="H6135" i="5"/>
  <c r="H5743" i="5"/>
  <c r="H5483" i="5"/>
  <c r="H5659" i="5"/>
  <c r="H5607" i="5"/>
  <c r="H6031" i="5"/>
  <c r="H5683" i="5"/>
  <c r="H5501" i="5"/>
  <c r="H5555" i="5"/>
  <c r="G6003" i="5"/>
  <c r="H5843" i="5"/>
  <c r="H5859" i="5"/>
  <c r="H5907" i="5"/>
  <c r="G5731" i="5"/>
  <c r="H6131" i="5"/>
  <c r="H5763" i="5"/>
  <c r="H5967" i="5"/>
  <c r="H6023" i="5"/>
  <c r="G6019" i="5"/>
  <c r="H5775" i="5"/>
  <c r="H5671" i="5"/>
  <c r="H6083" i="5"/>
  <c r="H5891" i="5"/>
  <c r="H6095" i="5"/>
  <c r="H5747" i="5"/>
  <c r="H5561" i="5"/>
  <c r="H5549" i="5"/>
  <c r="H5755" i="5"/>
  <c r="H5955" i="5"/>
  <c r="H5823" i="5"/>
  <c r="H5537" i="5"/>
  <c r="G5991" i="5"/>
  <c r="H5807" i="5"/>
  <c r="H5751" i="5"/>
  <c r="H5935" i="5"/>
  <c r="G6059" i="5"/>
  <c r="H5839" i="5"/>
  <c r="H5611" i="5"/>
  <c r="H5875" i="5"/>
  <c r="H5887" i="5"/>
  <c r="H5943" i="5"/>
  <c r="H5979" i="5"/>
  <c r="H5971" i="5"/>
  <c r="H6079" i="5"/>
  <c r="H5779" i="5"/>
  <c r="H5543" i="5"/>
  <c r="H5911" i="5"/>
  <c r="H5851" i="5"/>
  <c r="H5597" i="5"/>
  <c r="G6127" i="5"/>
  <c r="H6051" i="5"/>
  <c r="H5791" i="5"/>
  <c r="G6007" i="5"/>
  <c r="H5923" i="5"/>
  <c r="H6103" i="5"/>
  <c r="H6071" i="5"/>
  <c r="H6035" i="5"/>
  <c r="H6099" i="5"/>
  <c r="H5879" i="5"/>
  <c r="H5899" i="5"/>
  <c r="H5519" i="5"/>
  <c r="G5999" i="5"/>
  <c r="H6055" i="5"/>
  <c r="H5827" i="5"/>
  <c r="H5635" i="5"/>
  <c r="H5771" i="5"/>
  <c r="H6087" i="5"/>
  <c r="H5573" i="5"/>
  <c r="H5759" i="5"/>
  <c r="H5915" i="5"/>
  <c r="H5947" i="5"/>
  <c r="H5895" i="5"/>
  <c r="H5585" i="5"/>
  <c r="H5507" i="5"/>
  <c r="H5983" i="5"/>
  <c r="H5799" i="5"/>
  <c r="H5489" i="5"/>
  <c r="H5787" i="5"/>
  <c r="H5819" i="5"/>
  <c r="H5939" i="5"/>
  <c r="H5531" i="5"/>
  <c r="H5831" i="5"/>
  <c r="H5579" i="5"/>
  <c r="G6011" i="5"/>
  <c r="H5919" i="5"/>
  <c r="H5647" i="5"/>
  <c r="H5815" i="5"/>
  <c r="H5927" i="5"/>
  <c r="H5795" i="5"/>
  <c r="H5835" i="5"/>
  <c r="H2770" i="5"/>
  <c r="H6075" i="5"/>
  <c r="H5931" i="5"/>
  <c r="H5987" i="5"/>
  <c r="H6063" i="5"/>
  <c r="H5863" i="5"/>
  <c r="H2458" i="5"/>
  <c r="H2454" i="5"/>
  <c r="H2534" i="5"/>
  <c r="H2478" i="5"/>
  <c r="H2510" i="5"/>
  <c r="H2514" i="5"/>
  <c r="H2406" i="5"/>
  <c r="H2490" i="5"/>
  <c r="H2546" i="5"/>
  <c r="H2502" i="5"/>
  <c r="H2550" i="5"/>
  <c r="H2554" i="5"/>
  <c r="H2658" i="5"/>
  <c r="H2518" i="5"/>
  <c r="H2542" i="5"/>
  <c r="H2494" i="5"/>
  <c r="H2522" i="5"/>
  <c r="H2474" i="5"/>
  <c r="H2422" i="5"/>
  <c r="H2430" i="5"/>
  <c r="H2530" i="5"/>
  <c r="H2434" i="5"/>
  <c r="H2538" i="5"/>
  <c r="H2410" i="5"/>
  <c r="H2446" i="5"/>
  <c r="H2526" i="5"/>
  <c r="H2418" i="5"/>
  <c r="H2470" i="5"/>
  <c r="H2466" i="5"/>
  <c r="H2426" i="5"/>
  <c r="H2438" i="5"/>
  <c r="H2650" i="5"/>
  <c r="H2558" i="5"/>
  <c r="H2482" i="5"/>
  <c r="H2486" i="5"/>
  <c r="H2450" i="5"/>
  <c r="H2462" i="5"/>
  <c r="H2506" i="5"/>
  <c r="H2498" i="5"/>
  <c r="G5284" i="5"/>
  <c r="G5290" i="5"/>
  <c r="H5172" i="5"/>
  <c r="H4961" i="5"/>
  <c r="H5075" i="5"/>
  <c r="H5225" i="5"/>
  <c r="H5035" i="5"/>
  <c r="H5271" i="5"/>
  <c r="H4992" i="5"/>
  <c r="H5106" i="5"/>
  <c r="H5238" i="5"/>
  <c r="H5136" i="5"/>
  <c r="H4949" i="5"/>
  <c r="H4985" i="5"/>
  <c r="H5021" i="5"/>
  <c r="H5158" i="5"/>
  <c r="H5011" i="5"/>
  <c r="H4829" i="5"/>
  <c r="H5144" i="5"/>
  <c r="H4979" i="5"/>
  <c r="H4973" i="5"/>
  <c r="H4795" i="5"/>
  <c r="H4942" i="5"/>
  <c r="H4935" i="5"/>
  <c r="H4805" i="5"/>
  <c r="H4916" i="5"/>
  <c r="H4902" i="5"/>
  <c r="H4821" i="5"/>
  <c r="H5128" i="5"/>
  <c r="H5120" i="5"/>
  <c r="H4895" i="5"/>
  <c r="H5218" i="5"/>
  <c r="H5027" i="5"/>
  <c r="H4888" i="5"/>
  <c r="H5112" i="5"/>
  <c r="H5049" i="5"/>
  <c r="H4837" i="5"/>
  <c r="H5232" i="5"/>
  <c r="H4853" i="5"/>
  <c r="H5164" i="5"/>
  <c r="H5180" i="5"/>
  <c r="H4909" i="5"/>
  <c r="H5088" i="5"/>
  <c r="H4813" i="5"/>
  <c r="H5015" i="5"/>
  <c r="H5081" i="5"/>
  <c r="H5005" i="5"/>
  <c r="H4861" i="5"/>
  <c r="H4956" i="5"/>
  <c r="H5042" i="5"/>
  <c r="H4967" i="5"/>
  <c r="H5069" i="5"/>
  <c r="H4923" i="5"/>
  <c r="H5150" i="5"/>
  <c r="H4845" i="5"/>
  <c r="H4800" i="5"/>
  <c r="G2250" i="5"/>
  <c r="G5099" i="5"/>
  <c r="G2276" i="5"/>
  <c r="G2296" i="5"/>
  <c r="G2306" i="5"/>
  <c r="G2286" i="5"/>
  <c r="G2266" i="5"/>
  <c r="H3396" i="5"/>
  <c r="G5057" i="5"/>
  <c r="G5063" i="5"/>
  <c r="G708" i="5"/>
  <c r="G4997" i="5"/>
  <c r="H3444" i="5"/>
  <c r="G4928" i="5"/>
  <c r="G680" i="5"/>
  <c r="H3204" i="5"/>
  <c r="H3209" i="5"/>
  <c r="H3425" i="5"/>
  <c r="H192" i="5"/>
  <c r="H4115" i="5"/>
  <c r="H3069" i="5"/>
  <c r="H1815" i="5"/>
  <c r="H30" i="5"/>
  <c r="H2662" i="5"/>
  <c r="H2351" i="5"/>
  <c r="H3440" i="5"/>
  <c r="H2710" i="5"/>
  <c r="H4765" i="5"/>
  <c r="H2212" i="5"/>
  <c r="H2799" i="5"/>
  <c r="H2804" i="5"/>
  <c r="H94" i="5"/>
  <c r="H79" i="5"/>
  <c r="H2680" i="5"/>
  <c r="H123" i="5"/>
  <c r="H1921" i="5"/>
  <c r="H221" i="5"/>
  <c r="H654" i="5"/>
  <c r="H1820" i="5"/>
  <c r="H61" i="5"/>
  <c r="H185" i="5"/>
  <c r="H3659" i="5"/>
  <c r="H3383" i="5"/>
  <c r="H829" i="5"/>
  <c r="H3641" i="5"/>
  <c r="H156" i="5"/>
  <c r="H2668" i="5"/>
  <c r="H3430" i="5"/>
  <c r="H4109" i="5"/>
  <c r="H3400" i="5"/>
  <c r="H163" i="5"/>
  <c r="H151" i="5"/>
  <c r="H99" i="5"/>
  <c r="H2686" i="5"/>
  <c r="H181" i="5"/>
  <c r="H199" i="5"/>
  <c r="H203" i="5"/>
  <c r="H658" i="5"/>
  <c r="H35" i="5"/>
  <c r="H177" i="5"/>
  <c r="H905" i="5"/>
  <c r="H137" i="5"/>
  <c r="H646" i="5"/>
  <c r="H128" i="5"/>
  <c r="H825" i="5"/>
  <c r="H1134" i="5"/>
  <c r="H3357" i="5"/>
  <c r="H39" i="5"/>
  <c r="H108" i="5"/>
  <c r="H216" i="5"/>
  <c r="H49" i="5"/>
  <c r="H146" i="5"/>
  <c r="H650" i="5"/>
  <c r="H44" i="5"/>
  <c r="H212" i="5"/>
  <c r="H84" i="5"/>
  <c r="H133" i="5"/>
  <c r="H2692" i="5"/>
  <c r="H2704" i="5"/>
  <c r="H226" i="5"/>
  <c r="H141" i="5"/>
  <c r="H2674" i="5"/>
  <c r="H2716" i="5"/>
  <c r="H893" i="5"/>
  <c r="H1926" i="5"/>
  <c r="H1916" i="5"/>
  <c r="H89" i="5"/>
  <c r="H113" i="5"/>
  <c r="H12" i="5"/>
  <c r="H168" i="5"/>
  <c r="H2698" i="5"/>
  <c r="H3139" i="5"/>
  <c r="H3829" i="5"/>
  <c r="H16" i="5"/>
  <c r="H25" i="5"/>
  <c r="H104" i="5"/>
  <c r="H66" i="5"/>
  <c r="H207" i="5"/>
  <c r="H8" i="5"/>
  <c r="H173" i="5"/>
  <c r="H6319" i="5" l="1"/>
  <c r="G2226" i="5"/>
  <c r="G1948" i="5"/>
  <c r="G1949" i="5"/>
  <c r="G5379" i="5"/>
  <c r="G5361" i="5"/>
  <c r="G5445" i="5"/>
  <c r="H5715" i="5"/>
  <c r="G3168" i="5"/>
  <c r="H5703" i="5"/>
  <c r="H5711" i="5"/>
  <c r="H5727" i="5"/>
  <c r="H5723" i="5"/>
  <c r="H6059" i="5"/>
  <c r="H5991" i="5"/>
  <c r="H6007" i="5"/>
  <c r="H5731" i="5"/>
  <c r="H6015" i="5"/>
  <c r="H5707" i="5"/>
  <c r="H6123" i="5"/>
  <c r="H6003" i="5"/>
  <c r="H6067" i="5"/>
  <c r="H5719" i="5"/>
  <c r="H6011" i="5"/>
  <c r="H5999" i="5"/>
  <c r="H6019" i="5"/>
  <c r="H5995" i="5"/>
  <c r="H5290" i="5"/>
  <c r="H5284" i="5"/>
  <c r="G5267" i="5"/>
  <c r="H716" i="5"/>
  <c r="H2273" i="5"/>
  <c r="H5095" i="5"/>
  <c r="H5057" i="5"/>
  <c r="H5063" i="5"/>
  <c r="H2263" i="5"/>
  <c r="H2283" i="5"/>
  <c r="H2303" i="5"/>
  <c r="H2293" i="5"/>
  <c r="H706" i="5"/>
  <c r="H4997" i="5"/>
  <c r="H678" i="5"/>
  <c r="G4791" i="5"/>
  <c r="G4782" i="5"/>
  <c r="G6156" i="5" l="1"/>
  <c r="G6145" i="5"/>
  <c r="G6366" i="5"/>
  <c r="H5443" i="5"/>
  <c r="H5359" i="5"/>
  <c r="G5380" i="5"/>
  <c r="H5263" i="5"/>
  <c r="G4929" i="5"/>
  <c r="H4879" i="5"/>
  <c r="G4870" i="5"/>
  <c r="H4790" i="5"/>
  <c r="G4772" i="5"/>
  <c r="G5196" i="5" l="1"/>
  <c r="G5212" i="5"/>
  <c r="G5211" i="5"/>
  <c r="G5195" i="5"/>
  <c r="G5210" i="5"/>
  <c r="G5197" i="5"/>
  <c r="G6194" i="5"/>
  <c r="H6357" i="5"/>
  <c r="H5378" i="5"/>
  <c r="H4928" i="5"/>
  <c r="H4869" i="5"/>
  <c r="L509" i="20" l="1"/>
  <c r="M509" i="20" s="1"/>
  <c r="H5188" i="5"/>
  <c r="H5203" i="5"/>
  <c r="H6190" i="5"/>
  <c r="L409" i="20"/>
  <c r="L423" i="20" l="1"/>
  <c r="M423" i="20" s="1"/>
  <c r="L438" i="20"/>
  <c r="M438" i="20" s="1"/>
  <c r="L439" i="20"/>
  <c r="M439" i="20" s="1"/>
  <c r="L514" i="20"/>
  <c r="M514" i="20" s="1"/>
  <c r="L461" i="20"/>
  <c r="M461" i="20" s="1"/>
  <c r="L487" i="20"/>
  <c r="M487" i="20" s="1"/>
  <c r="L492" i="20"/>
  <c r="M492" i="20" s="1"/>
  <c r="L464" i="20"/>
  <c r="M464" i="20" s="1"/>
  <c r="L451" i="20"/>
  <c r="M451" i="20" s="1"/>
  <c r="L485" i="20"/>
  <c r="M485" i="20" s="1"/>
  <c r="L484" i="20"/>
  <c r="M484" i="20" s="1"/>
  <c r="L458" i="20"/>
  <c r="M458" i="20" s="1"/>
  <c r="L422" i="20"/>
  <c r="M422" i="20" s="1"/>
  <c r="L496" i="20"/>
  <c r="M496" i="20" s="1"/>
  <c r="L436" i="20"/>
  <c r="M436" i="20" s="1"/>
  <c r="L490" i="20"/>
  <c r="M490" i="20" s="1"/>
  <c r="L486" i="20"/>
  <c r="M486" i="20" s="1"/>
  <c r="L489" i="20"/>
  <c r="M489" i="20" s="1"/>
  <c r="L479" i="20"/>
  <c r="M479" i="20" s="1"/>
  <c r="L472" i="20"/>
  <c r="M472" i="20" s="1"/>
  <c r="L470" i="20"/>
  <c r="M470" i="20" s="1"/>
  <c r="M468" i="20" s="1"/>
  <c r="L497" i="20"/>
  <c r="M497" i="20" s="1"/>
  <c r="L420" i="20"/>
  <c r="M420" i="20" s="1"/>
  <c r="L495" i="20"/>
  <c r="M495" i="20" s="1"/>
  <c r="L474" i="20"/>
  <c r="M474" i="20" s="1"/>
  <c r="L494" i="20"/>
  <c r="M494" i="20" s="1"/>
  <c r="L463" i="20"/>
  <c r="M463" i="20" s="1"/>
  <c r="L511" i="20"/>
  <c r="M511" i="20" s="1"/>
  <c r="L432" i="20"/>
  <c r="M432" i="20" s="1"/>
  <c r="L466" i="20"/>
  <c r="M466" i="20" s="1"/>
  <c r="L491" i="20"/>
  <c r="M491" i="20" s="1"/>
  <c r="L416" i="20"/>
  <c r="M416" i="20" s="1"/>
  <c r="L424" i="20"/>
  <c r="M424" i="20" s="1"/>
  <c r="L426" i="20"/>
  <c r="M426" i="20" s="1"/>
  <c r="L433" i="20"/>
  <c r="M433" i="20" s="1"/>
  <c r="L483" i="20"/>
  <c r="M483" i="20" s="1"/>
  <c r="L477" i="20"/>
  <c r="M477" i="20" s="1"/>
  <c r="L513" i="20"/>
  <c r="M513" i="20" s="1"/>
  <c r="L493" i="20"/>
  <c r="M493" i="20" s="1"/>
  <c r="L452" i="20"/>
  <c r="M452" i="20" s="1"/>
  <c r="L480" i="20"/>
  <c r="M480" i="20" s="1"/>
  <c r="L434" i="20"/>
  <c r="M434" i="20" s="1"/>
  <c r="L481" i="20"/>
  <c r="M481" i="20" s="1"/>
  <c r="L444" i="20"/>
  <c r="M444" i="20" s="1"/>
  <c r="L443" i="20"/>
  <c r="M443" i="20" s="1"/>
  <c r="L446" i="20"/>
  <c r="M446" i="20" s="1"/>
  <c r="L448" i="20"/>
  <c r="M448" i="20" s="1"/>
  <c r="L512" i="20"/>
  <c r="M512" i="20" s="1"/>
  <c r="L431" i="20"/>
  <c r="M431" i="20" s="1"/>
  <c r="L429" i="20"/>
  <c r="M429" i="20" s="1"/>
  <c r="L428" i="20"/>
  <c r="M428" i="20" s="1"/>
  <c r="L510" i="20"/>
  <c r="M510" i="20" s="1"/>
  <c r="L478" i="20"/>
  <c r="M478" i="20" s="1"/>
  <c r="L437" i="20"/>
  <c r="M437" i="20" s="1"/>
  <c r="L441" i="20"/>
  <c r="M441" i="20" s="1"/>
  <c r="L453" i="20"/>
  <c r="M453" i="20" s="1"/>
  <c r="L518" i="20"/>
  <c r="M518" i="20" s="1"/>
  <c r="L482" i="20"/>
  <c r="M482" i="20" s="1"/>
  <c r="L459" i="20"/>
  <c r="M459" i="20" s="1"/>
  <c r="L419" i="20"/>
  <c r="M419" i="20" s="1"/>
  <c r="L456" i="20"/>
  <c r="M456" i="20" s="1"/>
  <c r="L488" i="20"/>
  <c r="M488" i="20" s="1"/>
  <c r="L418" i="20"/>
  <c r="M418" i="20" s="1"/>
  <c r="L476" i="20"/>
  <c r="M476" i="20" s="1"/>
  <c r="L421" i="20"/>
  <c r="M421" i="20" s="1"/>
  <c r="L475" i="20"/>
  <c r="M475" i="20" s="1"/>
  <c r="L462" i="20"/>
  <c r="M462" i="20" s="1"/>
  <c r="L454" i="20"/>
  <c r="M454" i="20" s="1"/>
  <c r="L449" i="20"/>
  <c r="M449" i="20" s="1"/>
  <c r="M409" i="20"/>
  <c r="N349" i="20"/>
  <c r="O349" i="20" s="1"/>
  <c r="N343" i="20"/>
  <c r="O343" i="20" s="1"/>
  <c r="N401" i="20"/>
  <c r="O401" i="20" s="1"/>
  <c r="G4773" i="5"/>
  <c r="G4783" i="5"/>
  <c r="G4757" i="5"/>
  <c r="M517" i="20" l="1"/>
  <c r="M408" i="20"/>
  <c r="M471" i="20"/>
  <c r="M457" i="20"/>
  <c r="M442" i="20"/>
  <c r="L427" i="20"/>
  <c r="M427" i="20" s="1"/>
  <c r="M414" i="20" s="1"/>
  <c r="H4770" i="5"/>
  <c r="H4780" i="5"/>
  <c r="M516" i="20" l="1"/>
  <c r="M410" i="20"/>
  <c r="M407" i="20"/>
  <c r="G5255" i="5"/>
  <c r="D11" i="21" l="1"/>
  <c r="E11" i="21" s="1"/>
  <c r="F11" i="21"/>
  <c r="G11" i="21" s="1"/>
  <c r="D10" i="21"/>
  <c r="E10" i="21" s="1"/>
  <c r="F10" i="21"/>
  <c r="G10" i="21" s="1"/>
  <c r="F12" i="21"/>
  <c r="G12" i="21" s="1"/>
  <c r="D12" i="21"/>
  <c r="E12" i="21" s="1"/>
  <c r="G1984" i="5"/>
  <c r="G3362" i="5"/>
  <c r="G1607" i="5" l="1"/>
  <c r="G4154" i="5"/>
  <c r="G608" i="5"/>
  <c r="G1846" i="5"/>
  <c r="G4621" i="5"/>
  <c r="G2102" i="5"/>
  <c r="G4761" i="5"/>
  <c r="G1128" i="5"/>
  <c r="G1894" i="5"/>
  <c r="G3989" i="5"/>
  <c r="G3077" i="5"/>
  <c r="G2368" i="5"/>
  <c r="G3135" i="5"/>
  <c r="G1181" i="5"/>
  <c r="G3115" i="5"/>
  <c r="G507" i="5"/>
  <c r="G500" i="5"/>
  <c r="G4201" i="5"/>
  <c r="G1337" i="5"/>
  <c r="G3584" i="5"/>
  <c r="G3014" i="5"/>
  <c r="G775" i="5"/>
  <c r="G3034" i="5"/>
  <c r="G1701" i="5"/>
  <c r="G2233" i="5"/>
  <c r="G3851" i="5"/>
  <c r="G3370" i="5"/>
  <c r="G1023" i="5"/>
  <c r="G698" i="5"/>
  <c r="G1061" i="5"/>
  <c r="G4213" i="5"/>
  <c r="G2339" i="5"/>
  <c r="G1223" i="5"/>
  <c r="G4350" i="5"/>
  <c r="G3348" i="5"/>
  <c r="G662" i="5"/>
  <c r="G4588" i="5"/>
  <c r="G4164" i="5"/>
  <c r="G1444" i="5"/>
  <c r="G1459" i="5"/>
  <c r="G1430" i="5"/>
  <c r="G1588" i="5"/>
  <c r="G4446" i="5"/>
  <c r="G3495" i="5"/>
  <c r="G3533" i="5"/>
  <c r="G3520" i="5"/>
  <c r="G1411" i="5"/>
  <c r="G338" i="5"/>
  <c r="G2825" i="5"/>
  <c r="G1413" i="5"/>
  <c r="G336" i="5"/>
  <c r="G1409" i="5"/>
  <c r="G4391" i="5"/>
  <c r="G3451" i="5"/>
  <c r="G2830" i="5"/>
  <c r="G1697" i="5"/>
  <c r="G1417" i="5"/>
  <c r="G4122" i="5"/>
  <c r="G3942" i="5"/>
  <c r="G3287" i="5"/>
  <c r="G3450" i="5"/>
  <c r="G3607" i="5"/>
  <c r="G2944" i="5"/>
  <c r="G1585" i="5"/>
  <c r="G1504" i="5"/>
  <c r="G1488" i="5"/>
  <c r="G1590" i="5"/>
  <c r="G1456" i="5"/>
  <c r="G1445" i="5"/>
  <c r="G252" i="5"/>
  <c r="G3936" i="5"/>
  <c r="G3496" i="5"/>
  <c r="G2899" i="5"/>
  <c r="G1838" i="5"/>
  <c r="G1476" i="5"/>
  <c r="G1471" i="5"/>
  <c r="G1426" i="5"/>
  <c r="G1492" i="5"/>
  <c r="G1439" i="5"/>
  <c r="G4680" i="5"/>
  <c r="G4475" i="5"/>
  <c r="G3460" i="5"/>
  <c r="G3280" i="5"/>
  <c r="G1446" i="5"/>
  <c r="G1501" i="5"/>
  <c r="G4679" i="5"/>
  <c r="G1414" i="5"/>
  <c r="G1424" i="5"/>
  <c r="G4389" i="5"/>
  <c r="G4668" i="5"/>
  <c r="G1415" i="5"/>
  <c r="G4398" i="5"/>
  <c r="G4444" i="5"/>
  <c r="G3593" i="5"/>
  <c r="G1469" i="5"/>
  <c r="G4283" i="5"/>
  <c r="G4176" i="5"/>
  <c r="G3606" i="5"/>
  <c r="G1768" i="5"/>
  <c r="G1696" i="5"/>
  <c r="H1337" i="5" l="1"/>
  <c r="G1431" i="5"/>
  <c r="G1912" i="5"/>
  <c r="G1906" i="5"/>
  <c r="G4476" i="5"/>
  <c r="G1432" i="5"/>
  <c r="G4399" i="5"/>
  <c r="G2196" i="5"/>
  <c r="G1512" i="5"/>
  <c r="G1489" i="5"/>
  <c r="G330" i="5"/>
  <c r="G2835" i="5"/>
  <c r="G1416" i="5"/>
  <c r="G1584" i="5"/>
  <c r="G2964" i="5"/>
  <c r="G4390" i="5"/>
  <c r="G1544" i="5"/>
  <c r="G2188" i="5"/>
  <c r="G1536" i="5"/>
  <c r="G4284" i="5"/>
  <c r="G4407" i="5"/>
  <c r="G3315" i="5"/>
  <c r="G3322" i="5"/>
  <c r="G1528" i="5"/>
  <c r="G2984" i="5"/>
  <c r="G337" i="5"/>
  <c r="G358" i="5"/>
  <c r="G333" i="5"/>
  <c r="G1460" i="5"/>
  <c r="G1477" i="5"/>
  <c r="G1503" i="5"/>
  <c r="G1491" i="5"/>
  <c r="G1505" i="5"/>
  <c r="G4406" i="5"/>
  <c r="G2993" i="5"/>
  <c r="G2204" i="5"/>
  <c r="G3308" i="5"/>
  <c r="G1490" i="5"/>
  <c r="G339" i="5"/>
  <c r="G1454" i="5"/>
  <c r="G1486" i="5"/>
  <c r="G2618" i="5"/>
  <c r="G4408" i="5"/>
  <c r="G3562" i="5"/>
  <c r="G1499" i="5"/>
  <c r="G1447" i="5"/>
  <c r="G3720" i="5"/>
  <c r="G1473" i="5"/>
  <c r="G3534" i="5"/>
  <c r="G3563" i="5"/>
  <c r="G1475" i="5"/>
  <c r="G1441" i="5"/>
  <c r="G1458" i="5"/>
  <c r="G1507" i="5"/>
  <c r="G1506" i="5"/>
  <c r="G1462" i="5"/>
  <c r="G2877" i="5"/>
  <c r="G1474" i="5"/>
  <c r="G2820" i="5"/>
  <c r="G4681" i="5"/>
  <c r="G2989" i="5"/>
  <c r="G2979" i="5"/>
  <c r="G1429" i="5"/>
  <c r="G2842" i="5"/>
  <c r="G3273" i="5"/>
  <c r="G475" i="5"/>
  <c r="G4629" i="5"/>
  <c r="G4388" i="5"/>
  <c r="G3574" i="5"/>
  <c r="G4678" i="5"/>
  <c r="G1761" i="5"/>
  <c r="G1461" i="5"/>
  <c r="G4392" i="5"/>
  <c r="G4177" i="5"/>
  <c r="G4400" i="5"/>
  <c r="G1583" i="5"/>
  <c r="G1591" i="5"/>
  <c r="G3461" i="5"/>
  <c r="G1589" i="5"/>
  <c r="G746" i="5"/>
  <c r="G3329" i="5"/>
  <c r="G2969" i="5"/>
  <c r="G1587" i="5"/>
  <c r="G4677" i="5"/>
  <c r="G4183" i="5"/>
  <c r="G1443" i="5"/>
  <c r="G3719" i="5"/>
  <c r="G4445" i="5"/>
  <c r="G1520" i="5"/>
  <c r="G3294" i="5"/>
  <c r="G3301" i="5"/>
  <c r="G1484" i="5"/>
  <c r="G3521" i="5"/>
  <c r="G1428" i="5"/>
  <c r="G1163" i="5"/>
  <c r="G575" i="5"/>
  <c r="G4462" i="5"/>
  <c r="G4351" i="5"/>
  <c r="G4422" i="5"/>
  <c r="G4103" i="5"/>
  <c r="G3418" i="5"/>
  <c r="G4586" i="5"/>
  <c r="G4045" i="5"/>
  <c r="G3435" i="5"/>
  <c r="G1648" i="5"/>
  <c r="G955" i="5"/>
  <c r="G4235" i="5"/>
  <c r="G4188" i="5"/>
  <c r="G3756" i="5"/>
  <c r="G2634" i="5"/>
  <c r="G3239" i="5"/>
  <c r="G417" i="5"/>
  <c r="G843" i="5"/>
  <c r="G3552" i="5"/>
  <c r="G997" i="5"/>
  <c r="G1797" i="5"/>
  <c r="G541" i="5"/>
  <c r="G774" i="5"/>
  <c r="G871" i="5"/>
  <c r="G404" i="5"/>
  <c r="G888" i="5"/>
  <c r="G4243" i="5"/>
  <c r="G3675" i="5"/>
  <c r="G3086" i="5"/>
  <c r="G1262" i="5"/>
  <c r="G4659" i="5"/>
  <c r="G4075" i="5"/>
  <c r="G4310" i="5"/>
  <c r="G3637" i="5"/>
  <c r="G2010" i="5"/>
  <c r="G609" i="5"/>
  <c r="G2928" i="5"/>
  <c r="G806" i="5"/>
  <c r="G293" i="5"/>
  <c r="G987" i="5"/>
  <c r="G410" i="5"/>
  <c r="G1289" i="5"/>
  <c r="G671" i="5"/>
  <c r="H662" i="5"/>
  <c r="G4708" i="5"/>
  <c r="G4480" i="5"/>
  <c r="G4645" i="5"/>
  <c r="G4047" i="5"/>
  <c r="G3363" i="5"/>
  <c r="G3349" i="5"/>
  <c r="G1561" i="5"/>
  <c r="G932" i="5"/>
  <c r="G4194" i="5"/>
  <c r="G3647" i="5"/>
  <c r="G2244" i="5"/>
  <c r="G1254" i="5"/>
  <c r="G3197" i="5"/>
  <c r="G666" i="5"/>
  <c r="G821" i="5"/>
  <c r="G343" i="5"/>
  <c r="G1017" i="5"/>
  <c r="G408" i="5"/>
  <c r="G1248" i="5"/>
  <c r="G642" i="5"/>
  <c r="G71" i="5"/>
  <c r="G1182" i="5"/>
  <c r="G1140" i="5"/>
  <c r="G778" i="5"/>
  <c r="G279" i="5"/>
  <c r="G4555" i="5"/>
  <c r="G4614" i="5"/>
  <c r="G3076" i="5"/>
  <c r="G4290" i="5"/>
  <c r="G4573" i="5"/>
  <c r="G4063" i="5"/>
  <c r="G3387" i="5"/>
  <c r="G1567" i="5"/>
  <c r="G2126" i="5"/>
  <c r="G835" i="5"/>
  <c r="G2904" i="5"/>
  <c r="G261" i="5"/>
  <c r="G1076" i="5"/>
  <c r="G4424" i="5"/>
  <c r="G4528" i="5"/>
  <c r="G4317" i="5"/>
  <c r="G3896" i="5"/>
  <c r="G3862" i="5"/>
  <c r="G3222" i="5"/>
  <c r="G4013" i="5"/>
  <c r="G1876" i="5"/>
  <c r="H2339" i="5"/>
  <c r="H1023" i="5"/>
  <c r="H1701" i="5"/>
  <c r="G4603" i="5"/>
  <c r="G4437" i="5"/>
  <c r="G3705" i="5"/>
  <c r="G4155" i="5"/>
  <c r="G1147" i="5"/>
  <c r="G602" i="5"/>
  <c r="G2920" i="5"/>
  <c r="G1069" i="5"/>
  <c r="G563" i="5"/>
  <c r="G4611" i="5"/>
  <c r="G2394" i="5"/>
  <c r="G1055" i="5"/>
  <c r="G255" i="5"/>
  <c r="G4523" i="5"/>
  <c r="G4486" i="5"/>
  <c r="G1762" i="5"/>
  <c r="G798" i="5"/>
  <c r="G314" i="5"/>
  <c r="G4355" i="5"/>
  <c r="G3508" i="5"/>
  <c r="G4048" i="5"/>
  <c r="G3509" i="5"/>
  <c r="G989" i="5"/>
  <c r="G4032" i="5"/>
  <c r="G1566" i="5"/>
  <c r="G1982" i="5"/>
  <c r="G1769" i="5"/>
  <c r="G1030" i="5"/>
  <c r="G466" i="5"/>
  <c r="G1202" i="5"/>
  <c r="G702" i="5"/>
  <c r="G4074" i="5"/>
  <c r="G535" i="5"/>
  <c r="G768" i="5"/>
  <c r="G322" i="5"/>
  <c r="G456" i="5"/>
  <c r="G4144" i="5"/>
  <c r="G3252" i="5"/>
  <c r="G996" i="5"/>
  <c r="G4653" i="5"/>
  <c r="G4720" i="5"/>
  <c r="G4726" i="5"/>
  <c r="G4282" i="5"/>
  <c r="G3728" i="5"/>
  <c r="G4381" i="5"/>
  <c r="G3964" i="5"/>
  <c r="G3254" i="5"/>
  <c r="G1412" i="5"/>
  <c r="G4142" i="5"/>
  <c r="G3608" i="5"/>
  <c r="G2566" i="5"/>
  <c r="G356" i="5"/>
  <c r="G1631" i="5"/>
  <c r="G599" i="5"/>
  <c r="G3188" i="5"/>
  <c r="G777" i="5"/>
  <c r="G968" i="5"/>
  <c r="G411" i="5"/>
  <c r="G4057" i="5"/>
  <c r="G3767" i="5"/>
  <c r="G2590" i="5"/>
  <c r="G1168" i="5"/>
  <c r="G4423" i="5"/>
  <c r="G3905" i="5"/>
  <c r="G1384" i="5"/>
  <c r="G1595" i="5"/>
  <c r="G1487" i="5"/>
  <c r="G961" i="5"/>
  <c r="G396" i="5"/>
  <c r="G797" i="5"/>
  <c r="G4711" i="5"/>
  <c r="G1302" i="5"/>
  <c r="G3024" i="5"/>
  <c r="G1167" i="5"/>
  <c r="G4554" i="5"/>
  <c r="G1782" i="5"/>
  <c r="G1331" i="5"/>
  <c r="G1009" i="5"/>
  <c r="G2382" i="5"/>
  <c r="G1118" i="5"/>
  <c r="G2372" i="5"/>
  <c r="G3973" i="5"/>
  <c r="H2102" i="5"/>
  <c r="G4354" i="5"/>
  <c r="G4583" i="5"/>
  <c r="G3890" i="5"/>
  <c r="G4634" i="5"/>
  <c r="G4046" i="5"/>
  <c r="G3494" i="5"/>
  <c r="G3376" i="5"/>
  <c r="G1427" i="5"/>
  <c r="G1472" i="5"/>
  <c r="G758" i="5"/>
  <c r="G256" i="5"/>
  <c r="G934" i="5"/>
  <c r="G3595" i="5"/>
  <c r="G3882" i="5"/>
  <c r="G889" i="5"/>
  <c r="G1048" i="5"/>
  <c r="G551" i="5"/>
  <c r="G4590" i="5"/>
  <c r="G3684" i="5"/>
  <c r="G3663" i="5"/>
  <c r="G1092" i="5"/>
  <c r="G4319" i="5"/>
  <c r="G4575" i="5"/>
  <c r="G4081" i="5"/>
  <c r="G3560" i="5"/>
  <c r="G2003" i="5"/>
  <c r="G1216" i="5"/>
  <c r="G2313" i="5"/>
  <c r="G626" i="5"/>
  <c r="G808" i="5"/>
  <c r="G988" i="5"/>
  <c r="G425" i="5"/>
  <c r="G2180" i="5"/>
  <c r="G4579" i="5"/>
  <c r="G4297" i="5"/>
  <c r="G3692" i="5"/>
  <c r="G2327" i="5"/>
  <c r="G1153" i="5"/>
  <c r="G4137" i="5"/>
  <c r="G4134" i="5"/>
  <c r="G3600" i="5"/>
  <c r="G2598" i="5"/>
  <c r="G1028" i="5"/>
  <c r="G355" i="5"/>
  <c r="G1359" i="5"/>
  <c r="G590" i="5"/>
  <c r="G776" i="5"/>
  <c r="G962" i="5"/>
  <c r="G387" i="5"/>
  <c r="G4163" i="5"/>
  <c r="G3551" i="5"/>
  <c r="G4485" i="5"/>
  <c r="G4709" i="5"/>
  <c r="G4432" i="5"/>
  <c r="G3861" i="5"/>
  <c r="G2642" i="5"/>
  <c r="G2626" i="5"/>
  <c r="G1219" i="5"/>
  <c r="G4508" i="5"/>
  <c r="G4438" i="5"/>
  <c r="G4016" i="5"/>
  <c r="G1502" i="5"/>
  <c r="G1783" i="5"/>
  <c r="G1601" i="5"/>
  <c r="G799" i="5"/>
  <c r="G763" i="5"/>
  <c r="G556" i="5"/>
  <c r="G3517" i="5"/>
  <c r="G3894" i="5"/>
  <c r="G3872" i="5"/>
  <c r="G4222" i="5"/>
  <c r="G1976" i="5"/>
  <c r="G1031" i="5"/>
  <c r="G476" i="5"/>
  <c r="G634" i="5"/>
  <c r="G4589" i="5"/>
  <c r="G4610" i="5"/>
  <c r="G3990" i="5"/>
  <c r="G4096" i="5"/>
  <c r="G3646" i="5"/>
  <c r="G2164" i="5"/>
  <c r="G1062" i="5"/>
  <c r="G4574" i="5"/>
  <c r="G4072" i="5"/>
  <c r="G3559" i="5"/>
  <c r="G2017" i="5"/>
  <c r="G1574" i="5"/>
  <c r="G734" i="5"/>
  <c r="G244" i="5"/>
  <c r="G329" i="5"/>
  <c r="G1174" i="5"/>
  <c r="G3105" i="5"/>
  <c r="G1270" i="5"/>
  <c r="G2345" i="5"/>
  <c r="G1833" i="5"/>
  <c r="G1146" i="5"/>
  <c r="G3039" i="5"/>
  <c r="G1852" i="5"/>
  <c r="G3029" i="5"/>
  <c r="G3721" i="5"/>
  <c r="G1750" i="5"/>
  <c r="G738" i="5"/>
  <c r="G1749" i="5"/>
  <c r="G1110" i="5"/>
  <c r="G2894" i="5"/>
  <c r="G4699" i="5"/>
  <c r="G4002" i="5"/>
  <c r="G3251" i="5"/>
  <c r="G3920" i="5"/>
  <c r="G3233" i="5"/>
  <c r="G1303" i="5"/>
  <c r="G4126" i="5"/>
  <c r="G2011" i="5"/>
  <c r="G854" i="5"/>
  <c r="G499" i="5"/>
  <c r="G1346" i="5"/>
  <c r="G4660" i="5"/>
  <c r="G4291" i="5"/>
  <c r="G4315" i="5"/>
  <c r="G3732" i="5"/>
  <c r="G4414" i="5"/>
  <c r="G3982" i="5"/>
  <c r="G1457" i="5"/>
  <c r="G924" i="5"/>
  <c r="G4175" i="5"/>
  <c r="G4364" i="5"/>
  <c r="G3669" i="5"/>
  <c r="G3972" i="5"/>
  <c r="G1403" i="5"/>
  <c r="G1304" i="5"/>
  <c r="G3653" i="5"/>
  <c r="G942" i="5"/>
  <c r="G359" i="5"/>
  <c r="G1085" i="5"/>
  <c r="G506" i="5"/>
  <c r="G725" i="5"/>
  <c r="G230" i="5"/>
  <c r="G4482" i="5"/>
  <c r="G4685" i="5"/>
  <c r="G2582" i="5"/>
  <c r="G4273" i="5"/>
  <c r="G3404" i="5"/>
  <c r="G1602" i="5"/>
  <c r="G941" i="5"/>
  <c r="G4229" i="5"/>
  <c r="G4428" i="5"/>
  <c r="G2630" i="5"/>
  <c r="G3189" i="5"/>
  <c r="G1094" i="5"/>
  <c r="G54" i="5"/>
  <c r="G367" i="5"/>
  <c r="G4492" i="5"/>
  <c r="G4457" i="5"/>
  <c r="G4143" i="5"/>
  <c r="G4661" i="5"/>
  <c r="G1776" i="5"/>
  <c r="G4544" i="5"/>
  <c r="G809" i="5"/>
  <c r="G881" i="5"/>
  <c r="G310" i="5"/>
  <c r="G4562" i="5"/>
  <c r="G4417" i="5"/>
  <c r="G3930" i="5"/>
  <c r="G3181" i="5"/>
  <c r="G4073" i="5"/>
  <c r="G3631" i="5"/>
  <c r="G2156" i="5"/>
  <c r="G1041" i="5"/>
  <c r="G4309" i="5"/>
  <c r="G4056" i="5"/>
  <c r="G1552" i="5"/>
  <c r="G1804" i="5"/>
  <c r="G1625" i="5"/>
  <c r="G800" i="5"/>
  <c r="G253" i="5"/>
  <c r="G999" i="5"/>
  <c r="G4592" i="5"/>
  <c r="G4434" i="5"/>
  <c r="G4561" i="5"/>
  <c r="G3999" i="5"/>
  <c r="G3224" i="5"/>
  <c r="G4321" i="5"/>
  <c r="G3175" i="5"/>
  <c r="G1298" i="5"/>
  <c r="G4102" i="5"/>
  <c r="G4082" i="5"/>
  <c r="G3561" i="5"/>
  <c r="G2148" i="5"/>
  <c r="G2562" i="5"/>
  <c r="G299" i="5"/>
  <c r="G1189" i="5"/>
  <c r="G1837" i="5"/>
  <c r="G757" i="5"/>
  <c r="G910" i="5"/>
  <c r="G383" i="5"/>
  <c r="G4311" i="5"/>
  <c r="G916" i="5"/>
  <c r="G4174" i="5"/>
  <c r="G1039" i="5"/>
  <c r="G294" i="5"/>
  <c r="G4481" i="5"/>
  <c r="G4669" i="5"/>
  <c r="G4418" i="5"/>
  <c r="G4012" i="5"/>
  <c r="G761" i="5"/>
  <c r="G1111" i="5"/>
  <c r="G572" i="5"/>
  <c r="G4207" i="5"/>
  <c r="G4360" i="5"/>
  <c r="G4130" i="5"/>
  <c r="G2362" i="5"/>
  <c r="G1274" i="5"/>
  <c r="G3462" i="5"/>
  <c r="G3505" i="5"/>
  <c r="G2393" i="5"/>
  <c r="H2366" i="5"/>
  <c r="H1128" i="5"/>
  <c r="H1844" i="5"/>
  <c r="G4488" i="5"/>
  <c r="G4760" i="5"/>
  <c r="G1654" i="5"/>
  <c r="G976" i="5"/>
  <c r="G4254" i="5"/>
  <c r="G4219" i="5"/>
  <c r="G4011" i="5"/>
  <c r="G943" i="5"/>
  <c r="G2442" i="5"/>
  <c r="G742" i="5"/>
  <c r="G238" i="5"/>
  <c r="G4413" i="5"/>
  <c r="G4667" i="5"/>
  <c r="G3919" i="5"/>
  <c r="G3147" i="5"/>
  <c r="G4066" i="5"/>
  <c r="G1016" i="5"/>
  <c r="G4308" i="5"/>
  <c r="G4055" i="5"/>
  <c r="G1596" i="5"/>
  <c r="G2220" i="5"/>
  <c r="G836" i="5"/>
  <c r="G246" i="5"/>
  <c r="G1068" i="5"/>
  <c r="G477" i="5"/>
  <c r="G4635" i="5"/>
  <c r="G4285" i="5"/>
  <c r="G4121" i="5"/>
  <c r="G2936" i="5"/>
  <c r="G309" i="5"/>
  <c r="G73" i="5"/>
  <c r="G4450" i="5"/>
  <c r="G4209" i="5"/>
  <c r="G2314" i="5"/>
  <c r="G286" i="5"/>
  <c r="G4314" i="5"/>
  <c r="G4320" i="5"/>
  <c r="G4433" i="5"/>
  <c r="G4001" i="5"/>
  <c r="G2414" i="5"/>
  <c r="G4377" i="5"/>
  <c r="G4412" i="5"/>
  <c r="G4010" i="5"/>
  <c r="G3853" i="5"/>
  <c r="G2574" i="5"/>
  <c r="G998" i="5"/>
  <c r="G313" i="5"/>
  <c r="G1255" i="5"/>
  <c r="G3062" i="5"/>
  <c r="G762" i="5"/>
  <c r="G234" i="5"/>
  <c r="G915" i="5"/>
  <c r="G385" i="5"/>
  <c r="G3863" i="5"/>
  <c r="G4017" i="5"/>
  <c r="G986" i="5"/>
  <c r="G424" i="5"/>
  <c r="G298" i="5"/>
  <c r="G969" i="5"/>
  <c r="G418" i="5"/>
  <c r="G4493" i="5"/>
  <c r="G4359" i="5"/>
  <c r="G4710" i="5"/>
  <c r="G4064" i="5"/>
  <c r="G3518" i="5"/>
  <c r="G2018" i="5"/>
  <c r="G4294" i="5"/>
  <c r="G4566" i="5"/>
  <c r="G4037" i="5"/>
  <c r="G2654" i="5"/>
  <c r="G3225" i="5"/>
  <c r="G332" i="5"/>
  <c r="G4701" i="5"/>
  <c r="G3214" i="5"/>
  <c r="G4312" i="5"/>
  <c r="G1969" i="5"/>
  <c r="G917" i="5"/>
  <c r="G260" i="5"/>
  <c r="G1101" i="5"/>
  <c r="G918" i="5"/>
  <c r="G4378" i="5"/>
  <c r="G1739" i="5"/>
  <c r="G1738" i="5"/>
  <c r="H2231" i="5"/>
  <c r="H3033" i="5"/>
  <c r="H3013" i="5"/>
  <c r="H4201" i="5"/>
  <c r="G4341" i="5"/>
  <c r="G4084" i="5"/>
  <c r="G3585" i="5"/>
  <c r="G1608" i="5"/>
  <c r="G259" i="5"/>
  <c r="G1086" i="5"/>
  <c r="G878" i="5"/>
  <c r="G328" i="5"/>
  <c r="G3288" i="5"/>
  <c r="G3991" i="5"/>
  <c r="G728" i="5"/>
  <c r="G4372" i="5"/>
  <c r="G3852" i="5"/>
  <c r="G4014" i="5"/>
  <c r="G390" i="5"/>
  <c r="G760" i="5"/>
  <c r="G810" i="5"/>
  <c r="G4494" i="5"/>
  <c r="G3893" i="5"/>
  <c r="G2779" i="5"/>
  <c r="G4289" i="5"/>
  <c r="G3871" i="5"/>
  <c r="G1229" i="5"/>
  <c r="G4054" i="5"/>
  <c r="G3763" i="5"/>
  <c r="G3221" i="5"/>
  <c r="G3492" i="5"/>
  <c r="G540" i="5"/>
  <c r="G2578" i="5"/>
  <c r="G769" i="5"/>
  <c r="G254" i="5"/>
  <c r="G865" i="5"/>
  <c r="G382" i="5"/>
  <c r="G4700" i="5"/>
  <c r="G4572" i="5"/>
  <c r="G3493" i="5"/>
  <c r="G426" i="5"/>
  <c r="G779" i="5"/>
  <c r="G308" i="5"/>
  <c r="G3913" i="5"/>
  <c r="G995" i="5"/>
  <c r="G550" i="5"/>
  <c r="G55" i="5"/>
  <c r="G4584" i="5"/>
  <c r="G4038" i="5"/>
  <c r="G3295" i="5"/>
  <c r="G3693" i="5"/>
  <c r="G2389" i="5"/>
  <c r="G4345" i="5"/>
  <c r="G3949" i="5"/>
  <c r="G3965" i="5"/>
  <c r="G1402" i="5"/>
  <c r="G3998" i="5"/>
  <c r="G357" i="5"/>
  <c r="G1032" i="5"/>
  <c r="G555" i="5"/>
  <c r="G278" i="5"/>
  <c r="G4322" i="5"/>
  <c r="G4363" i="5"/>
  <c r="G3369" i="5"/>
  <c r="G3392" i="5"/>
  <c r="G1586" i="5"/>
  <c r="G940" i="5"/>
  <c r="G3676" i="5"/>
  <c r="G2606" i="5"/>
  <c r="G3159" i="5"/>
  <c r="G2815" i="5"/>
  <c r="G1093" i="5"/>
  <c r="G388" i="5"/>
  <c r="G688" i="5"/>
  <c r="G796" i="5"/>
  <c r="G344" i="5"/>
  <c r="G1019" i="5"/>
  <c r="G409" i="5"/>
  <c r="G3513" i="5"/>
  <c r="G1672" i="5"/>
  <c r="G4548" i="5"/>
  <c r="G1716" i="5"/>
  <c r="G1209" i="5"/>
  <c r="G1677" i="5"/>
  <c r="G3125" i="5"/>
  <c r="G1325" i="5"/>
  <c r="G1319" i="5"/>
  <c r="H3114" i="5"/>
  <c r="G4487" i="5"/>
  <c r="G4451" i="5"/>
  <c r="G4281" i="5"/>
  <c r="G3864" i="5"/>
  <c r="G2638" i="5"/>
  <c r="G4560" i="5"/>
  <c r="G4509" i="5"/>
  <c r="G2320" i="5"/>
  <c r="G3087" i="5"/>
  <c r="G1084" i="5"/>
  <c r="G374" i="5"/>
  <c r="G1102" i="5"/>
  <c r="G566" i="5"/>
  <c r="G3588" i="5"/>
  <c r="G2144" i="5"/>
  <c r="G4567" i="5"/>
  <c r="G3484" i="5"/>
  <c r="G2004" i="5"/>
  <c r="G1282" i="5"/>
  <c r="G4427" i="5"/>
  <c r="G4540" i="5"/>
  <c r="G3997" i="5"/>
  <c r="G3215" i="5"/>
  <c r="G4318" i="5"/>
  <c r="G3912" i="5"/>
  <c r="G1275" i="5"/>
  <c r="G4083" i="5"/>
  <c r="G4313" i="5"/>
  <c r="G3878" i="5"/>
  <c r="G3267" i="5"/>
  <c r="G2243" i="5"/>
  <c r="G984" i="5"/>
  <c r="G295" i="5"/>
  <c r="G539" i="5"/>
  <c r="G739" i="5"/>
  <c r="G925" i="5"/>
  <c r="G389" i="5"/>
  <c r="G4615" i="5"/>
  <c r="G4702" i="5"/>
  <c r="G4275" i="5"/>
  <c r="G4028" i="5"/>
  <c r="G3281" i="5"/>
  <c r="G3921" i="5"/>
  <c r="G3253" i="5"/>
  <c r="G3897" i="5"/>
  <c r="G1314" i="5"/>
  <c r="G3323" i="5"/>
  <c r="G3651" i="5"/>
  <c r="G834" i="5"/>
  <c r="G345" i="5"/>
  <c r="G1018" i="5"/>
  <c r="G2570" i="5"/>
  <c r="G750" i="5"/>
  <c r="G72" i="5"/>
  <c r="G1621" i="5"/>
  <c r="G848" i="5"/>
  <c r="G3057" i="5"/>
  <c r="G2259" i="5"/>
  <c r="G1004" i="5"/>
  <c r="G1950" i="5"/>
  <c r="G2852" i="5"/>
  <c r="G598" i="5"/>
  <c r="G1667" i="5"/>
  <c r="G4267" i="5"/>
  <c r="G4368" i="5"/>
  <c r="G751" i="5"/>
  <c r="G2954" i="5"/>
  <c r="G3100" i="5"/>
  <c r="G3044" i="5"/>
  <c r="G1195" i="5"/>
  <c r="G1644" i="5"/>
  <c r="G3019" i="5"/>
  <c r="G4571" i="5"/>
  <c r="G4296" i="5"/>
  <c r="G3674" i="5"/>
  <c r="G4340" i="5"/>
  <c r="G4333" i="5"/>
  <c r="G3891" i="5"/>
  <c r="G3196" i="5"/>
  <c r="G3330" i="5"/>
  <c r="G3914" i="5"/>
  <c r="G1997" i="5"/>
  <c r="G794" i="5"/>
  <c r="G285" i="5"/>
  <c r="G949" i="5"/>
  <c r="G375" i="5"/>
  <c r="G4463" i="5"/>
  <c r="G4039" i="5"/>
  <c r="G3302" i="5"/>
  <c r="G4251" i="5"/>
  <c r="G3742" i="5"/>
  <c r="G1160" i="5"/>
  <c r="G4369" i="5"/>
  <c r="G4150" i="5"/>
  <c r="G3614" i="5"/>
  <c r="G2814" i="5"/>
  <c r="G2610" i="5"/>
  <c r="G384" i="5"/>
  <c r="G1990" i="5"/>
  <c r="G623" i="5"/>
  <c r="G3733" i="5"/>
  <c r="G792" i="5"/>
  <c r="G931" i="5"/>
  <c r="G405" i="5"/>
  <c r="G4334" i="5"/>
  <c r="G4382" i="5"/>
  <c r="G4090" i="5"/>
  <c r="G3411" i="5"/>
  <c r="G4036" i="5"/>
  <c r="G2614" i="5"/>
  <c r="G1210" i="5"/>
  <c r="G4187" i="5"/>
  <c r="G3924" i="5"/>
  <c r="G1442" i="5"/>
  <c r="G1573" i="5"/>
  <c r="G780" i="5"/>
  <c r="G985" i="5"/>
  <c r="G403" i="5"/>
  <c r="G1139" i="5"/>
  <c r="G1040" i="5"/>
  <c r="G515" i="5"/>
  <c r="G4604" i="5"/>
  <c r="G4563" i="5"/>
  <c r="G4221" i="5"/>
  <c r="G1075" i="5"/>
  <c r="G582" i="5"/>
  <c r="G4602" i="5"/>
  <c r="G4502" i="5"/>
  <c r="G4215" i="5"/>
  <c r="G3618" i="5"/>
  <c r="G4307" i="5"/>
  <c r="G3895" i="5"/>
  <c r="G3049" i="5"/>
  <c r="G1261" i="5"/>
  <c r="G4636" i="5"/>
  <c r="G3845" i="5"/>
  <c r="G2646" i="5"/>
  <c r="G3220" i="5"/>
  <c r="G3274" i="5"/>
  <c r="G1203" i="5"/>
  <c r="G1000" i="5"/>
  <c r="G1196" i="5"/>
  <c r="G674" i="5"/>
  <c r="G4637" i="5"/>
  <c r="G4295" i="5"/>
  <c r="G3704" i="5"/>
  <c r="G3673" i="5"/>
  <c r="G1100" i="5"/>
  <c r="G4323" i="5"/>
  <c r="G4324" i="5"/>
  <c r="G3881" i="5"/>
  <c r="G3309" i="5"/>
  <c r="G3757" i="5"/>
  <c r="G1241" i="5"/>
  <c r="G2622" i="5"/>
  <c r="G631" i="5"/>
  <c r="G816" i="5"/>
  <c r="G331" i="5"/>
  <c r="G406" i="5"/>
  <c r="G1175" i="5"/>
  <c r="G641" i="5"/>
  <c r="G4456" i="5"/>
  <c r="G4223" i="5"/>
  <c r="G1154" i="5"/>
  <c r="G4343" i="5"/>
  <c r="G3619" i="5"/>
  <c r="G3652" i="5"/>
  <c r="G933" i="5"/>
  <c r="G3316" i="5"/>
  <c r="G759" i="5"/>
  <c r="G4272" i="5"/>
  <c r="G4220" i="5"/>
  <c r="G4165" i="5"/>
  <c r="G2219" i="5"/>
  <c r="G4015" i="5"/>
  <c r="G4756" i="5"/>
  <c r="G4691" i="5"/>
  <c r="G4335" i="5"/>
  <c r="G1312" i="5"/>
  <c r="G1054" i="5"/>
  <c r="G1962" i="5"/>
  <c r="G3530" i="5"/>
  <c r="G1727" i="5"/>
  <c r="H3134" i="5"/>
  <c r="H1892" i="5"/>
  <c r="H4619" i="5"/>
  <c r="G4129" i="5"/>
  <c r="G3483" i="5"/>
  <c r="G2794" i="5"/>
  <c r="G386" i="5"/>
  <c r="G2172" i="5"/>
  <c r="G3870" i="5"/>
  <c r="G795" i="5"/>
  <c r="G407" i="5"/>
  <c r="G4559" i="5"/>
  <c r="G4578" i="5"/>
  <c r="G4501" i="5"/>
  <c r="G4195" i="5"/>
  <c r="G4306" i="5"/>
  <c r="G2999" i="5"/>
  <c r="G1247" i="5"/>
  <c r="G4591" i="5"/>
  <c r="G4065" i="5"/>
  <c r="G3771" i="5"/>
  <c r="G3153" i="5"/>
  <c r="G3245" i="5"/>
  <c r="G3898" i="5"/>
  <c r="G1996" i="5"/>
  <c r="G593" i="5"/>
  <c r="G2912" i="5"/>
  <c r="G793" i="5"/>
  <c r="G373" i="5"/>
  <c r="G807" i="5"/>
  <c r="G324" i="5"/>
  <c r="G1112" i="5"/>
  <c r="G1790" i="5"/>
  <c r="G245" i="5"/>
  <c r="G4373" i="5"/>
  <c r="G1313" i="5"/>
  <c r="G4342" i="5"/>
  <c r="G4339" i="5"/>
  <c r="G3892" i="5"/>
  <c r="G3519" i="5"/>
  <c r="G699" i="5"/>
  <c r="H2898" i="5"/>
  <c r="H1694" i="5"/>
  <c r="H2829" i="5"/>
  <c r="H2824" i="5"/>
  <c r="H3936" i="5"/>
  <c r="H2943" i="5"/>
  <c r="H3942" i="5"/>
  <c r="H3480" i="5" l="1"/>
  <c r="H4339" i="5"/>
  <c r="H4251" i="5"/>
  <c r="H4243" i="5"/>
  <c r="H3964" i="5"/>
  <c r="H3663" i="5"/>
  <c r="H1331" i="5"/>
  <c r="H1325" i="5"/>
  <c r="H2196" i="5"/>
  <c r="H2204" i="5"/>
  <c r="H2834" i="5"/>
  <c r="H1904" i="5"/>
  <c r="H1910" i="5"/>
  <c r="H4474" i="5"/>
  <c r="H2983" i="5"/>
  <c r="H2188" i="5"/>
  <c r="H2963" i="5"/>
  <c r="H2876" i="5"/>
  <c r="H2841" i="5"/>
  <c r="G2070" i="5"/>
  <c r="H2968" i="5"/>
  <c r="G689" i="5"/>
  <c r="H4396" i="5"/>
  <c r="H2618" i="5"/>
  <c r="H3273" i="5"/>
  <c r="H4667" i="5"/>
  <c r="H3280" i="5"/>
  <c r="H3301" i="5"/>
  <c r="H4404" i="5"/>
  <c r="H2978" i="5"/>
  <c r="H2988" i="5"/>
  <c r="H1766" i="5"/>
  <c r="H3315" i="5"/>
  <c r="H3604" i="5"/>
  <c r="H2819" i="5"/>
  <c r="H3287" i="5"/>
  <c r="H858" i="5"/>
  <c r="H1837" i="5"/>
  <c r="H3329" i="5"/>
  <c r="H4183" i="5"/>
  <c r="H4386" i="5"/>
  <c r="H2993" i="5"/>
  <c r="H250" i="5"/>
  <c r="H4627" i="5"/>
  <c r="H746" i="5"/>
  <c r="H4675" i="5"/>
  <c r="H4119" i="5"/>
  <c r="H4442" i="5"/>
  <c r="H3322" i="5"/>
  <c r="H3572" i="5"/>
  <c r="H4280" i="5"/>
  <c r="G1281" i="5"/>
  <c r="G2046" i="5"/>
  <c r="G581" i="5"/>
  <c r="G2094" i="5"/>
  <c r="G2062" i="5"/>
  <c r="G2078" i="5"/>
  <c r="H1759" i="5"/>
  <c r="H4161" i="5"/>
  <c r="H473" i="5"/>
  <c r="H3348" i="5"/>
  <c r="H4154" i="5"/>
  <c r="H1181" i="5"/>
  <c r="H328" i="5"/>
  <c r="H3308" i="5"/>
  <c r="H4172" i="5"/>
  <c r="H3851" i="5"/>
  <c r="H3294" i="5"/>
  <c r="H608" i="5"/>
  <c r="H4350" i="5"/>
  <c r="H1607" i="5"/>
  <c r="H2911" i="5"/>
  <c r="H1996" i="5"/>
  <c r="H1054" i="5"/>
  <c r="H1261" i="5"/>
  <c r="H1573" i="5"/>
  <c r="H3018" i="5"/>
  <c r="H539" i="5"/>
  <c r="H2606" i="5"/>
  <c r="H3391" i="5"/>
  <c r="H1400" i="5"/>
  <c r="H1229" i="5"/>
  <c r="H698" i="5"/>
  <c r="H4359" i="5"/>
  <c r="G3130" i="5"/>
  <c r="G1038" i="5"/>
  <c r="G3004" i="5"/>
  <c r="G1123" i="5"/>
  <c r="G2867" i="5"/>
  <c r="G3906" i="5"/>
  <c r="G1938" i="5"/>
  <c r="G2872" i="5"/>
  <c r="G2959" i="5"/>
  <c r="H2935" i="5"/>
  <c r="H1068" i="5"/>
  <c r="H238" i="5"/>
  <c r="H2442" i="5"/>
  <c r="H1654" i="5"/>
  <c r="H3505" i="5"/>
  <c r="H4207" i="5"/>
  <c r="H757" i="5"/>
  <c r="H2562" i="5"/>
  <c r="H4102" i="5"/>
  <c r="H3174" i="5"/>
  <c r="H1625" i="5"/>
  <c r="H3930" i="5"/>
  <c r="H725" i="5"/>
  <c r="H4126" i="5"/>
  <c r="H4213" i="5"/>
  <c r="H1850" i="5"/>
  <c r="H3038" i="5"/>
  <c r="H1174" i="5"/>
  <c r="H2626" i="5"/>
  <c r="H3861" i="5"/>
  <c r="H2003" i="5"/>
  <c r="H4081" i="5"/>
  <c r="H3684" i="5"/>
  <c r="H1009" i="5"/>
  <c r="H4032" i="5"/>
  <c r="H3584" i="5"/>
  <c r="H1874" i="5"/>
  <c r="H4527" i="5"/>
  <c r="H4063" i="5"/>
  <c r="H71" i="5"/>
  <c r="H4194" i="5"/>
  <c r="H4260" i="5"/>
  <c r="H4480" i="5"/>
  <c r="G2086" i="5"/>
  <c r="G4138" i="5"/>
  <c r="G2357" i="5"/>
  <c r="G3957" i="5"/>
  <c r="G1717" i="5"/>
  <c r="G1726" i="5"/>
  <c r="G2862" i="5"/>
  <c r="G492" i="5"/>
  <c r="G3120" i="5"/>
  <c r="H2927" i="5"/>
  <c r="H1648" i="5"/>
  <c r="H4045" i="5"/>
  <c r="H4422" i="5"/>
  <c r="G1808" i="5"/>
  <c r="H3245" i="5"/>
  <c r="H3771" i="5"/>
  <c r="H4754" i="5"/>
  <c r="H2217" i="5"/>
  <c r="H1241" i="5"/>
  <c r="H1100" i="5"/>
  <c r="H2646" i="5"/>
  <c r="H3618" i="5"/>
  <c r="H1075" i="5"/>
  <c r="H1139" i="5"/>
  <c r="H2614" i="5"/>
  <c r="H792" i="5"/>
  <c r="H2809" i="5"/>
  <c r="H3612" i="5"/>
  <c r="H3742" i="5"/>
  <c r="H949" i="5"/>
  <c r="H4332" i="5"/>
  <c r="H1195" i="5"/>
  <c r="H3099" i="5"/>
  <c r="H4267" i="5"/>
  <c r="H598" i="5"/>
  <c r="H1947" i="5"/>
  <c r="H2257" i="5"/>
  <c r="H847" i="5"/>
  <c r="H2570" i="5"/>
  <c r="H3651" i="5"/>
  <c r="H982" i="5"/>
  <c r="H2638" i="5"/>
  <c r="H1676" i="5"/>
  <c r="H4548" i="5"/>
  <c r="H940" i="5"/>
  <c r="H278" i="5"/>
  <c r="H2387" i="5"/>
  <c r="H993" i="5"/>
  <c r="H864" i="5"/>
  <c r="H3763" i="5"/>
  <c r="H2778" i="5"/>
  <c r="H2654" i="5"/>
  <c r="H915" i="5"/>
  <c r="H2574" i="5"/>
  <c r="H4010" i="5"/>
  <c r="H4377" i="5"/>
  <c r="G1803" i="5"/>
  <c r="G21" i="5"/>
  <c r="G1188" i="5"/>
  <c r="H3989" i="5"/>
  <c r="H2148" i="5"/>
  <c r="H3179" i="5"/>
  <c r="H54" i="5"/>
  <c r="H3163" i="5"/>
  <c r="H3404" i="5"/>
  <c r="H506" i="5"/>
  <c r="H852" i="5"/>
  <c r="H4699" i="5"/>
  <c r="H1110" i="5"/>
  <c r="H738" i="5"/>
  <c r="H1831" i="5"/>
  <c r="H1268" i="5"/>
  <c r="H242" i="5"/>
  <c r="H2017" i="5"/>
  <c r="H4072" i="5"/>
  <c r="H3646" i="5"/>
  <c r="H4610" i="5"/>
  <c r="G2974" i="5"/>
  <c r="G3901" i="5"/>
  <c r="G2030" i="5"/>
  <c r="G3009" i="5"/>
  <c r="H2180" i="5"/>
  <c r="H4553" i="5"/>
  <c r="H1167" i="5"/>
  <c r="H1302" i="5"/>
  <c r="H1382" i="5"/>
  <c r="H3728" i="5"/>
  <c r="H4653" i="5"/>
  <c r="H322" i="5"/>
  <c r="H768" i="5"/>
  <c r="H533" i="5"/>
  <c r="H466" i="5"/>
  <c r="H4522" i="5"/>
  <c r="H2903" i="5"/>
  <c r="H3362" i="5"/>
  <c r="H4645" i="5"/>
  <c r="G1719" i="5"/>
  <c r="G1741" i="5"/>
  <c r="G1728" i="5"/>
  <c r="H2010" i="5"/>
  <c r="H4659" i="5"/>
  <c r="H885" i="5"/>
  <c r="H869" i="5"/>
  <c r="H417" i="5"/>
  <c r="H3168" i="5"/>
  <c r="H3756" i="5"/>
  <c r="H4235" i="5"/>
  <c r="H2622" i="5"/>
  <c r="H3048" i="5"/>
  <c r="H403" i="5"/>
  <c r="H2953" i="5"/>
  <c r="H3056" i="5"/>
  <c r="H1209" i="5"/>
  <c r="H382" i="5"/>
  <c r="H1223" i="5"/>
  <c r="H234" i="5"/>
  <c r="G2120" i="5"/>
  <c r="G2374" i="5"/>
  <c r="G3266" i="5"/>
  <c r="G2857" i="5"/>
  <c r="G1796" i="5"/>
  <c r="G1390" i="5"/>
  <c r="G487" i="5"/>
  <c r="G3843" i="5"/>
  <c r="G1870" i="5"/>
  <c r="G1352" i="5"/>
  <c r="H1014" i="5"/>
  <c r="H4219" i="5"/>
  <c r="H2393" i="5"/>
  <c r="H2361" i="5"/>
  <c r="H367" i="5"/>
  <c r="H924" i="5"/>
  <c r="H2893" i="5"/>
  <c r="H3028" i="5"/>
  <c r="H3104" i="5"/>
  <c r="H4096" i="5"/>
  <c r="H1601" i="5"/>
  <c r="H2642" i="5"/>
  <c r="H4432" i="5"/>
  <c r="H3549" i="5"/>
  <c r="G3488" i="5"/>
  <c r="H3599" i="5"/>
  <c r="H2327" i="5"/>
  <c r="H1216" i="5"/>
  <c r="H1092" i="5"/>
  <c r="H265" i="5"/>
  <c r="H961" i="5"/>
  <c r="H4720" i="5"/>
  <c r="H1202" i="5"/>
  <c r="H1566" i="5"/>
  <c r="H2919" i="5"/>
  <c r="H1061" i="5"/>
  <c r="H2124" i="5"/>
  <c r="H3387" i="5"/>
  <c r="H3073" i="5"/>
  <c r="H666" i="5"/>
  <c r="H1254" i="5"/>
  <c r="H4708" i="5"/>
  <c r="G1047" i="5"/>
  <c r="G3955" i="5"/>
  <c r="G1730" i="5"/>
  <c r="G1752" i="5"/>
  <c r="G1968" i="5"/>
  <c r="G2110" i="5"/>
  <c r="G3095" i="5"/>
  <c r="G2889" i="5"/>
  <c r="G1858" i="5"/>
  <c r="H3435" i="5"/>
  <c r="G3261" i="5"/>
  <c r="G1235" i="5"/>
  <c r="H1247" i="5"/>
  <c r="H4500" i="5"/>
  <c r="H4559" i="5"/>
  <c r="H3870" i="5"/>
  <c r="H2172" i="5"/>
  <c r="H2793" i="5"/>
  <c r="H1960" i="5"/>
  <c r="H4691" i="5"/>
  <c r="H4272" i="5"/>
  <c r="H639" i="5"/>
  <c r="H816" i="5"/>
  <c r="H4602" i="5"/>
  <c r="H513" i="5"/>
  <c r="H617" i="5"/>
  <c r="H4187" i="5"/>
  <c r="H4036" i="5"/>
  <c r="H4090" i="5"/>
  <c r="H931" i="5"/>
  <c r="H2610" i="5"/>
  <c r="H1160" i="5"/>
  <c r="H285" i="5"/>
  <c r="H4571" i="5"/>
  <c r="H1642" i="5"/>
  <c r="H3043" i="5"/>
  <c r="H4368" i="5"/>
  <c r="H1666" i="5"/>
  <c r="H2851" i="5"/>
  <c r="H1004" i="5"/>
  <c r="H1620" i="5"/>
  <c r="H750" i="5"/>
  <c r="H834" i="5"/>
  <c r="H4028" i="5"/>
  <c r="H3145" i="5"/>
  <c r="H2142" i="5"/>
  <c r="H1084" i="5"/>
  <c r="H2320" i="5"/>
  <c r="H3124" i="5"/>
  <c r="H1671" i="5"/>
  <c r="H3157" i="5"/>
  <c r="H3369" i="5"/>
  <c r="H2578" i="5"/>
  <c r="H4054" i="5"/>
  <c r="H2783" i="5"/>
  <c r="H877" i="5"/>
  <c r="H3061" i="5"/>
  <c r="H4412" i="5"/>
  <c r="H2414" i="5"/>
  <c r="G1775" i="5"/>
  <c r="G975" i="5"/>
  <c r="G1882" i="5"/>
  <c r="H3151" i="5"/>
  <c r="H1274" i="5"/>
  <c r="H2156" i="5"/>
  <c r="H2630" i="5"/>
  <c r="H4229" i="5"/>
  <c r="H4685" i="5"/>
  <c r="H230" i="5"/>
  <c r="H499" i="5"/>
  <c r="H3233" i="5"/>
  <c r="H1146" i="5"/>
  <c r="H2345" i="5"/>
  <c r="H732" i="5"/>
  <c r="H2164" i="5"/>
  <c r="G1943" i="5"/>
  <c r="G3110" i="5"/>
  <c r="G1378" i="5"/>
  <c r="G1580" i="5"/>
  <c r="G1748" i="5"/>
  <c r="H1153" i="5"/>
  <c r="H1118" i="5"/>
  <c r="H1780" i="5"/>
  <c r="H3023" i="5"/>
  <c r="H1595" i="5"/>
  <c r="H3767" i="5"/>
  <c r="H968" i="5"/>
  <c r="H1631" i="5"/>
  <c r="H2566" i="5"/>
  <c r="H4142" i="5"/>
  <c r="H456" i="5"/>
  <c r="H820" i="5"/>
  <c r="G1710" i="5"/>
  <c r="H806" i="5"/>
  <c r="H774" i="5"/>
  <c r="H841" i="5"/>
  <c r="H3239" i="5"/>
  <c r="H2634" i="5"/>
  <c r="H955" i="5"/>
  <c r="H2070" i="5" l="1"/>
  <c r="G2054" i="5"/>
  <c r="H581" i="5"/>
  <c r="H1281" i="5"/>
  <c r="H2078" i="5"/>
  <c r="H2046" i="5"/>
  <c r="H2062" i="5"/>
  <c r="H2094" i="5"/>
  <c r="H4134" i="5"/>
  <c r="G2038" i="5"/>
  <c r="G571" i="5"/>
  <c r="G1288" i="5"/>
  <c r="G670" i="5"/>
  <c r="H3905" i="5"/>
  <c r="H519" i="5"/>
  <c r="H3261" i="5"/>
  <c r="H1856" i="5"/>
  <c r="H1047" i="5"/>
  <c r="H1350" i="5"/>
  <c r="H1388" i="5"/>
  <c r="G1751" i="5"/>
  <c r="G1789" i="5"/>
  <c r="G3594" i="5"/>
  <c r="G1827" i="5"/>
  <c r="G450" i="5"/>
  <c r="H491" i="5"/>
  <c r="H2871" i="5"/>
  <c r="H1123" i="5"/>
  <c r="H1038" i="5"/>
  <c r="H1375" i="5"/>
  <c r="H3109" i="5"/>
  <c r="H1880" i="5"/>
  <c r="H1773" i="5"/>
  <c r="G594" i="5"/>
  <c r="G1365" i="5"/>
  <c r="G1933" i="5"/>
  <c r="H2888" i="5"/>
  <c r="H2118" i="5"/>
  <c r="G1718" i="5"/>
  <c r="H2030" i="5"/>
  <c r="G4024" i="5"/>
  <c r="G1394" i="5"/>
  <c r="G1297" i="5"/>
  <c r="G1662" i="5"/>
  <c r="G1683" i="5"/>
  <c r="H2861" i="5"/>
  <c r="H3129" i="5"/>
  <c r="H1235" i="5"/>
  <c r="H2110" i="5"/>
  <c r="H1868" i="5"/>
  <c r="H485" i="5"/>
  <c r="H1794" i="5"/>
  <c r="H3266" i="5"/>
  <c r="G1709" i="5"/>
  <c r="G1729" i="5"/>
  <c r="G1371" i="5"/>
  <c r="G1425" i="5"/>
  <c r="G1616" i="5"/>
  <c r="H3890" i="5"/>
  <c r="H3008" i="5"/>
  <c r="H2973" i="5"/>
  <c r="H1188" i="5"/>
  <c r="H1801" i="5"/>
  <c r="H3119" i="5"/>
  <c r="H2356" i="5"/>
  <c r="H2086" i="5"/>
  <c r="H2958" i="5"/>
  <c r="H1937" i="5"/>
  <c r="H2866" i="5"/>
  <c r="H3003" i="5"/>
  <c r="H1580" i="5"/>
  <c r="H1942" i="5"/>
  <c r="H975" i="5"/>
  <c r="G2239" i="5"/>
  <c r="G2949" i="5"/>
  <c r="G1638" i="5"/>
  <c r="H3094" i="5"/>
  <c r="H1966" i="5"/>
  <c r="H2856" i="5"/>
  <c r="G1740" i="5"/>
  <c r="G3956" i="5"/>
  <c r="H20" i="5"/>
  <c r="G527" i="5"/>
  <c r="G2847" i="5"/>
  <c r="G1992" i="5"/>
  <c r="G1900" i="5"/>
  <c r="G1737" i="5"/>
  <c r="G307" i="5" l="1"/>
  <c r="H2054" i="5"/>
  <c r="G567" i="5"/>
  <c r="H1288" i="5"/>
  <c r="H2038" i="5"/>
  <c r="H670" i="5"/>
  <c r="H571" i="5"/>
  <c r="H1898" i="5"/>
  <c r="H2948" i="5"/>
  <c r="G1455" i="5"/>
  <c r="G1029" i="5"/>
  <c r="G2383" i="5"/>
  <c r="H1369" i="5"/>
  <c r="G627" i="5"/>
  <c r="G1485" i="5"/>
  <c r="G1975" i="5"/>
  <c r="H1660" i="5"/>
  <c r="H1394" i="5"/>
  <c r="H448" i="5"/>
  <c r="H3592" i="5"/>
  <c r="G1440" i="5"/>
  <c r="G911" i="5"/>
  <c r="G2333" i="5"/>
  <c r="G1689" i="5"/>
  <c r="G1888" i="5"/>
  <c r="H1931" i="5"/>
  <c r="H590" i="5"/>
  <c r="H1825" i="5"/>
  <c r="H1787" i="5"/>
  <c r="G1983" i="5"/>
  <c r="G900" i="5"/>
  <c r="H526" i="5"/>
  <c r="G2227" i="5"/>
  <c r="G3257" i="5"/>
  <c r="G1615" i="5"/>
  <c r="G1715" i="5"/>
  <c r="G787" i="5"/>
  <c r="H1295" i="5"/>
  <c r="H1363" i="5"/>
  <c r="G1991" i="5"/>
  <c r="G2884" i="5"/>
  <c r="G2402" i="5"/>
  <c r="H2846" i="5"/>
  <c r="H1637" i="5"/>
  <c r="H2237" i="5"/>
  <c r="G1956" i="5"/>
  <c r="G3747" i="5"/>
  <c r="G2373" i="5"/>
  <c r="H1681" i="5"/>
  <c r="H4023" i="5"/>
  <c r="G1864" i="5"/>
  <c r="G3344" i="5"/>
  <c r="G3338" i="5"/>
  <c r="G6222" i="5" l="1"/>
  <c r="G5247" i="5"/>
  <c r="G3678" i="5"/>
  <c r="G3677" i="5"/>
  <c r="G436" i="5"/>
  <c r="G1547" i="5"/>
  <c r="G1523" i="5"/>
  <c r="G1555" i="5"/>
  <c r="G1531" i="5"/>
  <c r="G348" i="5"/>
  <c r="G1562" i="5"/>
  <c r="G1515" i="5"/>
  <c r="G3216" i="5"/>
  <c r="H563" i="5"/>
  <c r="G3200" i="5"/>
  <c r="G1540" i="5"/>
  <c r="G1524" i="5"/>
  <c r="G1548" i="5"/>
  <c r="G3090" i="5"/>
  <c r="G3192" i="5"/>
  <c r="G1539" i="5"/>
  <c r="G1516" i="5"/>
  <c r="G1532" i="5"/>
  <c r="H1862" i="5"/>
  <c r="G1690" i="5"/>
  <c r="G1410" i="5"/>
  <c r="H3251" i="5"/>
  <c r="H1886" i="5"/>
  <c r="H2333" i="5"/>
  <c r="G1711" i="5"/>
  <c r="H2372" i="5"/>
  <c r="H1954" i="5"/>
  <c r="H1613" i="5"/>
  <c r="H1980" i="5"/>
  <c r="H909" i="5"/>
  <c r="G1470" i="5"/>
  <c r="G1742" i="5"/>
  <c r="G1731" i="5"/>
  <c r="G901" i="5"/>
  <c r="G3564" i="5"/>
  <c r="G1500" i="5"/>
  <c r="H2224" i="5"/>
  <c r="G1720" i="5"/>
  <c r="G3958" i="5"/>
  <c r="G2883" i="5"/>
  <c r="H1973" i="5"/>
  <c r="H623" i="5"/>
  <c r="H2380" i="5"/>
  <c r="G3497" i="5"/>
  <c r="H3747" i="5"/>
  <c r="H2400" i="5"/>
  <c r="H1988" i="5"/>
  <c r="G2026" i="5"/>
  <c r="G3836" i="5"/>
  <c r="G1753" i="5"/>
  <c r="G788" i="5"/>
  <c r="H1028" i="5"/>
  <c r="G3082" i="5"/>
  <c r="G3522" i="5"/>
  <c r="G4728" i="5"/>
  <c r="G2584" i="5"/>
  <c r="G2600" i="5"/>
  <c r="G4299" i="5"/>
  <c r="G316" i="5"/>
  <c r="G3711" i="5"/>
  <c r="G4004" i="5"/>
  <c r="H1319" i="5"/>
  <c r="G3884" i="5"/>
  <c r="G292" i="5"/>
  <c r="G301" i="5"/>
  <c r="G349" i="5"/>
  <c r="G4639" i="5"/>
  <c r="G3227" i="5"/>
  <c r="H3336" i="5"/>
  <c r="G4596" i="5"/>
  <c r="G361" i="5"/>
  <c r="G3698" i="5"/>
  <c r="H3342" i="5"/>
  <c r="G4326" i="5"/>
  <c r="G2592" i="5"/>
  <c r="H5244" i="5" l="1"/>
  <c r="H1552" i="5"/>
  <c r="H436" i="5"/>
  <c r="H1559" i="5"/>
  <c r="H3213" i="5"/>
  <c r="H1520" i="5"/>
  <c r="H1544" i="5"/>
  <c r="H1512" i="5"/>
  <c r="H1528" i="5"/>
  <c r="H3086" i="5"/>
  <c r="H1536" i="5"/>
  <c r="H3188" i="5"/>
  <c r="H3196" i="5"/>
  <c r="H1715" i="5"/>
  <c r="H1687" i="5"/>
  <c r="H898" i="5"/>
  <c r="H785" i="5"/>
  <c r="G1315" i="5"/>
  <c r="H3081" i="5"/>
  <c r="H3835" i="5"/>
  <c r="H2881" i="5"/>
  <c r="H1726" i="5"/>
  <c r="H1737" i="5"/>
  <c r="G635" i="5"/>
  <c r="H1748" i="5"/>
  <c r="H2024" i="5"/>
  <c r="H3955" i="5"/>
  <c r="H1707" i="5"/>
  <c r="H3669" i="5"/>
  <c r="H343" i="5"/>
  <c r="H1310" i="5" l="1"/>
  <c r="H631" i="5"/>
  <c r="G6146" i="5" l="1"/>
  <c r="G6149" i="5"/>
  <c r="N279" i="20" l="1"/>
  <c r="O279" i="20" s="1"/>
  <c r="N283" i="20"/>
  <c r="O283" i="20" s="1"/>
  <c r="N282" i="20"/>
  <c r="O282" i="20" s="1"/>
  <c r="N281" i="20"/>
  <c r="O281" i="20" s="1"/>
  <c r="N280" i="20"/>
  <c r="O280" i="20" s="1"/>
  <c r="G3474" i="5"/>
  <c r="G5259" i="5"/>
  <c r="G6448" i="5"/>
  <c r="G5257" i="5"/>
  <c r="G6198" i="5"/>
  <c r="G6223" i="5"/>
  <c r="G6157" i="5"/>
  <c r="G6160" i="5"/>
  <c r="G5280" i="5"/>
  <c r="G4467" i="5"/>
  <c r="G1809" i="5"/>
  <c r="G4638" i="5"/>
  <c r="G4003" i="5"/>
  <c r="G4298" i="5"/>
  <c r="G4325" i="5"/>
  <c r="G3883" i="5"/>
  <c r="G4595" i="5"/>
  <c r="G4727" i="5"/>
  <c r="G3697" i="5"/>
  <c r="G360" i="5"/>
  <c r="G2583" i="5"/>
  <c r="G2599" i="5"/>
  <c r="G2591" i="5"/>
  <c r="G3226" i="5"/>
  <c r="G3710" i="5"/>
  <c r="G315" i="5"/>
  <c r="G300" i="5"/>
  <c r="G5278" i="5"/>
  <c r="G3635" i="5"/>
  <c r="G397" i="5"/>
  <c r="G3523" i="5"/>
  <c r="G3722" i="5"/>
  <c r="G442" i="5"/>
  <c r="G3983" i="5"/>
  <c r="G3498" i="5"/>
  <c r="G3452" i="5"/>
  <c r="G3627" i="5"/>
  <c r="G3463" i="5"/>
  <c r="G547" i="5"/>
  <c r="G3565" i="5"/>
  <c r="G3926" i="5"/>
  <c r="G3377" i="5"/>
  <c r="G557" i="5"/>
  <c r="G3842" i="5"/>
  <c r="G3925" i="5"/>
  <c r="G3580" i="5"/>
  <c r="G1358" i="5"/>
  <c r="G3696" i="5"/>
  <c r="G4541" i="5"/>
  <c r="G4470" i="5"/>
  <c r="G274" i="5"/>
  <c r="G376" i="5"/>
  <c r="G4518" i="5"/>
  <c r="G2249" i="5"/>
  <c r="G3978" i="5"/>
  <c r="G430" i="5"/>
  <c r="G427" i="5"/>
  <c r="G694" i="5"/>
  <c r="G3419" i="5"/>
  <c r="G3738" i="5"/>
  <c r="G1345" i="5"/>
  <c r="G4536" i="5"/>
  <c r="G4510" i="5"/>
  <c r="G4455" i="5"/>
  <c r="G3412" i="5"/>
  <c r="H3469" i="5" l="1"/>
  <c r="H6447" i="5"/>
  <c r="H6198" i="5"/>
  <c r="H1808" i="5"/>
  <c r="H292" i="5"/>
  <c r="H2590" i="5"/>
  <c r="H4305" i="5"/>
  <c r="H307" i="5"/>
  <c r="H2598" i="5"/>
  <c r="H4726" i="5"/>
  <c r="H4289" i="5"/>
  <c r="H3704" i="5"/>
  <c r="H2582" i="5"/>
  <c r="H4583" i="5"/>
  <c r="H3997" i="5"/>
  <c r="H3220" i="5"/>
  <c r="H353" i="5"/>
  <c r="H3878" i="5"/>
  <c r="H4633" i="5"/>
  <c r="H4150" i="5"/>
  <c r="H5277" i="5"/>
  <c r="H2243" i="5"/>
  <c r="H3488" i="5"/>
  <c r="H3631" i="5"/>
  <c r="H396" i="5"/>
  <c r="H3513" i="5"/>
  <c r="H3982" i="5"/>
  <c r="H3717" i="5"/>
  <c r="H442" i="5"/>
  <c r="H3448" i="5"/>
  <c r="H555" i="5"/>
  <c r="H3376" i="5"/>
  <c r="H3530" i="5"/>
  <c r="H547" i="5"/>
  <c r="H3625" i="5"/>
  <c r="H3458" i="5"/>
  <c r="H3556" i="5"/>
  <c r="H3840" i="5"/>
  <c r="H3912" i="5"/>
  <c r="H3578" i="5"/>
  <c r="H3411" i="5"/>
  <c r="H4462" i="5"/>
  <c r="H2313" i="5"/>
  <c r="H4532" i="5"/>
  <c r="H3418" i="5"/>
  <c r="H688" i="5"/>
  <c r="H373" i="5"/>
  <c r="H4540" i="5"/>
  <c r="H1343" i="5"/>
  <c r="H3732" i="5"/>
  <c r="H424" i="5"/>
  <c r="H1356" i="5"/>
  <c r="H4450" i="5"/>
  <c r="H4508" i="5"/>
  <c r="H3972" i="5"/>
  <c r="H4516" i="5"/>
  <c r="H270" i="5"/>
  <c r="H3692" i="5"/>
  <c r="G1478" i="5" l="1"/>
  <c r="G1463" i="5"/>
  <c r="G6150" i="5" l="1"/>
  <c r="G6161" i="5"/>
  <c r="G5258" i="5"/>
  <c r="H1467" i="5"/>
  <c r="G1433" i="5"/>
  <c r="G1493" i="5"/>
  <c r="H1452" i="5"/>
  <c r="G1418" i="5"/>
  <c r="G1448" i="5"/>
  <c r="H6143" i="5" l="1"/>
  <c r="H6154" i="5"/>
  <c r="G5254" i="5"/>
  <c r="G5253" i="5"/>
  <c r="G1508" i="5"/>
  <c r="H1482" i="5"/>
  <c r="H1407" i="5"/>
  <c r="H1422" i="5"/>
  <c r="G3948" i="5"/>
  <c r="H1437" i="5"/>
  <c r="H5251" i="5" l="1"/>
  <c r="H3948" i="5"/>
  <c r="H1497" i="5"/>
  <c r="G2132" i="5" l="1"/>
  <c r="G2138" i="5"/>
  <c r="H2136" i="5" l="1"/>
  <c r="H2130" i="5"/>
  <c r="G5420" i="5" l="1"/>
  <c r="G5335" i="5"/>
  <c r="G5394" i="5"/>
  <c r="G5388" i="5"/>
  <c r="G5421" i="5"/>
  <c r="G5386" i="5"/>
  <c r="G5396" i="5"/>
  <c r="G5328" i="5"/>
  <c r="G5403" i="5"/>
  <c r="G5450" i="5"/>
  <c r="G5409" i="5"/>
  <c r="G5419" i="5"/>
  <c r="G5402" i="5"/>
  <c r="G5342" i="5"/>
  <c r="G5395" i="5"/>
  <c r="G5329" i="5"/>
  <c r="G5387" i="5"/>
  <c r="G5353" i="5" l="1"/>
  <c r="H5326" i="5"/>
  <c r="G5479" i="5"/>
  <c r="H5402" i="5"/>
  <c r="H5340" i="5"/>
  <c r="H5450" i="5"/>
  <c r="H5386" i="5"/>
  <c r="H5394" i="5"/>
  <c r="H5333" i="5"/>
  <c r="H5479" i="5" l="1"/>
  <c r="H5353" i="5"/>
  <c r="G5415" i="5" l="1"/>
  <c r="G5427" i="5"/>
  <c r="G5410" i="5" l="1"/>
  <c r="G5413" i="5"/>
  <c r="G5425" i="5"/>
  <c r="G5422" i="5"/>
  <c r="G5426" i="5" l="1"/>
  <c r="H5419" i="5" l="1"/>
  <c r="G5414" i="5" l="1"/>
  <c r="H5409" i="5" l="1"/>
  <c r="G6233" i="5" l="1"/>
  <c r="H6233" i="5" l="1"/>
  <c r="G6372" i="5"/>
  <c r="G6379" i="5"/>
  <c r="H6379" i="5" l="1"/>
  <c r="H6372" i="5"/>
  <c r="G6254" i="5" l="1"/>
  <c r="G6263" i="5" l="1"/>
  <c r="G6311" i="5"/>
  <c r="G6312" i="5"/>
  <c r="H6259" i="5" l="1"/>
  <c r="H6220" i="5" l="1"/>
  <c r="G6253" i="5" l="1"/>
  <c r="G6353" i="5" l="1"/>
  <c r="G6313" i="5" l="1"/>
  <c r="G6291" i="5" l="1"/>
  <c r="G6352" i="5"/>
  <c r="G6308" i="5"/>
  <c r="G6255" i="5"/>
  <c r="G6305" i="5"/>
  <c r="H6284" i="5" l="1"/>
  <c r="H6343" i="5"/>
  <c r="H6248" i="5"/>
  <c r="G6309" i="5" l="1"/>
  <c r="G6310" i="5"/>
  <c r="G6315" i="5"/>
  <c r="G6314" i="5" l="1"/>
  <c r="H6295" i="5" l="1"/>
  <c r="N199" i="20" l="1"/>
  <c r="O199" i="20" s="1"/>
  <c r="N181" i="20"/>
  <c r="O181" i="20" s="1"/>
  <c r="N337" i="20"/>
  <c r="O337" i="20" s="1"/>
  <c r="N210" i="20"/>
  <c r="O210" i="20" s="1"/>
  <c r="N10" i="20"/>
  <c r="O10" i="20" s="1"/>
  <c r="N103" i="20"/>
  <c r="O103" i="20" s="1"/>
  <c r="N89" i="20"/>
  <c r="O89" i="20" s="1"/>
  <c r="N173" i="20"/>
  <c r="O173" i="20" s="1"/>
  <c r="N25" i="20"/>
  <c r="O25" i="20" s="1"/>
  <c r="N255" i="20"/>
  <c r="O255" i="20" s="1"/>
  <c r="N114" i="20"/>
  <c r="O114" i="20" s="1"/>
  <c r="N390" i="20"/>
  <c r="O390" i="20" s="1"/>
  <c r="N308" i="20"/>
  <c r="O308" i="20" s="1"/>
  <c r="N175" i="20"/>
  <c r="O175" i="20" s="1"/>
  <c r="N396" i="20"/>
  <c r="O396" i="20" s="1"/>
  <c r="N166" i="20"/>
  <c r="O166" i="20" s="1"/>
  <c r="N88" i="20"/>
  <c r="O88" i="20" s="1"/>
  <c r="N204" i="20"/>
  <c r="O204" i="20" s="1"/>
  <c r="N286" i="20"/>
  <c r="O286" i="20" s="1"/>
  <c r="N231" i="20"/>
  <c r="O231" i="20" s="1"/>
  <c r="N243" i="20"/>
  <c r="O243" i="20" s="1"/>
  <c r="N60" i="20"/>
  <c r="O60" i="20" s="1"/>
  <c r="N67" i="20"/>
  <c r="O67" i="20" s="1"/>
  <c r="N167" i="20"/>
  <c r="O167" i="20" s="1"/>
  <c r="N252" i="20"/>
  <c r="O252" i="20" s="1"/>
  <c r="N150" i="20"/>
  <c r="O150" i="20" s="1"/>
  <c r="N184" i="20"/>
  <c r="O184" i="20" s="1"/>
  <c r="N303" i="20"/>
  <c r="O303" i="20" s="1"/>
  <c r="N341" i="20"/>
  <c r="O341" i="20" s="1"/>
  <c r="N105" i="20"/>
  <c r="O105" i="20" s="1"/>
  <c r="N179" i="20"/>
  <c r="O179" i="20" s="1"/>
  <c r="N178" i="20"/>
  <c r="O178" i="20" s="1"/>
  <c r="N314" i="20"/>
  <c r="O314" i="20" s="1"/>
  <c r="N13" i="20"/>
  <c r="O13" i="20" s="1"/>
  <c r="N256" i="20"/>
  <c r="O256" i="20" s="1"/>
  <c r="N34" i="20"/>
  <c r="O34" i="20" s="1"/>
  <c r="N295" i="20"/>
  <c r="O295" i="20" s="1"/>
  <c r="N170" i="20"/>
  <c r="O170" i="20" s="1"/>
  <c r="N66" i="20"/>
  <c r="O66" i="20" s="1"/>
  <c r="N57" i="20"/>
  <c r="O57" i="20" s="1"/>
  <c r="N125" i="20"/>
  <c r="O125" i="20" s="1"/>
  <c r="N215" i="20"/>
  <c r="O215" i="20" s="1"/>
  <c r="N180" i="20"/>
  <c r="O180" i="20" s="1"/>
  <c r="N276" i="20"/>
  <c r="O276" i="20" s="1"/>
  <c r="N391" i="20"/>
  <c r="O391" i="20" s="1"/>
  <c r="N145" i="20"/>
  <c r="O145" i="20" s="1"/>
  <c r="N21" i="20"/>
  <c r="O21" i="20" s="1"/>
  <c r="N388" i="20"/>
  <c r="O388" i="20" s="1"/>
  <c r="N113" i="20"/>
  <c r="O113" i="20" s="1"/>
  <c r="N263" i="20"/>
  <c r="O263" i="20" s="1"/>
  <c r="N229" i="20"/>
  <c r="O229" i="20" s="1"/>
  <c r="N117" i="20"/>
  <c r="O117" i="20" s="1"/>
  <c r="N268" i="20"/>
  <c r="O268" i="20" s="1"/>
  <c r="N172" i="20"/>
  <c r="O172" i="20" s="1"/>
  <c r="N131" i="20"/>
  <c r="O131" i="20" s="1"/>
  <c r="N254" i="20"/>
  <c r="O254" i="20" s="1"/>
  <c r="N146" i="20"/>
  <c r="O146" i="20" s="1"/>
  <c r="N318" i="20"/>
  <c r="O318" i="20" s="1"/>
  <c r="N205" i="20"/>
  <c r="O205" i="20" s="1"/>
  <c r="N277" i="20"/>
  <c r="O277" i="20" s="1"/>
  <c r="N316" i="20"/>
  <c r="O316" i="20" s="1"/>
  <c r="N97" i="20"/>
  <c r="O97" i="20" s="1"/>
  <c r="N385" i="20"/>
  <c r="O385" i="20" s="1"/>
  <c r="N79" i="20"/>
  <c r="O79" i="20" s="1"/>
  <c r="N123" i="20"/>
  <c r="O123" i="20" s="1"/>
  <c r="N92" i="20"/>
  <c r="O92" i="20" s="1"/>
  <c r="N216" i="20"/>
  <c r="O216" i="20" s="1"/>
  <c r="N45" i="20"/>
  <c r="O45" i="20" s="1"/>
  <c r="N61" i="20"/>
  <c r="O61" i="20" s="1"/>
  <c r="N111" i="20"/>
  <c r="O111" i="20" s="1"/>
  <c r="N221" i="20"/>
  <c r="O221" i="20" s="1"/>
  <c r="N344" i="20"/>
  <c r="O344" i="20" s="1"/>
  <c r="N101" i="20"/>
  <c r="O101" i="20" s="1"/>
  <c r="N152" i="20"/>
  <c r="O152" i="20" s="1"/>
  <c r="N140" i="20"/>
  <c r="O140" i="20" s="1"/>
  <c r="N54" i="20"/>
  <c r="O54" i="20" s="1"/>
  <c r="N397" i="20"/>
  <c r="O397" i="20" s="1"/>
  <c r="N52" i="20"/>
  <c r="O52" i="20" s="1"/>
  <c r="N51" i="20"/>
  <c r="O51" i="20" s="1"/>
  <c r="N262" i="20"/>
  <c r="O262" i="20" s="1"/>
  <c r="N287" i="20"/>
  <c r="O287" i="20" s="1"/>
  <c r="N299" i="20"/>
  <c r="O299" i="20" s="1"/>
  <c r="N313" i="20"/>
  <c r="O313" i="20" s="1"/>
  <c r="N273" i="20"/>
  <c r="O273" i="20" s="1"/>
  <c r="N100" i="20"/>
  <c r="O100" i="20" s="1"/>
  <c r="N269" i="20"/>
  <c r="O269" i="20" s="1"/>
  <c r="N95" i="20"/>
  <c r="O95" i="20" s="1"/>
  <c r="N81" i="20"/>
  <c r="O81" i="20" s="1"/>
  <c r="N309" i="20"/>
  <c r="O309" i="20" s="1"/>
  <c r="N50" i="20"/>
  <c r="O50" i="20" s="1"/>
  <c r="N116" i="20"/>
  <c r="O116" i="20" s="1"/>
  <c r="N187" i="20"/>
  <c r="O187" i="20" s="1"/>
  <c r="N274" i="20"/>
  <c r="O274" i="20" s="1"/>
  <c r="N261" i="20"/>
  <c r="O261" i="20" s="1"/>
  <c r="N59" i="20"/>
  <c r="O59" i="20" s="1"/>
  <c r="N11" i="20"/>
  <c r="O11" i="20" s="1"/>
  <c r="N82" i="20"/>
  <c r="O82" i="20" s="1"/>
  <c r="N338" i="20"/>
  <c r="O338" i="20" s="1"/>
  <c r="N73" i="20"/>
  <c r="O73" i="20" s="1"/>
  <c r="N149" i="20"/>
  <c r="O149" i="20" s="1"/>
  <c r="N196" i="20"/>
  <c r="O196" i="20" s="1"/>
  <c r="N384" i="20"/>
  <c r="O384" i="20" s="1"/>
  <c r="N94" i="20"/>
  <c r="O94" i="20" s="1"/>
  <c r="N98" i="20"/>
  <c r="O98" i="20" s="1"/>
  <c r="N171" i="20"/>
  <c r="O171" i="20" s="1"/>
  <c r="N112" i="20"/>
  <c r="O112" i="20" s="1"/>
  <c r="N151" i="20"/>
  <c r="O151" i="20" s="1"/>
  <c r="N200" i="20"/>
  <c r="O200" i="20" s="1"/>
  <c r="N126" i="20"/>
  <c r="O126" i="20" s="1"/>
  <c r="N128" i="20"/>
  <c r="O128" i="20" s="1"/>
  <c r="N235" i="20"/>
  <c r="O235" i="20" s="1"/>
  <c r="N305" i="20"/>
  <c r="O305" i="20" s="1"/>
  <c r="N278" i="20"/>
  <c r="O278" i="20" s="1"/>
  <c r="N201" i="20"/>
  <c r="O201" i="20" s="1"/>
  <c r="N345" i="20"/>
  <c r="O345" i="20" s="1"/>
  <c r="N185" i="20"/>
  <c r="O185" i="20" s="1"/>
  <c r="N253" i="20"/>
  <c r="O253" i="20" s="1"/>
  <c r="N322" i="20"/>
  <c r="O322" i="20" s="1"/>
  <c r="N147" i="20"/>
  <c r="O147" i="20" s="1"/>
  <c r="N398" i="20"/>
  <c r="O398" i="20" s="1"/>
  <c r="N154" i="20"/>
  <c r="O154" i="20" s="1"/>
  <c r="N353" i="20"/>
  <c r="O353" i="20" s="1"/>
  <c r="N53" i="20"/>
  <c r="O53" i="20" s="1"/>
  <c r="N219" i="20"/>
  <c r="O219" i="20" s="1"/>
  <c r="N208" i="20"/>
  <c r="O208" i="20" s="1"/>
  <c r="N271" i="20"/>
  <c r="O271" i="20" s="1"/>
  <c r="N242" i="20"/>
  <c r="O242" i="20" s="1"/>
  <c r="N76" i="20"/>
  <c r="O76" i="20" s="1"/>
  <c r="N386" i="20"/>
  <c r="O386" i="20" s="1"/>
  <c r="N56" i="20"/>
  <c r="O56" i="20" s="1"/>
  <c r="N259" i="20"/>
  <c r="O259" i="20" s="1"/>
  <c r="N87" i="20"/>
  <c r="O87" i="20" s="1"/>
  <c r="N70" i="20"/>
  <c r="O70" i="20" s="1"/>
  <c r="N77" i="20"/>
  <c r="O77" i="20" s="1"/>
  <c r="N104" i="20"/>
  <c r="O104" i="20" s="1"/>
  <c r="N213" i="20"/>
  <c r="O213" i="20" s="1"/>
  <c r="N301" i="20"/>
  <c r="O301" i="20" s="1"/>
  <c r="N41" i="20"/>
  <c r="O41" i="20" s="1"/>
  <c r="N307" i="20"/>
  <c r="O307" i="20" s="1"/>
  <c r="N62" i="20"/>
  <c r="O62" i="20" s="1"/>
  <c r="N130" i="20"/>
  <c r="O130" i="20" s="1"/>
  <c r="N169" i="20"/>
  <c r="O169" i="20" s="1"/>
  <c r="N168" i="20"/>
  <c r="O168" i="20" s="1"/>
  <c r="N14" i="20"/>
  <c r="O14" i="20" s="1"/>
  <c r="N272" i="20"/>
  <c r="O272" i="20" s="1"/>
  <c r="N304" i="20"/>
  <c r="O304" i="20" s="1"/>
  <c r="N248" i="20"/>
  <c r="O248" i="20" s="1"/>
  <c r="N245" i="20"/>
  <c r="O245" i="20" s="1"/>
  <c r="N315" i="20"/>
  <c r="O315" i="20" s="1"/>
  <c r="N71" i="20"/>
  <c r="O71" i="20" s="1"/>
  <c r="N176" i="20"/>
  <c r="O176" i="20" s="1"/>
  <c r="N346" i="20"/>
  <c r="O346" i="20" s="1"/>
  <c r="N381" i="20"/>
  <c r="O381" i="20" s="1"/>
  <c r="N236" i="20"/>
  <c r="O236" i="20" s="1"/>
  <c r="N378" i="20"/>
  <c r="O378" i="20" s="1"/>
  <c r="N124" i="20"/>
  <c r="O124" i="20" s="1"/>
  <c r="N320" i="20"/>
  <c r="O320" i="20" s="1"/>
  <c r="N203" i="20"/>
  <c r="O203" i="20" s="1"/>
  <c r="N347" i="20"/>
  <c r="O347" i="20" s="1"/>
  <c r="N342" i="20"/>
  <c r="O342" i="20" s="1"/>
  <c r="N121" i="20"/>
  <c r="O121" i="20" s="1"/>
  <c r="N37" i="20"/>
  <c r="O37" i="20" s="1"/>
  <c r="N48" i="20"/>
  <c r="O48" i="20" s="1"/>
  <c r="N93" i="20"/>
  <c r="O93" i="20" s="1"/>
  <c r="N265" i="20"/>
  <c r="O265" i="20" s="1"/>
  <c r="N44" i="20"/>
  <c r="O44" i="20" s="1"/>
  <c r="J43" i="20"/>
  <c r="N317" i="20"/>
  <c r="O317" i="20" s="1"/>
  <c r="N350" i="20"/>
  <c r="O350" i="20" s="1"/>
  <c r="N55" i="20"/>
  <c r="O55" i="20" s="1"/>
  <c r="N99" i="20"/>
  <c r="O99" i="20" s="1"/>
  <c r="N186" i="20"/>
  <c r="O186" i="20" s="1"/>
  <c r="N291" i="20"/>
  <c r="O291" i="20" s="1"/>
  <c r="N289" i="20"/>
  <c r="O289" i="20" s="1"/>
  <c r="N120" i="20"/>
  <c r="O120" i="20" s="1"/>
  <c r="N91" i="20"/>
  <c r="O91" i="20" s="1"/>
  <c r="N395" i="20"/>
  <c r="O395" i="20" s="1"/>
  <c r="N36" i="20"/>
  <c r="O36" i="20" s="1"/>
  <c r="N249" i="20"/>
  <c r="O249" i="20" s="1"/>
  <c r="N35" i="20"/>
  <c r="O35" i="20" s="1"/>
  <c r="N393" i="20"/>
  <c r="O393" i="20" s="1"/>
  <c r="N80" i="20"/>
  <c r="O80" i="20" s="1"/>
  <c r="N108" i="20"/>
  <c r="O108" i="20" s="1"/>
  <c r="N232" i="20"/>
  <c r="O232" i="20" s="1"/>
  <c r="N211" i="20"/>
  <c r="O211" i="20" s="1"/>
  <c r="N223" i="20"/>
  <c r="O223" i="20" s="1"/>
  <c r="N86" i="20"/>
  <c r="O86" i="20" s="1"/>
  <c r="N311" i="20"/>
  <c r="O311" i="20" s="1"/>
  <c r="N351" i="20"/>
  <c r="O351" i="20" s="1"/>
  <c r="N74" i="20"/>
  <c r="O74" i="20" s="1"/>
  <c r="N267" i="20"/>
  <c r="O267" i="20" s="1"/>
  <c r="N65" i="20"/>
  <c r="O65" i="20" s="1"/>
  <c r="N141" i="20"/>
  <c r="O141" i="20" s="1"/>
  <c r="N310" i="20"/>
  <c r="O310" i="20" s="1"/>
  <c r="N16" i="20"/>
  <c r="O16" i="20" s="1"/>
  <c r="N302" i="20"/>
  <c r="O302" i="20" s="1"/>
  <c r="N26" i="20"/>
  <c r="O26" i="20" s="1"/>
  <c r="N240" i="20"/>
  <c r="O240" i="20" s="1"/>
  <c r="N237" i="20"/>
  <c r="O237" i="20" s="1"/>
  <c r="N246" i="20"/>
  <c r="O246" i="20" s="1"/>
  <c r="N78" i="20"/>
  <c r="O78" i="20" s="1"/>
  <c r="N85" i="20"/>
  <c r="O85" i="20" s="1"/>
  <c r="N352" i="20"/>
  <c r="O352" i="20" s="1"/>
  <c r="N227" i="20"/>
  <c r="O227" i="20" s="1"/>
  <c r="N83" i="20"/>
  <c r="O83" i="20" s="1"/>
  <c r="N127" i="20"/>
  <c r="O127" i="20" s="1"/>
  <c r="N198" i="20"/>
  <c r="O198" i="20" s="1"/>
  <c r="N234" i="20"/>
  <c r="O234" i="20" s="1"/>
  <c r="N177" i="20"/>
  <c r="O177" i="20" s="1"/>
  <c r="N49" i="20"/>
  <c r="O49" i="20" s="1"/>
  <c r="N293" i="20"/>
  <c r="O293" i="20" s="1"/>
  <c r="N32" i="20"/>
  <c r="O32" i="20" s="1"/>
  <c r="N306" i="20"/>
  <c r="O306" i="20" s="1"/>
  <c r="N129" i="20"/>
  <c r="O129" i="20" s="1"/>
  <c r="N119" i="20"/>
  <c r="O119" i="20" s="1"/>
  <c r="N190" i="20"/>
  <c r="O190" i="20" s="1"/>
  <c r="N189" i="20"/>
  <c r="O189" i="20" s="1"/>
  <c r="N218" i="20"/>
  <c r="O218" i="20" s="1"/>
  <c r="N220" i="20"/>
  <c r="O220" i="20" s="1"/>
  <c r="N225" i="20"/>
  <c r="O225" i="20" s="1"/>
  <c r="N24" i="20"/>
  <c r="O24" i="20" s="1"/>
  <c r="N238" i="20"/>
  <c r="O238" i="20" s="1"/>
  <c r="N69" i="20"/>
  <c r="O69" i="20" s="1"/>
  <c r="N250" i="20"/>
  <c r="O250" i="20" s="1"/>
  <c r="N182" i="20"/>
  <c r="O182" i="20" s="1"/>
  <c r="N296" i="20"/>
  <c r="O296" i="20" s="1"/>
  <c r="N68" i="20"/>
  <c r="O68" i="20" s="1"/>
  <c r="N233" i="20"/>
  <c r="O233" i="20" s="1"/>
  <c r="N33" i="20"/>
  <c r="O33" i="20" s="1"/>
  <c r="N239" i="20"/>
  <c r="O239" i="20" s="1"/>
  <c r="N75" i="20"/>
  <c r="O75" i="20" s="1"/>
  <c r="N183" i="20"/>
  <c r="O183" i="20" s="1"/>
  <c r="N290" i="20"/>
  <c r="O290" i="20" s="1"/>
  <c r="N174" i="20"/>
  <c r="O174" i="20" s="1"/>
  <c r="N264" i="20"/>
  <c r="O264" i="20" s="1"/>
  <c r="N228" i="20"/>
  <c r="O228" i="20" s="1"/>
  <c r="N30" i="20"/>
  <c r="O30" i="20" s="1"/>
  <c r="N247" i="20"/>
  <c r="O247" i="20" s="1"/>
  <c r="N63" i="20"/>
  <c r="O63" i="20" s="1"/>
  <c r="N107" i="20"/>
  <c r="O107" i="20" s="1"/>
  <c r="N202" i="20"/>
  <c r="O202" i="20" s="1"/>
  <c r="N29" i="20"/>
  <c r="O29" i="20" s="1"/>
  <c r="N207" i="20"/>
  <c r="O207" i="20" s="1"/>
  <c r="N23" i="20"/>
  <c r="O23" i="20" s="1"/>
  <c r="N165" i="20"/>
  <c r="O165" i="20" s="1"/>
  <c r="N294" i="20"/>
  <c r="O294" i="20" s="1"/>
  <c r="N226" i="20"/>
  <c r="O226" i="20" s="1"/>
  <c r="N300" i="20"/>
  <c r="O300" i="20" s="1"/>
  <c r="N206" i="20"/>
  <c r="O206" i="20" s="1"/>
  <c r="N106" i="20"/>
  <c r="O106" i="20" s="1"/>
  <c r="N9" i="20"/>
  <c r="O9" i="20" s="1"/>
  <c r="N270" i="20"/>
  <c r="O270" i="20" s="1"/>
  <c r="N96" i="20"/>
  <c r="O96" i="20" s="1"/>
  <c r="N297" i="20"/>
  <c r="O297" i="20" s="1"/>
  <c r="N230" i="20"/>
  <c r="O230" i="20" s="1"/>
  <c r="N244" i="20"/>
  <c r="O244" i="20" s="1"/>
  <c r="N8" i="20"/>
  <c r="O8" i="20" s="1"/>
  <c r="N319" i="20"/>
  <c r="O319" i="20" s="1"/>
  <c r="N241" i="20"/>
  <c r="O241" i="20" s="1"/>
  <c r="N275" i="20"/>
  <c r="O275" i="20" s="1"/>
  <c r="N389" i="20"/>
  <c r="O389" i="20" s="1"/>
  <c r="N380" i="20"/>
  <c r="O380" i="20" s="1"/>
  <c r="N20" i="20"/>
  <c r="O20" i="20" s="1"/>
  <c r="N260" i="20"/>
  <c r="O260" i="20" s="1"/>
  <c r="N28" i="20"/>
  <c r="O28" i="20" s="1"/>
  <c r="N379" i="20"/>
  <c r="O379" i="20" s="1"/>
  <c r="N27" i="20"/>
  <c r="O27" i="20" s="1"/>
  <c r="N323" i="20"/>
  <c r="O323" i="20" s="1"/>
  <c r="N72" i="20"/>
  <c r="O72" i="20" s="1"/>
  <c r="N188" i="20"/>
  <c r="O188" i="20" s="1"/>
  <c r="N292" i="20"/>
  <c r="O292" i="20" s="1"/>
  <c r="N143" i="20"/>
  <c r="O143" i="20" s="1"/>
  <c r="N144" i="20"/>
  <c r="O144" i="20" s="1"/>
  <c r="N118" i="20"/>
  <c r="O118" i="20" s="1"/>
  <c r="N209" i="20"/>
  <c r="O209" i="20" s="1"/>
  <c r="N22" i="20"/>
  <c r="O22" i="20" s="1"/>
  <c r="N40" i="20"/>
  <c r="O40" i="20" s="1"/>
  <c r="N224" i="20"/>
  <c r="O224" i="20" s="1"/>
  <c r="N47" i="20"/>
  <c r="O47" i="20" s="1"/>
  <c r="N39" i="20"/>
  <c r="O39" i="20" s="1"/>
  <c r="N115" i="20"/>
  <c r="O115" i="20" s="1"/>
  <c r="N137" i="20"/>
  <c r="O137" i="20" s="1"/>
  <c r="N214" i="20"/>
  <c r="O214" i="20" s="1"/>
  <c r="N58" i="20"/>
  <c r="O58" i="20" s="1"/>
  <c r="N197" i="20"/>
  <c r="O197" i="20" s="1"/>
  <c r="N288" i="20"/>
  <c r="O288" i="20" s="1"/>
  <c r="N122" i="20"/>
  <c r="O122" i="20" s="1"/>
  <c r="N19" i="20"/>
  <c r="O19" i="20" s="1"/>
  <c r="N339" i="20"/>
  <c r="O339" i="20" s="1"/>
  <c r="N251" i="20"/>
  <c r="O251" i="20" s="1"/>
  <c r="N102" i="20"/>
  <c r="O102" i="20" s="1"/>
  <c r="N109" i="20"/>
  <c r="O109" i="20" s="1"/>
  <c r="N148" i="20"/>
  <c r="O148" i="20" s="1"/>
  <c r="N222" i="20"/>
  <c r="O222" i="20" s="1"/>
  <c r="N266" i="20"/>
  <c r="O266" i="20" s="1"/>
  <c r="N31" i="20"/>
  <c r="O31" i="20" s="1"/>
  <c r="N298" i="20"/>
  <c r="O298" i="20" s="1"/>
  <c r="N258" i="20"/>
  <c r="O258" i="20" s="1"/>
  <c r="N285" i="20"/>
  <c r="O285" i="20" s="1"/>
  <c r="O354" i="20" l="1"/>
  <c r="O257" i="20"/>
  <c r="O43" i="20"/>
  <c r="J38" i="20"/>
  <c r="O392" i="20"/>
  <c r="O383" i="20"/>
  <c r="O46" i="20"/>
  <c r="O348" i="20"/>
  <c r="O340" i="20"/>
  <c r="O284" i="20"/>
  <c r="J7" i="20"/>
  <c r="O312" i="20"/>
  <c r="J312" i="20"/>
  <c r="O38" i="20"/>
  <c r="J46" i="20"/>
  <c r="J12" i="20"/>
  <c r="O7" i="20"/>
  <c r="O12" i="20"/>
  <c r="N217" i="20"/>
  <c r="O217" i="20" s="1"/>
  <c r="N156" i="20" l="1"/>
  <c r="O156" i="20" s="1"/>
  <c r="N157" i="20" l="1"/>
  <c r="O157" i="20" s="1"/>
  <c r="N155" i="20"/>
  <c r="O155" i="20" s="1"/>
  <c r="N195" i="20"/>
  <c r="O195" i="20" s="1"/>
  <c r="N136" i="20"/>
  <c r="O136" i="20" s="1"/>
  <c r="N164" i="20"/>
  <c r="O164" i="20" s="1"/>
  <c r="N192" i="20"/>
  <c r="O192" i="20" s="1"/>
  <c r="N163" i="20"/>
  <c r="O163" i="20" s="1"/>
  <c r="N135" i="20"/>
  <c r="O135" i="20" s="1"/>
  <c r="N90" i="20"/>
  <c r="O90" i="20" s="1"/>
  <c r="N138" i="20"/>
  <c r="O138" i="20" s="1"/>
  <c r="N139" i="20"/>
  <c r="O139" i="20" s="1"/>
  <c r="N191" i="20"/>
  <c r="O191" i="20" s="1"/>
  <c r="N162" i="20"/>
  <c r="O162" i="20" s="1"/>
  <c r="N17" i="20"/>
  <c r="O17" i="20" s="1"/>
  <c r="O15" i="20" s="1"/>
  <c r="O6" i="20" s="1"/>
  <c r="J15" i="20"/>
  <c r="J6" i="20" s="1"/>
  <c r="D8" i="21" s="1"/>
  <c r="N134" i="20"/>
  <c r="O134" i="20" s="1"/>
  <c r="N153" i="20"/>
  <c r="O153" i="20" s="1"/>
  <c r="N194" i="20"/>
  <c r="O194" i="20" s="1"/>
  <c r="N84" i="20"/>
  <c r="O84" i="20" s="1"/>
  <c r="N158" i="20"/>
  <c r="O158" i="20" s="1"/>
  <c r="N161" i="20"/>
  <c r="O161" i="20" s="1"/>
  <c r="N193" i="20"/>
  <c r="O193" i="20" s="1"/>
  <c r="N403" i="20"/>
  <c r="O403" i="20" s="1"/>
  <c r="N212" i="20"/>
  <c r="O212" i="20" s="1"/>
  <c r="N160" i="20"/>
  <c r="O160" i="20" s="1"/>
  <c r="N159" i="20"/>
  <c r="O159" i="20" s="1"/>
  <c r="F8" i="21" l="1"/>
  <c r="G8" i="21" s="1"/>
  <c r="E8" i="21"/>
  <c r="O64" i="20"/>
  <c r="J64" i="20"/>
  <c r="N132" i="20"/>
  <c r="O132" i="20" s="1"/>
  <c r="N133" i="20" l="1"/>
  <c r="O133" i="20" s="1"/>
  <c r="N142" i="20" l="1"/>
  <c r="O142" i="20" s="1"/>
  <c r="J110" i="20"/>
  <c r="O110" i="20" l="1"/>
  <c r="N334" i="20"/>
  <c r="O334" i="20" s="1"/>
  <c r="N336" i="20" l="1"/>
  <c r="O336" i="20" s="1"/>
  <c r="N333" i="20"/>
  <c r="O333" i="20" s="1"/>
  <c r="N332" i="20"/>
  <c r="O332" i="20" s="1"/>
  <c r="N330" i="20" l="1"/>
  <c r="O330" i="20" s="1"/>
  <c r="N328" i="20"/>
  <c r="O328" i="20" s="1"/>
  <c r="N329" i="20"/>
  <c r="O329" i="20" s="1"/>
  <c r="N325" i="20"/>
  <c r="O325" i="20" s="1"/>
  <c r="N327" i="20" l="1"/>
  <c r="O327" i="20" s="1"/>
  <c r="N331" i="20"/>
  <c r="O331" i="20" s="1"/>
  <c r="N324" i="20"/>
  <c r="O324" i="20" s="1"/>
  <c r="O321" i="20" l="1"/>
  <c r="O326" i="20"/>
  <c r="N400" i="20"/>
  <c r="O400" i="20" s="1"/>
  <c r="O399" i="20" s="1"/>
  <c r="N405" i="20"/>
  <c r="O405" i="20" s="1"/>
  <c r="O404" i="20" l="1"/>
  <c r="O42" i="20"/>
  <c r="F9" i="21" s="1"/>
  <c r="J42" i="20"/>
  <c r="D9" i="21" l="1"/>
  <c r="E9" i="21" s="1"/>
  <c r="E13" i="21" s="1"/>
  <c r="O521" i="20"/>
  <c r="G9" i="21"/>
  <c r="G13" i="21" s="1"/>
</calcChain>
</file>

<file path=xl/sharedStrings.xml><?xml version="1.0" encoding="utf-8"?>
<sst xmlns="http://schemas.openxmlformats.org/spreadsheetml/2006/main" count="15514" uniqueCount="3972">
  <si>
    <t>COMPOSIÇÕES DE CUSTO UNITÁRIO</t>
  </si>
  <si>
    <t>ITEM</t>
  </si>
  <si>
    <t>DESCRIÇÃO</t>
  </si>
  <si>
    <t>DISCRIMINAÇÃO DA COMPOSIÇÃO</t>
  </si>
  <si>
    <t>UNIDADE</t>
  </si>
  <si>
    <t>COEFICIENTE</t>
  </si>
  <si>
    <t>CUSTO UNITÁRIO</t>
  </si>
  <si>
    <t>CUSTO TOTAL</t>
  </si>
  <si>
    <t>TOTAL DO SERVIÇO</t>
  </si>
  <si>
    <t>QTD</t>
  </si>
  <si>
    <t>SF-00001</t>
  </si>
  <si>
    <t>Engenheiro civil de obra junior com encargos complementares</t>
  </si>
  <si>
    <t>h</t>
  </si>
  <si>
    <t>SF-00002</t>
  </si>
  <si>
    <t>Mestre de obras com encargos complementares</t>
  </si>
  <si>
    <t>SF-00003</t>
  </si>
  <si>
    <t>Engenheiro Civil de Obra Pleno com encargos complementares</t>
  </si>
  <si>
    <t>SF-00004</t>
  </si>
  <si>
    <t>Engenheiro Civil Pleno com encargos complementares</t>
  </si>
  <si>
    <t>Anotação de Responsabilidade Técnica</t>
  </si>
  <si>
    <t>un</t>
  </si>
  <si>
    <t>SF-00005</t>
  </si>
  <si>
    <t>Pedreiro com Encargos Complementares</t>
  </si>
  <si>
    <t>Servente com Encargos Complementares</t>
  </si>
  <si>
    <t>SF-00006</t>
  </si>
  <si>
    <t>SF-00007</t>
  </si>
  <si>
    <t>SF-00008</t>
  </si>
  <si>
    <t>Montador de estrutura metálica com encargos complementares</t>
  </si>
  <si>
    <t>SF-00009</t>
  </si>
  <si>
    <t>SF-00010</t>
  </si>
  <si>
    <t>Eletricista com encargos complementares</t>
  </si>
  <si>
    <t>SF-00011</t>
  </si>
  <si>
    <t>Martelete ou rompedor pneumático manual, 28 kg, com silenciador - CHP diurno. AF_07/2016</t>
  </si>
  <si>
    <t>chp</t>
  </si>
  <si>
    <t>Martelete ou rompedor pneumático manual, 28 kg, com silenciador - CHI diurno. AF_07/2016</t>
  </si>
  <si>
    <t>chi</t>
  </si>
  <si>
    <t>Azulejista ou ladrilhista com encargos complementares</t>
  </si>
  <si>
    <t>SF-00012</t>
  </si>
  <si>
    <t>SF-00013</t>
  </si>
  <si>
    <t>Encanador ou Bombeiro Hidráulico com Encargos Complementares</t>
  </si>
  <si>
    <t>SF-00014</t>
  </si>
  <si>
    <t>CABO DE ACO GALVANIZADO, DIAMETRO 9,53 MM (3/8"), COM ALMA DE FIBRA 6 X 25 F</t>
  </si>
  <si>
    <t>kg</t>
  </si>
  <si>
    <t>SF-00016</t>
  </si>
  <si>
    <t>Carpinteiro de esquadria com encargos complementares</t>
  </si>
  <si>
    <t>SF-00017</t>
  </si>
  <si>
    <t>SF-00018</t>
  </si>
  <si>
    <t>SF-00019</t>
  </si>
  <si>
    <t>SF-00020</t>
  </si>
  <si>
    <t>SF-00021</t>
  </si>
  <si>
    <t>Ajudante especializado com encargos complementares</t>
  </si>
  <si>
    <t>SF-00022</t>
  </si>
  <si>
    <t>Ajudante de operação em geral com encargos complementares</t>
  </si>
  <si>
    <t>SF-00023</t>
  </si>
  <si>
    <t>Marmorista/graniteiro com encargos complementares</t>
  </si>
  <si>
    <t>SF-00024</t>
  </si>
  <si>
    <t>SF-00025</t>
  </si>
  <si>
    <t>SF-00026</t>
  </si>
  <si>
    <t>SF-00027</t>
  </si>
  <si>
    <t>SF-00028</t>
  </si>
  <si>
    <t>SF-00029</t>
  </si>
  <si>
    <t>SF-00030</t>
  </si>
  <si>
    <t>SF-00031</t>
  </si>
  <si>
    <t>SF-00032</t>
  </si>
  <si>
    <r>
      <t xml:space="preserve">Obs.: Remoção </t>
    </r>
    <r>
      <rPr>
        <b/>
        <u/>
        <sz val="10"/>
        <rFont val="Arial"/>
        <family val="2"/>
      </rPr>
      <t>com</t>
    </r>
    <r>
      <rPr>
        <b/>
        <sz val="10"/>
        <rFont val="Arial"/>
        <family val="2"/>
      </rPr>
      <t xml:space="preserve"> reaproveitamento</t>
    </r>
  </si>
  <si>
    <t>SF-00033</t>
  </si>
  <si>
    <t>SF-00034</t>
  </si>
  <si>
    <t>SF-00035</t>
  </si>
  <si>
    <t>Vidraceiro com encargos complementares</t>
  </si>
  <si>
    <t>SF-00036</t>
  </si>
  <si>
    <t>SF-00037</t>
  </si>
  <si>
    <t>SF-00038</t>
  </si>
  <si>
    <r>
      <t xml:space="preserve">Obs.: remoção </t>
    </r>
    <r>
      <rPr>
        <b/>
        <u/>
        <sz val="10"/>
        <rFont val="Arial"/>
        <family val="2"/>
      </rPr>
      <t>com</t>
    </r>
    <r>
      <rPr>
        <b/>
        <sz val="10"/>
        <rFont val="Arial"/>
        <family val="2"/>
      </rPr>
      <t xml:space="preserve"> reaproveitamento</t>
    </r>
  </si>
  <si>
    <t>SF-00039</t>
  </si>
  <si>
    <t>Auxiliar de eletricista com encargos complementares</t>
  </si>
  <si>
    <t>SF-00040</t>
  </si>
  <si>
    <t>SF-00041</t>
  </si>
  <si>
    <t>SF-00042</t>
  </si>
  <si>
    <t>Carpinteiro de formas com encargos complementares</t>
  </si>
  <si>
    <t>SF-00043</t>
  </si>
  <si>
    <t>SF-00044</t>
  </si>
  <si>
    <t>Montador eletromecãnico com encargos complementares</t>
  </si>
  <si>
    <t>SF-00045</t>
  </si>
  <si>
    <t>SF-00046</t>
  </si>
  <si>
    <t>SF-00048</t>
  </si>
  <si>
    <t>LOCACAO DE ANDAIME METALICO TIPO FACHADEIRO, LARGURA DE 1,20 M, ALTURA POR PECA DE 2,0 M, INCLUINDO SAPATAS E ITENS NECESSARIOS A INSTALACAO</t>
  </si>
  <si>
    <t>M2XMES</t>
  </si>
  <si>
    <t>SF-00049</t>
  </si>
  <si>
    <t>MXMES</t>
  </si>
  <si>
    <t>SF-00051</t>
  </si>
  <si>
    <t>CORDA DE POLIAMIDA 12 MM TIPO BOMBEIRO, PARA TRABALHO EM ALTURA</t>
  </si>
  <si>
    <t>100m</t>
  </si>
  <si>
    <t>SF-00057</t>
  </si>
  <si>
    <t>m</t>
  </si>
  <si>
    <t>Prego de aco polido com cabeca 18 x 27 (2 1/2 x 10)</t>
  </si>
  <si>
    <t>m2</t>
  </si>
  <si>
    <t>SF-00070</t>
  </si>
  <si>
    <t>Chapa de madeira compensada resinada 1,10 x 2,20 m # 6 mm</t>
  </si>
  <si>
    <t>PREGO DE ACO POLIDO COM CABECA 18 X 30 (2 3/4 X 10)</t>
  </si>
  <si>
    <t>Ajudante de pintor com encargos complementares</t>
  </si>
  <si>
    <t>Pintor com encargos complementares</t>
  </si>
  <si>
    <t>Oleo de linhaca</t>
  </si>
  <si>
    <t>L</t>
  </si>
  <si>
    <t>Cal hidratada para pintura</t>
  </si>
  <si>
    <t>Pigmento em po para argamassas, cimentos e outros</t>
  </si>
  <si>
    <t>SF-00073</t>
  </si>
  <si>
    <t>SF-00074</t>
  </si>
  <si>
    <t>Auxiliar de encanador ou bombeiro hidráulico com encargos complementares</t>
  </si>
  <si>
    <t>ARGAMASSA TRAÇO 1:3 (EM VOLUME DE CIMENTO E AREIA MÉDIA ÚMIDA), PREPARO MANUAL. AF_08/2019</t>
  </si>
  <si>
    <t>m3</t>
  </si>
  <si>
    <t>SF-00075</t>
  </si>
  <si>
    <t>SF-00076</t>
  </si>
  <si>
    <t>SF-00077</t>
  </si>
  <si>
    <t>Areia media - posto jazida/fornecedor (retirado na jazida, sem transporte)</t>
  </si>
  <si>
    <t>Cimento Portland composto CP II-32</t>
  </si>
  <si>
    <t>Pedra britada n. 1 (9,5 a 19 mm) posto pedreira/fornecedor, sem frete</t>
  </si>
  <si>
    <t>Operador de betoneira estacionária/misturador com encargos complementares</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</si>
  <si>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</si>
  <si>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</si>
  <si>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CARGA, MANOBRAS E DESCARGA DE AREIA, BRITA, PEDRA DE MAO E SOLOS COM CAMINHAO BASCULANTE 6 M3 (DESCARGA LIVRE)</t>
  </si>
  <si>
    <t>M3</t>
  </si>
  <si>
    <t>TRANSPORTE COM CAMINHÃO BASCULANTE DE 6 M3, EM VIA URBANA PAVIMENTADA, DMT ATÉ 30 KM (UNIDADE: M3xKM). AF_01/2018</t>
  </si>
  <si>
    <t>M3xKM</t>
  </si>
  <si>
    <t>Obs.: Considerando fornecedor de areia e brita a 20 km do Senado Federal.</t>
  </si>
  <si>
    <t>SF-00078</t>
  </si>
  <si>
    <t>SF-00079</t>
  </si>
  <si>
    <t>LOCACAO DE ESCORA METALICA TELESCOPICA, COM ALTURA REGULAVEL DE *1,80* A *3,20*M, COM CAPACIDADE DE CARGA DE NO MINIMO 1000 KGF (10 KN), INCLUSO TRIPE E FORCADO</t>
  </si>
  <si>
    <t>MES</t>
  </si>
  <si>
    <t>Ajudante de carpinteiro com encargos complementares</t>
  </si>
  <si>
    <t>SF-00080</t>
  </si>
  <si>
    <t>CANTONEIRA ACO ABAS IGUAIS (QUALQUER BITOLA), ESPESSURA ENTRE 1/8" E 1/4"</t>
  </si>
  <si>
    <t>Chapa de aco USI-SAC 350, de (2,44x6)m, com espessura de 1/2"</t>
  </si>
  <si>
    <t>ELETRODO REVESTIDO AWS - E7018, DIAMETRO IGUAL A 4,00 MM</t>
  </si>
  <si>
    <t>OXIGENIO, RECARGA PARA CILINDRO DE CONJUNTO OXICORTE GRANDE</t>
  </si>
  <si>
    <t>Perfil "H" de aco carbono, padrao americano, de (6"x6")</t>
  </si>
  <si>
    <t>Perda em perfil de aco carbono tipo "H", de 6"x6" - 5% - equivalente ao elementar MAT095450</t>
  </si>
  <si>
    <t>Repintura interna ou externa sobre ferro, inclusive lixamento, limpeza, demao de tinta anti oxido Ferroloide ou equivalente e outra de tinta alquidica esmaltada Condor ou equivalente.</t>
  </si>
  <si>
    <t>Retificador de solda, eletrico, de 430A. Custo horario corrido.</t>
  </si>
  <si>
    <t>Talha Guincho manual de 10Kg, sem operador, com as seguintes especificacoes minimas: capacidade de icamento de 1500Kg e de tracao de 1800Kg, cabo de aco com curso ilimitado, alavanca, gancho e carretel. Custo horario corrido.</t>
  </si>
  <si>
    <t>SF-00081</t>
  </si>
  <si>
    <t>SF-00082</t>
  </si>
  <si>
    <t>Pedreiro Com Encargos Complementares</t>
  </si>
  <si>
    <t>Pedra britada n. 2 (19 a 38 mm) posto pedreira/fornecedor, sem frete</t>
  </si>
  <si>
    <t>Bloco de concreto tipo canaleta 11,5 x 19 x 39 cm</t>
  </si>
  <si>
    <t xml:space="preserve">un </t>
  </si>
  <si>
    <t>Aco CA-50, 10,0 mm, vergalhao</t>
  </si>
  <si>
    <t>SF-00083</t>
  </si>
  <si>
    <t>Argamassa polimerica impermeabilizante semiflexivel, bicomponente (membrana impermeabilizante acrilica)</t>
  </si>
  <si>
    <t>Impermeabilizador com encargos complementares</t>
  </si>
  <si>
    <t>SF-00084</t>
  </si>
  <si>
    <t>mil</t>
  </si>
  <si>
    <t>Tela de aco soldada galvanizada/zincada para alvenaria, fio D = *1,20 a 1,70* mm, malha 15 x 15 mm, (C x L) *50 x 7,5* cm</t>
  </si>
  <si>
    <t>Pino de aco com furo, haste = 27 mm (acao direta)</t>
  </si>
  <si>
    <t>cento</t>
  </si>
  <si>
    <t>ARGAMASSA TRAÇO 1:2:8 (EM VOLUME DE CIMENTO, CAL E AREIA MÉDIA ÚMIDA) PARA EMBOÇO/MASSA ÚNICA/ASSENTAMENTO DE ALVENARIA DE VEDAÇÃO, PREPARO MECÂNICO COM BETONEIRA 400 L. AF_08/2019</t>
  </si>
  <si>
    <t>SF-00085</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</si>
  <si>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</si>
  <si>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</si>
  <si>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</si>
  <si>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</si>
  <si>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</si>
  <si>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</si>
  <si>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</si>
  <si>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SF-00086</t>
  </si>
  <si>
    <t>ARGAMASSA TRAÇO 1:2:9 (EM VOLUME DE CIMENTO, CAL E AREIA MÉDIA ÚMIDA) PARA EMBOÇO/MASSA ÚNICA/ASSENTAMENTO DE ALVENARIA DE VEDAÇÃO, PREPARO MECÂNICO COM BETONEIRA 600 L. AF_08/2019</t>
  </si>
  <si>
    <t>SF-00087</t>
  </si>
  <si>
    <t>Pino De Aco Com Arruela Conica, Diametro Arruela = *23* Mm E Comp Haste = *27* Mm (Acao Indireta)</t>
  </si>
  <si>
    <t>Perfil Guia, Formato U, Em Aco Zincado, Para Estrutura Parede Drywall, E = 0,5 Mm, 70 X 3000 Mm (L X C)</t>
  </si>
  <si>
    <t>Perfil Montante, Formato C, Em Aco Zincado, Para Estrutura Parede Drywall, E = 0,5 Mm, 70 X 3000 Mm (L X C)</t>
  </si>
  <si>
    <t>Fita De Papel Microperfurado, 50 X 150 Mm, Para Tratamento De Juntas De Chapa De Gesso Para Drywall</t>
  </si>
  <si>
    <t>Fita De Papel Reforcada Com Lamina De Metal Para Reforco De Cantos De Chapa De Gesso Para Drywall</t>
  </si>
  <si>
    <t>Parafuso Dry Wall, Em Aco Fosfatizado, Cabeca Trombeta E Ponta Agulha (Ta), Comprimento 25 Mm</t>
  </si>
  <si>
    <t>Parafuso Dry Wall, Em Aco Zincado, Cabeca Lentilha E Ponta Broca (Lb), Largura 4,2 Mm, Comprimento 13 Mm</t>
  </si>
  <si>
    <t>SF-00088</t>
  </si>
  <si>
    <t>SF-00089</t>
  </si>
  <si>
    <t>SF-00090</t>
  </si>
  <si>
    <t>ARGAMASSA INDUSTRIALIZADA PARA CHAPISCO COLANTE, PREPARO COM MISTURADOR DE EIXO HORIZONTAL DE 300 KG. AF_08/2019</t>
  </si>
  <si>
    <t>SF-00091</t>
  </si>
  <si>
    <t>ARGAMASSA TRAÇO 1:3 (EM VOLUME DE CIMENTO E AREIA GROSSA ÚMIDA) PARA CHAPISCO CONVENCIONAL, PREPARO MANUAL. AF_08/2019</t>
  </si>
  <si>
    <t>SF-00092</t>
  </si>
  <si>
    <t>Gesseiro com encargos complementares</t>
  </si>
  <si>
    <t>Gesso cola</t>
  </si>
  <si>
    <t>Obs.: Fonte para o coeficiente do gesso (0,75 kg/m2) : http://www.gessotrevo.com.br/gesso_cola.php - acesso em 16/08/18</t>
  </si>
  <si>
    <t>SF-00093</t>
  </si>
  <si>
    <t>Argamassa industrializada multiuso, para revestimento interno e externo e assentamento de blocos diversos</t>
  </si>
  <si>
    <t>Obs.: Rendimento de argamassa obtido como referência no SINAPI e no link abaixo. Extrato: "Revestimento: Em média 17,0 a 19,5 Kg/m2  para cada 1,0 cm de espessura, variando em função da aplicação".</t>
  </si>
  <si>
    <t>https://s3.amazonaws.com/mapa-da-obra-producao/wp-content/uploads/2015/12/2101-matrix-revestimento-interno.pdf</t>
  </si>
  <si>
    <t>SF-00094</t>
  </si>
  <si>
    <t>SF-00095</t>
  </si>
  <si>
    <t>Tela de poliéster adesiva largura 150mm e reforço central de 50mm</t>
  </si>
  <si>
    <t>SELANTE A BASE DE RESINAS ACRILICAS PARA TRINCAS</t>
  </si>
  <si>
    <t>http://www.bautechbrasil.com.br/produtos/pinturas-especiais-e-complementos/bautech-resina-acr%C3%ADlica-multiuso</t>
  </si>
  <si>
    <t>SF-00096</t>
  </si>
  <si>
    <t>Fundo selador a base d'água</t>
  </si>
  <si>
    <t>SF-00097</t>
  </si>
  <si>
    <t>Fundo anticorrosivo e de aderência a base de água</t>
  </si>
  <si>
    <t xml:space="preserve">Obs.: Rendimento do fundo obtido de acordo com recomendação do fabricante. Consumo médio. </t>
  </si>
  <si>
    <t>https://www.sherwin-williams.com.br/produto-detalhe/metalatex-eco-complementos</t>
  </si>
  <si>
    <t>https://www.suvinil.com.br/upload/78d22676-91b1-4086-99ad-4258fadd7b08-suvinil-fundo-seca-rapidomaio2018.pdf</t>
  </si>
  <si>
    <t>SF-00098</t>
  </si>
  <si>
    <t>SF-00099</t>
  </si>
  <si>
    <t>SF-00100</t>
  </si>
  <si>
    <t>SF-00101</t>
  </si>
  <si>
    <t>Verniz a base de água para madeira</t>
  </si>
  <si>
    <t>SF-00102</t>
  </si>
  <si>
    <t>Tinta esmalte sintetico a base de água</t>
  </si>
  <si>
    <t>SF-00103</t>
  </si>
  <si>
    <t>SF-00104</t>
  </si>
  <si>
    <t>REVESTIMENTO EM CERAMICA ESMALTADA EXTRA, PEI MAIOR OU IGUAL 4, FORMATO MAIOR A 2025 CM2</t>
  </si>
  <si>
    <t>SF-00105</t>
  </si>
  <si>
    <t>ARGAMASSA TRAÇO 1:4 (EM VOLUME DE CIMENTO E AREIA MÉDIA ÚMIDA) PARA CONTRAPISO, PREPARO MANUAL. AF_08/2019</t>
  </si>
  <si>
    <t>Aditivo adesivo liquido para argamassas de revestimentos cimenticios</t>
  </si>
  <si>
    <t>SF-00106</t>
  </si>
  <si>
    <t>SF-00107</t>
  </si>
  <si>
    <t>Granito Cinza Andorinha, com 20 mm de espessura, para piso</t>
  </si>
  <si>
    <t>SF-00108</t>
  </si>
  <si>
    <t>Granito Cinza Andorinha, com 20 mm de espessura e 70 mm de altura, para rodapé</t>
  </si>
  <si>
    <t>Obs: na pesquisa de preços do insumo, considerou-se 1 m de polimento a cada metro de rodapé.</t>
  </si>
  <si>
    <t>SF-00109</t>
  </si>
  <si>
    <t>Granito Cinza Andorinha, com 20 mm de espessura e 150 mm de altura, para soleira e peitoril</t>
  </si>
  <si>
    <t>Obs: na pesquisa de preços do insumo, considerou-se 1 m de polimento a cada metro de soleira.</t>
  </si>
  <si>
    <t>SF-00110</t>
  </si>
  <si>
    <t>Granito Preto São Gabriel, com 20 mm de espessura, para piso</t>
  </si>
  <si>
    <t>SF-00111</t>
  </si>
  <si>
    <t>Granito Preto São Gabriel, com 20 mm de espessura e 70 mm de altura, para rodapé</t>
  </si>
  <si>
    <t>SF-00112</t>
  </si>
  <si>
    <t>Granito Preto São Gabriel, com 20 mm de espessura e 150 mm de altura, para soleira e peitoril</t>
  </si>
  <si>
    <t>SF-00113</t>
  </si>
  <si>
    <t>SF-00114</t>
  </si>
  <si>
    <t>Mármore Bege Bahia, com 20 mm de espessura, para piso e parede</t>
  </si>
  <si>
    <t>SF-00115</t>
  </si>
  <si>
    <t>Mármore Branco Especial, com 20 mm de espessura, para piso e parede</t>
  </si>
  <si>
    <t>SF-00116</t>
  </si>
  <si>
    <t>Cola a base de resina sintetica para chapa de laminado melaminico</t>
  </si>
  <si>
    <t>SF-00117</t>
  </si>
  <si>
    <t>SF-00118</t>
  </si>
  <si>
    <t>SF-00119</t>
  </si>
  <si>
    <t>SF-00120</t>
  </si>
  <si>
    <t>SF-00121</t>
  </si>
  <si>
    <t>ABERTURA PARA ENCAIXE DE CUBA OU LAVATORIO EM BANCADA DE MARMORE/ GRANITO OU OUTRO TIPO DE PEDRA NATURAL</t>
  </si>
  <si>
    <t>SF-00122</t>
  </si>
  <si>
    <t>SF-00123</t>
  </si>
  <si>
    <t>Granito Cinza Andorinha ou equivalente, com 20 mm de espessura e 150 mm de altura, polido, para rodabancada</t>
  </si>
  <si>
    <t>SF-00124</t>
  </si>
  <si>
    <t>Granito Cinza Andorinha, com 20 mm de espessura, polido, para bancadas, com testeira com acabamento em meia esquadria</t>
  </si>
  <si>
    <t>SF-00125</t>
  </si>
  <si>
    <t>SF-00126</t>
  </si>
  <si>
    <t>Granito Preto São Gabriel ou equivalente, com 20 mm de espessura e 150 mm de altura, polido, para rodabancada</t>
  </si>
  <si>
    <t>SF-00127</t>
  </si>
  <si>
    <t>Granito Preto São Gabriel ou equivalente, com 20 mm de espessura, polido, com testeira para acabamento em meia esquadria, para bancadas</t>
  </si>
  <si>
    <t>SF-00128</t>
  </si>
  <si>
    <t>SF-00129</t>
  </si>
  <si>
    <t>SF-00130</t>
  </si>
  <si>
    <t>SF-00131</t>
  </si>
  <si>
    <t>Mármore Branco Especial, com 20 mm de espessura e 150 mm de altura, polido, para rodabancada</t>
  </si>
  <si>
    <t>SF-00138</t>
  </si>
  <si>
    <t>Instalação de divisórias # 35 mm estruturadas em perfis de alumínio, mão de obra para execução</t>
  </si>
  <si>
    <t>SF-00139</t>
  </si>
  <si>
    <t>Perfil tipo cantoneira em L, em aco galvanizado, branco, para forro removivel, *23* x 3000 mm (L x C)</t>
  </si>
  <si>
    <t>Placa de PVC com espessura mínima de 5 mm na cor branca</t>
  </si>
  <si>
    <t>SF-00140</t>
  </si>
  <si>
    <t>ARAME GALVANIZADO 6 BWG, D = 5,16 MM (0,157 KG/M), OU 8 BWG, D = 4,19 MM (0,101 KG/M), OU 10 BWG, D = 3,40 MM (0,0713 KG/M)</t>
  </si>
  <si>
    <t>Forro de PVC, frisado, branco, regua de 10 cm, espessura de 8 mm a 10 mm e comprimento 6 m (sem colocacao)</t>
  </si>
  <si>
    <t>Perfil canaleta, formato C, em aco zincado, para estrutura forro drywall, E = 0,5 mm, *46 x 18* (L x H), comprimento 3 m</t>
  </si>
  <si>
    <t>Pendural ou presilha reguladora, em aco galvanizado, com corpo, mola e rebite, para perfil tipo canaleta de estrutura em forros drywall</t>
  </si>
  <si>
    <t>PARAFUSO ZINCADO, AUTOBROCANTE, FLANGEADO, 4,2 MM X 19 MM</t>
  </si>
  <si>
    <t>PARAFUSO, AUTO ATARRACHANTE, CABECA CHATA, FENDA SIMPLES, 1/4 (6,35 MM) X 25 MM</t>
  </si>
  <si>
    <t>SF-00141</t>
  </si>
  <si>
    <t>SF-00142</t>
  </si>
  <si>
    <t>Forro de PVC modular em placas de 625 mm x 1250 mm</t>
  </si>
  <si>
    <t>SF-00143</t>
  </si>
  <si>
    <t>Forro em chapa galvanizada</t>
  </si>
  <si>
    <t>Pintura eletrostática</t>
  </si>
  <si>
    <t>SF-00144</t>
  </si>
  <si>
    <t>SF-00145</t>
  </si>
  <si>
    <t>SF-00146</t>
  </si>
  <si>
    <t>FORRO DE FIBRA MINERAL EM PLACAS DE 625 X 625 MM, E = 15 MM, BORDA RETA, COM PINTURA ANTIMOFO, APOIADO EM PERFIL DE ACO GALVANIZADO COM 24 MM DE BASE - INSTALADO</t>
  </si>
  <si>
    <t>SF-00147</t>
  </si>
  <si>
    <t>Placa de fibra mineral para forro, de 625 x 625 mm, E = 15 mm, borda reta, com pintura antimofo (nao inclui perfis)</t>
  </si>
  <si>
    <t>UN</t>
  </si>
  <si>
    <t>SF-00148</t>
  </si>
  <si>
    <t>SF-00149</t>
  </si>
  <si>
    <t>SF-00150</t>
  </si>
  <si>
    <t>Perfil tabica fechada, lisa, formato Z, em aco galvanizado natural, largura total na horizontal *40* mm, para estrutura forro drywall</t>
  </si>
  <si>
    <t>SF-00151</t>
  </si>
  <si>
    <t>SF-00152</t>
  </si>
  <si>
    <t>Baguetes metálicos</t>
  </si>
  <si>
    <t>SF-00153</t>
  </si>
  <si>
    <t>Massa para vidro</t>
  </si>
  <si>
    <t>SF-00154</t>
  </si>
  <si>
    <t>Espelho cristal comum #5mm</t>
  </si>
  <si>
    <t>SF-00155</t>
  </si>
  <si>
    <t>SF-00156</t>
  </si>
  <si>
    <t>Silicone acetico uso geral incolor 280 g</t>
  </si>
  <si>
    <t>Obs.: considerando que cada bisnaga rende, no mínimo, 3 m de aplicação.</t>
  </si>
  <si>
    <t>SF-00157</t>
  </si>
  <si>
    <t>SF-00158</t>
  </si>
  <si>
    <t>VIDRO LISO INCOLOR 6 MM - SEM COLOCACAO</t>
  </si>
  <si>
    <t>SF-00159</t>
  </si>
  <si>
    <t>SF-00160</t>
  </si>
  <si>
    <t>SF-00161</t>
  </si>
  <si>
    <t>SF-00166</t>
  </si>
  <si>
    <t>Tubo de ligação para bacia sanitária em PVC, com acabamento cromado, ajustável ou não. Ref.: DECA 1968C ou equivalente</t>
  </si>
  <si>
    <t>SF-00167</t>
  </si>
  <si>
    <t>Lixa d'agua em folha, grao 100</t>
  </si>
  <si>
    <t>SF-00168</t>
  </si>
  <si>
    <t>SF-00169</t>
  </si>
  <si>
    <t>SF-00170</t>
  </si>
  <si>
    <t>SF-00171</t>
  </si>
  <si>
    <t>Tubo PVC, soldavel, DN 25 mm, agua fria (NBR-5648)</t>
  </si>
  <si>
    <t>SF-00172</t>
  </si>
  <si>
    <t>Tubo PVC, soldavel, DN 32 mm, agua fria (NBR-5648)</t>
  </si>
  <si>
    <t>SF-00173</t>
  </si>
  <si>
    <t>Tubo PVC, soldavel, DN 40 mm, agua fria (NBR-5648)</t>
  </si>
  <si>
    <t>SF-00174</t>
  </si>
  <si>
    <t>TUBO PVC, SOLDAVEL, DN 50 MM, PARA AGUA FRIA (NBR-5648)</t>
  </si>
  <si>
    <t>SF-00175</t>
  </si>
  <si>
    <t>Base registro gaveta 3/4" em liga de cobre, mod 4509.202 ref: DECA ou equivalente</t>
  </si>
  <si>
    <t>FITA VEDA ROSCA EM ROLOS DE 18 MM X 50 M (L X C)</t>
  </si>
  <si>
    <t>SF-00176</t>
  </si>
  <si>
    <t>SF-00177</t>
  </si>
  <si>
    <t>SF-00178</t>
  </si>
  <si>
    <t>Grelha quadrada para ralo, com caixilho, dimensões 10x10cm, em Aço polido, ref.: Moldenox ou equivalente</t>
  </si>
  <si>
    <t>SF-00179</t>
  </si>
  <si>
    <t>Grelha quadrada para ralo, com caixilho, dimensões 15x15cm, em Aço polido, ref.: Moldenox ou equivalente</t>
  </si>
  <si>
    <t>SF-00180</t>
  </si>
  <si>
    <t>SF-00181</t>
  </si>
  <si>
    <t>Assento poliéster com fixação cromada na cor branco gelo, ref: AP.75.17 – Linha Fast/Aspen – Deca ou equivalente</t>
  </si>
  <si>
    <t>SF-00182</t>
  </si>
  <si>
    <t>Parafuso niquelado com acabamento cromado para fixar peca sanitaria, inclui porca cega, arruela e bucha de nylon tamanho S-10</t>
  </si>
  <si>
    <t>SF-00183</t>
  </si>
  <si>
    <t>Bacia convencional com saída horizontal (Modelo P.90.17 – Linha Ravena – Deca)</t>
  </si>
  <si>
    <t>SF-00184</t>
  </si>
  <si>
    <t>Cuba oval de embutir, mod.: L37, cor branca ref: DECA ou equivalente</t>
  </si>
  <si>
    <t>Massa plastica para marmore/granito</t>
  </si>
  <si>
    <t>SF-00185</t>
  </si>
  <si>
    <t>Cuba retangular com as dimensões 0,34x0,40x0,18m, em aço Inox AISI 304 com acabamento em alto brilho, com válvula de escoamento, ref: Franke 12646 ou equivalente</t>
  </si>
  <si>
    <t>SF-00186</t>
  </si>
  <si>
    <t>Cuba semi-encaixe com mesa, mod.: L830 ref: DECA ou equivalente</t>
  </si>
  <si>
    <t>SF-00187</t>
  </si>
  <si>
    <t>Parafuso niquelado 3 1/2" com acabamento cromado para fixar peca sanitaria, inclui porca cega, arruela e bucha de nylon tamanho S-8</t>
  </si>
  <si>
    <t>SF-00188</t>
  </si>
  <si>
    <t>Fita veda rosca em rolos de 18 mm x 10 m (L x C)</t>
  </si>
  <si>
    <t>Obs.: Redução do coeficiente de MO, considerando que esse serviço não inclui engate flexível e válvula de descarga.</t>
  </si>
  <si>
    <t>SF-00189</t>
  </si>
  <si>
    <t>SF-00190</t>
  </si>
  <si>
    <t>SF-00191</t>
  </si>
  <si>
    <t>SF-00192</t>
  </si>
  <si>
    <t>Tanque de louça com capacidade de 38 litros na cor branca, suspenso, sem coluna</t>
  </si>
  <si>
    <t>SF-00193</t>
  </si>
  <si>
    <t>Acabamento para registro de gaveta de 1 ¼” a 1 ½” (GD), cromado. Ref.: Modelo 4900.C35.GD – Linha Aspen – Deca</t>
  </si>
  <si>
    <t>SF-00194</t>
  </si>
  <si>
    <t>Acabamento para registro de gaveta e pressão até 1” (PQ), cromado. Ref.: Modelo, 4900.C35.PQ – Linha Aspen – Deca</t>
  </si>
  <si>
    <t>SF-00195</t>
  </si>
  <si>
    <t>Ducha higiênica com registro e derivação, com gatilho branco e flexível de 1,2m. Ref.: Modelo 1984.C35.ACT – Linha Aspen – Deca</t>
  </si>
  <si>
    <t>SF-00196</t>
  </si>
  <si>
    <t>SF-00197</t>
  </si>
  <si>
    <t>Engate / rabicho flexivel inox 1/2 " x 40 cm</t>
  </si>
  <si>
    <t>SF-00198</t>
  </si>
  <si>
    <t>Sifão regulável com tubo de saída corrugado para cozinha, cromado.  Ref.: Modelo VSM182 – Esteves</t>
  </si>
  <si>
    <t>SF-00199</t>
  </si>
  <si>
    <t>Sifao em metal cromado para pia ou lavatorio, 1 x 1.1/2 "</t>
  </si>
  <si>
    <t>SF-00200</t>
  </si>
  <si>
    <t>Sifao em metal cromado para tanque, 1.1/4 x 1.1/2 "</t>
  </si>
  <si>
    <t>SF-00201</t>
  </si>
  <si>
    <t>Torneira de mesa para cozinha, cromada. Ref.: Deca Targa 1167.C40.CR</t>
  </si>
  <si>
    <t>SF-00202</t>
  </si>
  <si>
    <t>Torneira de mesa bica móvel com arejador articulado para cozinha, cromada. Ref.: Código B5814C2CRB – Linha City – Celite</t>
  </si>
  <si>
    <t>SF-00203</t>
  </si>
  <si>
    <t>Torneira de mesa para lavatório, para uso clínico e apoio à pessoa. Ref.: Deca Link 1196.CLNK</t>
  </si>
  <si>
    <t>SF-00204</t>
  </si>
  <si>
    <t>Torneira de mesa para lavatorio, bica alta, com arejador, cromado. Ref.: Código B5810C2CRB – Linha City – Celite</t>
  </si>
  <si>
    <t>SF-00205</t>
  </si>
  <si>
    <t>Torneira de mesa para lavatorio bica baixa. Ref.: Código B5811C2CRB – Linha City – Celite</t>
  </si>
  <si>
    <t>SF-00206</t>
  </si>
  <si>
    <t>SF-00207</t>
  </si>
  <si>
    <t>Torneira de parede para cozinha bica móvel com arejador articulado, cromada. Ref.: Código B5815C2CRB – Linha City – Celite</t>
  </si>
  <si>
    <t>SF-00208</t>
  </si>
  <si>
    <t>SF-00209</t>
  </si>
  <si>
    <t>Fita veda rosca em rolos de 18 mm x 50 m (L x C)</t>
  </si>
  <si>
    <t>SF-00210</t>
  </si>
  <si>
    <t>SF-00211</t>
  </si>
  <si>
    <t>SF-00212</t>
  </si>
  <si>
    <t>SF-00213</t>
  </si>
  <si>
    <t>Valvula em metal cromado para lavatorio, 1 " sem ladrao</t>
  </si>
  <si>
    <t>SF-00214</t>
  </si>
  <si>
    <t>SF-00215</t>
  </si>
  <si>
    <t>Valvula de descarga em metal cromado para mictorio com acionamento por pressao e fechamento automatico</t>
  </si>
  <si>
    <t>SF-00216</t>
  </si>
  <si>
    <t xml:space="preserve">Alarme de emergência audiovisual intermitente com fio. Ref. Planeta Acessível Alarme PCD ou AbaFire AFSAVPNE + AbaFire AFAMPNE </t>
  </si>
  <si>
    <t>SF-00217</t>
  </si>
  <si>
    <t>Barra de apoio com comprimento de 405mm e espaçamento de 66mm da parede, barra com bitola de 32m, em aço escovado</t>
  </si>
  <si>
    <t>Bucha de nylon, diametro do furo 8 mm, comprimento 40 mm, com parafuso de rosca soberba, cabeca chata, fenda simples, 4,8 x 50 mm</t>
  </si>
  <si>
    <t>SF-00218</t>
  </si>
  <si>
    <t>Barra de apoio com comprimento de 705mm e espaçamento de 66mm da parede, barra com bitola de 32mm em aço escovado</t>
  </si>
  <si>
    <t>SF-00219</t>
  </si>
  <si>
    <t>Barra de apoio linha conforto com comprimento de 805mm e espaçamento de 66mm da parede, barra com bitola de 32mm em aço escovado</t>
  </si>
  <si>
    <t>SF-00220</t>
  </si>
  <si>
    <t>Barra de apoio lateral fixa, com 303mm de comprimento, com a bitola de 32mm e em aço escovado</t>
  </si>
  <si>
    <t>SF-00221</t>
  </si>
  <si>
    <t>Lavatório para instalação com coluna suspensa, para apoio à pessoa com deficiência. Ref.: Modelo L.39.17 – Linha Spot – Deca</t>
  </si>
  <si>
    <t>SF-00222</t>
  </si>
  <si>
    <t>Coluna suspensa para lavatório para apoio à pessoa com deficiência. Ref..: Deca Spot CS.39.17</t>
  </si>
  <si>
    <t>SF-00223</t>
  </si>
  <si>
    <t>Cabide, cromado. Ref.: Modelo 2060.C.FLX – Linha Flex – Deca</t>
  </si>
  <si>
    <t>SF-00224</t>
  </si>
  <si>
    <t>Papeleira, cromada. Ref.: Modelo 2020.C.FLX – Linha Flex – Deca</t>
  </si>
  <si>
    <t>SF-00225</t>
  </si>
  <si>
    <t>Porta-toalha em argola, cromado. Ref.: Modelo 2050.C.FLX – Linha Flex – Deca</t>
  </si>
  <si>
    <t>SF-00226</t>
  </si>
  <si>
    <t>Porta-toalha em barra, cromado. Ref.: Modelo 2040.C.FLX – Linha Flex – Deca</t>
  </si>
  <si>
    <t>SF-00227</t>
  </si>
  <si>
    <t>Caixa de passagem, em PVC, de 4" x 2", para eletroduto flexivel corrugado</t>
  </si>
  <si>
    <t>SF-00228</t>
  </si>
  <si>
    <t>Caixa 4x2 para drywall</t>
  </si>
  <si>
    <t>SF-00229</t>
  </si>
  <si>
    <t>Caixa de passagem, em PVC, de 4" x 4", para eletroduto flexivel corrugado</t>
  </si>
  <si>
    <t>SF-00230</t>
  </si>
  <si>
    <t>Caixa 4x4 para drywall</t>
  </si>
  <si>
    <t>SF-00231</t>
  </si>
  <si>
    <t>Caixa de passagem em alumínio c/ tampa, 100x100x50mm</t>
  </si>
  <si>
    <t>SF-00232</t>
  </si>
  <si>
    <t>Caixa de passagem em alumínio c/ tampa, 200x200x100mm</t>
  </si>
  <si>
    <t>SF-00233</t>
  </si>
  <si>
    <t>CAIXA DE PASSAGEM ELETRICA DE PAREDE, DE EMBUTIR, EM PVC, COM TAMPA APARAFUSADA, DIMENSOES 150 X 150 X *75* MM</t>
  </si>
  <si>
    <t>SF-00234</t>
  </si>
  <si>
    <t>Caixa para piso elevado, 170 mm x 170 mm x 70 mm (dimensões aproximadas), incluindo módulos de tomadas 2P+T (fêmea).</t>
  </si>
  <si>
    <t>SF-00235</t>
  </si>
  <si>
    <t>Canaleta em alumínio com tampa, divisória interna, 73x25mm, incluindo curvas, conexões e acessórios de fixação</t>
  </si>
  <si>
    <t>SF-00236</t>
  </si>
  <si>
    <t>Bucha de nylon sem aba S6, com parafuso de 4,20 x 40 mm em aco zincado com rosca soberba, cabeca chata e fenda Phillips</t>
  </si>
  <si>
    <t>Condulete de aluminio tipo X, para eletroduto roscavel de 1", com tampa cega</t>
  </si>
  <si>
    <t>SF-00237</t>
  </si>
  <si>
    <t>Tiro com pistola para fixação de pino Ø 1/4" em concreto, inclusive cartucho e pino</t>
  </si>
  <si>
    <t>Eletrocalha perfurada (cabos elétricos) ou lisa (dados), tipo "U", de aço galvanizado eletrolítico 100 x 50 mm, fabricado em chapa #20 (0,95 mm)</t>
  </si>
  <si>
    <t>Barra roscada em aço Ø 1/4", comprimento 1 m, bicromatizada ou zincada</t>
  </si>
  <si>
    <t>PORCA ZINCADA, SEXTAVADA, DIAMETRO 1/4"</t>
  </si>
  <si>
    <t>Arruela em aço galvanizado Ø 1/4"</t>
  </si>
  <si>
    <t>Suporte suspensão vertical para eletrocalha 100 x 50 mm largura x aba</t>
  </si>
  <si>
    <t>Prolongador para tirante rosqueado de 1/4" x 50 mm</t>
  </si>
  <si>
    <t>Parafuso lentilha 1/4 x 1/2"</t>
  </si>
  <si>
    <t>Tala auto portante para emenda 50 mm</t>
  </si>
  <si>
    <t>Tampa de encaixe para eletrocalha aço galvanizado perfurada ou lisa, 100 mm</t>
  </si>
  <si>
    <t>SF-00238</t>
  </si>
  <si>
    <t>Eletrocalha perfurada (cabos elétricos) ou lisa (dados), tipo "U", de aço galvanizado eletrolítico 200 x 100 mm, fabricado em chapa #18 (1,25 mm)</t>
  </si>
  <si>
    <t>Suporte suspensão omega para eletrocalha 200 x 100mm largura x aba</t>
  </si>
  <si>
    <t>Tala auto portante para emenda 100 mm</t>
  </si>
  <si>
    <t>Tampa de encaixe para eletrocalha aço galvanizado perfurada ou lisa, 200 mm</t>
  </si>
  <si>
    <t>SF-00239</t>
  </si>
  <si>
    <t>Eletrocalha perfurada (cabos elétricos) ou lisa (dados), tipo "U", de aço galvanizado eletrolítico 200 x 50 mm, fabricado em chapa #18 (1,25 mm)</t>
  </si>
  <si>
    <t>Suporte suspensão omega para eletrocalha 200 x 50 mm largura x aba</t>
  </si>
  <si>
    <t>SF-00240</t>
  </si>
  <si>
    <t>Eletrocalha perfurada (cabos elétricos) ou lisa (dados), tipo "U", de aço galvanizado eletrolítico 300 x 100 mm, fabricado em chapa #18 (1,25 mm)</t>
  </si>
  <si>
    <t>Suporte suspensão omega para eletrocalha 300 x 100 mm largura x aba</t>
  </si>
  <si>
    <t>Tampa de encaixe para eletrocalha aço galvanizado perfurada ou lisa, 300 mm</t>
  </si>
  <si>
    <t>SF-00241</t>
  </si>
  <si>
    <t>Eletrocalha perfurada (cabos elétricos) ou lisa (dados), tipo "U", de aço galvanizado eletrolítico 300 x 050 mm, fabricado em chapa #18 (1,25 mm)</t>
  </si>
  <si>
    <t>Suporte suspensão omega para eletrocalha 300 x 50 mm largura x aba</t>
  </si>
  <si>
    <t>SF-00242</t>
  </si>
  <si>
    <t>Eletrocalha perfurada (cabos elétricos) ou lisa (dados), tipo "U", de aço galvanizado eletrolítico 400 x 050 mm, fabricado em chapa #16 (1,55 mm)</t>
  </si>
  <si>
    <t>Suporte suspensão omega para eletrocalha 400 x 50 mm largura x aba</t>
  </si>
  <si>
    <t>Tampa de encaixe para eletrocalha aço galvanizado perfurada ou lisa, 400 mm</t>
  </si>
  <si>
    <t>SF-00243</t>
  </si>
  <si>
    <t>Eletrocalha perfurada (cabos elétricos) ou lisa (dados), tipo "U", de aço galvanizado eletrolítico 50 x 50 mm, fabricado em chapa #22 (0,8 mm)</t>
  </si>
  <si>
    <t>Suporte suspensão vertical para eletrocalha 50 x 50 mm largura x aba</t>
  </si>
  <si>
    <t>Tampa de encaixe para eletrocalha aço galvanizado perfurada ou lisa, 50 mm</t>
  </si>
  <si>
    <t>SF-00244</t>
  </si>
  <si>
    <t>Eletroduto de aço com costura galvanização eletrolítica Ø 1 1/2"</t>
  </si>
  <si>
    <t>Fixação de tubos verticais de PPR diâmetros menores ou iguais a 40 mm com abraçadeira metálica rígida tipo D 1/2", fixada em perfilado em alvenaria. af_05/2015</t>
  </si>
  <si>
    <t>Luva de emenda para eletroduto, aço galvanizado, DN 40 mm (1 1/2''), aparente, instalada em parede - fornecimento e instalação. af_11/2016_p</t>
  </si>
  <si>
    <t>SF-00245</t>
  </si>
  <si>
    <t>Eletroduto de aço com costura galvanização eletrolítica Ø 1 1/4"</t>
  </si>
  <si>
    <t>Luva de emenda para eletroduto, aço galvanizado, DN 32 mm (1 1/4''), aparente, instalada em parede - fornecimento e instalação. af_11/2016_p</t>
  </si>
  <si>
    <t>SF-00246</t>
  </si>
  <si>
    <t>Eletroduto de aço com costura galvanização eletrolítica Ø 1"</t>
  </si>
  <si>
    <t>Luva de emenda para eletroduto, aço galvanizado, DN 25 mm (1''), aparente, instalada em parede - fornecimento e instalação. af_11/2016_p</t>
  </si>
  <si>
    <t>SF-00247</t>
  </si>
  <si>
    <t>Eletroduto de aço com costura galvanização eletrolítica Ø 2"</t>
  </si>
  <si>
    <t>FIXAÇÃO DE TUBOS VERTICAIS DE PPR DIÂMETROS MAIORES QUE 40 MM E MENORES OU IGUAIS A 75 MM COM ABRAÇADEIRA METÁLICA RÍGIDA TIPO D 2", FIXADA EM PERFILADO EM ALVENARIA. AF_05/2015</t>
  </si>
  <si>
    <t>M</t>
  </si>
  <si>
    <t>Luva de emenda para eletroduto, aço galvanizado, DN 50 mm (2''), aparente, instalada em parede - fornecimento e instalação. af_11/2016_p</t>
  </si>
  <si>
    <t>SF-00248</t>
  </si>
  <si>
    <t>Eletroduto de aço com costura galvanização eletrolítica Ø 3/4"</t>
  </si>
  <si>
    <t>Luva de emenda para eletroduto, aço galvanizado, DN 20 mm (3/4''), aparente, instalada em parede - fornecimento e instalação. af_11/2016_p</t>
  </si>
  <si>
    <t>SF-00249</t>
  </si>
  <si>
    <t>Eletroduto PVC flexivel corrugado, reforcado, cor laranja, de 32 mm, para lajes e pisos</t>
  </si>
  <si>
    <t>Fixação de tubos horizontais de PVC, CPVC ou cobre diâmetros menores ou iguais a 40 mm ou eletrocalhas até 150mm de largura, com abraçadeira metálica rígida tipo d 1/2, fixada em perfilado em laje. af_05/2015</t>
  </si>
  <si>
    <t>SF-00250</t>
  </si>
  <si>
    <t>Eletroduto PVC flexivel corrugado, reforcado, cor laranja, de 25 mm, para lajes e pisos</t>
  </si>
  <si>
    <t>SF-00251</t>
  </si>
  <si>
    <t>Eletroduto flexivel, em aco galvanizado, revestido externamente com PVC preto, diametro externo de 32 mm (1"), tipo sealtubo</t>
  </si>
  <si>
    <t>SF-00252</t>
  </si>
  <si>
    <t>Eletroduto flexivel, em aco galvanizado, revestido externamente com PVC preto, diametro externo de 25 mm (3/4"), tipo sealtubo</t>
  </si>
  <si>
    <t>SF-00253</t>
  </si>
  <si>
    <t>Perfilado perfurado em aço galvanizado # 18, 38 x 38 mm</t>
  </si>
  <si>
    <t>Suporte curto para perfilado em aço galvanizado # 22, 38 mm x 100 mm</t>
  </si>
  <si>
    <t>Tala 4 furos para emenda 38 mm</t>
  </si>
  <si>
    <t>Tampa de encaixe para perfilado em aço galvanizado 38 mm</t>
  </si>
  <si>
    <t>SF-00254</t>
  </si>
  <si>
    <t>Espelho / placa de 3 postos 4" x 2", para instalacao de tomadas e interruptores</t>
  </si>
  <si>
    <t>Suporte de fixacao para espelho / placa 4" x 2", para 3 modulos, para instalacao de tomadas e interruptores (somente suporte)</t>
  </si>
  <si>
    <t>SF-00255</t>
  </si>
  <si>
    <t>Espelho / placa de 6 postos 4" x 4", para instalacao de tomadas e interruptores</t>
  </si>
  <si>
    <t>Suporte de fixacao para espelho / placa 4" x 4", para 6 modulos, para instalacao de tomadas e interruptores (somente suporte)</t>
  </si>
  <si>
    <t>SF-00256</t>
  </si>
  <si>
    <t>Espelho cego redondo</t>
  </si>
  <si>
    <t>SF-00257</t>
  </si>
  <si>
    <t xml:space="preserve">Tampa para condulete alumínio para eletrodutos de 1", de sobrepor , com conexões e acessórios. </t>
  </si>
  <si>
    <t>Interruptor para condulete alumínio para eletrodutos de 1’’, de sobrepor, com conexões e acessórios.</t>
  </si>
  <si>
    <t>SF-00258</t>
  </si>
  <si>
    <t>Módulo cego</t>
  </si>
  <si>
    <t>SF-00259</t>
  </si>
  <si>
    <t>Interruptor paralelo 10A, 250V (apenas modulo)</t>
  </si>
  <si>
    <t>SF-00260</t>
  </si>
  <si>
    <t>Interruptor simples 10A, 250V (apenas modulo)</t>
  </si>
  <si>
    <t>SF-00261</t>
  </si>
  <si>
    <t>Módulo para saída de fio</t>
  </si>
  <si>
    <t>SF-00262</t>
  </si>
  <si>
    <t>Módulo sensor de presença</t>
  </si>
  <si>
    <t>SF-00263</t>
  </si>
  <si>
    <t>SF-00264</t>
  </si>
  <si>
    <t>SF-00265</t>
  </si>
  <si>
    <t/>
  </si>
  <si>
    <t>Porta equipamentos para canaleta de alumínio aparente</t>
  </si>
  <si>
    <t>SF-00266</t>
  </si>
  <si>
    <t xml:space="preserve">Tampa cega para caixa de piso 4x2 cromada. </t>
  </si>
  <si>
    <t>SF-00267</t>
  </si>
  <si>
    <t xml:space="preserve">Tampa cega para caixa de piso 4x4 cromada. </t>
  </si>
  <si>
    <t>SF-00268</t>
  </si>
  <si>
    <t>Tampa cega para condulete alumínio para eletrodutos de 1’’, de sobrepor, com conexões e acessórios.</t>
  </si>
  <si>
    <t>SF-00269</t>
  </si>
  <si>
    <t>Espelho para dois módulos RJ45 para condulete alumínio para eletrodutos de 1’’, de sobrepor, com conexões e acessórios.</t>
  </si>
  <si>
    <t>SF-00270</t>
  </si>
  <si>
    <t>SF-00271</t>
  </si>
  <si>
    <t>Caixa com tampa fixa em perfil para tomada em perfilado</t>
  </si>
  <si>
    <t>Tomada de embutir 2 polos + terra sem placa 250 V 10 A</t>
  </si>
  <si>
    <t>SF-00272</t>
  </si>
  <si>
    <t>Bloco autônomo (luminária de emergência). Ref.: Aureon BLOKITO BLK 500 (9901.0000.1079.05 – Aclaramento e 9901.0000.1128.05 – balizamento)</t>
  </si>
  <si>
    <t>SF-00273</t>
  </si>
  <si>
    <t>Cabo PP 3x2,5mm2 300/500 V, extraflexível (classe 5), com condutor de proteção, com isolação, enchimento e cobertura de PVC</t>
  </si>
  <si>
    <t>Plugue (macho) com 3 polos (2P+T), para 10A</t>
  </si>
  <si>
    <t>Plugue (fêmea) com 3 polos (2P+T), para 10A</t>
  </si>
  <si>
    <t>SF-00274</t>
  </si>
  <si>
    <t>Luminária de embutir T5 2 x 14W, ref: Intral DE-500 (cod. 08017); Lumicenter FAA20-E214</t>
  </si>
  <si>
    <t>Lâmpada fluorescente T5 de 14W, ref: Osram HE 14W/840 SMARTLUX; Philips TL5-14W-HE/840; GE F14W/T5/840</t>
  </si>
  <si>
    <t>SF-00275</t>
  </si>
  <si>
    <t>Luminária de sobrepor T5 2 x 14W, ref: Intral DS-500 (cod. 08021); Lumicenter FAA20-S214</t>
  </si>
  <si>
    <t>SF-00276</t>
  </si>
  <si>
    <t>Luminária de embutir T5 2 x 28W, ref: Intral DE-500 (cod. 08025); Lumicenter FAA20-E228</t>
  </si>
  <si>
    <t>Lâmpada fluorescente T5 de 28W, ref: Osram HE 28W/840 SMARTLUX; Philips TL5-28W-HE/840; GE F28W/T5/840</t>
  </si>
  <si>
    <t>SF-00277</t>
  </si>
  <si>
    <t>Luminária de sobrepor T5 2 x 28W, ref: Intral DS-500 (cod. 08029); Lumicenter FAA20-S228</t>
  </si>
  <si>
    <t>SF-00278</t>
  </si>
  <si>
    <t>Cabo flexível isolado em EPR não halogenado 10 mm² 0,6 a 1 kV</t>
  </si>
  <si>
    <t>Fita isolante adesiva antichama, uso ate 750 V, em rolo de 19 mm x 5 m</t>
  </si>
  <si>
    <t>SF-00279</t>
  </si>
  <si>
    <t>Cabo flexível isolado em EPR não halogenado 16 mm² 0,6 a 1 kV</t>
  </si>
  <si>
    <t>SF-00280</t>
  </si>
  <si>
    <t>Cabo de cobre isolado PVC 450/750V 2,5mm² resistente a chamas, livre de halogênios</t>
  </si>
  <si>
    <t>SF-00281</t>
  </si>
  <si>
    <t>Cabo de cobre multipolar, classe 5, isolação em EPR, 0,6/1 kV, 3x2,5mm² resistente a chama, livre de halogênios</t>
  </si>
  <si>
    <t>SF-00282</t>
  </si>
  <si>
    <t>Cabo de cobre isolado PVC 450/750V 4mm² resistente a chamas, livre de halogênios</t>
  </si>
  <si>
    <t>SF-00283</t>
  </si>
  <si>
    <t>Cabo de cobre multipolar, classe 5, isolação em EPR, 0,6/1 kV, 4x2,5mm² resistente a chama, livre de halogênios</t>
  </si>
  <si>
    <t>SF-00284</t>
  </si>
  <si>
    <t>Cabo de cobre isolado PVC 450/750V 6mm² resistente a chamas, livre de halogênios</t>
  </si>
  <si>
    <t>SF-00285</t>
  </si>
  <si>
    <t>Quadro elétrico tipo TTA completo com 30 disjuntores terminais, contemplando disjuntores, dispositovos de proteção contra surto (DPS), módulo diferencial residual (DR), borneiras, barramentos e outros itens necessários, conforme especificação</t>
  </si>
  <si>
    <t>SF-00293</t>
  </si>
  <si>
    <t>MONTADOR ELETROMECÃNICO COM ENCARGOS COMPLEMENTARES</t>
  </si>
  <si>
    <t>SF-00294</t>
  </si>
  <si>
    <t>SF-00295</t>
  </si>
  <si>
    <t>Exaustor axial, 1F/220V/60Hz,  vazão máxima 340 m3/h, pressão estática máxima 104 Pa. Referência Comercial: Multivac Muro150B 220V</t>
  </si>
  <si>
    <t>SF-00296</t>
  </si>
  <si>
    <t>Exaustor axial, 1F/220V/60Hz,  vazão máxima 865 m3/h, pressão estática máxima 582 Pa . Referência Comercial: Multivac AXC 200B</t>
  </si>
  <si>
    <t>SF-00297</t>
  </si>
  <si>
    <t>Chapa de aco galvanizada bitola GSG 22, E = 0,80 mm (6,40 kg/m2)</t>
  </si>
  <si>
    <t>Suportes e acessórios de fixação de dutos em chapa de aço #22</t>
  </si>
  <si>
    <t>cj</t>
  </si>
  <si>
    <t>SF-00298</t>
  </si>
  <si>
    <t>Duto flexível com isolamento térmico e barreira de vapor, diâmetro 6”, 6 m de comprimento. Referência Comercial: Multivac Isodec RT 0.6</t>
  </si>
  <si>
    <t>SF-00299</t>
  </si>
  <si>
    <t>Duto flexível com isolamento térmico e barreira de vapor, diâmetro 8”, 6 m de comprimento. Referência: Multivac Isodec RT 0.6</t>
  </si>
  <si>
    <t>SF-00300</t>
  </si>
  <si>
    <t>Difusor de ar quadrado, 360x360 mm, Referência Comercial: Trox ADLQ-AG Nº4</t>
  </si>
  <si>
    <t>SF-00301</t>
  </si>
  <si>
    <t>Difusor de ar quadrado com caixa pleno AK6 360x360 mm. Ref.: Trox ADLK-AG Nº4</t>
  </si>
  <si>
    <t>SF-00302</t>
  </si>
  <si>
    <t>Difusor de ar quadrado para insuflamento em duas direções perpendiculares 376x376 mm, Referência Comercial: Trox  ADQ-2C-AG</t>
  </si>
  <si>
    <t>SF-00303</t>
  </si>
  <si>
    <t>Difusor de ar retangular para insuflamento em duas direções (fluxo na direção perpendicular às maiores arestas do retângulo), 371x208 mm. Ref.: Trox ADQ-2</t>
  </si>
  <si>
    <t>SF-00304</t>
  </si>
  <si>
    <t>Difusor de ar retangular para insuflamento em três direções (um fluxo na direção perpendicular às maiores arestas do retângulo e dois fluxos na direção perpendicular às menores arestas), 264x432 mm, Referência Comercial: Trox  ADQ-32-AG</t>
  </si>
  <si>
    <t>SF-00305</t>
  </si>
  <si>
    <t>Difusor de ar retangular para insuflamento em três direções 320x562 mm. Ref.: Trox ADQ-32-AG</t>
  </si>
  <si>
    <t>SF-00306</t>
  </si>
  <si>
    <t>Difusor de ar retangular para insuflamento em três direções (dois fluxos na direção perpendicular às maiores arestas do retângulo e um fluxo na direção perpendicular às menores arestas), 371x208 mm. Ref.: Trox ADQ-3</t>
  </si>
  <si>
    <t>SF-00307</t>
  </si>
  <si>
    <t>Difusor de ar retangular para insuflamento em uma direção (fluxo na direção perpendicular às maiores arestas do retângulo), 371x208 mm. Ref.: Trox ADQ-1</t>
  </si>
  <si>
    <t>SF-00308</t>
  </si>
  <si>
    <t>Grelha para retorno de ar com lâminas fixas e registro, 40 x 20 cm</t>
  </si>
  <si>
    <t>SF-00309</t>
  </si>
  <si>
    <t>Grelha para retorno de ar com lâminas fixas e registro, 50 x 30 cm</t>
  </si>
  <si>
    <t>SF-00310</t>
  </si>
  <si>
    <t>SF-00311</t>
  </si>
  <si>
    <t>SF-00312</t>
  </si>
  <si>
    <t>Marceneiro com encargos complementares</t>
  </si>
  <si>
    <t>SF-00313</t>
  </si>
  <si>
    <t>Bomba para condensado de ar-condicionado para instalação oculta, 1F/220V/60Hz, vazão 14 l/h (a 0 mmca). Ref.: Elgin Mini Orange</t>
  </si>
  <si>
    <t>SF-00314</t>
  </si>
  <si>
    <t>Fita aluminizada 48 mm</t>
  </si>
  <si>
    <t>SF-00315</t>
  </si>
  <si>
    <t>Fita PVC 100 mm</t>
  </si>
  <si>
    <t>SF-00316</t>
  </si>
  <si>
    <t>Mangueira emborrachada 3/4"</t>
  </si>
  <si>
    <t>SF-00317</t>
  </si>
  <si>
    <t>Serralheiro com encargos complementares</t>
  </si>
  <si>
    <t>Auxiliar de serralheiro com encargos complementares</t>
  </si>
  <si>
    <t>Suporte para unidade condensadora de aparelho split ou fancolete</t>
  </si>
  <si>
    <t>SF-00318</t>
  </si>
  <si>
    <t>Suporte para unidade evaporadora de aparelho split ou fancolete</t>
  </si>
  <si>
    <t>SF-00319</t>
  </si>
  <si>
    <t>Filtro em Y 1" (DN 25 mm), fabricado em bronze, extremidade com roscas, filtro em aço inoxidável, classe de pressão PN20 ou superior. Ref.: Deca 000.085.100.03</t>
  </si>
  <si>
    <t>SF-00320</t>
  </si>
  <si>
    <t>Filtro em Y 3/4" (DN 20 mm), fabricado em bronze, extremidade com roscas, filtro em aço inoxidável, classe de pressão PN20 ou superior. Ref.: Deca 000.085.034.03</t>
  </si>
  <si>
    <t>SF-00321</t>
  </si>
  <si>
    <t>Atuador tipo liga/desliga (ON/OFF), com tensão compatível com o restante do sistema (24 V ou 220 V) e mecanicamente compatível com a válvula fornecida. Referência comercial: IMI Hydronic Engineering EMO-T</t>
  </si>
  <si>
    <t>Válvula de balanceamento e controle (PIBCV) 2 vias, para controle on-off, diâmetro nominal 1" (25 mm). Ref.: IMI Hydronic Engineering TA-COMPACT-P DN 25, Honeywell VRN2C</t>
  </si>
  <si>
    <t>SF-00322</t>
  </si>
  <si>
    <t>Válvula de balanceamento e controle (PIBCV) 2 vias, para controle on-off, diâmetro nominal 3/4" (20 mm). Ref.: IMI Hydronic Engineering TA-COMPACT-P DN 20, Honeywell VRN2B</t>
  </si>
  <si>
    <t>SF-00323</t>
  </si>
  <si>
    <t>VALVULA DE ESFERA BRUTA EM BRONZE, BITOLA 1 1/2 " (REF 1552-B)</t>
  </si>
  <si>
    <t>SF-00324</t>
  </si>
  <si>
    <t>VALVULA DE ESFERA BRUTA EM BRONZE, BITOLA 1 1/4 " (REF 1552-B)</t>
  </si>
  <si>
    <t>SF-00325</t>
  </si>
  <si>
    <t>Valvula de esfera bruta em bronze, bitola 1 " (ref 1552-B)</t>
  </si>
  <si>
    <t>SF-00326</t>
  </si>
  <si>
    <t>Valvula de esfera bruta em bronze, bitola 3/4 " (ref 1552-B)</t>
  </si>
  <si>
    <t>SF-00327</t>
  </si>
  <si>
    <t>Isolamento elastomérico em formato prancha autoadesiva de espessura M. Ref.: AF/Armaflex M-99/E-A, K-Flex ST</t>
  </si>
  <si>
    <t>SF-00328</t>
  </si>
  <si>
    <t>Isolamento elastomérico em formato de tubo ou coquilha de espessura M, próprio para tubulação de cobre de diâmetro nominal 1 1/8" e para tubulações de ferro de diâmetro nominal 3/4". Ref.: AF/Armaflex M-28, K-Flex ST</t>
  </si>
  <si>
    <t>Obs.: As seguintes proporções foram consideradas quanto ao tempo de mão de obra: 70% para instalação do tubo e 30% para instalação do isolamento térmico.</t>
  </si>
  <si>
    <t>SF-00329</t>
  </si>
  <si>
    <t>Isolamento elastomérico em formato de tubo ou coquilha de espessura M, próprio para tubulação de cobre de diâmetro nominal 1/2". Ref.: AF/Armaflex M-12, K-Flex ST</t>
  </si>
  <si>
    <t>SF-00330</t>
  </si>
  <si>
    <t>Isolamento elastomérico em formato de tubo ou coquilha de espessura M, próprio para tubulação de cobre de diâmetro nominal 1/4". Ref.: AF/Armaflex M-06, K-Flex ST</t>
  </si>
  <si>
    <t>SF-00331</t>
  </si>
  <si>
    <t>Isolamento elastomérico em formato de tubo ou coquilha de espessura M, próprio para tubulação de cobre de diâmetro nominal 3/4". Ref.: AF/Armaflex M-18, K-Flex ST</t>
  </si>
  <si>
    <t>SF-00332</t>
  </si>
  <si>
    <t>Isolamento elastomérico em formato de tubo ou coquilha de espessura M, próprio para tubulação de cobre de diâmetro nominal 3/8". Ref.: AF/Armaflex M-10, K-Flex ST</t>
  </si>
  <si>
    <t>SF-00333</t>
  </si>
  <si>
    <t>Isolamento elastomérico em formato de tubo ou coquilha de espessura M, próprio para tubulação de cobre de diâmetro nominal 5/8". Ref.: AF/Armaflex M-15, K-Flex ST</t>
  </si>
  <si>
    <t>SF-00334</t>
  </si>
  <si>
    <t>Isolamento elastomérico em formato de tubo ou coquilha de espessura M, próprio para tubulação de cobre de diâmetro nominal 7/8" e para tubulações de ferro de diâmetro nominal 1/2". Ref.: AF/Armaflex M-22, K-Flex ST</t>
  </si>
  <si>
    <t>SF-00335</t>
  </si>
  <si>
    <t>Isolamento elastomérico em formato de tubo ou coquilha de espessura M, próprio para tubulação de cobre de diâmetro nominal 1". Ref.: AF/Armaflex M-25, K-Flex ST</t>
  </si>
  <si>
    <t>SF-00336</t>
  </si>
  <si>
    <t>Isolamento elastomérico em formato de tubo ou coquilha de espessura M, próprio para tubulação ferro de diâmetro nominal 1 1/2". Ref.: AF/Armaflex M-48, K-Flex ST</t>
  </si>
  <si>
    <t>SF-00337</t>
  </si>
  <si>
    <t>Isolamento elastomérico em formato de tubo ou coquilha de espessura M, próprio para tubulação ferro de diâmetro nominal 1 1/4". Ref.: AF/Armaflex M-42, K-Flex ST</t>
  </si>
  <si>
    <t>SF-00338</t>
  </si>
  <si>
    <t>Isolamento elastomérico em formato de tubo ou coquilha de espessura M, próprio para tubulação ferro de diâmetro nominal 1". Ref.: AF/Armaflex M-35, K-Flex ST</t>
  </si>
  <si>
    <t>SF-00339</t>
  </si>
  <si>
    <t>Alumínio corrugado sem barreira espessura mínima = 0,15mm</t>
  </si>
  <si>
    <t>SF-00340</t>
  </si>
  <si>
    <t>TUBO ACO CARBONO SEM COSTURA 1 1/2", E= *3,68 MM, SCHEDULE 40, 4,05 KG/M</t>
  </si>
  <si>
    <t>SF-00341</t>
  </si>
  <si>
    <t>SF-00342</t>
  </si>
  <si>
    <t>SF-00343</t>
  </si>
  <si>
    <t>TUBO ACO CARBONO SEM COSTURA 3/4", E= *2,87 MM, SCHEDULE 40, *1,69 KG/M</t>
  </si>
  <si>
    <t>SF-00344</t>
  </si>
  <si>
    <t>Tubo de cobre flexivel, D = 1/2 ", E = 0,79 mm, para ar-condicionado/ instalacoes gas residenciais e comerciais</t>
  </si>
  <si>
    <t>SF-00345</t>
  </si>
  <si>
    <t>Tubo de cobre flexivel, D = 1/4 ", E = 0,79 mm, para ar-condicionado/ instalacoes gas residenciais e comerciais</t>
  </si>
  <si>
    <t>SF-00346</t>
  </si>
  <si>
    <t>Tubo de cobre flexivel, D = 3/4 ", E = 0,79 mm, para ar-condicionado/ instalacoes gas residenciais e comerciais</t>
  </si>
  <si>
    <t>SF-00347</t>
  </si>
  <si>
    <t>Tubo de cobre flexivel, D = 3/8 ", E = 0,79 mm, para ar-condicionado/ instalacoes gas residenciais e comerciais</t>
  </si>
  <si>
    <t>SF-00348</t>
  </si>
  <si>
    <t>Tubo de cobre flexivel, D = 5/8 ", E = 0,79 mm, para ar-condicionado/ instalacoes gas residenciais e comerciais</t>
  </si>
  <si>
    <t>SF-00349</t>
  </si>
  <si>
    <t>Tubo de cobre flexivel, D = 7/8 ", E = 0,79 mm, para ar-condicionado/ instalacoes gas residenciais e comerciais</t>
  </si>
  <si>
    <t>SF-00350</t>
  </si>
  <si>
    <t>Tubo de cobre flexivel, D = 1 ", E = 0,79 mm, para ar-condicionado/ instalacoes gas residenciais e comerciais</t>
  </si>
  <si>
    <t>SF-00351</t>
  </si>
  <si>
    <t>Tubo de cobre flexivel, D = 1 1/8 ", E = 0,79 mm, para ar-condicionado/ instalacoes gas residenciais e comerciais</t>
  </si>
  <si>
    <t>SF-00354</t>
  </si>
  <si>
    <t>SF-00355</t>
  </si>
  <si>
    <t>Suporte mao-francesa em aco, abas iguais 40 cm, capacidade minima 70 kg, branco</t>
  </si>
  <si>
    <t>Chapa de MDF branco liso 2 faces, e = 25 mm, de *2,75 x 1,85* m</t>
  </si>
  <si>
    <t>SF-00356</t>
  </si>
  <si>
    <t>SF-00357</t>
  </si>
  <si>
    <t>SF-00358</t>
  </si>
  <si>
    <t>Painel de TV de 90 x 120 cm, fabricado em MDP. Ref.: Germai Ipanema 90 x 120 x 26,5</t>
  </si>
  <si>
    <t>SF-00359</t>
  </si>
  <si>
    <t>SF-00360</t>
  </si>
  <si>
    <t>Chapa de proteção em aço inox AISI 304, largura conforme projeto, 400 mm de altura, chapa com espessura de 1 mm, acabamento escovado fosco</t>
  </si>
  <si>
    <t>SF-00361</t>
  </si>
  <si>
    <t>DOBRADICA EM LATAO, 3 " X 2 1/2 ", E= 1,9 A 2 MM, COM ANEL, CROMADO, TAMPA BOLA, COM PARAFUSOS</t>
  </si>
  <si>
    <t>PARAFUSO ROSCA SOBERBA ZINCADO CABECA CHATA FENDA SIMPLES 3,5 X 25 MM (1 ")</t>
  </si>
  <si>
    <t>CARPINTEIRO DE ESQUADRIA COM ENCARGOS COMPLEMENTARES</t>
  </si>
  <si>
    <t>H</t>
  </si>
  <si>
    <t>SERVENTE COM ENCARGOS COMPLEMENTARES</t>
  </si>
  <si>
    <t>SF-00362</t>
  </si>
  <si>
    <t>SF-00363</t>
  </si>
  <si>
    <t>SF-00364</t>
  </si>
  <si>
    <t>SF-00365</t>
  </si>
  <si>
    <t>SF-00366</t>
  </si>
  <si>
    <t>SF-00367</t>
  </si>
  <si>
    <t>PEDREIRO COM ENCARGOS COMPLEMENTARES</t>
  </si>
  <si>
    <t>SF-00368</t>
  </si>
  <si>
    <t>SF-00369</t>
  </si>
  <si>
    <t>Fechadura para porta de banheiro, com maçaneta em formato de barra, confeccionada em aço com acabamento inox polido. Ref.: MZ 270 WC Standard – Linha Standard – Papaiz</t>
  </si>
  <si>
    <t>SF-00370</t>
  </si>
  <si>
    <t>Fechadura para porta externa, com maçaneta em formato de barra, confeccionada em zamac com acabamento cromado. Ref.: MZ 270 EXT Standard – Linha Standard – Papaiz</t>
  </si>
  <si>
    <t>SF-00371</t>
  </si>
  <si>
    <t>Fechadura para porta interna, com acabamento cromado brilhante, maçaneta tipo pera, com pino giratório central. Ref.: CJ 030 (externo) – Linha Professionel – La Fonte</t>
  </si>
  <si>
    <t>SF-00372</t>
  </si>
  <si>
    <t>SF-00373</t>
  </si>
  <si>
    <t>Mola aérea para fechamento automático de portas com regulagem da velocidade de fechamento. Ref.: Mola automática – Modelo 453 - Coimbra</t>
  </si>
  <si>
    <t>SF-00374</t>
  </si>
  <si>
    <t>Pivô em latão com acabamento cromado para portas pivotantes até 150 kg. Conjunto completo composto de superior macho e fêmea e inferior macho e fêmea. Ref.: Pivô Strong 150 - La fonte</t>
  </si>
  <si>
    <t>SF-00375</t>
  </si>
  <si>
    <t>Cabo de dados tipo UTP, tipo LSZH, categoria 6. Ref.: AMP 1989106-6, Furukawa 23400196</t>
  </si>
  <si>
    <t>SF-00376</t>
  </si>
  <si>
    <t>Tampa p/ conector /RJ45. ref.: Schneider Electric PRM47761 (Padrão Keystone), Schneider Electric PRM47771 (Padrão AMP)</t>
  </si>
  <si>
    <t>Módulo RJ 45 - CAT 6. Ref.: AMP 1375055-2, Furukawa 35030621</t>
  </si>
  <si>
    <t>Certificação de ponto de rede</t>
  </si>
  <si>
    <t>SF-00377</t>
  </si>
  <si>
    <t>Painel de distribuição (patch panel) de 24 portas, categoria 6. Ref.: AMP 1375014-2</t>
  </si>
  <si>
    <t>SF-00378</t>
  </si>
  <si>
    <t>CABO TELEFONICO CCI 50, 2 PARES, USO INTERNO, SEM BLINDAGEM</t>
  </si>
  <si>
    <t>SF-00379</t>
  </si>
  <si>
    <t>Tampa p/ conector /RJ45. ref.: Schneider Electric PRM47761 (padrão Keystone), Schneider Electric PRM47771 (padrão AMP)</t>
  </si>
  <si>
    <t>Tomada RJ45, 8 fios, CAT 5E (apenas modulo)</t>
  </si>
  <si>
    <t>SF-00380</t>
  </si>
  <si>
    <t>Grelha para retorno para portas, divisórias e paredes 525x325 mm, Ref. Trox AGS-T</t>
  </si>
  <si>
    <t>SF-00408</t>
  </si>
  <si>
    <t>CJ</t>
  </si>
  <si>
    <t>SF-00467</t>
  </si>
  <si>
    <t>ESPUMA EXPANSIVA DE POLIURETANO, APLICACAO MANUAL - 500 ML</t>
  </si>
  <si>
    <t>SF-00563</t>
  </si>
  <si>
    <t>ARGAMASSA PRONTA PARA CONTRAPISO</t>
  </si>
  <si>
    <t>SF-00564</t>
  </si>
  <si>
    <t>ARGAMASSA INDUSTRIALIZADA MULTIUSO, PARA REVESTIMENTO INTERNO E EXTERNO E ASSENTAMENTO DE BLOCOS DIVERSOS</t>
  </si>
  <si>
    <t>SF-00565</t>
  </si>
  <si>
    <t>CIMENTO PORTLAND COMPOSTO CP II-32</t>
  </si>
  <si>
    <t>SF-00566</t>
  </si>
  <si>
    <t>SF-00567</t>
  </si>
  <si>
    <t>SF-00568</t>
  </si>
  <si>
    <t>AREIA MEDIA - POSTO JAZIDA/FORNECEDOR (RETIRADO NA JAZIDA, SEM TRANSPORTE)</t>
  </si>
  <si>
    <t>TRANSPORTE COM CAMINHÃO BASCULANTE DE 6 M3, EM VIA URBANA PAVIMENTADA, DMT ATÉ 30 KM (UNIDADE: TxKM). AF_01/2018</t>
  </si>
  <si>
    <t>TxKM</t>
  </si>
  <si>
    <t>Obs.: Considerando fornecedor de areia a 20 km do Senado Federal.</t>
  </si>
  <si>
    <t>SF-00569</t>
  </si>
  <si>
    <t>PEDRA BRITADA N. 0, OU PEDRISCO (4,8 A 9,5 MM) POSTO PEDREIRA/FORNECEDOR, SEM FRETE</t>
  </si>
  <si>
    <t>Obs.: Considerando fornecedor de brita a 20 km do Senado Federal.</t>
  </si>
  <si>
    <t>SF-00570</t>
  </si>
  <si>
    <t>PEDRA BRITADA N. 1 (9,5 a 19 MM) POSTO PEDREIRA/FORNECEDOR, SEM FRETE</t>
  </si>
  <si>
    <t>SF-00571</t>
  </si>
  <si>
    <t>SF-00572</t>
  </si>
  <si>
    <t>SF-00573</t>
  </si>
  <si>
    <t>SF-00574</t>
  </si>
  <si>
    <t>SF-00575</t>
  </si>
  <si>
    <t>SF-00576</t>
  </si>
  <si>
    <t>ACO CA-50, 6,3 MM, VERGALHAO</t>
  </si>
  <si>
    <t>SF-00577</t>
  </si>
  <si>
    <t>ACO CA-50, 8,0 MM, VERGALHAO</t>
  </si>
  <si>
    <t>SF-00578</t>
  </si>
  <si>
    <t>ACO CA-50, 10,0 MM, VERGALHAO</t>
  </si>
  <si>
    <t>SF-00579</t>
  </si>
  <si>
    <t>ACO CA-50, 12,5 MM OU 16,0 MM, VERGALHAO</t>
  </si>
  <si>
    <t>SF-00580</t>
  </si>
  <si>
    <t>SF-00581</t>
  </si>
  <si>
    <t>ADESIVO ESTRUTURAL A BASE DE RESINA EPOXI, BICOMPONENTE, PASTOSO (TIXOTROPICO)</t>
  </si>
  <si>
    <t>SF-00588</t>
  </si>
  <si>
    <t>ADITIVO IMPERMEABILIZANTE DE PEGA NORMAL PARA ARGAMASSAS E CONCRETOS SEM ARMACAO, LIQUIDO E ISENTO DE CLORETOS</t>
  </si>
  <si>
    <t>SF-00708</t>
  </si>
  <si>
    <t>ENGENHEIRO CIVIL DE OBRA PLENO COM ENCARGOS COMPLEMENTARES</t>
  </si>
  <si>
    <t>Obs: considerando 220h/mês e encargos sociais indicados na tabela do SINAPI.</t>
  </si>
  <si>
    <t>SF-00709</t>
  </si>
  <si>
    <t>ALMOXARIFE COM ENCARGOS COMPLEMENTARES</t>
  </si>
  <si>
    <t>SF-00710</t>
  </si>
  <si>
    <t>SF-00711</t>
  </si>
  <si>
    <t>AJUDANTE DE CARPINTEIRO COM ENCARGOS COMPLEMENTARES</t>
  </si>
  <si>
    <t>SF-00712</t>
  </si>
  <si>
    <t>AUXILIAR DE SERRALHEIRO COM ENCARGOS COMPLEMENTARES</t>
  </si>
  <si>
    <t>SF-00713</t>
  </si>
  <si>
    <t>SF-00714</t>
  </si>
  <si>
    <t>SF-00715</t>
  </si>
  <si>
    <t>SF-00716</t>
  </si>
  <si>
    <t>SF-00717</t>
  </si>
  <si>
    <t>SF-00844</t>
  </si>
  <si>
    <t>Kg</t>
  </si>
  <si>
    <t>SF-00845</t>
  </si>
  <si>
    <t>VIDRO LISO INCOLOR 5MM - SEM COLOCACAO</t>
  </si>
  <si>
    <t>SF-00846</t>
  </si>
  <si>
    <t>VIDRO TEMPERADO INCOLOR E = 8 MM, SEM COLOCACAO</t>
  </si>
  <si>
    <t>SF-00849</t>
  </si>
  <si>
    <t>VIDRO TEMPERADO INCOLOR E = 10 MM, SEM COLOCACAO</t>
  </si>
  <si>
    <t>SF-00850</t>
  </si>
  <si>
    <t>Bucha para pivô de dobradiça para vidro temperado. Ref.: Santa Marina/1201; Belga Metais / 9201</t>
  </si>
  <si>
    <t>SF-00851</t>
  </si>
  <si>
    <t>Suporte para bandeira de vidro temperado, com ponto de giro para dobradiça. Ref.: Santa Marina / 1203; Belga Metais / 9203</t>
  </si>
  <si>
    <t>SF-00852</t>
  </si>
  <si>
    <t>Suporte de canto, simples, para vidro temperado. Ref.: Santa Marina/1302; Belga Metais/9302</t>
  </si>
  <si>
    <t>SF-00853</t>
  </si>
  <si>
    <t>Suporte de união em "L" em latão fundido, sem batedor, para dois ou três vidros temperados de 10 mm. Ref.: Santa Marina/1310; Belga Metais/9310</t>
  </si>
  <si>
    <t>OBS: Para o preço unitário do insumo, considerou-se 85% do preço da peça tipo 1308 da tabela TCPO/Pini, percentual esse verificado mediante pesquisa de mercado.</t>
  </si>
  <si>
    <t>SF-00854</t>
  </si>
  <si>
    <t>Botão de correção fosco acetinado com parafuso. Ref.: Santa Marina/1002</t>
  </si>
  <si>
    <t>SF-00855</t>
  </si>
  <si>
    <t>Fechadura bico-de-papagaio, com furo, para porta de correr em vidro temperado 10 mm. Ref.: Santa Marina / 3530; Belga Metais / 9510-F</t>
  </si>
  <si>
    <t>SF-00856</t>
  </si>
  <si>
    <t>Fechadura bico-de-papagaio, com furo, para aplicação em janela de correr em vidro temperado 10 mm. Ref.: Santa Marina/3532; Belga Metais/9510-JF</t>
  </si>
  <si>
    <t>SF-00857</t>
  </si>
  <si>
    <t>Fechadura para aplicação em porta de abrirem vidro temperado 10 mm. Ref.: Santa Marina/1520; Belga Metais/9520</t>
  </si>
  <si>
    <t>SF-00858</t>
  </si>
  <si>
    <t>Contra fechadura, para alvenaria, para porta com fechadura 1520/952, aplicada em alvenaria junto a porta de abrirem vidro temperado 10 mm. Ref.: TQ Ferragens/1504; Santa Marina/1504; Belga Metais/1504</t>
  </si>
  <si>
    <t>SF-00859</t>
  </si>
  <si>
    <t>Contra fechadura de pressão para porta de vidro temperado de 10 mm, usada com fechaduras de referência 1520SE / 9520PRD / 9520PRE. Ref.: Santa Marina/1504S; Belga Metais 9504S</t>
  </si>
  <si>
    <t>SF-00860</t>
  </si>
  <si>
    <t>Contra fechadura, com furo, para porta de correr com furo em vidro temperado 10 mm, usada com fechaduras de referência 3530/9510-F. Ref.: Santa Marina/3534; Belga Metais/9511-F</t>
  </si>
  <si>
    <t>SF-00861</t>
  </si>
  <si>
    <t>Trinco inferior, com miolo, em latão fundido cromado, para porta de vidro temperado 10 mm. Ref.: Santa Marina/1502; Belga Metais/9502</t>
  </si>
  <si>
    <t>SF-00862</t>
  </si>
  <si>
    <t>SF-00863</t>
  </si>
  <si>
    <t>Puxador para porta de vidro temperado redondo duplo em resina poliéster incolor com aditivo anti-UV com 110-135 mm de diâmetro. Ref.: 1608 e 1609, Poliforma Alumínios e Ferragens; 1613, Aço Metais</t>
  </si>
  <si>
    <t>SF-00864</t>
  </si>
  <si>
    <t>Puxador para porta de vidro temperado em aço inox, sob medida, tipo A</t>
  </si>
  <si>
    <t>SF-00865</t>
  </si>
  <si>
    <t>Dobradiça superior para porta de vidro temperado, em latão fundido cromado. Ref.: Santa Marina / 1101 ou Belga Metais / 9101</t>
  </si>
  <si>
    <t>SF-00866</t>
  </si>
  <si>
    <t>PERFIL DE ALUMINIO ANODIZADO</t>
  </si>
  <si>
    <t>Obs: Perfil em alumínio anodizado, tipo U - abas iguais - PU 5/8" x 5/8" – espessura 1,58mm</t>
  </si>
  <si>
    <t>Fonte do coeficiente: http://www.estreladosmetais.com.br/pag_metal_aluminio_perfil_u_igual.php</t>
  </si>
  <si>
    <t>SF-00867</t>
  </si>
  <si>
    <t>Obs: Trilho superior em alumínio anodizado 60mm x 49,5mm, para vidro temperado. Ref.: AL-0051</t>
  </si>
  <si>
    <t>Fonte do coeficiente: http://www.ferragensdbf.com.br/produtos-aluminio.html</t>
  </si>
  <si>
    <t>SF-00868</t>
  </si>
  <si>
    <t>Obs: Perfil guia inferior de alumínio anodizado 39,3 mm x 24 mm para vidro temperado 10mm. Ref.: Perfil Guia Inferior AL-0005</t>
  </si>
  <si>
    <t>SF-00869</t>
  </si>
  <si>
    <t>SF-00870</t>
  </si>
  <si>
    <t>Obs: Perfil Guia Inferior “Click” de alumínio anodizado. Ref.: Perfil AL-0013</t>
  </si>
  <si>
    <t>SF-00871</t>
  </si>
  <si>
    <t>Dobradiça inferior para porta de vidro temperado, em latão fundido cromado. Ref.: Santa Marina / 1103; Belga Metais / 9103</t>
  </si>
  <si>
    <t>SF-00872</t>
  </si>
  <si>
    <t>Escova de vedação para aplicação em janela ou porta de vidro temperado, autocolante ou de encaixe, na cor preta, branca ou cinza alumínio, entre 5mm e 7mm de base. Ref.: 290-1 (vidromax) 5x5 preto; Seal; VBrasil; Aluinter</t>
  </si>
  <si>
    <t>SF-00873</t>
  </si>
  <si>
    <t>Roldana simples em nylon para porta ou janela de correr de vidro temperado. Ref.: Santa Marina/1125N; Belga Metais/9125</t>
  </si>
  <si>
    <t>SF-00874</t>
  </si>
  <si>
    <t>Roldana dupla em nylon para porta ou janela de correr de vidro temperado. Ref.: Santa Marina/1125N; Belga Metais/9125</t>
  </si>
  <si>
    <t>SF-00875</t>
  </si>
  <si>
    <t>Capuchinho para trinco para vidro temperado, com furo de 8 ou 10 mm, em latão fundido. Ref.: Santa Marina/1037; Santa Marina/1038; Belga Metais/9038</t>
  </si>
  <si>
    <t>SF-00876</t>
  </si>
  <si>
    <t>Facão simples para lateral e bandeira de vidro temperado 10 mm, com ponto de giro para dobradiça superior, em latão fundido cromado. Ref.: Santa Marina/1209; Belga Metais/9209</t>
  </si>
  <si>
    <t>SF-00877</t>
  </si>
  <si>
    <t>Fechadura de pressão para porta de abrir em vidro temperado 10 mm. Ref.: Belga  Metais/9520-PRD (lado direito); Santa Marina/1520SE; Belga Metais/9520-PRE (lado esquerdo)</t>
  </si>
  <si>
    <t>SF-00878</t>
  </si>
  <si>
    <t>Suporte de união, com miolo, para vidro temperado de 10 mm, em latão fundido cromado. Ref.: Santa Marina/1306; Belga Metais/9306</t>
  </si>
  <si>
    <t>SF-00879</t>
  </si>
  <si>
    <t>Suporte para basculante e pivotante de vidro temperado 10 mm, em latão fundido cromado. Ref.: Santa Marina/1230; Belga Metais/9230</t>
  </si>
  <si>
    <t>SF-00880</t>
  </si>
  <si>
    <t>Trinco central para basculante em vidro temperado 10 mm, em latão fundido cromado. Ref.: Santa Marina/1523; Belga Metais/9523</t>
  </si>
  <si>
    <t>SF-00881</t>
  </si>
  <si>
    <t>SF-00883</t>
  </si>
  <si>
    <t>Dobradiça automática para Box de vidro temperado. Ref.: Belga Metais/9114 e Belga Metais/9115</t>
  </si>
  <si>
    <t>SF-00884</t>
  </si>
  <si>
    <t>Dobradiça horizontal, com trinco central, para janela tipo basculante de vidro temperado com 8mm ou 10mm de espessura. Ref.: Belga Metais/9123-A</t>
  </si>
  <si>
    <t>SF-00885</t>
  </si>
  <si>
    <t>Dobradiça horizontal, sem trinco, para janela tipo basculante de vidro temperado com 8mm ou 10mm de espessura. Ref.: Belga Metais/9123</t>
  </si>
  <si>
    <t>SF-00886</t>
  </si>
  <si>
    <t>Fechadura elétrica para porta de vidro temperado com 8mm ou 10mm de espessura, acabamento cromado. Ref.: Fechadura Modelo FV35ICR / FV35ECRA / FV32ICR / FV32IPR / FV32ICRA / FV32ECRA, fabricante Amelco</t>
  </si>
  <si>
    <t>SF-00887</t>
  </si>
  <si>
    <t>Porteiro eletrônico residencial. Ref.: Amelco AM-m²00</t>
  </si>
  <si>
    <t>SF-00888</t>
  </si>
  <si>
    <t>Acionador de fechadura elétrica para porta de vidro temperado com 01 acionador fixo. Ref.; Amelco AF62UP</t>
  </si>
  <si>
    <t>SF-00889</t>
  </si>
  <si>
    <t>Mini chapinha para trinco de janela basculante em vidro temperado 8 ou 10 mm, em latão fundido cromado. Ref.: Belga Metais/9801-M</t>
  </si>
  <si>
    <t>SF-00890</t>
  </si>
  <si>
    <t>Puxador de latão polido - diâmetro 25mm, para portas e janelas de vidro temperado. Ref.: Belga Metais/9629</t>
  </si>
  <si>
    <t>SF-00891</t>
  </si>
  <si>
    <t>Trinco sem miolo, para vidro temperado 8mm ou 10 mm, funcionando como suporte inferior de centro, em latão fundido cromado. Ref.: Belga Metais/9335</t>
  </si>
  <si>
    <t>SF-00892</t>
  </si>
  <si>
    <t>Obs: Tubo de alumínio quadrado 50x50, para fixação de painéis em vidro temperado de 8mm ou 10 mm</t>
  </si>
  <si>
    <t>SF-00893</t>
  </si>
  <si>
    <t>Veda fresta adesivo “E” em PVC branco, elemento vedante adesivo para portas e janelas</t>
  </si>
  <si>
    <t>SF-00894</t>
  </si>
  <si>
    <t>Obs: Vedapress 10mm, elemento vedante para portas e janelas de vidro temperado de 8mm ou 10 mm. Ref.: AL-15 - Poliformas alumínio e ferragens</t>
  </si>
  <si>
    <t>Fonte do coeficiente: http://www.alumipremium.com/produto/al15</t>
  </si>
  <si>
    <t>SF-00895</t>
  </si>
  <si>
    <t>SF-00896</t>
  </si>
  <si>
    <t>Vidro fumê/bronze temperado 10mm</t>
  </si>
  <si>
    <t>SF-00897</t>
  </si>
  <si>
    <t>Puxador para porta de vidro temperado em aço inox, sob medida, tipo B</t>
  </si>
  <si>
    <t>SF-00898</t>
  </si>
  <si>
    <t>KG</t>
  </si>
  <si>
    <t>ESPACADOR / DISTANCIADOR CIRCULAR COM ENTRADA LATERAL, EM PLASTICO, PARA VERGALHAO *4,2 A 12,5* MM, COBRIMENTO 20 MM</t>
  </si>
  <si>
    <t>AJUDANTE DE ARMADOR COM ENCARGOS COMPLEMENTARES</t>
  </si>
  <si>
    <t>ARMADOR COM ENCARGOS COMPLEMENTARES</t>
  </si>
  <si>
    <t>CORTE E DOBRA DE AÇO CA-50, DIÂMETRO DE 8,0 MM, UTILIZADO EM ESTRUTURAS DIVERSAS, EXCETO LAJES. AF_12/2015</t>
  </si>
  <si>
    <t>SF-00899</t>
  </si>
  <si>
    <t>Pivô para dobradiça inferior (montagem com a 1103- TQ) para porta em vidro temperado</t>
  </si>
  <si>
    <t>SF-00900</t>
  </si>
  <si>
    <t>Dobradiça direita inferior excêntrica para porta pivotante em vidro temperado, dimensões máximas recomendadas 1000 x 2100 mm ou 900 x 2400 mm</t>
  </si>
  <si>
    <t>SF-00901</t>
  </si>
  <si>
    <t>Dobradiça esquerda inferior excêntrica para porta pivotante em vidro temperado, dimensões máximas recomendadas 1000 x 2100 mm ou 900 x 2400 mm</t>
  </si>
  <si>
    <t>SF-00902</t>
  </si>
  <si>
    <t>Dobradiça pivotante inferior com trinco, em alumínio, para porta em vidro temperado, dimensões máximas recomendadas 900 x 2200 mm</t>
  </si>
  <si>
    <t>SF-00903</t>
  </si>
  <si>
    <t>Carrinho para porta de correr em vidro temperado até 20kg 1 roldana e 2 furos. Ref.: Vidromax 1122-S</t>
  </si>
  <si>
    <t>SF-00904</t>
  </si>
  <si>
    <t>Carrinho para porta de correr em vidro temperado até 80kg 2 roldanas e 2 furos. Ref.: Vidromax 1122</t>
  </si>
  <si>
    <t>SF-00905</t>
  </si>
  <si>
    <t>Carrinho para porta de correr em vidro temperado com roldana côncava, dimensões máximas recomendadas 600 x 1800 mm</t>
  </si>
  <si>
    <t>SF-00906</t>
  </si>
  <si>
    <t>Guia de nylon para porta de correr em vidro temperado</t>
  </si>
  <si>
    <t>SF-00907</t>
  </si>
  <si>
    <t>Puxador H tubular em aço inox AISI304, com porcas tipo castelo, comprimento 45cm, entre furos de 30cm,  diâmetro 1.1/4",  chapa #16, acabamento escovado. Ref.: PX-RD, Poliforma Alumínio e Ferragens</t>
  </si>
  <si>
    <t>SF-00908</t>
  </si>
  <si>
    <t>SF-00909</t>
  </si>
  <si>
    <t>VIDRO MARTELADO OU CANELADO, 4 MM - SEM COLOCACAO</t>
  </si>
  <si>
    <t>SF-00910</t>
  </si>
  <si>
    <t>VIDRO LISO FUME, E = 5 MM - SEM COLOCACAO</t>
  </si>
  <si>
    <t>SF-00911</t>
  </si>
  <si>
    <t>SF-00912</t>
  </si>
  <si>
    <t>PARAFUSO FRANCES M16 EM ACO GALVANIZADO, COMPRIMENTO = 45 MM, DIAMETRO = 16 MM, CABECA ABAULADA</t>
  </si>
  <si>
    <t>SF-00913</t>
  </si>
  <si>
    <t>Espelho fumê/bronze 4mm lapidado</t>
  </si>
  <si>
    <t>SF-00914</t>
  </si>
  <si>
    <t>SF-00915</t>
  </si>
  <si>
    <t>GRAUTE CIMENTICIO PARA USO GERAL</t>
  </si>
  <si>
    <t>SF-00916</t>
  </si>
  <si>
    <t>CORTE E DOBRA DE AÇO CA-50, DIÂMETRO DE 12,5 MM, UTILIZADO EM ESTRUTURAS DIVERSAS, EXCETO LAJES. AF_12/2015</t>
  </si>
  <si>
    <t>SF-00917</t>
  </si>
  <si>
    <t>CORTE E DOBRA DE AÇO CA-50, DIÂMETRO DE 20,0 MM, UTILIZADO EM ESTRUTURAS DIVERSAS, EXCETO LAJES. AF_12/2015</t>
  </si>
  <si>
    <t>SF-00918</t>
  </si>
  <si>
    <t>SF-00919</t>
  </si>
  <si>
    <t>SF-00920</t>
  </si>
  <si>
    <t>COMPACTADOR DE SOLOS DE PERCUSSÃO (SOQUETE) COM MOTOR A GASOLINA 4 TEMPOS, POTÊNCIA 4 CV - CHP DIURNO. AF_08/2015</t>
  </si>
  <si>
    <t>CHP</t>
  </si>
  <si>
    <t>COMPACTADOR DE SOLOS DE PERCUSSÃO (SOQUETE) COM MOTOR A GASOLINA 4 TEMPOS, POTÊNCIA 4 CV - CHI DIURNO. AF_08/2015</t>
  </si>
  <si>
    <t>CHI</t>
  </si>
  <si>
    <t>UMIDIFICAÇÃO DE MATERIAL PARA VALAS COM CAMINHÃO PIPA 10000L. AF_11/2016</t>
  </si>
  <si>
    <t>SF-00921</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</si>
  <si>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</si>
  <si>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</si>
  <si>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ARGILA, ARGILA VERMELHA OU ARGILA ARENOSA (RETIRADA NA JAZIDA, SEM TRANSPORTE)</t>
  </si>
  <si>
    <t>Obs.: Considerando fornecedor de argila a 20 km do Senado Federal.</t>
  </si>
  <si>
    <t>SF-00922</t>
  </si>
  <si>
    <t>TUBO DE COBRE CLASSE "E", DN = 22 MM, PARA INSTALACAO HIDRAULICA PREDIAL</t>
  </si>
  <si>
    <t>AUXILIAR DE ENCANADOR OU BOMBEIRO HIDRÁULICO COM ENCARGOS COMPLEMENTARES</t>
  </si>
  <si>
    <t>ENCANADOR OU BOMBEIRO HIDRÁULICO COM ENCARGOS COMPLEMENTARES</t>
  </si>
  <si>
    <t>SF-00923</t>
  </si>
  <si>
    <t>TUBO DE COBRE CLASSE "E", DN = 28 MM, PARA INSTALACAO HIDRAULICA PREDIAL</t>
  </si>
  <si>
    <t>SF-00924</t>
  </si>
  <si>
    <t>TUBO DE COBRE CLASSE "E", DN = 42 MM, PARA INSTALACAO HIDRAULICA PREDIAL</t>
  </si>
  <si>
    <t>SF-00925</t>
  </si>
  <si>
    <t>PARAFUSO NIQUELADO COM ACABAMENTO CROMADO PARA FIXAR PECA SANITARIA, INCLUI PORCA CEGA, ARRUELA E BUCHA DE NYLON TAMANHO S-10</t>
  </si>
  <si>
    <t>SF-00926</t>
  </si>
  <si>
    <t>Assento poliéster, mod.: Vogue plus, cor branca, com fixação cromada. AP.51 ref: DECA ou equivalente</t>
  </si>
  <si>
    <t>Servente Com Encargos Complementares</t>
  </si>
  <si>
    <t>SF-00927</t>
  </si>
  <si>
    <t>Registro gaveta em liga de cobre, bitola 1 1/2" mod:1502.B.112 ref: DECA ou equivalente</t>
  </si>
  <si>
    <t>SF-00928</t>
  </si>
  <si>
    <t>Cabo flexível isolado em EPR não halogenado 25 mm² 0,6 a 1 kV</t>
  </si>
  <si>
    <t>SF-00929</t>
  </si>
  <si>
    <t>Cabo flexível isolado em EPR não halogenado 35 mm² 0,6 a 1 kV</t>
  </si>
  <si>
    <t>SF-00930</t>
  </si>
  <si>
    <t>Cabo flexível isolado em EPR não halogenado 50 mm² 0,6 a 1 kV</t>
  </si>
  <si>
    <t>SF-00931</t>
  </si>
  <si>
    <t>Cabo flexível isolado em EPR não halogenado 70 mm² 0,6 a 1 kV</t>
  </si>
  <si>
    <t>SF-00932</t>
  </si>
  <si>
    <t>Cabo flexível isolado em EPR não halogenado 95 mm² 0,6 a 1 kV</t>
  </si>
  <si>
    <t>SF-00933</t>
  </si>
  <si>
    <t>Cabo flexível isolado em EPR não halogenado 120 mm² 0,6 a 1 kV</t>
  </si>
  <si>
    <t>SF-00934</t>
  </si>
  <si>
    <t>Cabo flexível isolado em EPR não halogenado 150 mm² 0,6 a 1 kV</t>
  </si>
  <si>
    <t>SF-00935</t>
  </si>
  <si>
    <t>Cabo flexível isolado em EPR não halogenado 185 mm² 0,6 a 1 kV</t>
  </si>
  <si>
    <t>SF-00936</t>
  </si>
  <si>
    <t>Cabo flexível isolado em EPR não halogenado 240 mm² 0,6 a 1 kV</t>
  </si>
  <si>
    <t>SF-00937</t>
  </si>
  <si>
    <t>MONTADOR DE ESTRUTURA METÁLICA COM ENCARGOS COMPLEMENTARES</t>
  </si>
  <si>
    <t>TRANSPORTE HORIZONTAL MANUAL, DE TUBO DE AÇO CARBONO LEVE OU MÉDIO, PRETO OU GALVANIZADO, COM DIÂMETRO MAIOR QUE 32 MM E MENOR OU IGUAL A 65 MM (UNIDADE: MXKM). AF_07/2019</t>
  </si>
  <si>
    <t>MXKM</t>
  </si>
  <si>
    <t>SF-00938</t>
  </si>
  <si>
    <t>SF-00940</t>
  </si>
  <si>
    <t>ABRACADEIRA DE NYLON PARA AMARRACAO DE CABOS, COMPRIMENTO DE 200 X *4,6* MM</t>
  </si>
  <si>
    <t>TELA FACHADEIRA EM POLIETILENO, ROLO DE 3 X 100 M (L X C), COR BRANCA, SEM LOGOMARCA - PARA PROTECAO DE OBRAS</t>
  </si>
  <si>
    <t>M2</t>
  </si>
  <si>
    <t>CARPINTEIRO DE FORMAS COM ENCARGOS COMPLEMENTARES</t>
  </si>
  <si>
    <t>Obs.: Considerou-se aproveitamento de 3x para a tela, já que trata-se de locação.</t>
  </si>
  <si>
    <t>SF-00942</t>
  </si>
  <si>
    <t>SF-00943</t>
  </si>
  <si>
    <t>Registro de gaveta em liga de cobre, bitola 1" mod: 4509.302 ref: DECA ou equivalente</t>
  </si>
  <si>
    <t>SF-00944</t>
  </si>
  <si>
    <t>Registro de pressão em liga de cobre, bitola 3/4" mod: 4416.202 ref: DECA ou equivalente</t>
  </si>
  <si>
    <t>SF-00946</t>
  </si>
  <si>
    <t>TAMPAO FOFO ARTICULADO P/ REGISTRO, CLASSE A15 CARGA MAXIMA 1,5 T, *400 X 400* MM</t>
  </si>
  <si>
    <t>ARGAMASSA TRAÇO 1:4 (EM VOLUME DE CIMENTO E AREIA GROSSA ÚMIDA) PARA CHAPISCO CONVENCIONAL, PREPARO MECÂNICO COM BETONEIRA 400 L. AF_08/2019</t>
  </si>
  <si>
    <t>SF-00947</t>
  </si>
  <si>
    <t>Arquiteto de obra pleno com encargos complementares</t>
  </si>
  <si>
    <t>SF-00948</t>
  </si>
  <si>
    <t>LOCACAO DE ANDAIME SUSPENSO OU BALANCIM MANUAL, CAPACIDADE DE CARGA TOTAL DE APROXIMADAMENTE 250 KG/M2, PLATAFORMA DE 1,50 M X 0,80 M (C X L), CABO DE 45 M</t>
  </si>
  <si>
    <t>SF-00950</t>
  </si>
  <si>
    <t>LAVADORA DE ALTA PRESSAO (LAVA-JATO) PARA AGUA FRIA, PRESSAO DE OPERACAO ENTRE 1400 E 1900 LIB/POL2, VAZAO MAXIMA ENTRE 400 E 700 L/H - CHP DIURNO. AF_04/2019</t>
  </si>
  <si>
    <t>SF-00951</t>
  </si>
  <si>
    <t>SF-00952</t>
  </si>
  <si>
    <t>SF-00953</t>
  </si>
  <si>
    <t>MANTA LIQUIDA DE BASE ASFALTICA MODIFICADA COM A ADICAO DE ELASTOMEROS DILUIDOS EM SOLVENTE ORGANICO, APLICACAO A FRIO (MEMBRANA IMPERMEABILIZANTE ASFASTICA)</t>
  </si>
  <si>
    <t>Ajudante Especializado Com Encargos Complementares</t>
  </si>
  <si>
    <t>IMPERMEABILIZADOR COM ENCARGOS COMPLEMENTARES</t>
  </si>
  <si>
    <t>SF-00954</t>
  </si>
  <si>
    <t>CAMADA SEPARADORA DE FILME DE POLIETILENO 20 A 25 MICRA</t>
  </si>
  <si>
    <t>ARGAMASSA TRAÇO 1:3 (EM VOLUME DE CIMENTO E AREIA MÉDIA ÚMIDA) PARA CONTRAPISO, PREPARO MANUAL. AF_08/2019</t>
  </si>
  <si>
    <t>SF-00955</t>
  </si>
  <si>
    <t>TELA DE ARAME GALVANIZADA, HEXAGONAL, FIO 0,56 MM (24 BWG), MALHA 1/2", H = 1 M</t>
  </si>
  <si>
    <t>SF-00956</t>
  </si>
  <si>
    <t>SF-00957</t>
  </si>
  <si>
    <t>SF-00958</t>
  </si>
  <si>
    <t>Papel kraft betumado</t>
  </si>
  <si>
    <t>SF-00959</t>
  </si>
  <si>
    <t>SF-00960</t>
  </si>
  <si>
    <t>SF-00961</t>
  </si>
  <si>
    <t>Broca com ponta de widia Ø 3/8" x 160 mm</t>
  </si>
  <si>
    <t>Furadeira de impacto elétrica - 0,65 kW, Ø mandril 5/8"</t>
  </si>
  <si>
    <t>h prod</t>
  </si>
  <si>
    <t>GRAUTE FGK=25 MPA; TRAÇO 1:0,02:1,2:1,5 (CIMENTO/ CAL/ AREIA GROSSA/ BRITA 0) - PREPARO MECÂNICO COM BETONEIRA 400 L. AF_02/2015</t>
  </si>
  <si>
    <r>
      <rPr>
        <b/>
        <sz val="10"/>
        <rFont val="Arial"/>
        <family val="2"/>
      </rPr>
      <t>Fontes:</t>
    </r>
    <r>
      <rPr>
        <sz val="10"/>
        <rFont val="Arial"/>
        <family val="2"/>
      </rPr>
      <t xml:space="preserve"> PINI 05.102.000020.SER</t>
    </r>
  </si>
  <si>
    <t>SF-00962</t>
  </si>
  <si>
    <t>Insert metálico tipo 2, conforme projeto</t>
  </si>
  <si>
    <t>SF-00964</t>
  </si>
  <si>
    <t>Mármore branco especial 20mm</t>
  </si>
  <si>
    <t>SF-00965</t>
  </si>
  <si>
    <t>PARAFUSO DE ACO TIPO CHUMBADOR PARABOLT, DIAMETRO 3/8", COMPRIMENTO 75 MM</t>
  </si>
  <si>
    <t>Insert metálico tipo 1, conforme projeto</t>
  </si>
  <si>
    <r>
      <rPr>
        <b/>
        <sz val="10"/>
        <rFont val="Arial"/>
        <family val="2"/>
      </rPr>
      <t>Fontes:</t>
    </r>
    <r>
      <rPr>
        <sz val="10"/>
        <rFont val="Arial"/>
        <family val="2"/>
      </rPr>
      <t xml:space="preserve"> ORSE 03735, PINI 05.102.000020.SER e 05.108.000450.SER</t>
    </r>
  </si>
  <si>
    <r>
      <rPr>
        <b/>
        <sz val="10"/>
        <rFont val="Arial"/>
        <family val="2"/>
      </rPr>
      <t>Observações:</t>
    </r>
    <r>
      <rPr>
        <sz val="10"/>
        <rFont val="Arial"/>
        <family val="2"/>
      </rPr>
      <t xml:space="preserve"> Considerando uma placa de 0,40 m x 0,80 m, que, conforme projeto, necessita de 2 inserts.</t>
    </r>
  </si>
  <si>
    <t>SF-00966</t>
  </si>
  <si>
    <t>Mármore branco especial 30mm</t>
  </si>
  <si>
    <t>SF-00967</t>
  </si>
  <si>
    <t>SF-00968</t>
  </si>
  <si>
    <r>
      <rPr>
        <b/>
        <sz val="10"/>
        <rFont val="Arial"/>
        <family val="2"/>
      </rPr>
      <t>Fontes:</t>
    </r>
    <r>
      <rPr>
        <sz val="10"/>
        <rFont val="Arial"/>
        <family val="2"/>
      </rPr>
      <t xml:space="preserve"> PINI 05.102.000020.SER e 05.108.000450.SER</t>
    </r>
  </si>
  <si>
    <t>SF-00970</t>
  </si>
  <si>
    <t>SF-00971</t>
  </si>
  <si>
    <t>SF-00972</t>
  </si>
  <si>
    <t>Ajudante de pintor com Encargos Complementares</t>
  </si>
  <si>
    <t>Hidrofugante à base de silano e silicone</t>
  </si>
  <si>
    <t>SF-00973</t>
  </si>
  <si>
    <t>Cantoneira em alumínio abas iguais 1" x 1/8" com pintura eletrostática branca</t>
  </si>
  <si>
    <t>SF-00974</t>
  </si>
  <si>
    <t>Granito Amarelo Capri para rodapé</t>
  </si>
  <si>
    <t>SF-00975</t>
  </si>
  <si>
    <t>Lixadeira angular manual elétrica Ø 7" 2200 W 6600 rpm</t>
  </si>
  <si>
    <t>loc/un/dia</t>
  </si>
  <si>
    <t>Ponta montada A2 haste 1/4"</t>
  </si>
  <si>
    <t>SF-00976</t>
  </si>
  <si>
    <t>SF-00977</t>
  </si>
  <si>
    <t>Primer de secagem rápida e alto poder de aderência ao concreto</t>
  </si>
  <si>
    <t>Corpo de apoio em polietileno para aplicação de mástiques em juntas</t>
  </si>
  <si>
    <t>SELANTE ELASTICO MONOCOMPONENTE A BASE DE POLIURETANO (PU) PARA JUNTAS DIVERSAS</t>
  </si>
  <si>
    <t>310ml</t>
  </si>
  <si>
    <t>SF-00978</t>
  </si>
  <si>
    <t>SF-00980</t>
  </si>
  <si>
    <t>CHUVEIRO COMUM EM PLASTICO BRANCO, COM CANO, 3 TEMPERATURAS, 5500 W (110/220 V)</t>
  </si>
  <si>
    <t>FITA VEDA ROSCA EM ROLOS DE 18 MM X 10 M (L X C)</t>
  </si>
  <si>
    <t>SF-00981</t>
  </si>
  <si>
    <t>CONCRETO MAGRO PARA LASTRO, TRAÇO 1:4,5:4,5 (CIMENTO/ AREIA MÉDIA/ BRITA 1)  - PREPARO MECÂNICO COM BETONEIRA 600 L. AF_07/2016</t>
  </si>
  <si>
    <t>SF-00982</t>
  </si>
  <si>
    <t>TELA DE ACO SOLDADA NERVURADA, CA-60, Q-196, (3,11 KG/M2), DIAMETRO DO FIO = 5,0 MM, LARGURA = 2,45 M, ESPACAMENTO DA MALHA = 10 X 10 CM</t>
  </si>
  <si>
    <t>CONCRETO FCK = 20MPA, TRAÇO 1:2,7:3 (CIMENTO/ AREIA MÉDIA/ BRITA 1)  - PREPARO MECÂNICO COM BETONEIRA 600 L. AF_07/2016</t>
  </si>
  <si>
    <t>310ML</t>
  </si>
  <si>
    <t>SF-00983</t>
  </si>
  <si>
    <t>SF-00984</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</si>
  <si>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</si>
  <si>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</si>
  <si>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SF-00986</t>
  </si>
  <si>
    <t>APARELHO PARA CORTE E SOLDA OXI-ACETILENO SOBRE RODAS, INCLUSIVE CILINDROS E MAÇARICOS - CHP DIURNO. AF_12/2015</t>
  </si>
  <si>
    <t>Soldador com encargos complementares</t>
  </si>
  <si>
    <t>SF-00987</t>
  </si>
  <si>
    <t>SF-00988</t>
  </si>
  <si>
    <t>SF-00989</t>
  </si>
  <si>
    <t>GRAMA BATATAIS EM PLACAS, SEM PLANTIO</t>
  </si>
  <si>
    <t>JARDINEIRO COM ENCARGOS COMPLEMENTARES</t>
  </si>
  <si>
    <t>CALCARIO DOLOMITICO A (POSTO PEDREIRA/FORNECEDOR, SEM FRETE)</t>
  </si>
  <si>
    <t>TERRA VEGETAL (GRANEL)</t>
  </si>
  <si>
    <t>FERTILIZANTE NPK - 10:10:10</t>
  </si>
  <si>
    <t>FERTILIZANTE ORGANICO COMPOSTO, CLASSE A</t>
  </si>
  <si>
    <t>t</t>
  </si>
  <si>
    <t>Obs.: Considerando fornecedor de calcário a 20km do Senado Federal.</t>
  </si>
  <si>
    <t>SF-00990</t>
  </si>
  <si>
    <t>TINTA ACRILICA PREMIUM PARA PISO</t>
  </si>
  <si>
    <t>PINTOR COM ENCARGOS COMPLEMENTARES</t>
  </si>
  <si>
    <t>Obs: considerando uma demão, meio-fio de 30 cm x 15 cm x 13 cm (altura, base inferior, base superior), enterrado 5 cm.</t>
  </si>
  <si>
    <t>SF-00991</t>
  </si>
  <si>
    <t>Obs.: Considerando fornecedor de areia a 20km do Senado Federal.</t>
  </si>
  <si>
    <t>SF-00992</t>
  </si>
  <si>
    <t>PEDRA BRITADA N. 2 (19 A 38 MM) POSTO PEDREIRA/FORNECEDOR, SEM FRETE</t>
  </si>
  <si>
    <t>TUBO DRENO, CORRUGADO, ESPIRALADO, FLEXIVEL, PERFURADO, EM POLIETILENO DE ALTA DENSIDADE (PEAD), DN 100 MM, (4") PARA DRENAGEM - EM ROLO (NORMA DNIT 093/2006 - E.M)</t>
  </si>
  <si>
    <t>PLACA VIBRATÓRIA REVERSÍVEL COM MOTOR 4 TEMPOS A GASOLINA, FORÇA CENTRÍFUGA DE 25 KN (2500 KGF), POTÊNCIA 5,5 CV - CHP DIURNO. AF_08/2015</t>
  </si>
  <si>
    <t>Obs.: Considerando fornecedor de brita a 20km do Senado Federal.</t>
  </si>
  <si>
    <t>SF-00994</t>
  </si>
  <si>
    <t>Insert metálico tipo 3, conforme projeto</t>
  </si>
  <si>
    <t>SF-01001</t>
  </si>
  <si>
    <t>SF-01011</t>
  </si>
  <si>
    <t>MARTELETE OU ROMPEDOR PNEUMÁTICO MANUAL, 28 KG, COM SILENCIADOR - CHP DIURNO. AF_07/2016</t>
  </si>
  <si>
    <t>MARTELETE OU ROMPEDOR PNEUMÁTICO MANUAL, 28 KG, COM SILENCIADOR - CHI DIURNO. AF_07/2016</t>
  </si>
  <si>
    <t>SF-01012</t>
  </si>
  <si>
    <t>SF-01013</t>
  </si>
  <si>
    <t>Impermeabilizante Idea HP</t>
  </si>
  <si>
    <t>Obs: Rendimento informado na especificação do serviço (12 m2 para 1 L, considerando duas demãos).</t>
  </si>
  <si>
    <t>Fonte: SINAPI 73872/2</t>
  </si>
  <si>
    <t>SF-01014</t>
  </si>
  <si>
    <t>PLACA VINILICA SEMIFLEXIVEL PARA REVESTIMENTO DE PISOS E PAREDES, E = 2 MM (SEM COLOCACAO)</t>
  </si>
  <si>
    <t>SF-01029</t>
  </si>
  <si>
    <t>SF-01030</t>
  </si>
  <si>
    <t>SF-01031</t>
  </si>
  <si>
    <t>SF-01041</t>
  </si>
  <si>
    <t>TÉCNICO EM SEGURANÇA DO TRABALHO COM ENCARGOS COMPLEMENTARES</t>
  </si>
  <si>
    <t>SF-01053</t>
  </si>
  <si>
    <t>Adesivo epóxi estrutural - bisnaga de 50ml</t>
  </si>
  <si>
    <t>SF-01054</t>
  </si>
  <si>
    <t>Perfil metálico em chapa #14 dobrada</t>
  </si>
  <si>
    <t>SILICONE ACETICO USO GERAL INCOLOR 280 G</t>
  </si>
  <si>
    <t>Fonte: SIURB 08-01-70 e CDHU 403091</t>
  </si>
  <si>
    <t>SF-01059</t>
  </si>
  <si>
    <t>Granito Vermelho Brasília, com 20 mm de espessura, polido, com testeira para acabamento em meia esquadria, para bancadas</t>
  </si>
  <si>
    <t>SF-01060</t>
  </si>
  <si>
    <t>BUCHA DE NYLON SEM ABA S10, COM PARAFUSO DE 6,10 X 65 MM EM ACO ZINCADO COM ROSCA SOBERBA, CABECA CHATA E FENDA PHILLIPS</t>
  </si>
  <si>
    <t>PORTA DE ABRIR EM ALUMINIO TIPO VENEZIANA, ACABAMENTO ANODIZADO NATURAL, SEM GUARNICAO/ALIZAR/VISTA, 87 X 210 CM</t>
  </si>
  <si>
    <t>Pedreiro com encargos complementares</t>
  </si>
  <si>
    <t>SF-01061</t>
  </si>
  <si>
    <t>PARAFUSO DE ACO ZINCADO COM ROSCA SOBERBA, CABECA CHATA E FENDA SIMPLES, DIAMETRO 4,2 MM, COMPRIMENTO * 32 * MM</t>
  </si>
  <si>
    <t>SF-01062</t>
  </si>
  <si>
    <t>PORTA DE ENROLAR MANUAL COMPLETA, ARTICULADA RAIADA LARGA, EM ACO GALVANIZADO NATURAL, CHAPA NUMERO 24 (SEM INSTALACAO)</t>
  </si>
  <si>
    <t>SF-01063</t>
  </si>
  <si>
    <t>COTOVELO 90 GRAUS DE FERRO GALVANIZADO, COM ROSCA BSP, DE 1"</t>
  </si>
  <si>
    <t>NIPLE DE FERRO GALVANIZADO, COM ROSCA BSP, DE 1"</t>
  </si>
  <si>
    <t>PLUG OU BUJAO DE FERRO GALVANIZADO, DE 1/2"</t>
  </si>
  <si>
    <t>TE DE REDUCAO DE FERRO GALVANIZADO, COM ROSCA BSP, DE 1" X 1/2"</t>
  </si>
  <si>
    <t>UNIAO DE FERRO GALVANIZADO, COM ROSCA BSP, COM ASSENTO PLANO, DE 1"</t>
  </si>
  <si>
    <t>VALVULA DE ESFERA BRUTA EM BRONZE, BITOLA 1 " (REF 1552-B)</t>
  </si>
  <si>
    <t>VALVULA DE ESFERA BRUTA EM BRONZE, BITOLA 1/2 " (REF 1552-B)</t>
  </si>
  <si>
    <t>TUBO ACO GALVANIZADO COM COSTURA, CLASSE MEDIA, DN 1", E = 3,38 MM, PESO 2,50 KG/M (NBR 5580)</t>
  </si>
  <si>
    <t xml:space="preserve">MEDIDOR DE GÁS EM ALUMÍNIO. Ref. LAO G6 </t>
  </si>
  <si>
    <t>SF-01064</t>
  </si>
  <si>
    <t>Válvula de esfera tripartida Classe 300</t>
  </si>
  <si>
    <t>SF-01065</t>
  </si>
  <si>
    <t>DESMOLDANTE PROTETOR PARA FORMAS DE MADEIRA, DE BASE OLEOSA EMULSIONADA EM AGUA</t>
  </si>
  <si>
    <t>PREGO DE ACO POLIDO COM CABECA 15 X 15 (1 1/4 X 13)</t>
  </si>
  <si>
    <t>VIBRADOR DE IMERSÃO, DIÂMETRO DE PONTEIRA 45MM, MOTOR ELÉTRICO TRIFÁSICO POTÊNCIA DE 2 CV - CHP DIURNO. AF_06/2015</t>
  </si>
  <si>
    <t>VIBRADOR DE IMERSÃO, DIÂMETRO DE PONTEIRA 45MM, MOTOR ELÉTRICO TRIFÁSICO POTÊNCIA DE 2 CV - CHI DIURNO. AF_06/2015</t>
  </si>
  <si>
    <t>SERRA CIRCULAR DE BANCADA COM MOTOR ELÉTRICO POTÊNCIA DE 5HP, COM COIFA PARA DISCO 10" - CHP DIURNO. AF_08/2015</t>
  </si>
  <si>
    <t>SERRA CIRCULAR DE BANCADA COM MOTOR ELÉTRICO POTÊNCIA DE 5HP, COM COIFA PARA DISCO 10" - CHI DIURNO. AF_08/2015</t>
  </si>
  <si>
    <t>CONCRETO FCK = 15MPA, TRAÇO 1:3,4:3,5 (CIMENTO/ AREIA MÉDIA/ BRITA 1)  - PREPARO MECÂNICO COM BETONEIRA 600 L. AF_07/2016</t>
  </si>
  <si>
    <t>SF-01066</t>
  </si>
  <si>
    <t>AUXILIAR DE ELETRICISTA COM ENCARGOS COMPLEMENTARES</t>
  </si>
  <si>
    <t>ELETRICISTA COM ENCARGOS COMPLEMENTARES</t>
  </si>
  <si>
    <t>SF-01068</t>
  </si>
  <si>
    <t>Eletroduto de aço com costura galvanização eletrolítica Ø 3"</t>
  </si>
  <si>
    <t>SF-01069</t>
  </si>
  <si>
    <t>Grelha em ferro fundido com caixilho de apoio espessura 15 mm, largura 200 mm</t>
  </si>
  <si>
    <t>SF-01070</t>
  </si>
  <si>
    <t>Granito Vermelho Brasília, com 20 mm de espessura e 150 mm de altura, para soleira e peitoril</t>
  </si>
  <si>
    <t>SF-01071</t>
  </si>
  <si>
    <t>Luminária redonda de embutir, LED, potência 19 W, temperatura de cor 3000 K, fluxo luminoso 1770 lm. Ref: OSRAM - LEDVANCE DOWNLIGHT XL WT 830</t>
  </si>
  <si>
    <t>SF-01072</t>
  </si>
  <si>
    <t>SF-01073</t>
  </si>
  <si>
    <t>SF-01074</t>
  </si>
  <si>
    <t>TAMPAO FOFO ARTICULADO P/ REGISTRO, CLASSE A15 CARGA MAX 1,5 T, *200 X 200* MM</t>
  </si>
  <si>
    <t>SF-01076</t>
  </si>
  <si>
    <t>Cerâmica GAIL (Referência 1009 Placa Cerâmica Linha Gressit da Marca Gail, tamanho 240 mm x 116 mm, espessura 9 mm)</t>
  </si>
  <si>
    <t>SF-01077</t>
  </si>
  <si>
    <t>AREIA PARA ATERRO - POSTO JAZIDA/FORNECEDOR (RETIRADO NA JAZIDA, SEM TRANSPORTE)</t>
  </si>
  <si>
    <t>SF-01078</t>
  </si>
  <si>
    <t>CHAPA DE ACO GROSSA, ASTM A36, E = 3/8 " (9,53 MM) 74,69 KG/M2</t>
  </si>
  <si>
    <t>ELETRODO REVESTIDO AWS - E6013, DIAMETRO IGUAL A 2,50 MM</t>
  </si>
  <si>
    <t>PARAFUSO DE FERRO POLIDO, SEXTAVADO, COM ROSCA INTEIRA, DIAMETRO 5/16", COMPRIMENTO 3/4", COM PORCA E ARRUELA LISA LEVE</t>
  </si>
  <si>
    <t>PERFIL DE BORRACHA EPDM MACICO *12 X 15* MM PARA ESQUADRIAS</t>
  </si>
  <si>
    <t>VIDRO COMUM LAMINADO LISO INCOLOR DUPLO, ESPESSURA TOTAL 8 MM (CADA CAMADA DE 4 MM) - COLOCADO</t>
  </si>
  <si>
    <t>SERRALHEIRO COM ENCARGOS COMPLEMENTARES</t>
  </si>
  <si>
    <t>SF-01080</t>
  </si>
  <si>
    <t>Perfil "U" em aço galvanizado 25mm x 25mm, espessura 1,5mm (#16)</t>
  </si>
  <si>
    <t>SF-01082</t>
  </si>
  <si>
    <t>ALIMENTACAO - HORISTA (COLETADO CAIXA)</t>
  </si>
  <si>
    <t>SF-01083</t>
  </si>
  <si>
    <t>TRANSPORTE - HORISTA (COLETADO CAIXA)</t>
  </si>
  <si>
    <t>SF-01088</t>
  </si>
  <si>
    <t>COTOVELO DE COBRE 90 GRAUS (REF 607) SEM ANEL DE SOLDA, BOLSA X BOLSA, 35 MM</t>
  </si>
  <si>
    <t>SOLDA ESTANHO/COBRE PARA CONEXOES DE COBRE, FIO 2,5 MM, CARRETEL 500 GR (SEM CHUMBO)</t>
  </si>
  <si>
    <t>LIXA D'AGUA EM FOLHA, GRAO 100</t>
  </si>
  <si>
    <t>PASTA PARA SOLDA DE TUBOS E CONEXOES DE COBRE (EMBALAGEM COM 250 G)</t>
  </si>
  <si>
    <t>SF-01089</t>
  </si>
  <si>
    <t>COTOVELO DE COBRE 90 GRAUS (REF 607) SEM ANEL DE SOLDA, BOLSA X BOLSA, 42 MM</t>
  </si>
  <si>
    <t>SF-01090</t>
  </si>
  <si>
    <t>COTOVELO DE COBRE 90 GRAUS (REF 607) SEM ANEL DE SOLDA, BOLSA X BOLSA, 22 MM</t>
  </si>
  <si>
    <t>SF-01092</t>
  </si>
  <si>
    <t>LUVA DE COBRE (REF 600) SEM ANEL DE SOLDA, BOLSA X BOLSA, 35 MM</t>
  </si>
  <si>
    <t>SF-01093</t>
  </si>
  <si>
    <t>LUVA DE COBRE (REF 600) SEM ANEL DE SOLDA, BOLSA X BOLSA, 42 MM</t>
  </si>
  <si>
    <t>SF-01094</t>
  </si>
  <si>
    <t>LUVA DE COBRE (REF 600) SEM ANEL DE SOLDA, BOLSA X BOLSA, 22 MM</t>
  </si>
  <si>
    <t>SF-01097</t>
  </si>
  <si>
    <t>TUBO DE COBRE CLASSE "A", DN = 1 1/4 " (35 MM), PARA INSTALACOES DE MEDIA PRESSAO PARA GASES COMBUSTIVEIS E MEDICINAIS</t>
  </si>
  <si>
    <t>SF-01098</t>
  </si>
  <si>
    <t>TUBO DE COBRE CLASSE "A", DN = 1 1/2 " (42 MM), PARA INSTALACOES DE MEDIA PRESSAO PARA GASES COMBUSTIVEIS E MEDICINAIS</t>
  </si>
  <si>
    <t>SF-01101</t>
  </si>
  <si>
    <t>ELETRODUTO FLEXIVEL, EM ACO GALVANIZADO, REVESTIDO EXTERNAMENTE COM PVC PRETO, DIAMETRO EXTERNO DE 50 MM( 1 1/2"), TIPO SEALTUBO</t>
  </si>
  <si>
    <t>SF-01102</t>
  </si>
  <si>
    <t>TECNICO DE EDIFICACOES COM ENCARGOS COMPLEMENTARES</t>
  </si>
  <si>
    <t>SF-01104</t>
  </si>
  <si>
    <t>ENGENHEIRO CIVIL PLENO COM ENCARGOS COMPLEMENTARES</t>
  </si>
  <si>
    <t>SF-01105</t>
  </si>
  <si>
    <t>TAQUEADOR OU TAQUEIRO COM ENCARGOS COMPLEMENTARES</t>
  </si>
  <si>
    <t>Laminado melamínico texturizado esp. 1,3 mm</t>
  </si>
  <si>
    <t>SF-01106</t>
  </si>
  <si>
    <t>Granito Preto Absoluto, com 20 mm de espessura</t>
  </si>
  <si>
    <t>SF-01107</t>
  </si>
  <si>
    <t>Granito Arabesco, com 20 mm de espessura</t>
  </si>
  <si>
    <t>SF-01108</t>
  </si>
  <si>
    <t>PISO EM PORCELANATO RETIFICADO EXTRA, FORMATO MENOR OU IGUAL A 2025 CM2</t>
  </si>
  <si>
    <t>AZULEJISTA OU LADRILHISTA COM ENCARGOS COMPLEMENTARES</t>
  </si>
  <si>
    <t>SF-01109</t>
  </si>
  <si>
    <t>SF-01110</t>
  </si>
  <si>
    <t>Piso vinílico em manta esp. 2 mm</t>
  </si>
  <si>
    <t>SF-01111</t>
  </si>
  <si>
    <t>SELANTE MONOCOMPONENTE A BASE DE SILICONE DE BAIXO MODULO, PARA JUNTAS DE PAVIMENTACAO</t>
  </si>
  <si>
    <t>SF-01112</t>
  </si>
  <si>
    <t>Lixa grana 100 para superfície metálica</t>
  </si>
  <si>
    <t>Fonte: Pini 20.105.000010.SER e Pini 20.105.000015.SER</t>
  </si>
  <si>
    <t>SF-01113</t>
  </si>
  <si>
    <t>Raspagem, calafetagem, aplicação de synteko alto brilho em piso de madeira</t>
  </si>
  <si>
    <t>SF-01114</t>
  </si>
  <si>
    <t>TACO DE MADEIRA PARA PISO, IPE (CERNE) OU EQUIVALENTE DA REGIAO, 7 X 42 CM, E = 2 CM</t>
  </si>
  <si>
    <t>COLA BRANCA BASE PVA</t>
  </si>
  <si>
    <t>SF-01115</t>
  </si>
  <si>
    <t>SF-01116</t>
  </si>
  <si>
    <t>Piso sintético flutuante, laminado de alta resistência, superfície em overlay, substrato HDF-H, painel de fibras de madeira de alta densidade, e = 7 cm</t>
  </si>
  <si>
    <t>SF-01117</t>
  </si>
  <si>
    <t>Placa acústica perfilada, semi-rígida, de estrutura micro-celular, com dimensões de 625x625x25 mm, na cor natural (cinza claro)</t>
  </si>
  <si>
    <t>SF-01118</t>
  </si>
  <si>
    <t>Placa acústica plana, semi-rígida, de estrutura micro-celular, com dimensões de 625x625x25 mm, na cor natural (cinza claro)</t>
  </si>
  <si>
    <t>SF-01119</t>
  </si>
  <si>
    <t>ARAME GALVANIZADO 18 BWG, D = 1,24MM (0,009 KG/M)</t>
  </si>
  <si>
    <t>SISAL EM FIBRA</t>
  </si>
  <si>
    <t>CENTO</t>
  </si>
  <si>
    <t>GESSEIRO COM ENCARGOS COMPLEMENTARES</t>
  </si>
  <si>
    <t>SF-01120</t>
  </si>
  <si>
    <t>SF-01121</t>
  </si>
  <si>
    <t>Obs.: Acréscimo de 15% no coeficiente da tinta para suprir a diferença de preço da tinta branca para as tintas de cores especiais.</t>
  </si>
  <si>
    <t>SF-01123</t>
  </si>
  <si>
    <t>SF-01124</t>
  </si>
  <si>
    <t>SF-01125</t>
  </si>
  <si>
    <t>SF-01126</t>
  </si>
  <si>
    <t>Carga inerte para tratamento antiderrapante em piso (ref.: Sikadur 512 ou 515)</t>
  </si>
  <si>
    <t>SF-01127</t>
  </si>
  <si>
    <t>LIXA EM FOLHA PARA FERRO, NUMERO 150</t>
  </si>
  <si>
    <t>SF-01128</t>
  </si>
  <si>
    <t>Compressor de ar portátil de 71 PCM - 15 kW</t>
  </si>
  <si>
    <t>Serra para corte de concreto e asfalto - 10 kW</t>
  </si>
  <si>
    <t>Cordão de polietileno expandido</t>
  </si>
  <si>
    <t>Disco diamantado - D = 350 mm</t>
  </si>
  <si>
    <t>SELANTE A BASE DE ALCATRAO E POLIURETANO PARA JUNTAS HORIZONTAIS</t>
  </si>
  <si>
    <t>SF-01129</t>
  </si>
  <si>
    <t>PO DE PEDRA (POSTO PEDREIRA/FORNECEDOR, SEM FRETE)</t>
  </si>
  <si>
    <t>BLOQUETE/PISO DE CONCRETO - MODELO BLOCO PISOGRAMA/CONCREGRAMA 2 FUROS, DIMENSOES APROX. DE 35 CM X 15 CM E ESPESSURA DE 7 CM (+/- 1 CM), COR NATURAL</t>
  </si>
  <si>
    <t>CALCETEIRO COM ENCARGOS COMPLEMENTARES</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</si>
  <si>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</si>
  <si>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</si>
  <si>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</si>
  <si>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Obs: considerando fornecedor de areia e brita a 20 km do Senado Federal</t>
  </si>
  <si>
    <t>SF-01130</t>
  </si>
  <si>
    <t>ROLO COMPACTADOR DE PNEUS, ESTATICO, PRESSAO VARIAVEL, POTENCIA 110 HP, PESO SEM/COM LASTRO 10,8/27 T, LARGURA DE ROLAGEM 2,30 M - CHI DIURNO. AF_06/2017</t>
  </si>
  <si>
    <t>ROLO COMPACTADOR DE PNEUS, ESTATICO, PRESSAO VARIAVEL, POTENCIA 110 HP, PESO SEM/COM LASTRO 10,8/27 T, LARGURA DE ROLAGEM 2,30 M - CHP DIURNO. AF_06/2017</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</si>
  <si>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</si>
  <si>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</si>
  <si>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TRATOR DE PNEUS, POTÊNCIA 85 CV, TRAÇÃO 4X4, PESO COM LASTRO DE 4.675 KG - CHI DIURNO. AF_06/2014</t>
  </si>
  <si>
    <t>TRATOR DE PNEUS, POTÊNCIA 85 CV, TRAÇÃO 4X4, PESO COM LASTRO DE 4.675 KG - CHP DIURNO. AF_06/2014</t>
  </si>
  <si>
    <t>VASSOURA MECÂNICA REBOCÁVEL COM ESCOVA CILÍNDRICA, LARGURA ÚTIL DE VARRIMENTO DE 2,44 M - CHI DIURNO. AF_06/2014</t>
  </si>
  <si>
    <t>VASSOURA MECÂNICA REBOCÁVEL COM ESCOVA CILÍNDRICA, LARGURA ÚTIL DE VARRIMENTO DE 2,44 M - CHP DIURNO. AF_06/2014</t>
  </si>
  <si>
    <t>VIBROACABADORA DE ASFALTO SOBRE ESTEIRAS, LARGURA DE PAVIMENTAÇÃO 1,90 M A 5,30 M, POTÊNCIA 105 HP CAPACIDADE 450 T/H - CHP DIURNO. AF_11/2014</t>
  </si>
  <si>
    <t>CAMINHÃO BASCULANTE 10 M3, TRUCADO, POTÊNCIA 230 CV, INCLUSIVE CAÇAMBA METÁLICA, COM DISTRIBUIDOR DE AGREGADOS ACOPLADO - CHP DIURNO. AF_02/2017</t>
  </si>
  <si>
    <t>AREIA GROSSA - POSTO JAZIDA/FORNECEDOR (RETIRADO NA JAZIDA, SEM TRANSPORTE)</t>
  </si>
  <si>
    <t>EMULSAO ASFALTICA CATIONICA RL-1C PARA USO EM PAVIMENTACAO ASFALTICA (COLETADO CAIXA NA ANP ACRESCIDO DE ICMS)</t>
  </si>
  <si>
    <t>T</t>
  </si>
  <si>
    <t>GRUPO GERADOR ESTACIONÁRIO, POTÊNCIA 150 KVA, MOTOR A DIESEL- CHP DIURNO. AF_03/2016</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</si>
  <si>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</si>
  <si>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</si>
  <si>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USINA DE ASFALTO À FRIO, CAPACIDADE DE 40 A 60 TON/HORA, ELÉTRICA POTÊNCIA 30 CV - CHP DIURNO. AF_03/2016</t>
  </si>
  <si>
    <t>TANQUE DE ASFALTO ESTACIONÁRIO COM SERPENTINA, CAPACIDADE 30.000 L - CHP DIURNO. AF_06/2014</t>
  </si>
  <si>
    <t>SF-01131</t>
  </si>
  <si>
    <t>Compactador manual de placa vibratória - 3 kW - CHP</t>
  </si>
  <si>
    <t>Compactador manual de placa vibratória - 3 kW - CHI</t>
  </si>
  <si>
    <t>Asfalto a frio ensacado</t>
  </si>
  <si>
    <t>SF-01132</t>
  </si>
  <si>
    <t>MICROESFERAS DE VIDRO PARA SINALIZACAO HORIZONTAL VIARIA, TIPO I-B (PREMIX) - NBR 16184</t>
  </si>
  <si>
    <t>MÁQUINA DEMARCADORA DE FAIXA DE TRÁFEGO À FRIO, AUTOPROPELIDA, POTÊNCIA 38 HP - CHP DIURNO. AF_07/2016</t>
  </si>
  <si>
    <t>SF-01133</t>
  </si>
  <si>
    <t>HASTE RETA PARA GANCHO DE FERRO GALVANIZADO, COM ROSCA 1/4 " X 30 CM PARA FIXACAO DE TELHA METALICA, INCLUI PORCA E ARRUELAS DE VEDACAO</t>
  </si>
  <si>
    <t>TELHADISTA COM ENCARGOS COMPLEMENTARES</t>
  </si>
  <si>
    <t>GUINCHO ELÉTRICO DE COLUNA, CAPACIDADE 400 KG, COM MOTO FREIO, MOTOR TRIFÁSICO DE 1,25 CV - CHP DIURNO. AF_03/2016</t>
  </si>
  <si>
    <t>GUINCHO ELÉTRICO DE COLUNA, CAPACIDADE 400 KG, COM MOTO FREIO, MOTOR TRIFÁSICO DE 1,25 CV - CHI DIURNO. AF_03/2016</t>
  </si>
  <si>
    <t>SF-01134</t>
  </si>
  <si>
    <t>SF-01135</t>
  </si>
  <si>
    <t>Telha metálica trapezoidal galvanizada GR 25 com espessura de 0,43 mm, com largura de 1020 mm e comprimento de 5 metros.</t>
  </si>
  <si>
    <t>SF-01136</t>
  </si>
  <si>
    <t>SF-01137</t>
  </si>
  <si>
    <t>Conjunto de vedação elástica para furo Ø 8 mm</t>
  </si>
  <si>
    <t>Telha estrutural de fibrocimento ondulada esp. 8 mm largura útil 102 cm</t>
  </si>
  <si>
    <t>Calço plástico para fixação de telha de fibrocimento tipo modulada e onda 50</t>
  </si>
  <si>
    <t>Fixador de aba telha de fibrocimento simples modulada</t>
  </si>
  <si>
    <t>Parafuso rosca soberba galvanizado Ø 8 mm x 165 mm</t>
  </si>
  <si>
    <t>SF-01138</t>
  </si>
  <si>
    <t>Cumeeira articulada superior para telha de fibrocimento modulada ou onda 50</t>
  </si>
  <si>
    <t>SF-01139</t>
  </si>
  <si>
    <t>Cumeeira articulada inferior para telha de fibrocimento tipo modulada ou onda 50</t>
  </si>
  <si>
    <t>SF-01140</t>
  </si>
  <si>
    <t>CONJUNTO ARRUELAS DE VEDACAO 5/16" PARA TELHA FIBROCIMENTO (UMA ARRUELA METALICA E UMA ARRUELA PVC - CONICAS)</t>
  </si>
  <si>
    <t>PARAFUSO ZINCADO ROSCA SOBERBA, CABECA SEXTAVADA, 5/16 " X 250 MM, PARA FIXACAO DE TELHA EM MADEIRA</t>
  </si>
  <si>
    <t>TELHA DE FIBROCIMENTO ONDULADA E = 6 MM, DE 2,44 X 1,10 M (SEM AMIANTO)</t>
  </si>
  <si>
    <t>SF-01141</t>
  </si>
  <si>
    <t>CUMEEIRA UNIVERSAL PARA TELHA ONDULADA DE FIBROCIMENTO, E = 6 MM, ABA 210 MM, COMPRIMENTO 1100 MM (SEM AMIANTO)</t>
  </si>
  <si>
    <t>SF-01142</t>
  </si>
  <si>
    <t>CUMEEIRA SHED PARA TELHA ONDULADA DE FIBROCIMENTO, E = 6 MM, ABA 280 MM, COMPRIMENTO 1100 MM (SEM AMIANTO)</t>
  </si>
  <si>
    <t>SF-01143</t>
  </si>
  <si>
    <t>Parafuso rosca soberba galvanizado Ø 8 mm x 250 mm</t>
  </si>
  <si>
    <t>SF-01147</t>
  </si>
  <si>
    <t>FUNDO ANTICORROSIVO PARA METAIS FERROSOS (ZARCAO)</t>
  </si>
  <si>
    <t>SF-01148</t>
  </si>
  <si>
    <t>SF-01149</t>
  </si>
  <si>
    <t>Lava-jato água fria pressão 1700 psi</t>
  </si>
  <si>
    <t>loc/un/h</t>
  </si>
  <si>
    <t>Solução limpadora diluída em água</t>
  </si>
  <si>
    <t>SF-01150</t>
  </si>
  <si>
    <t>ANEL BORRACHA, DN 150 MM, PARA TUBO SERIE REFORCADA ESGOTO PREDIAL</t>
  </si>
  <si>
    <t>RALO FOFO SEMIESFERICO, 150 MM, PARA LAJES/ CALHAS</t>
  </si>
  <si>
    <t>SF-01151</t>
  </si>
  <si>
    <t>SF-01152</t>
  </si>
  <si>
    <t>ADITIVO ADESIVO LIQUIDO PARA ARGAMASSAS DE REVESTIMENTOS CIMENTICIOS</t>
  </si>
  <si>
    <t>ARGAMASSA TRAÇO 1:4 (EM VOLUME DE CIMENTO E AREIA MÉDIA ÚMIDA) PARA CONTRAPISO, PREPARO MECÂNICO COM BETONEIRA 400 L. AF_08/2019</t>
  </si>
  <si>
    <t>SF-01153</t>
  </si>
  <si>
    <t>SF-01154</t>
  </si>
  <si>
    <t>GEOTEXTIL NAO TECIDO AGULHADO DE FILAMENTOS CONTINUOS 100% POLIESTER, RESITENCIA A TRACAO = 10 KN/M</t>
  </si>
  <si>
    <t>SF-01155</t>
  </si>
  <si>
    <t>POLIESTIRENO EXPANDIDO/EPS (ISOPOR), TIPO 2F, PLACA, ISOLAMENTO TERMOACUSTICO, E = 20 MM, 1000 X 500 MM</t>
  </si>
  <si>
    <t>SF-01156</t>
  </si>
  <si>
    <t>SF-01157</t>
  </si>
  <si>
    <t>SF-01158</t>
  </si>
  <si>
    <t>Pintura inibidora de raízes</t>
  </si>
  <si>
    <t>SF-01159</t>
  </si>
  <si>
    <t>Geocomposto Drenante industrializado formado por estrutura drenante de pelo menos 10 mm</t>
  </si>
  <si>
    <t>SF-01160</t>
  </si>
  <si>
    <t>PREGO DE ACO POLIDO COM CABECA 18 X 27 (2 1/2 X 10)</t>
  </si>
  <si>
    <t>REBITE DE ALUMINIO VAZADO DE REPUXO, 3,2 X 8 MM (1KG = 1025 UNIDADES)</t>
  </si>
  <si>
    <t>SOLDA EM BARRA DE ESTANHO-CHUMBO 50/50</t>
  </si>
  <si>
    <t>CALHA QUADRADA DE CHAPA DE ACO GALVANIZADA NUM 24, CORTE 100 CM</t>
  </si>
  <si>
    <t>SF-01161</t>
  </si>
  <si>
    <t>RUFO INTERNO/EXTERNO DE CHAPA DE ACO GALVANIZADA NUM 24, CORTE 25 CM</t>
  </si>
  <si>
    <t>SF-01163</t>
  </si>
  <si>
    <t>ACO CA-50, 10,0 MM, OU 12,5 MM, OU 16,0 MM, OU 20,0 MM, DOBRADO E CORTADO</t>
  </si>
  <si>
    <t>Chapa de madeira compensada resinada 1,10 x 2,20 m # 10 mm</t>
  </si>
  <si>
    <t>BETONEIRA CAPACIDADE NOMINAL DE 600 L, CAPACIDADE DE MISTURA 360 L, MOTOR ELÉTRICO TRIFÁSICO POTÊNCIA DE 4 CV, SEM CARREGADOR - CHP DIURNO. AF_11/2014</t>
  </si>
  <si>
    <t>PREGO DE ACO POLIDO COM CABECA 17 X 21 (2 X 11)</t>
  </si>
  <si>
    <t>SF-01164</t>
  </si>
  <si>
    <t>SF-01165</t>
  </si>
  <si>
    <t>PARAFUSO, COMUM, ASTM A307, SEXTAVADO, DIAMETRO 1/2" (12,7 MM), COMPRIMENTO 1" (25,4 MM)</t>
  </si>
  <si>
    <t>PERFIL "U" ENRIJECIDO DE ACO GALVANIZADO, DOBRADO, 150 X 60 X 20 MM, E = 3,00 MM OU 200 X 75 X 25 MM, E = 3,75 MM</t>
  </si>
  <si>
    <t>SF-01166</t>
  </si>
  <si>
    <t>Obs: considerando rendimento informado na especificação técnica do produto indicado como referência comercial (Lata de 3,6L rende até 3 demãos, com 25 m²/demão).</t>
  </si>
  <si>
    <t>SF-01167</t>
  </si>
  <si>
    <t>Tinta aluminizada de base asfáltica</t>
  </si>
  <si>
    <t>SF-01168</t>
  </si>
  <si>
    <t>POLIESTIRENO EXPANDIDO/EPS (ISOPOR), PEROLAS, PARA CONCRETO LEVE</t>
  </si>
  <si>
    <t>Obs: considerando fornecedor de areia a 20 km do Senado Federal</t>
  </si>
  <si>
    <t>SF-01169</t>
  </si>
  <si>
    <t>PRIMER PARA MANTA ASFALTICA A BASE DE ASFALTO MODIFICADO DILUIDO EM SOLVENTE, APLICACAO A FRIO</t>
  </si>
  <si>
    <t>AJUDANTE ESPECIALIZADO COM ENCARGOS COMPLEMENTARES</t>
  </si>
  <si>
    <t>Obs: Adotou-se o consumo de 350 mL/m², conforme recomendação do fabricante do produto para aplicação homogênea.</t>
  </si>
  <si>
    <t>http://vedacit.com.br/produtos/primer-eco-vedacit</t>
  </si>
  <si>
    <t>SF-01170</t>
  </si>
  <si>
    <t>MEMBRANA IMPERMEABILIZANTE A BASE DE POLIURETANO</t>
  </si>
  <si>
    <t>SF-01171</t>
  </si>
  <si>
    <t>MANTA ASFALTICA ELASTOMERICA EM POLIESTER 4 MM, TIPO III, CLASSE B, ACABAMENTO PP (NBR 9952)</t>
  </si>
  <si>
    <t>GAS DE COZINHA - GLP</t>
  </si>
  <si>
    <t>SF-01172</t>
  </si>
  <si>
    <t>Manta asfáltica aluminizada</t>
  </si>
  <si>
    <t>SF-01173</t>
  </si>
  <si>
    <t>Emulsão hidro-asfáltica</t>
  </si>
  <si>
    <t>Tinta betuminosa</t>
  </si>
  <si>
    <t>Manta butílica # 0,8 mm</t>
  </si>
  <si>
    <t>Fita de caldeação para manta butilíca largura 50 mm # 3 mm</t>
  </si>
  <si>
    <t>Adesivo auto vulcanizante para manta butilíca</t>
  </si>
  <si>
    <t>SF-01174</t>
  </si>
  <si>
    <t>MEMBRANA IMPERMEABILIZANTE ACRILICA MONOCOMPONENTE</t>
  </si>
  <si>
    <t>SF-01175</t>
  </si>
  <si>
    <t>Asfalto elastomérico</t>
  </si>
  <si>
    <t>*Adotou-se o consumo de 2 kg/m², valor intermediário da recomendação do fabricante do produto.</t>
  </si>
  <si>
    <t>http://www.denverimper.com.br/files/produtos/0000001-0000500/122/e5fe48d2b8810574e94921c5fb6cea0c.pdf</t>
  </si>
  <si>
    <t>SF-01176</t>
  </si>
  <si>
    <t>MANTA ASFALTICA ELASTOMERICA EM POLIESTER 3 MM, TIPO III, CLASSE B, ACABAMENTO PP (NBR 9952)</t>
  </si>
  <si>
    <t>SF-01177</t>
  </si>
  <si>
    <t>SF-01179</t>
  </si>
  <si>
    <t>ADITIVO LIQUIDO INCORPORADOR DE AR PARA CONCRETO E ARGAMASSA, LIQUIDO E ISENTO DE CLORETOS</t>
  </si>
  <si>
    <t>Obs: considerando 1,01 L/kg, conforme especificado na ficha técnica do produto indicado como referência comercial.</t>
  </si>
  <si>
    <t>SF-01180</t>
  </si>
  <si>
    <t>Obs: considerando fornecedor de brita a 20 km do Senado Federal</t>
  </si>
  <si>
    <t>SF-01232</t>
  </si>
  <si>
    <t>Adjuvante para argamassa base PVA</t>
  </si>
  <si>
    <t>Carpete aveludado azul royal, para uso comercial, adequado para tráfego pesado, conforme especificações técnicas.</t>
  </si>
  <si>
    <t>SF-01233</t>
  </si>
  <si>
    <t>M3XKM</t>
  </si>
  <si>
    <t>TXKM</t>
  </si>
  <si>
    <t>JG</t>
  </si>
  <si>
    <t>PREGO DE ACO POLIDO COM CABECA 12 X 12</t>
  </si>
  <si>
    <t>ACO CA-60, 4,2 MM, OU 5,0 MM, OU 6,0 MM, OU 7,0 MM, VERGALHAO</t>
  </si>
  <si>
    <t>PLANILHA ORÇAMENTÁRIA</t>
  </si>
  <si>
    <t>QUANTIDADE</t>
  </si>
  <si>
    <t>CUSTO DIRETO</t>
  </si>
  <si>
    <t>BDI (%)</t>
  </si>
  <si>
    <t>PREÇO UNITÁRIO COM BDI</t>
  </si>
  <si>
    <t>hh</t>
  </si>
  <si>
    <t>SF-00047</t>
  </si>
  <si>
    <t>Absorvedor de energia para linha de vida</t>
  </si>
  <si>
    <t>m2 x mês</t>
  </si>
  <si>
    <t>Andaime tubular (aluguel/mês)</t>
  </si>
  <si>
    <t>m x mês</t>
  </si>
  <si>
    <t>SF-00050</t>
  </si>
  <si>
    <t>Cabo de aço com 8 mm de diâmetro galvanizado para linha de vida</t>
  </si>
  <si>
    <t>Corda de poliamida 12 mm tipo bombeiro, para trabalho em altura</t>
  </si>
  <si>
    <t>SF-00052</t>
  </si>
  <si>
    <t>Ensaio de ponto de ancoragem existente</t>
  </si>
  <si>
    <t>SF-00054</t>
  </si>
  <si>
    <t>Esticador de cabo de aço</t>
  </si>
  <si>
    <t>SF-00056</t>
  </si>
  <si>
    <t>Indicador de tensão</t>
  </si>
  <si>
    <t>Isolamento de obra com tela plástica com malha de 5mm e estrutura de madeira pontaleteada</t>
  </si>
  <si>
    <t>SF-00058</t>
  </si>
  <si>
    <t>Suporte intermediário curvo para linha de vida</t>
  </si>
  <si>
    <t>SF-00059</t>
  </si>
  <si>
    <t>Kit de linha de vida para escada de marinheiro</t>
  </si>
  <si>
    <t>SF-00060</t>
  </si>
  <si>
    <t>Kit para montagem de dois olhais</t>
  </si>
  <si>
    <t>SF-00061</t>
  </si>
  <si>
    <t>Manilha com travamento por porca e cupilha</t>
  </si>
  <si>
    <t>SF-00062</t>
  </si>
  <si>
    <t>Pilar de ancoragem para linha de vida</t>
  </si>
  <si>
    <t>SF-00064</t>
  </si>
  <si>
    <t>Placa de ancoragem para extremidade</t>
  </si>
  <si>
    <t>SF-00065</t>
  </si>
  <si>
    <t>Placa de ancoragem para montagem no pilar</t>
  </si>
  <si>
    <t>SF-00066</t>
  </si>
  <si>
    <t>Ponto de ancoragem</t>
  </si>
  <si>
    <t>SF-00069</t>
  </si>
  <si>
    <t>Tapume</t>
  </si>
  <si>
    <t>SF-00071</t>
  </si>
  <si>
    <t>Trole para linha de vida horizontal</t>
  </si>
  <si>
    <t>SF-00072</t>
  </si>
  <si>
    <t>Trole para travaqueda retrátil</t>
  </si>
  <si>
    <t>Grelha quadrada para ralo 10x10cm</t>
  </si>
  <si>
    <t>Grelha quadrada para ralo 15x15cm</t>
  </si>
  <si>
    <t>Cuba oval de embutir</t>
  </si>
  <si>
    <t>Cuba semiencaixe quadrada com mesa</t>
  </si>
  <si>
    <t>Torneira de mesa para cozinha bica móvel – Linha Administrativa</t>
  </si>
  <si>
    <t>Torneira de mesa para lavatório – Linha Acessibilidade</t>
  </si>
  <si>
    <t>Torneira de mesa para lavatório com fechamento automático – Linha Administrativa</t>
  </si>
  <si>
    <t>Válvula descarga para mictório – Linha Administrativa</t>
  </si>
  <si>
    <t>Lavatório suspenso com Coluna – Linha Acessibilidade</t>
  </si>
  <si>
    <t>SF-00405</t>
  </si>
  <si>
    <t>SF-00407</t>
  </si>
  <si>
    <t>SF-00409</t>
  </si>
  <si>
    <t>SF-00411</t>
  </si>
  <si>
    <t>SF-00414</t>
  </si>
  <si>
    <t>SF-00415</t>
  </si>
  <si>
    <t>SF-00416</t>
  </si>
  <si>
    <t>par</t>
  </si>
  <si>
    <t>SF-00443</t>
  </si>
  <si>
    <t>500 ml</t>
  </si>
  <si>
    <t>SF-00468</t>
  </si>
  <si>
    <t>SF-00470</t>
  </si>
  <si>
    <t>SF-00471</t>
  </si>
  <si>
    <t>SF-00472</t>
  </si>
  <si>
    <t>SF-00489</t>
  </si>
  <si>
    <t>SF-00490</t>
  </si>
  <si>
    <t>SF-00491</t>
  </si>
  <si>
    <t>SF-00494</t>
  </si>
  <si>
    <t>SF-00496</t>
  </si>
  <si>
    <t>SF-00498</t>
  </si>
  <si>
    <t>SF-00500</t>
  </si>
  <si>
    <t>SF-00501</t>
  </si>
  <si>
    <t>SF-00502</t>
  </si>
  <si>
    <t>SF-00503</t>
  </si>
  <si>
    <t>SF-00504</t>
  </si>
  <si>
    <t>SF-00505</t>
  </si>
  <si>
    <t>SF-00506</t>
  </si>
  <si>
    <t>SF-00507</t>
  </si>
  <si>
    <t>SF-00508</t>
  </si>
  <si>
    <t>SF-00509</t>
  </si>
  <si>
    <t>SF-00510</t>
  </si>
  <si>
    <t>SF-00511</t>
  </si>
  <si>
    <t>SF-00512</t>
  </si>
  <si>
    <t>SF-00513</t>
  </si>
  <si>
    <t>SF-00514</t>
  </si>
  <si>
    <t>SF-00557</t>
  </si>
  <si>
    <t>SF-00559</t>
  </si>
  <si>
    <t>SF-00561</t>
  </si>
  <si>
    <t>SF-00562</t>
  </si>
  <si>
    <t>40 kg</t>
  </si>
  <si>
    <t>50 kg</t>
  </si>
  <si>
    <t>20 kg</t>
  </si>
  <si>
    <t>SF-00583</t>
  </si>
  <si>
    <t>SF-00592</t>
  </si>
  <si>
    <t>Profissional</t>
  </si>
  <si>
    <t>SF-00718</t>
  </si>
  <si>
    <t>SF-00719</t>
  </si>
  <si>
    <t>SF-00726</t>
  </si>
  <si>
    <t>Caixa para ferramenta sanfonada metálica com cadeado</t>
  </si>
  <si>
    <t>SF-00728</t>
  </si>
  <si>
    <t>SF-00736</t>
  </si>
  <si>
    <t>Enxadão com cabo</t>
  </si>
  <si>
    <t>SF-00737</t>
  </si>
  <si>
    <t>SF-00741</t>
  </si>
  <si>
    <t>Esmerilhadeira Angular 4,5’’</t>
  </si>
  <si>
    <t>SF-00743</t>
  </si>
  <si>
    <t>Espátula forjada de 12 cm</t>
  </si>
  <si>
    <t>SF-00744</t>
  </si>
  <si>
    <t>Espátula forjada de 4 cm</t>
  </si>
  <si>
    <t>SF-00745</t>
  </si>
  <si>
    <t>Espátula forjada de 8 cm</t>
  </si>
  <si>
    <t>SF-00746</t>
  </si>
  <si>
    <t>SF-00750</t>
  </si>
  <si>
    <t>Furadeira Industrial</t>
  </si>
  <si>
    <t>SF-00752</t>
  </si>
  <si>
    <t>Jogo de soquetes de 1/2’’, 10-32 mm</t>
  </si>
  <si>
    <t>SF-00756</t>
  </si>
  <si>
    <t>Marreta de 1 kg</t>
  </si>
  <si>
    <t>SF-00758</t>
  </si>
  <si>
    <t>Martelo de bola, 500 gramas</t>
  </si>
  <si>
    <t>SF-00759</t>
  </si>
  <si>
    <t>Martelo de pena, 300 gramas</t>
  </si>
  <si>
    <t>SF-00760</t>
  </si>
  <si>
    <t>SF-00761</t>
  </si>
  <si>
    <t>Nível manual de alumínio com base magnética 350 mm</t>
  </si>
  <si>
    <t>SF-00763</t>
  </si>
  <si>
    <t>Pá quadrada com 120 cm</t>
  </si>
  <si>
    <t>SF-00765</t>
  </si>
  <si>
    <t>Peneira fina</t>
  </si>
  <si>
    <t>SF-00768</t>
  </si>
  <si>
    <t>Picareta</t>
  </si>
  <si>
    <t>SF-00769</t>
  </si>
  <si>
    <t>Prumo de centro</t>
  </si>
  <si>
    <t>SF-00770</t>
  </si>
  <si>
    <t>Prumo de parede</t>
  </si>
  <si>
    <t>SF-00772</t>
  </si>
  <si>
    <t>SF-00773</t>
  </si>
  <si>
    <t>SF-00776</t>
  </si>
  <si>
    <t>Tesoura de chapas tipo aviação</t>
  </si>
  <si>
    <t>SF-00777</t>
  </si>
  <si>
    <t>SF-00806</t>
  </si>
  <si>
    <t>Maçarico para gás GLP</t>
  </si>
  <si>
    <t>SF-00807</t>
  </si>
  <si>
    <t>Máquina de solda inversora AC/DC 180 A 220 Volts</t>
  </si>
  <si>
    <t>SF-00813</t>
  </si>
  <si>
    <t>Desempenadeira de aço dentada</t>
  </si>
  <si>
    <t>SF-00814</t>
  </si>
  <si>
    <t>Desempenadeira de aço lisa</t>
  </si>
  <si>
    <t>SF-00815</t>
  </si>
  <si>
    <t>Desempenadeira estriada em PVC 14 x 27 cm</t>
  </si>
  <si>
    <t>SF-00816</t>
  </si>
  <si>
    <t>Desempenadeira lisa em PVC 18 x 30 cm</t>
  </si>
  <si>
    <t>SF-00817</t>
  </si>
  <si>
    <t>Martelete demolidor 1,7 kW (12 kg)</t>
  </si>
  <si>
    <t>dia</t>
  </si>
  <si>
    <t>SF-00822</t>
  </si>
  <si>
    <t>pç</t>
  </si>
  <si>
    <t>SF-00828</t>
  </si>
  <si>
    <t>SF-00829</t>
  </si>
  <si>
    <t>SF-00840</t>
  </si>
  <si>
    <t>SF-00841</t>
  </si>
  <si>
    <t>SF-00847</t>
  </si>
  <si>
    <t>SF-00848</t>
  </si>
  <si>
    <t>m2 x km</t>
  </si>
  <si>
    <t>Assento para bacia convencional - Linha Acessibilidade</t>
  </si>
  <si>
    <t>SF-00963</t>
  </si>
  <si>
    <t>SF-00969</t>
  </si>
  <si>
    <t>m3 x km</t>
  </si>
  <si>
    <t>SF-01032</t>
  </si>
  <si>
    <t>SF-01033</t>
  </si>
  <si>
    <t>SF-01034</t>
  </si>
  <si>
    <t>SF-01035</t>
  </si>
  <si>
    <t>SF-01036</t>
  </si>
  <si>
    <t>SF-01037</t>
  </si>
  <si>
    <t>SF-01038</t>
  </si>
  <si>
    <t>SF-01039</t>
  </si>
  <si>
    <t>SF-01040</t>
  </si>
  <si>
    <t>SF-01050</t>
  </si>
  <si>
    <t>Tampa em ferro fundido 20x20 cm</t>
  </si>
  <si>
    <t>SF-01103</t>
  </si>
  <si>
    <t>Locação de Retroescavadeira com Pá Carregadeira sobre Rodas</t>
  </si>
  <si>
    <t>SF-01144</t>
  </si>
  <si>
    <t>Passarela móvel para telhado (sem degraus)</t>
  </si>
  <si>
    <t>SF-01145</t>
  </si>
  <si>
    <t>Passarela móvel para telhado (com degraus)</t>
  </si>
  <si>
    <t>SF-01191</t>
  </si>
  <si>
    <t>Conjunto de cavadeiras (grande e pequena)</t>
  </si>
  <si>
    <t>SF-01192</t>
  </si>
  <si>
    <t>SF-01194</t>
  </si>
  <si>
    <t>SF-01195</t>
  </si>
  <si>
    <t>SF-01196</t>
  </si>
  <si>
    <t>Conjunto de escovas de aço (pequena, média e grande)</t>
  </si>
  <si>
    <t>SF-01197</t>
  </si>
  <si>
    <t>SF-01198</t>
  </si>
  <si>
    <t>Marreta de 5 kg</t>
  </si>
  <si>
    <t>SF-01199</t>
  </si>
  <si>
    <t>Marreta de 10 kg</t>
  </si>
  <si>
    <t>SF-01200</t>
  </si>
  <si>
    <t>SF-01201</t>
  </si>
  <si>
    <t>SF-01202</t>
  </si>
  <si>
    <t>Serra copo diamantada (conjunto de 1/2" a 1 1/2")</t>
  </si>
  <si>
    <t>SF-01205</t>
  </si>
  <si>
    <t>Enxada com cabo (2,5 libras)</t>
  </si>
  <si>
    <t>SF-01206</t>
  </si>
  <si>
    <t>Escada extensível de alumínio dupla 2x8</t>
  </si>
  <si>
    <t>SF-01208</t>
  </si>
  <si>
    <t>Escada tipo tesoura duplo acesso de fibra com 12 degraus</t>
  </si>
  <si>
    <t>SF-01209</t>
  </si>
  <si>
    <t>SF-01210</t>
  </si>
  <si>
    <t>Furadeira/Parafusadeira elétrica</t>
  </si>
  <si>
    <t>SF-01213</t>
  </si>
  <si>
    <t>SF-01214</t>
  </si>
  <si>
    <t>Mangueira de nível de 20m</t>
  </si>
  <si>
    <t>SF-01215</t>
  </si>
  <si>
    <t>Martelete demolidor 1kW (5 Kg)</t>
  </si>
  <si>
    <t>SF-01216</t>
  </si>
  <si>
    <t>Pistola aplicadora de silicone e PU</t>
  </si>
  <si>
    <t>SF-01217</t>
  </si>
  <si>
    <t>Serra mármore</t>
  </si>
  <si>
    <t>SF-01218</t>
  </si>
  <si>
    <t>Serrote para gesso</t>
  </si>
  <si>
    <t>SF-01219</t>
  </si>
  <si>
    <t>Talha Manual para Elevação de Cargas (2 ton)</t>
  </si>
  <si>
    <t>SF-01220</t>
  </si>
  <si>
    <t>SF-01224</t>
  </si>
  <si>
    <t>Lavadora de alta pressão</t>
  </si>
  <si>
    <t>BENEFÍCIOS E DESPESAS INDIRETAS - BDI</t>
  </si>
  <si>
    <t>BDI Edificações</t>
  </si>
  <si>
    <t>BDI mero fornecimento</t>
  </si>
  <si>
    <t>Componentes do BDI</t>
  </si>
  <si>
    <t>% considerado</t>
  </si>
  <si>
    <t>AC</t>
  </si>
  <si>
    <t>S+G</t>
  </si>
  <si>
    <t>R</t>
  </si>
  <si>
    <t>DF</t>
  </si>
  <si>
    <t>PIS</t>
  </si>
  <si>
    <t>COFINS</t>
  </si>
  <si>
    <t>CPRB</t>
  </si>
  <si>
    <t>ISS</t>
  </si>
  <si>
    <r>
      <t xml:space="preserve">Fontes: </t>
    </r>
    <r>
      <rPr>
        <sz val="12"/>
        <rFont val="Arial"/>
        <family val="2"/>
      </rPr>
      <t>Acórdãos 2.369/2011-TCU-Plenário e 2.622/2013-TCU-Plenário.</t>
    </r>
  </si>
  <si>
    <t>ESCAVADEIRA HIDRÁULICA SOBRE ESTEIRAS, CAÇAMBA 0,80 M3, PESO OPERACIONAL 17 T, POTENCIA BRUTA 111 HP - CHP DIURNO. AF_06/2014</t>
  </si>
  <si>
    <t>RETROESCAVADEIRA SOBRE RODAS COM CARREGADEIRA, TRAÇÃO 4X4, POTÊNCIA LÍQ. 88 HP, CAÇAMBA CARREG. CAP. MÍN. 1 M3, CAÇAMBA RETRO CAP. 0,26 M3, PESO OPERACIONAL MÍN. 6.674 KG, PROFUNDIDADE ESCAVAÇÃO MÁX. 4,37 M - CHP DIURNO. AF_06/2014</t>
  </si>
  <si>
    <t>GUINDAUTO HIDRÁULICO, CAPACIDADE MÁXIMA DE CARGA 6200 KG, MOMENTO MÁXIMO DE CARGA 11,7 TM, ALCANCE MÁXIMO HORIZONTAL 9,70 M, INCLUSIVE CAMINHÃO TOCO PBT 16.000 KG, POTÊNCIA DE 189 CV - CHP DIURNO. AF_06/2014</t>
  </si>
  <si>
    <t>PERFURATRIZ HIDRÁULICA SOBRE CAMINHÃO COM TRADO CURTO ACOPLADO, PROFUNDIDADE MÁXIMA DE 20 M, DIÂMETRO MÁXIMO DE 1500 MM, POTÊNCIA INSTALADA DE 137 HP, MESA ROTATIVA COM TORQUE MÁXIMO DE 30 KNM - CHP DIURNO. AF_06/2015</t>
  </si>
  <si>
    <t>DESEMPENADEIRA DE CONCRETO, PESO DE 75KG, 4 PÁS, MOTOR A GASOLINA, POTÊNCIA 5,5 HP - CHP DIURNO. AF_09/2016</t>
  </si>
  <si>
    <t>ESCAVADEIRA HIDRÁULICA SOBRE ESTEIRAS, CAÇAMBA 0,80 M3, PESO OPERACIONAL 17 T, POTENCIA BRUTA 111 HP - CHI DIURNO. AF_06/2014</t>
  </si>
  <si>
    <t>RETROESCAVADEIRA SOBRE RODAS COM CARREGADEIRA, TRAÇÃO 4X4, POTÊNCIA LÍQ. 88 HP, CAÇAMBA CARREG. CAP. MÍN. 1 M3, CAÇAMBA RETRO CAP. 0,26 M3, PESO OPERACIONAL MÍN. 6.674 KG, PROFUNDIDADE ESCAVAÇÃO MÁX. 4,37 M - CHI DIURNO. AF_06/2014</t>
  </si>
  <si>
    <t>PERFURATRIZ HIDRÁULICA SOBRE CAMINHÃO COM TRADO CURTO ACOPLADO, PROFUNDIDADE MÁXIMA DE 20 M, DIÂMETRO MÁXIMO DE 1500 MM, POTÊNCIA INSTALADA DE 137 HP, MESA ROTATIVA COM TORQUE MÁXIMO DE 30 KNM - CHI DIURNO. AF_06/2015</t>
  </si>
  <si>
    <t>MÁQUINA DEMARCADORA DE FAIXA DE TRÁFEGO À FRIO, AUTOPROPELIDA, POTÊNCIA 38 HP - CHI DIURNO. AF_07/2016</t>
  </si>
  <si>
    <t>ARMAÇÃO VERTICAL DE ALVENARIA ESTRUTURAL; DIÂMETRO DE 10,0 MM. AF_01/2015</t>
  </si>
  <si>
    <t>ARMAÇÃO DE CINTA DE ALVENARIA ESTRUTURAL; DIÂMETRO DE 10,0 MM. AF_01/2015</t>
  </si>
  <si>
    <t>ARMAÇÃO DE LAJE DE UMA ESTRUTURA CONVENCIONAL DE CONCRETO ARMADO EM UMA EDIFICAÇÃO TÉRREA OU SOBRADO UTILIZANDO AÇO CA-60 DE 5,0 MM - MONTAGEM. AF_12/2015</t>
  </si>
  <si>
    <t>CORTE E DOBRA DE AÇO CA-50, DIÂMETRO DE 6,3 MM, UTILIZADO EM LAJE. AF_12/2015</t>
  </si>
  <si>
    <t>CORTE E DOBRA DE AÇO CA-25, DIÂMETRO DE 16,0 MM. AF_12/2015</t>
  </si>
  <si>
    <t>CONCRETO FCK = 20MPA, TRAÇO 1:2,7:3 (CIMENTO/ AREIA MÉDIA/ BRITA 1)  - PREPARO MECÂNICO COM BETONEIRA 400 L. AF_07/2016</t>
  </si>
  <si>
    <t>PEÇA RETANGULAR PRÉ-MOLDADA, VOLUME DE CONCRETO DE 10 A 30 LITROS, TAXA DE AÇO APROXIMADA DE 30KG/M³. AF_01/2018</t>
  </si>
  <si>
    <t>PEÇA RETANGULAR PRÉ-MOLDADA, VOLUME DE CONCRETO DE 30 A 100 LITROS, TAXA DE AÇO APROXIMADA DE 30KG/M³. AF_01/2018</t>
  </si>
  <si>
    <t>FIXAÇÃO DE TUBOS HORIZONTAIS DE PVC, CPVC OU COBRE DIÂMETROS MENORES OU IGUAIS A 40 MM OU ELETROCALHAS ATÉ 150MM DE LARGURA, COM ABRAÇADEIRA METÁLICA RÍGIDA TIPO D 1/2, FIXADA EM PERFILADO EM LAJE. AF_05/2015</t>
  </si>
  <si>
    <t>ARGAMASSA TRAÇO 1:1:6 (EM VOLUME DE CIMENTO, CAL E AREIA MÉDIA ÚMIDA) PARA EMBOÇO/MASSA ÚNICA/ASSENTAMENTO DE ALVENARIA DE VEDAÇÃO, PREPARO MANUAL. AF_08/2019</t>
  </si>
  <si>
    <t>ARGAMASSA TRAÇO 1:3 (EM VOLUME DE CIMENTO E AREIA MÉDIA ÚMIDA), PREPARO MECÂNICO COM BETONEIRA 400 L. AF_08/2019</t>
  </si>
  <si>
    <t>ARGAMASSA TRAÇO 1:2:9 (EM VOLUME DE CIMENTO, CAL E AREIA MÉDIA ÚMIDA) PARA EMBOÇO/MASSA ÚNICA/ASSENTAMENTO DE ALVENARIA DE VEDAÇÃO, PREPARO MECÂNICO COM BETONEIRA 400 L. AF_08/2019</t>
  </si>
  <si>
    <t>MARCAÇÃO DE PONTOS EM GABARITO OU CAVALETE. AF_10/2018</t>
  </si>
  <si>
    <t>ASSENTADOR DE TUBOS COM ENCARGOS COMPLEMENTARES</t>
  </si>
  <si>
    <t>AUXILIAR DE TOPÓGRAFO COM ENCARGOS COMPLEMENTARES</t>
  </si>
  <si>
    <t>ELETROTÉCNICO COM ENCARGOS COMPLEMENTARES</t>
  </si>
  <si>
    <t>MARMORISTA/GRANITEIRO COM ENCARGOS COMPLEMENTARES</t>
  </si>
  <si>
    <t>SOLDADOR COM ENCARGOS COMPLEMENTARES</t>
  </si>
  <si>
    <t>VIDRACEIRO COM ENCARGOS COMPLEMENTARES</t>
  </si>
  <si>
    <t>AUXILIAR DE ESCRITORIO COM ENCARGOS COMPLEMENTARES</t>
  </si>
  <si>
    <t>DESENHISTA PROJETISTA COM ENCARGOS COMPLEMENTARES</t>
  </si>
  <si>
    <t>ENCARREGADO GERAL COM ENCARGOS COMPLEMENTARES</t>
  </si>
  <si>
    <t>TOPOGRAFO COM ENCARGOS COMPLEMENTARES</t>
  </si>
  <si>
    <t>ENGENHEIRO ELETRICISTA COM ENCARGOS COMPLEMENTARES</t>
  </si>
  <si>
    <t>AUXILIAR DE ALMOXARIFE COM ENCARGOS COMPLEMENTARES</t>
  </si>
  <si>
    <t>ADESIVO ESTRUTURAL A BASE DE RESINA EPOXI, BICOMPONENTE, FLUIDO</t>
  </si>
  <si>
    <t>ADESIVO PARA TUBOS CPVC, *75* G</t>
  </si>
  <si>
    <t>ALICATE DE CRIMPAR RJ11, RJ12 E RJ45</t>
  </si>
  <si>
    <t>ARAME GALVANIZADO 16 BWG, D = 1,65MM (0,0166 KG/M)</t>
  </si>
  <si>
    <t>BRACO P/ LUMINARIA PUBLICA 1 X 1,50M ROMAGNOLE OU EQUIV</t>
  </si>
  <si>
    <t>BUCHA DE NYLON SEM ABA S6, COM PARAFUSO DE 4,20 X 40 MM EM ACO ZINCADO COM ROSCA SOBERBA, CABECA CHATA E FENDA PHILLIPS</t>
  </si>
  <si>
    <t>CABO DE COBRE NU 16 MM2 MEIO-DURO</t>
  </si>
  <si>
    <t>CABO DE COBRE NU 25 MM2 MEIO-DURO</t>
  </si>
  <si>
    <t>CABO DE COBRE NU 35 MM2 MEIO-DURO</t>
  </si>
  <si>
    <t>CABO DE COBRE NU 50 MM2 MEIO-DURO</t>
  </si>
  <si>
    <t>CABO DE COBRE NU 70 MM2 MEIO-DURO</t>
  </si>
  <si>
    <t>CAIXA DE PASSAGEM, EM PVC, DE 4" X 2", PARA ELETRODUTO FLEXIVEL CORRUGADO</t>
  </si>
  <si>
    <t>CAIXA DE PASSAGEM, EM PVC, DE 4" X 4", PARA ELETRODUTO FLEXIVEL CORRUGADO</t>
  </si>
  <si>
    <t>CANTONEIRA ALUMINIO ABAS IGUAIS 1 ", E = 3 /16 "</t>
  </si>
  <si>
    <t>CAPA PARA CHUVA EM PVC COM FORRO DE POLIESTER, COM CAPUZ (AMARELA OU AZUL)</t>
  </si>
  <si>
    <t>CHAPA DE ACO GALVANIZADA BITOLA GSG 16, E = 1,55 MM (12,40 KG/M2)</t>
  </si>
  <si>
    <t>CHAPA DE LAMINADO MELAMINICO, TEXTURIZADO, DE *1,25 X 3,08* M, E = 0,8 MM</t>
  </si>
  <si>
    <t>CHAPA DE MDF BRANCO LISO 1 FACE, E = 6 MM, DE *2,75 X 1,85* M</t>
  </si>
  <si>
    <t>CHAPA DE MDF BRANCO LISO 2 FACES, E = 15 MM, DE *2,75 X 1,85* M</t>
  </si>
  <si>
    <t>CHAPA DE MDF BRANCO LISO 2 FACES, E = 18 MM, DE *2,75 X 1,85* M</t>
  </si>
  <si>
    <t>CONCRETO USINADO BOMBEAVEL, CLASSE DE RESISTENCIA C20,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</si>
  <si>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</si>
  <si>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</si>
  <si>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CONDULETE DE ALUMINIO TIPO C, PARA ELETRODUTO ROSCAVEL DE 4", COM TAMPA CEGA</t>
  </si>
  <si>
    <t>CONDULETE DE ALUMINIO TIPO E, PARA ELETRODUTO ROSCAVEL DE 1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</si>
  <si>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</si>
  <si>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</si>
  <si>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</si>
  <si>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</si>
  <si>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T, PARA ELETRODUTO ROSCAVEL DE 2", COM TAMPA CEGA</t>
  </si>
  <si>
    <t>CONE DE SINALIZACAO EM PVC RIGIDO COM FAIXA REFLETIVA, H = 70 / 76 CM</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</si>
  <si>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</si>
  <si>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</si>
  <si>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</si>
  <si>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</si>
  <si>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</si>
  <si>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</si>
  <si>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</si>
  <si>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</si>
  <si>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</si>
  <si>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</si>
  <si>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</si>
  <si>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</si>
  <si>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</si>
  <si>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</si>
  <si>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</si>
  <si>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</si>
  <si>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</si>
  <si>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</si>
  <si>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</si>
  <si>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2", PARA ELETRODUTO</t>
  </si>
  <si>
    <t>CURVA 90 GRAUS, LONGA, DE PVC RIGIDO ROSCAVEL, DE 3",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</si>
  <si>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</si>
  <si>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</si>
  <si>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</si>
  <si>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</si>
  <si>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</si>
  <si>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</si>
  <si>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</si>
  <si>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</si>
  <si>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</si>
  <si>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ELETRODUTO DE PVC RIGIDO ROSCAVEL DE 1 ", SEM LUVA</t>
  </si>
  <si>
    <t>ELETRODUTO DE PVC RIGIDO ROSCAVEL DE 1 1/2 ", SEM LUVA</t>
  </si>
  <si>
    <t>ELETRODUTO DE PVC RIGIDO ROSCAVEL DE 1 1/4 ", SEM LUVA</t>
  </si>
  <si>
    <t>ELETRODUTO DE PVC RIGIDO ROSCAVEL DE 2 ", SEM LUVA</t>
  </si>
  <si>
    <t>ELETRODUTO DE PVC RIGIDO ROSCAVEL DE 3 ", SEM LUVA</t>
  </si>
  <si>
    <t>ELETRODUTO DE PVC RIGIDO ROSCAVEL DE 3/4 ", SEM LUVA</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</si>
  <si>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</si>
  <si>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</si>
  <si>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</si>
  <si>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60 MM (2"), TIPO SEALTUBO</t>
  </si>
  <si>
    <t>ELETRODUTO PVC FLEXIVEL CORRUGADO, REFORCADO, COR LARANJA, DE 25 MM, PARA LAJES E PISOS</t>
  </si>
  <si>
    <t>ELETRODUTO PVC FLEXIVEL CORRUGADO, REFORCADO, COR LARANJA, DE 32 MM, PARA LAJES E PISOS</t>
  </si>
  <si>
    <t>ENDURECEDOR MINERAL DE BASE CIMENTICIA PARA PISO DE CONCRETO</t>
  </si>
  <si>
    <t>FITA DE PAPEL REFORCADA COM LAMINA DE METAL PARA REFORCO DE CANTOS DE CHAPA DE GESSO PARA DRYWALL</t>
  </si>
  <si>
    <t>FITA ISOLANTE ADESIVA ANTICHAMA, USO ATE 750 V, EM ROLO DE 19 MM X 5 M</t>
  </si>
  <si>
    <t>FUSIVEL DIAZED 35 A TAMANHO DIII, CAPACIDADE DE INTERRUPCAO DE 50 KA EM VCA E 8 KA EM VCC, TENSAO NOMIMNAL DE 500 V</t>
  </si>
  <si>
    <t>GEOTEXTIL NAO TECIDO AGULHADO DE FILAMENTOS CONTINUOS 100% POLIESTER, RESITENCIA A TRACAO = 31 KN/M</t>
  </si>
  <si>
    <t>LAMPADA FLUORESCENTE COMPACTA 2U BRANCA 15 W, BASE E27 (127/220 V)</t>
  </si>
  <si>
    <t>LUMINARIA DE LED PARA ILUMINACAO PUBLICA, DE 51 W ATE 67 W, INVOLUCRO EM ALUMINIO OU ACO INOX</t>
  </si>
  <si>
    <t>LUMINARIA DE LED PARA ILUMINACAO PUBLICA, DE 98 W ATE 137 W, INVOLUCRO EM ALUMINIO OU ACO INOX</t>
  </si>
  <si>
    <t>LUMINARIA PLAFON REDONDO COM VIDRO FOSCO DIAMETRO *30* CM, PARA 2 LAMPADAS, BASE E27, POTENCIA MAXIMA 40/60 W (NAO INCLUI LAMPADAS)</t>
  </si>
  <si>
    <t>LUVA EM PVC RIGIDO ROSCAVEL, DE 1 1/2", PARA ELETRODUTO</t>
  </si>
  <si>
    <t>LUVA EM PVC RIGIDO ROSCAVEL, DE 1 1/4", PARA ELETRODUTO</t>
  </si>
  <si>
    <t>LUVA EM PVC RIGIDO ROSCAVEL, DE 1", PARA ELETRODUTO</t>
  </si>
  <si>
    <t>LUVA EM PVC RIGIDO ROSCAVEL, DE 2", PARA ELETRODUTO</t>
  </si>
  <si>
    <t>LUVA EM PVC RIGIDO ROSCAVEL, DE 3/4", PARA ELETRODUTO</t>
  </si>
  <si>
    <t>LUVA EM PVC RIGIDO ROSCAVEL, DE 3",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</si>
  <si>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</si>
  <si>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</si>
  <si>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</si>
  <si>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</si>
  <si>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</si>
  <si>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</si>
  <si>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</si>
  <si>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</si>
  <si>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</si>
  <si>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MASSA PLASTICA PARA MARMORE/GRANITO</t>
  </si>
  <si>
    <t>PARA-RAIOS TIPO FRANKLIN 350 MM, EM LATAO CROMADO, DUAS DESCIDAS, PARA PROTECAO DE EDIFICACOES CONTRA DESCARGAS ATMOSFERICAS</t>
  </si>
  <si>
    <t>PINO DE ACO COM FURO, HASTE = 27 MM (ACAO DIRETA)</t>
  </si>
  <si>
    <t>PISO DE BORRACHA PASTILHADO EM PLACAS 50 X 50 CM, E = *3,5* MM, PARA COLA, PRETO</t>
  </si>
  <si>
    <t>PLACA/TAMPA CEGA EM LATAO ESCOVADO PARA CONDULETE EM LIGA DE ALUMINIO 4 X 4"</t>
  </si>
  <si>
    <t>PREGO DE ACO POLIDO COM CABECA DUPLA 17 X 27 (2 1/2 X 11)</t>
  </si>
  <si>
    <t>PREGO DE ACO POLIDO COM CABECA 17 X 27 (2 1/2 X 11)</t>
  </si>
  <si>
    <t>PREGO DE ACO POLIDO SEM CABECA 15 X 15 (1 1/4 X 13)</t>
  </si>
  <si>
    <t>PROTETOR SOLAR FPS 30, EMBALAGEM 2 LITROS</t>
  </si>
  <si>
    <t>PULSADOR CAMPAINHA 10A, 250V (APENAS MODULO)</t>
  </si>
  <si>
    <t>QUADRO DE DISTRIBUICAO COM BARRAMENTO TRIFASICO, DE SOBREPOR, EM CHAPA DE ACO GALVANIZADO, PARA 18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</si>
  <si>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</si>
  <si>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</si>
  <si>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</si>
  <si>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RODAPE DE MADEIRA MACICA CUMARU/IPE CHAMPANHE OU EQUIVALENTE DA REGIAO, *1,5 X 7 CM</t>
  </si>
  <si>
    <t>SENSOR DE PRESENCA BIVOLT COM FOTOCELULA PARA QUALQUER TIPO DE LAMPADA, POTENCIA MAXIMA *1000* W, USO EXTERNO</t>
  </si>
  <si>
    <t>SUPORTE MAO-FRANCESA EM ACO, ABAS IGUAIS 40 CM, CAPACIDADE MINIMA 70 KG, BRANCO</t>
  </si>
  <si>
    <t>TALABARTE DE SEGURANCA, 2 MOSQUETOES TRAVA DUPLA *53* MM DE ABERTURA, COM ABSORVEDOR DE ENERGIA</t>
  </si>
  <si>
    <t>TAMPA PARA CONDULETE, EM PVC, PARA 1 MODULO RJ</t>
  </si>
  <si>
    <t>TAMPAO / TERMINAL / PLUG, D = 1 1/4" , PARA DUTO CORRUGADO PEAD (CABEAMENTO SUBTERRANEO)</t>
  </si>
  <si>
    <t>TAMPAO / TERMINAL / PLUG, D = 2" , PARA DUTO CORRUGADO PEAD (CABEAMENTO SUBTERRANEO)</t>
  </si>
  <si>
    <t>TAMPAO / TERMINAL / PLUG, D = 3" , PARA DUTO CORRUGADO PEAD (CABEAMENTO SUBTERRANEO)</t>
  </si>
  <si>
    <t>TE MISTURADOR DE TRANSICAO, CPVC, COM ROSCA, 22 MM X 3/4", PARA AGUA QUENTE</t>
  </si>
  <si>
    <t>TELA DE ACO SOLDADA GALVANIZADA/ZINCADA PARA ALVENARIA, FIO D = *1,20 A 1,70* MM, MALHA 15 X 15 MM, (C X L) *50 X 7,5* CM</t>
  </si>
  <si>
    <t>TELA DE ARAME GALVANIZADA QUADRANGULAR / LOSANGULAR, FIO 2,77 MM (12 BWG), MALHA 5 X 5 CM, H = 2 M</t>
  </si>
  <si>
    <t>TELA EM METAL PARA ESTUQUE (DEPLOYE)</t>
  </si>
  <si>
    <t>TELA PLASTICA LARANJA, TIPO TAPUME PARA SINALIZACAO, MALHA RETANGULAR, ROLO 1.20 X 50 M (L X C)</t>
  </si>
  <si>
    <t>TELHA TRAPEZOIDAL EM ACO ZINCADO, SEM PINTURA, ALTURA DE APROXIMADAMENTE 40 MM, ESPESSURA DE 0,50 MM E LARGURA UTIL DE 980 MM</t>
  </si>
  <si>
    <t>TERMINAL A COMPRESSAO EM COBRE ESTANHADO PARA CABO 120 MM2, 1 FURO E 1 COMPRESSAO, PARA PARAFUSO DE FIXACAO M12</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</si>
  <si>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</si>
  <si>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</si>
  <si>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</si>
  <si>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</si>
  <si>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</si>
  <si>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METALICO A PRESSAO PARA 1 CABO DE 150 MM2, COM 1 FURO DE FIXACAO</t>
  </si>
  <si>
    <t>TERMINAL METALICO A PRESSAO PARA 1 CABO DE 185 MM2, COM 1 FURO DE FIXACAO</t>
  </si>
  <si>
    <t>TERMINAL METALICO A PRESSAO PARA 1 CABO DE 240 MM2, COM 1 FURO DE FIXACAO</t>
  </si>
  <si>
    <t>TERMINAL METALICO A PRESSAO PARA 1 CABO DE 300 MM2, COM 1 FURO DE FIXACAO</t>
  </si>
  <si>
    <t>TRAVA-QUEDAS EM ACO PARA CORDA DE 12 MM, EXTENSOR DE 25 X 300 MM, COM MOSQUETAO TIPO GANCHO TRAVA DUPLA</t>
  </si>
  <si>
    <t>TUBO ACO CARBONO SEM COSTURA 2", E= *3,91* MM, SCHEDULE 40, *5,43* KG/M</t>
  </si>
  <si>
    <t>TUBO ACO CARBONO SEM COSTURA 8", E= *8,18 MM, SCHEDULE 40, *42,55 KG/M</t>
  </si>
  <si>
    <t>TUBO CPVC, SOLDAVEL, 22 MM, AGUA QUENTE PREDIAL (NBR 15884)</t>
  </si>
  <si>
    <t>TUBO CPVC, SOLDAVEL, 28 MM, AGUA QUENTE PREDIAL (NBR 15884)</t>
  </si>
  <si>
    <t>TUBO MULTICAMADA PEX, DN *26* MM, PARA INSTALACOES A GAS (AMARELO)</t>
  </si>
  <si>
    <t>TUBO MULTICAMADA PEX, DN 20 MM, PARA INSTALACOES A GAS (AMARELO)</t>
  </si>
  <si>
    <t>VEU POLIESTER</t>
  </si>
  <si>
    <t>Obs: considerando rendimento informado na especificação técnica de um dos produtos indicados como referência comercial (Lata de 3,6L rende até 75 m²/demão).</t>
  </si>
  <si>
    <t>Obs: considerando rendimento informado na especificação técnica de produto equivalente da Suvinil (Lata de 3,6L rende até 100 m²/demão).</t>
  </si>
  <si>
    <t>SF-01235</t>
  </si>
  <si>
    <t>SF-01236</t>
  </si>
  <si>
    <t>SF-01240</t>
  </si>
  <si>
    <t>SF-01241</t>
  </si>
  <si>
    <t>SF-01242</t>
  </si>
  <si>
    <t>SF-01243</t>
  </si>
  <si>
    <t>SF-01244</t>
  </si>
  <si>
    <t>SF-01245</t>
  </si>
  <si>
    <t>SF-01246</t>
  </si>
  <si>
    <t>SF-01247</t>
  </si>
  <si>
    <t>SF-01248</t>
  </si>
  <si>
    <t>SF-01249</t>
  </si>
  <si>
    <t>SF-01250</t>
  </si>
  <si>
    <t>SF-01251</t>
  </si>
  <si>
    <t>SF-01252</t>
  </si>
  <si>
    <t>SF-01255</t>
  </si>
  <si>
    <t>SF-01256</t>
  </si>
  <si>
    <t>SF-01257</t>
  </si>
  <si>
    <t>SF-01258</t>
  </si>
  <si>
    <t>SF-01259</t>
  </si>
  <si>
    <t>SF-01260</t>
  </si>
  <si>
    <t>SF-01261</t>
  </si>
  <si>
    <t>SF-01262</t>
  </si>
  <si>
    <t>SF-01263</t>
  </si>
  <si>
    <t>SF-01264</t>
  </si>
  <si>
    <t>SF-01265</t>
  </si>
  <si>
    <t>SF-01266</t>
  </si>
  <si>
    <t>SF-01267</t>
  </si>
  <si>
    <t>SF-01268</t>
  </si>
  <si>
    <t>SF-01269</t>
  </si>
  <si>
    <t>SF-01270</t>
  </si>
  <si>
    <t>SF-01271</t>
  </si>
  <si>
    <t>SF-01272</t>
  </si>
  <si>
    <t>SF-01273</t>
  </si>
  <si>
    <t>SF-01278</t>
  </si>
  <si>
    <t>SF-01279</t>
  </si>
  <si>
    <t>SF-01280</t>
  </si>
  <si>
    <t>SF-01281</t>
  </si>
  <si>
    <t>SF-01282</t>
  </si>
  <si>
    <t>SF-01283</t>
  </si>
  <si>
    <t>SF-01284</t>
  </si>
  <si>
    <t>SF-01285</t>
  </si>
  <si>
    <t>SF-01286</t>
  </si>
  <si>
    <t>SF-01287</t>
  </si>
  <si>
    <t>SF-01288</t>
  </si>
  <si>
    <t>SF-01289</t>
  </si>
  <si>
    <t>Chuveiro de metal com tubo de parede – Linha Residencial</t>
  </si>
  <si>
    <t>Misturador para bidê – Linha Residencial</t>
  </si>
  <si>
    <t>Misturador de mesa para cozinha bica móvel – Linha Residencial</t>
  </si>
  <si>
    <t>Misturador de mesa para lavatório bica alta – Linha Residencial</t>
  </si>
  <si>
    <t>Misturador de parede para cozinha bica móvel – Linha Residencial</t>
  </si>
  <si>
    <t>Tê misturador de transição 1/2” ou 3/4” – Linha Residencial</t>
  </si>
  <si>
    <t>Base para válvula de descarga 1 1/2”</t>
  </si>
  <si>
    <t>Base para válvula de descarga 1 1/4”</t>
  </si>
  <si>
    <t>Anel de Vedação para bacia sanitária</t>
  </si>
  <si>
    <t>Aquecedor elétrico para pia – Linha Residencial</t>
  </si>
  <si>
    <t>Prateleira – Linha Residencial</t>
  </si>
  <si>
    <t>Saboneteira – Linha Residencial</t>
  </si>
  <si>
    <t>ARAME RECOZIDO 16 BWG, D = 1,65 MM (0,016 KG/M) OU 18 BWG, D = 1,25 MM (0,01 KG/M)</t>
  </si>
  <si>
    <t>ARGAMASSA COLANTE TIPO AC III E</t>
  </si>
  <si>
    <t>BLOCO DE CONCRETO ESTRUTURAL 14 X 19 X 34 CM, FBK 4,5 MPA (NBR 6136)</t>
  </si>
  <si>
    <t>BLOCO DE CONCRETO ESTRUTURAL 14 X 19 X 39 CM, FBK 4,5 MPA (NBR 6136)</t>
  </si>
  <si>
    <t>BLOCO DE CONCRETO ESTRUTURAL 19 X 19 X 39 CM, FBK 4,5 MPA (NBR 6136)</t>
  </si>
  <si>
    <t>BLOCO DE CONCRETO ESTRUTURAL 9 X 19 X 39 CM, FBK 4,5 MPA (NBR 6136)</t>
  </si>
  <si>
    <t>CANALETA DE CONCRETO ESTRUTURAL 14 X 19 X 39 CM, FBK 4,5 MPA (NBR 6136)</t>
  </si>
  <si>
    <t>CANALETA DE CONCRETO 19 X 19 X 19 CM (CLASSE C - NBR 6136)</t>
  </si>
  <si>
    <t>MEIO BLOCO DE CONCRETO ESTRUTURAL 14 X 19 X 19 CM, FBK 4,5 MPA (NBR 6136)</t>
  </si>
  <si>
    <t>REJUNTE EPOXI, QUALQUER COR</t>
  </si>
  <si>
    <t>TIJOLO CERAMICO MACICO COMUM *5 X 10 X 20* CM (L X A X C)</t>
  </si>
  <si>
    <t>TUBO ACO CARBONO SEM COSTURA 1 1/4", E= *3,56 MM, SCHEDULE 40, *3,38* KG/M</t>
  </si>
  <si>
    <t>TUBO ACO CARBONO SEM COSTURA 1", E= *3,38 MM, SCHEDULE 40, *2,50* KG/M</t>
  </si>
  <si>
    <t>TUBO ACO CARBONO SEM COSTURA 5", E= *6,55 MM, SCHEDULE 40, *21,75* KG/M</t>
  </si>
  <si>
    <t>TRANSPORTE COM CAMINHÃO BASCULANTE DE 6 M³, EM VIA URBANA EM REVESTIMENTO PRIMÁRIO (UNIDADE: M3XKM).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</si>
  <si>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</si>
  <si>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</si>
  <si>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CARGA, MANOBRA E DESCARGA DE SOLOS E MATERIAIS GRANULARES EM CAMINHÃO BASCULANTE 6 M³ - CARGA COM PÁ CARREGADEIRA (CAÇAMBA DE 1,7 A 2,8 M³ / 128 HP) E DESCARGA LIVRE (UNIDADE: M3).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</si>
  <si>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</si>
  <si>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</si>
  <si>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Rejunte cimenticio, qualquer cor</t>
  </si>
  <si>
    <t>Argamassa colante tipo AC III</t>
  </si>
  <si>
    <t>Argamassa colante AC II</t>
  </si>
  <si>
    <t>Rejunte epoxi, qualquer cor</t>
  </si>
  <si>
    <t>Telha estrutural de fibrocimento esp. 8 mm largura útil 49 cm</t>
  </si>
  <si>
    <t>Massa rápida para recuperação</t>
  </si>
  <si>
    <t>Argamassa para recuperação</t>
  </si>
  <si>
    <t>Primer à base de resina acrílica</t>
  </si>
  <si>
    <t>Cumeeira metálica galvanizada GR 25 com espessura de 0,43 mm.</t>
  </si>
  <si>
    <t>Cumeeira metálica galvanizada GR 40 com espessura de 0,43 mm.</t>
  </si>
  <si>
    <t>Revestimento impermabilizante bloqueador de umidade</t>
  </si>
  <si>
    <t>Obs 1: Considerando consumo do adesivo estrutural 1,8 kg / m² / mm.</t>
  </si>
  <si>
    <t>Obs 2: Considerando consumo do selante 100 ml / cm de espessura.</t>
  </si>
  <si>
    <t>Batedor/limitador inferior para box de correr, em material polimérico sintético</t>
  </si>
  <si>
    <t>Batedor/amortecedor lateral de borracha para box de correr.</t>
  </si>
  <si>
    <t>Batedor/limitador superior para roldana de box de correr, em material polimérico sintético</t>
  </si>
  <si>
    <t>Fonte: http://www.alpuxadores.com.br/baixar/catalogo.pdf</t>
  </si>
  <si>
    <t>Ref.: AL Indústria Ref.: AL-63</t>
  </si>
  <si>
    <t>Ref.: AL Indústria Ref.: AL-BX-02</t>
  </si>
  <si>
    <t>Ref.: AL Indústria Ref.: AL-BX-07</t>
  </si>
  <si>
    <t>Ref.: AL Indústria Ref.: AL-BX-08</t>
  </si>
  <si>
    <t>Ref.: AL Indústria Ref.: AL-BX-03</t>
  </si>
  <si>
    <t>Ref.: AL Indústria Ref.: AL-BX-01</t>
  </si>
  <si>
    <t>Ref.: AL Indústria Ref.: AL-BX-05</t>
  </si>
  <si>
    <t>Ref.: AL Indústria Ref.: AL-BX-06</t>
  </si>
  <si>
    <t>Misturador de mesa para cozinha, bica móvel, cromado. Ref.: Deca Aspen 1256.C35 ou equivalente</t>
  </si>
  <si>
    <t>Misturador para bidê, ref: Deca Aspen 1895.C35 ou equivalente</t>
  </si>
  <si>
    <t>Bidê 3 furos branco ref: Deca Vogue Plus B.5.17 ou equivalente</t>
  </si>
  <si>
    <t>Chuveiro de metal cromado com tubo de parede, crivo regulável e restritor de vazão. Ref.: Deca Aspen 1967.C.CT ou equivalente</t>
  </si>
  <si>
    <t>Bacia Sanitária convencional branca ref: Deca Vogue Plus P.5.17 ou equivalente</t>
  </si>
  <si>
    <t>Misturador para lavatório de mesa bica alta, cromado. Ref.: Deca Aspen 1877.C35 ou equivalente</t>
  </si>
  <si>
    <t>Misturador de parede para cozinha, cromada. Ref.: Deca Aspen 1258.C35 ou equivalente</t>
  </si>
  <si>
    <t>Dobradiça metálica automática para vidro/vidro, utilizada em Box de vidro temperado, com porta de abrir. Ref.: Santa Marina, 1129.</t>
  </si>
  <si>
    <t>Lâmpada fluorescente compacta, 23W, ref: OSRAM Duluxstar DST STICK 23 W/865 220V E27</t>
  </si>
  <si>
    <t>Luminária tipo arandela, de sobrepor, dimensões (em mm) 250 x 250 x 73, base E27. Ref.: Taschibra-Arandela Embaú; Bronzearte - Bambu</t>
  </si>
  <si>
    <t>Base de válvula de descarga 1 1/2”</t>
  </si>
  <si>
    <t>Base de válvula de descarga 1 1/4”</t>
  </si>
  <si>
    <t>Cerâmica 30x60xm Glacier White (26109E) – Linha White Home – Portobello, ou similar</t>
  </si>
  <si>
    <t>Aquecedor elétrico individual automático, 5000W, 220V</t>
  </si>
  <si>
    <t>Prateleira com base em resina, com acabamento cromado. Ref: Deca Flex 2031.C.FLX ou equivalente</t>
  </si>
  <si>
    <t>Saboneteira com base em resina de alta resistência com espessura com acabamento cromado. Ref: Deca Flex 2010.C.FLX ou equivalente</t>
  </si>
  <si>
    <t>Campainha eletrônica de dois tons, 70 dB,  220V</t>
  </si>
  <si>
    <t>SF-01295</t>
  </si>
  <si>
    <t>SF-01296</t>
  </si>
  <si>
    <t>SF-01310</t>
  </si>
  <si>
    <t>SF-01311</t>
  </si>
  <si>
    <t>SF-01312</t>
  </si>
  <si>
    <t>SF-01313</t>
  </si>
  <si>
    <t>SF-01314</t>
  </si>
  <si>
    <t>SF-01315</t>
  </si>
  <si>
    <t>SF-01316</t>
  </si>
  <si>
    <t>SF-01317</t>
  </si>
  <si>
    <t>SF-01318</t>
  </si>
  <si>
    <t>SF-01319</t>
  </si>
  <si>
    <t>SF-01325</t>
  </si>
  <si>
    <t>SF-01326</t>
  </si>
  <si>
    <t>SF-01327</t>
  </si>
  <si>
    <t>SF-01328</t>
  </si>
  <si>
    <t>Válvula de esfera em bronze 1/2”</t>
  </si>
  <si>
    <t>SF-01329</t>
  </si>
  <si>
    <t>Válvula gaveta com flange DN 125 (5" NPS)</t>
  </si>
  <si>
    <t>SF-01331</t>
  </si>
  <si>
    <t>SF-01332</t>
  </si>
  <si>
    <t>SF-01333</t>
  </si>
  <si>
    <t>SF-01334</t>
  </si>
  <si>
    <t>SF-01335</t>
  </si>
  <si>
    <t>SF-01336</t>
  </si>
  <si>
    <t>SF-01339</t>
  </si>
  <si>
    <t>m²</t>
  </si>
  <si>
    <t>Cambota elastomérica de 8" para suporte de tubulação industrial</t>
  </si>
  <si>
    <t>Curva raio curto 45° em aço carbono para solda de topo, SCH 40, DN 125 (5" NPS)</t>
  </si>
  <si>
    <t>Curva raio curto 90° em aço carbono para solda de topo, SCH 40, DN 125 (5" NPS)</t>
  </si>
  <si>
    <t>Curva raio longo 90° em aço carbono para solda de topo, SCH 40, DN 125 (5" NPS)</t>
  </si>
  <si>
    <t>Curva raio longo 90° em aço carbono para solda de topo, SCH 40, DN 200 (8" NPS)</t>
  </si>
  <si>
    <t>Eliminador de ar para líquidos com pressão máxima de operação de 10,5 kgf/cm2 (150 psi), DN 20 (3/4" NPS), conexão roscada</t>
  </si>
  <si>
    <t>Flange de pescoço em aço carbono, classe 150, DN 125 (5" NPS)</t>
  </si>
  <si>
    <t>isolamento elastomérico em formato de tubo ou coquilha de espessura M, próprio para tubulações de ferro de diâmetro nominal 5”. Ref.: AF/Armaflex M-48, K-Flex ST</t>
  </si>
  <si>
    <t>Meia luva em aço carbono, classe 3000 lbs, rosca BSP ou NPT, DN 15 (1/2" NPS)</t>
  </si>
  <si>
    <t>Redução concêntrica em aço carbono para solda de topo, SCH 40, diâmetro DN 200 (8" NPS) × DN 125 (5" NPS)</t>
  </si>
  <si>
    <t>Tê em aço carbono para solda de topo, SCH 40, diâmetro DN 200 (8" NPS)</t>
  </si>
  <si>
    <t>Cabo constituído por 12 fibras ópticas do tipo monomodo (9/125μm)</t>
  </si>
  <si>
    <t>Cabo constituído por 144 fibras ópticas do tipo monomodo (9/125μm)</t>
  </si>
  <si>
    <t>Chuveiro elétrico 7800W, 220V. Ref: Lorenzetti Acqua Storm Ultra</t>
  </si>
  <si>
    <t>FABRICAÇÃO DE FÔRMA PARA VIGAS, EM CHAPA DE MADEIRA COMPENSADA RESINADA, E = 17 MM. AF_09/2020</t>
  </si>
  <si>
    <t>FABRICAÇÃO DE ESCORAS DE VIGA DO TIPO GARFO, EM MADEIRA. AF_09/2020</t>
  </si>
  <si>
    <t>PREPARO DE FUNDO DE VALA COM LARGURA MAIOR OU IGUAL A 1,5 M E MENOR QUE 2,5 M (ACERTO DO SOLO NATURAL). AF_08/2020</t>
  </si>
  <si>
    <t>PREPARO DE FUNDO DE VALA COM LARGURA MENOR QUE 1,5 M, COM CAMADA DE BRITA, LANÇAMENTO MANUAL. AF_08/2020</t>
  </si>
  <si>
    <t>PREPARO DE FUNDO DE VALA COM LARGURA MENOR QUE 1,5 M, COM CAMADA DE BRITA, LANÇAMENTO MECANIZADO. AF_08/2020</t>
  </si>
  <si>
    <t>BARRA DE FERRO CHATA, RETANGULAR (QUALQUER BITOLA)</t>
  </si>
  <si>
    <t>CAIBRO 5 X 5 CM EM PINUS, MISTA OU EQUIVALENTE DA REGIAO - BRUTA</t>
  </si>
  <si>
    <t>GESSO EM PO PARA REVESTIMENTOS/MOLDURAS/SANCAS E USO GERAL</t>
  </si>
  <si>
    <t>LONA PLASTICA EXTRA FORTE PRETA, E = 200 MICRA</t>
  </si>
  <si>
    <t>MASSA DE REJUNTE EM PO PARA DRYWALL, A BASE DE GESSO, SECAGEM RAPIDA, PARA TRATAMENTO DE JUNTAS DE CHAPA DE GESSO (NECESSITA ADICAO DE AGUA)</t>
  </si>
  <si>
    <t>MEIO-FIO OU GUIA DE CONCRETO, PRE-MOLDADO, COMP 1 M, *30 X 12/15* CM (H X L1/L2)</t>
  </si>
  <si>
    <t>PLACA / CHAPA DE GESSO ACARTONADO, STANDARD (ST), COR BRANCA, E = 12,5 MM, 1200 X 2400 MM (L X C)</t>
  </si>
  <si>
    <t>PLACA DE GESSO PARA FORRO, *60 X 60* CM, ESPESSURA DE 12 MM (SEM COLOCACAO)</t>
  </si>
  <si>
    <t>PONTALETE *7,5 X 7,5* CM EM PINUS, MISTA OU EQUIVALENTE DA REGIAO - BRUTA</t>
  </si>
  <si>
    <t>SARRAFO *2,5 X 10* CM EM PINUS, MISTA OU EQUIVALENTE DA REGIAO - BRUTA</t>
  </si>
  <si>
    <t>SARRAFO *2,5 X 7,5* CM EM PINUS, MISTA OU EQUIVALENTE DA REGIAO - BRUTA</t>
  </si>
  <si>
    <t>TABUA *2,5 X 23* CM EM PINUS, MISTA OU EQUIVALENTE DA REGIAO - BRUTA</t>
  </si>
  <si>
    <t>TABUA *2,5 X 30 CM EM PINUS, MISTA OU EQUIVALENTE DA REGIAO - BRUTA</t>
  </si>
  <si>
    <t>SF-01342</t>
  </si>
  <si>
    <t>SF-01343</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</si>
  <si>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</si>
  <si>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</si>
  <si>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</si>
  <si>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ESPELHO PARA PORTA DE BANHEIRO, EM ACO INOX (MAQUINA, TESTA E CONTRA-TESTA) E EM ZAMAC (MACANETA, LINGUETA E TRINCOS) COM ACABAMENTO CROMADO, MAQUINA DE 40 MM, INCLUINDO CHAVE TIPO TRANQUETA</t>
  </si>
  <si>
    <t>FECHADURA ESPELHO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</si>
  <si>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40 MM, INCLUINDO CHAVE TIPO CILINDRO</t>
  </si>
  <si>
    <t>LOCACAO DE ANDAIME METALICO TUBULAR DE ENCAIXE, TIPO DE TORRE, COM LARGURA DE 1 ATE 1,5 M E ALTURA DE *1,00* M (INCLUSO SAPATAS FIXAS OU RODIZIOS)</t>
  </si>
  <si>
    <t>PORTA DE ABRIR / GIRO, DE MADEIRA FOLHA MEDIA (NBR 15930) DE 1000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</si>
  <si>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</si>
  <si>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</si>
  <si>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</si>
  <si>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</si>
  <si>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</si>
  <si>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</si>
  <si>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LAMINADO NATURAL PARA VERNIZ</t>
  </si>
  <si>
    <t>PUXADOR TIPO ALCA, EM ZAMAC CROMADO, COM ROSETAS, COMPRIMENTO DE APROX *100* MM, PARA PORTAS E JANELAS DE MADEIRA, INCLUINDO PARAFUSOS</t>
  </si>
  <si>
    <t>TARJETA LIVRE / OCUPADO PARA PORTA DE BANHEIRO, CORPO EM ZAMAC E ESPELHO EM LATAO</t>
  </si>
  <si>
    <t>TINTA EPOXI BASE AGUA PREMIUM, BRANCA</t>
  </si>
  <si>
    <t>REDUCAO EXCENTRICA PVC, SERIE R, DN 150 X 100 MM, PARA ESGOTO OU AGUAS PLUVIAIS PREDIAIS</t>
  </si>
  <si>
    <t>TABUA NAO APARELHADA *2,5 X 30* CM, EM MACARANDUBA, ANGELIM OU EQUIVALENTE DA REGIAO - BRUTA</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</si>
  <si>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</si>
  <si>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</si>
  <si>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</si>
  <si>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</si>
  <si>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</si>
  <si>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MARTELO DEMOLIDOR ELÉTRICO, COM POTÊNCIA DE 2.000 W, 1.000 IMPACTOS POR MINUTO, PESO DE 30 KG - CHP DIURNO. AF_01/2021</t>
  </si>
  <si>
    <t>MARTELO DEMOLIDOR ELÉTRICO, COM POTÊNCIA DE 2.000 W, 1.000 IMPACTOS POR MINUTO, PESO DE 30 KG -  CHI DIURNO. AF_01/2021</t>
  </si>
  <si>
    <t>SF-01347</t>
  </si>
  <si>
    <t>SF-01348</t>
  </si>
  <si>
    <t>SF-01349</t>
  </si>
  <si>
    <t>SF-01350</t>
  </si>
  <si>
    <t>SF-01351</t>
  </si>
  <si>
    <t>SF-01352</t>
  </si>
  <si>
    <t>SF-01353</t>
  </si>
  <si>
    <t>SF-01354</t>
  </si>
  <si>
    <t>SF-01355</t>
  </si>
  <si>
    <t>SF-01356</t>
  </si>
  <si>
    <t>SF-01358</t>
  </si>
  <si>
    <t>SF-01359</t>
  </si>
  <si>
    <t>SF-01360</t>
  </si>
  <si>
    <t>SF-01361</t>
  </si>
  <si>
    <t>SF-01362</t>
  </si>
  <si>
    <t>SF-01363</t>
  </si>
  <si>
    <t>SF-01369</t>
  </si>
  <si>
    <t>SF-01370</t>
  </si>
  <si>
    <t>SF-01373</t>
  </si>
  <si>
    <t>SF-01375</t>
  </si>
  <si>
    <t>SF-01376</t>
  </si>
  <si>
    <t>SF-01377</t>
  </si>
  <si>
    <t>Tampão DN 600 Articulado D-400</t>
  </si>
  <si>
    <t>Tampão T-33 Articulado B-125</t>
  </si>
  <si>
    <t>Jogo de chaves biela métrico</t>
  </si>
  <si>
    <t>Jogo de tarraxas manuais</t>
  </si>
  <si>
    <t>Alicate amperímetro 400 A</t>
  </si>
  <si>
    <t>Termômetro infravermelho</t>
  </si>
  <si>
    <t>Trena 8m</t>
  </si>
  <si>
    <t>Megôhmetro 1 kV</t>
  </si>
  <si>
    <t>Veículo do tipo automóvel de passageiros</t>
  </si>
  <si>
    <t>Tubo PVC esgoto ou águas pluviais predial DN 150mm</t>
  </si>
  <si>
    <t>mês</t>
  </si>
  <si>
    <t>pct</t>
  </si>
  <si>
    <t>SF-01384</t>
  </si>
  <si>
    <t>SF-01386</t>
  </si>
  <si>
    <t>SF-01387</t>
  </si>
  <si>
    <t>SF-01388</t>
  </si>
  <si>
    <t>SF-01390</t>
  </si>
  <si>
    <t>SF-01391</t>
  </si>
  <si>
    <t>SF-01403</t>
  </si>
  <si>
    <t>SF-01404</t>
  </si>
  <si>
    <t>SF-01405</t>
  </si>
  <si>
    <t>SF-01406</t>
  </si>
  <si>
    <t>SF-01407</t>
  </si>
  <si>
    <t>SF-01408</t>
  </si>
  <si>
    <t>SF-01409</t>
  </si>
  <si>
    <t>SF-01410</t>
  </si>
  <si>
    <t>SF-01411</t>
  </si>
  <si>
    <t>SF-01412</t>
  </si>
  <si>
    <t>SF-01413</t>
  </si>
  <si>
    <t>SF-01414</t>
  </si>
  <si>
    <t>SF-01415</t>
  </si>
  <si>
    <t>SF-01416</t>
  </si>
  <si>
    <t>SF-01417</t>
  </si>
  <si>
    <t>SF-01418</t>
  </si>
  <si>
    <t>SF-01419</t>
  </si>
  <si>
    <t>SF-01420</t>
  </si>
  <si>
    <t>SF-01421</t>
  </si>
  <si>
    <t>SF-01422</t>
  </si>
  <si>
    <t>SF-01488</t>
  </si>
  <si>
    <t>SF-01494</t>
  </si>
  <si>
    <t>SF-01540</t>
  </si>
  <si>
    <t>SF-01541</t>
  </si>
  <si>
    <t>SF-01542</t>
  </si>
  <si>
    <t>SF-01543</t>
  </si>
  <si>
    <t>SF-01544</t>
  </si>
  <si>
    <t>SF-01546</t>
  </si>
  <si>
    <t>SF-01547</t>
  </si>
  <si>
    <t>SF-01561</t>
  </si>
  <si>
    <t>SF-01563</t>
  </si>
  <si>
    <t>SF-01564</t>
  </si>
  <si>
    <t>SF-01565</t>
  </si>
  <si>
    <t>SF-01566</t>
  </si>
  <si>
    <t>SF-01567</t>
  </si>
  <si>
    <t>SF-01568</t>
  </si>
  <si>
    <t>SF-01569</t>
  </si>
  <si>
    <t>SF-01570</t>
  </si>
  <si>
    <t>SF-01571</t>
  </si>
  <si>
    <t>SF-01572</t>
  </si>
  <si>
    <t>SF-01599</t>
  </si>
  <si>
    <t>SF-01600</t>
  </si>
  <si>
    <t>SF-01601</t>
  </si>
  <si>
    <t>SF-01602</t>
  </si>
  <si>
    <t>SF-01603</t>
  </si>
  <si>
    <t>SF-01807</t>
  </si>
  <si>
    <t>SF-01808</t>
  </si>
  <si>
    <t>SF-01809</t>
  </si>
  <si>
    <t>SF-01810</t>
  </si>
  <si>
    <t>SF-01811</t>
  </si>
  <si>
    <t>SF-01812</t>
  </si>
  <si>
    <t>SF-01813</t>
  </si>
  <si>
    <t>SF-01814</t>
  </si>
  <si>
    <t>SF-01824</t>
  </si>
  <si>
    <t>SF-01826</t>
  </si>
  <si>
    <t>SF-01827</t>
  </si>
  <si>
    <t>SF-01828</t>
  </si>
  <si>
    <t>SF-01829</t>
  </si>
  <si>
    <t>SF-01831</t>
  </si>
  <si>
    <t>SF-01832</t>
  </si>
  <si>
    <t>SF-01833</t>
  </si>
  <si>
    <t>SF-01834</t>
  </si>
  <si>
    <t>SF-01836</t>
  </si>
  <si>
    <t>SF-01837</t>
  </si>
  <si>
    <t>SF-01838</t>
  </si>
  <si>
    <t>SF-01839</t>
  </si>
  <si>
    <t>SF-01841</t>
  </si>
  <si>
    <t>SF-01842</t>
  </si>
  <si>
    <t>SF-01843</t>
  </si>
  <si>
    <t>SF-01844</t>
  </si>
  <si>
    <t>SF-01846</t>
  </si>
  <si>
    <t>SF-01847</t>
  </si>
  <si>
    <t>SF-01848</t>
  </si>
  <si>
    <t>SF-01849</t>
  </si>
  <si>
    <t>SF-01851</t>
  </si>
  <si>
    <t>SF-01853</t>
  </si>
  <si>
    <t>SF-01854</t>
  </si>
  <si>
    <t>SF-01856</t>
  </si>
  <si>
    <t>SF-01857</t>
  </si>
  <si>
    <t>SF-01858</t>
  </si>
  <si>
    <t>SF-01859</t>
  </si>
  <si>
    <t>SF-01861</t>
  </si>
  <si>
    <t>SF-01862</t>
  </si>
  <si>
    <t>SF-01863</t>
  </si>
  <si>
    <t>SF-01864</t>
  </si>
  <si>
    <t>SF-01866</t>
  </si>
  <si>
    <t>SF-01867</t>
  </si>
  <si>
    <t>SF-01868</t>
  </si>
  <si>
    <t>SF-01869</t>
  </si>
  <si>
    <t>SF-01871</t>
  </si>
  <si>
    <t>SF-01873</t>
  </si>
  <si>
    <t>SF-01875</t>
  </si>
  <si>
    <t>SF-01877</t>
  </si>
  <si>
    <t>SF-01879</t>
  </si>
  <si>
    <t>SF-01880</t>
  </si>
  <si>
    <t>SF-01881</t>
  </si>
  <si>
    <t>SF-01882</t>
  </si>
  <si>
    <t>SF-01883</t>
  </si>
  <si>
    <t>SF-01884</t>
  </si>
  <si>
    <t>SF-01885</t>
  </si>
  <si>
    <t>SF-01886</t>
  </si>
  <si>
    <t>SF-01887</t>
  </si>
  <si>
    <t>SF-01888</t>
  </si>
  <si>
    <t>SF-01889</t>
  </si>
  <si>
    <t>SF-01890</t>
  </si>
  <si>
    <t>SF-01891</t>
  </si>
  <si>
    <t>SF-01892</t>
  </si>
  <si>
    <t>SF-01893</t>
  </si>
  <si>
    <t>SF-01894</t>
  </si>
  <si>
    <t>SF-01895</t>
  </si>
  <si>
    <t>SF-01896</t>
  </si>
  <si>
    <t>SF-01897</t>
  </si>
  <si>
    <t>SF-01898</t>
  </si>
  <si>
    <t>SF-01899</t>
  </si>
  <si>
    <t>SF-01900</t>
  </si>
  <si>
    <t>SF-01901</t>
  </si>
  <si>
    <t>SF-01902</t>
  </si>
  <si>
    <t>SF-01915</t>
  </si>
  <si>
    <t>SF-01916</t>
  </si>
  <si>
    <t>SF-01917</t>
  </si>
  <si>
    <t>SF-01918</t>
  </si>
  <si>
    <t>SF-01919</t>
  </si>
  <si>
    <t>SF-01921</t>
  </si>
  <si>
    <t>SF-01923</t>
  </si>
  <si>
    <t>SF-01925</t>
  </si>
  <si>
    <t>SF-01928</t>
  </si>
  <si>
    <t>SF-01944</t>
  </si>
  <si>
    <t>SF-01946</t>
  </si>
  <si>
    <t>SF-01948</t>
  </si>
  <si>
    <t>SF-01949</t>
  </si>
  <si>
    <t>SF-02076</t>
  </si>
  <si>
    <t>SF-02082</t>
  </si>
  <si>
    <t>SF-02083</t>
  </si>
  <si>
    <t>SF-02091</t>
  </si>
  <si>
    <t>SF-02094</t>
  </si>
  <si>
    <t>SF-02095</t>
  </si>
  <si>
    <t>SF-02099</t>
  </si>
  <si>
    <t>SF-02212</t>
  </si>
  <si>
    <t>SF-02213</t>
  </si>
  <si>
    <t>SF-02214</t>
  </si>
  <si>
    <t>SF-02250</t>
  </si>
  <si>
    <t>SF-02285</t>
  </si>
  <si>
    <t>SF-02290</t>
  </si>
  <si>
    <t>SF-02294</t>
  </si>
  <si>
    <t>SF-02310</t>
  </si>
  <si>
    <t>SF-02328</t>
  </si>
  <si>
    <t>SF-02329</t>
  </si>
  <si>
    <t>SF-02330</t>
  </si>
  <si>
    <t>SF-02363</t>
  </si>
  <si>
    <t>SF-02379</t>
  </si>
  <si>
    <t>SF-02389</t>
  </si>
  <si>
    <t>SF-02499</t>
  </si>
  <si>
    <t>SF-02517</t>
  </si>
  <si>
    <t>SF-02528</t>
  </si>
  <si>
    <t>SF-02541</t>
  </si>
  <si>
    <t>SF-02543</t>
  </si>
  <si>
    <t>SF-02545</t>
  </si>
  <si>
    <t>SF-02554</t>
  </si>
  <si>
    <t>SF-02570</t>
  </si>
  <si>
    <t>SF-02588</t>
  </si>
  <si>
    <t>SF-02590</t>
  </si>
  <si>
    <t>SF-02591</t>
  </si>
  <si>
    <t>SF-02592</t>
  </si>
  <si>
    <t>SF-02593</t>
  </si>
  <si>
    <t>SF-02594</t>
  </si>
  <si>
    <t>SF-02595</t>
  </si>
  <si>
    <t>SF-02596</t>
  </si>
  <si>
    <t>SF-02597</t>
  </si>
  <si>
    <t>SF-02598</t>
  </si>
  <si>
    <t>SF-02599</t>
  </si>
  <si>
    <t>SF-02600</t>
  </si>
  <si>
    <t>SF-02601</t>
  </si>
  <si>
    <t>SF-02602</t>
  </si>
  <si>
    <t>SF-02603</t>
  </si>
  <si>
    <t>SF-02604</t>
  </si>
  <si>
    <t>SF-02606</t>
  </si>
  <si>
    <t>SF-02607</t>
  </si>
  <si>
    <t>SF-02608</t>
  </si>
  <si>
    <t>SF-02609</t>
  </si>
  <si>
    <t>SF-02610</t>
  </si>
  <si>
    <t>SF-02611</t>
  </si>
  <si>
    <t>SF-02612</t>
  </si>
  <si>
    <t>SF-02613</t>
  </si>
  <si>
    <t>SF-02614</t>
  </si>
  <si>
    <t>SF-02615</t>
  </si>
  <si>
    <t>SF-02617</t>
  </si>
  <si>
    <t>SF-02618</t>
  </si>
  <si>
    <t>cm3</t>
  </si>
  <si>
    <t>Suporte intermediário reto para linha de vida</t>
  </si>
  <si>
    <t>Assento para bacia convencional</t>
  </si>
  <si>
    <t>Cuba retangular em aço inox</t>
  </si>
  <si>
    <t>Tanque 38 litros</t>
  </si>
  <si>
    <t>Acabamento para registro GD</t>
  </si>
  <si>
    <t>Acabamento para registro PQ</t>
  </si>
  <si>
    <t>Ducha higiênica</t>
  </si>
  <si>
    <t>Ligação flexível 1/2” x 40 cm</t>
  </si>
  <si>
    <t>Sifão articulado para cozinha</t>
  </si>
  <si>
    <t>Sifão para tanque</t>
  </si>
  <si>
    <t>Torneira de mesa para lavatório bica alta</t>
  </si>
  <si>
    <t>Torneira de parede para cozinha</t>
  </si>
  <si>
    <t>Torneira de parede para tanque</t>
  </si>
  <si>
    <t>Válvula de escoamento para tanque</t>
  </si>
  <si>
    <t>Cabide</t>
  </si>
  <si>
    <t>Papeleira</t>
  </si>
  <si>
    <t>Porta toalha argola</t>
  </si>
  <si>
    <t>Porta toalha barra</t>
  </si>
  <si>
    <t>Esquadro 300 mm</t>
  </si>
  <si>
    <t>Martelo tipo unha</t>
  </si>
  <si>
    <t>Relógio de ponto biométrico</t>
  </si>
  <si>
    <t>Detector de 4 gases</t>
  </si>
  <si>
    <t>Jogo de chave allen curto métrico</t>
  </si>
  <si>
    <t>Conjunto de chaves de boca de 6 a 32 mm</t>
  </si>
  <si>
    <t>Conjunto de chaves de boca de 1/4" a 1 1/4"</t>
  </si>
  <si>
    <t>Talhadeira</t>
  </si>
  <si>
    <t>Exaustor para espaço confinado</t>
  </si>
  <si>
    <t>Jogo de chave torx</t>
  </si>
  <si>
    <t>Veículo do tipo utilitário</t>
  </si>
  <si>
    <t>Tubo PVC soldável água fria DN 25mm</t>
  </si>
  <si>
    <t>Tubo PVC soldável água fria DN 32mm</t>
  </si>
  <si>
    <t>Tubo PVC soldável água fria DN 40mm</t>
  </si>
  <si>
    <t>Tubo PVC soldável água fria DN 50mm</t>
  </si>
  <si>
    <t>ELETRODUTO DE AÇO GALVANIZADO ELETROLÍTICO TIPO LEVE - ROSCA NBR 8133 - ESP. 1,06MM - 3/4"</t>
  </si>
  <si>
    <t>ELETRODUTO DE AÇO GALVANIZADO ELETROLÍTICO TIPO LEVE - ROSCA NBR 8133 - ESP. 1,06MM - 1"</t>
  </si>
  <si>
    <t>ELETRODUTO DE AÇO GALVANIZADO ELETROLÍTICO TIPO LEVE - ROSCA NBR 8133 - ESP. 1,06MM - 1 1/4"</t>
  </si>
  <si>
    <t>ELETRODUTO DE AÇO GALVANIZADO ELETROLÍTICO TIPO LEVE - ROSCA NBR 8133 - ESP. 1,06MM - 1 1/2"</t>
  </si>
  <si>
    <t>ELETRODUTO DE AÇO GALVANIZADO ELETROLÍTICO TIPO LEVE - ROSCA NBR 8133 - ESP. 1,50MM - 2"</t>
  </si>
  <si>
    <t>ELETRODUTO DE AÇO GALVANIZADO ELETROLÍTICO TIPO LEVE - ROSCA NBR 8133 - ESP. 1,50MM - 2 1/2"</t>
  </si>
  <si>
    <t>ELETRODUTO DE AÇO GALVANIZADO ELETROLÍTICO TIPO LEVE - ROSCA NBR 8133 - ESP. 1,50MM - 3"</t>
  </si>
  <si>
    <t>ELETRODUTO DE AÇO GALVANIZADO ELETROLÍTICO TIPO LEVE - ROSCA NBR 8133 - ESP. 1,50MM - 4"</t>
  </si>
  <si>
    <t>BASE DE FUSÍVEL NH 00 ATÉ 160 A EM QUADRO DE DISTRIBUIÇÃO DE LUZ E FORÇA</t>
  </si>
  <si>
    <t>BASE DE FUSÍVEL NH 1 ATÉ 250 A EM QUADRO DE DISTRIBUIÇÃO DE LUZ E FORÇA</t>
  </si>
  <si>
    <t>BASE DE FUSÍVEL NH 2 ATÉ 400 A EM QUADRO DE DISTRIBUIÇÃO DE LUZ E FORÇA</t>
  </si>
  <si>
    <t>BASE DE FUSÍVEL NH 3 ATÉ 630 A EM QUADRO DE DISTRIBUIÇÃO DE FORÇA</t>
  </si>
  <si>
    <t>FUSÍVEL RETARDADO NH 00 COM INDICADOR DE TOPO 125 A</t>
  </si>
  <si>
    <t>FUSÍVEL RETARDADO NH 01 COM INDICADOR DE TOPO 250 A</t>
  </si>
  <si>
    <t>FUSÍVEL RETARDADO NH 02 COM INDICADOR DE TOPO 400 A</t>
  </si>
  <si>
    <t>FUSÍVEL RETARDADO NH 03 COM INDICADOR DE TOPO 630 A</t>
  </si>
  <si>
    <t>CAIXA DE PASSAGEM EM CHAPA DE AÇO COM TAMPA APARAFUSADA 402 X 402 X 152 MM</t>
  </si>
  <si>
    <t>ABRACADEIRA TIPO COPO, DE 1"</t>
  </si>
  <si>
    <t>CARTUCHO DE SOLDA EXOTÉRMICA N.º 90</t>
  </si>
  <si>
    <t>IGNEX - PALITO IGNITOR PARA SOLDA EXOTÉRMICA</t>
  </si>
  <si>
    <t>MOLDE P/ SOLDA TIPO "T" ATÉ 35mm²</t>
  </si>
  <si>
    <t>DIVISORIA EM GRANITO, COM DUAS FACES POLIDAS, CINZA ANDORINHA, E=  2,0 CM</t>
  </si>
  <si>
    <t>SOLVENTE PARA VERNIZ POLIURETANO</t>
  </si>
  <si>
    <t>VERNIZ POLIURETANO ALIFÁTICO BICOMPONENTE</t>
  </si>
  <si>
    <t>DIVISORIA EM GRANITO, COM DUAS FACES POLIDAS, TIPO ANDORINHA/ QUARTZ/ CASTELO/ CORUMBA OU OUTROS EQUIVALENTES DA REGIAO, E=  2,0 CM</t>
  </si>
  <si>
    <t>Mola Hidráulica de piso universal para portas de batente e portas vai-e-vem em aço inoxidável. Ref.: DORMA, modelo BTS 75V/R, com eixo intercambiável tipo "B"</t>
  </si>
  <si>
    <t>Impermeabilizante para mola hidráulica. Ref: Dorma SealProtect</t>
  </si>
  <si>
    <t>Reator eletrônico 2x28W. Ref.: Philips EB228A26; Philips EL214-28A26; Intral REH-T5 2x28/127-220/50-60 (cod. 02475); MarGirus PB 2X28 AF2.</t>
  </si>
  <si>
    <t>Reator eletrônico 2x14W. Ref.: Philips EB214A26; Philips EL214-28A26; Lumicenter LEB. 214; MarGirus PB 2X14 AF2.</t>
  </si>
  <si>
    <t xml:space="preserve">Tomada 10A para condulete alumínio para eletrodutos de 1’’, de sobrepor, com conexões e acessórios. </t>
  </si>
  <si>
    <t>Bloco autônomo de emergência com fluxo mínimo de 1000 lumens</t>
  </si>
  <si>
    <t>Cabo ethernet categoria 5e blindado (FTP)</t>
  </si>
  <si>
    <t>Cabo constituído por 12 fibras ópticas do tipo multimodo, LSZH</t>
  </si>
  <si>
    <t>Cabo de cobre para comunicação CANbus</t>
  </si>
  <si>
    <t>Cabo de cobre para comunicação padrão RS-485</t>
  </si>
  <si>
    <t>Cabo de potência, 8,7 kV / 15 kV, 95 mm²</t>
  </si>
  <si>
    <t>Cabo de potência, 8,7 kV / 15 kV, 240 mm²</t>
  </si>
  <si>
    <t>Distribuidor Interno Óptico Industrial para, no mínimo, 12 fibras</t>
  </si>
  <si>
    <t>ELETRODUTO/DUTO PEAD FLEXIVEL PAREDE SIMPLES, CORRUGACAO HELICOIDAL, COR PRETA, SEM ROSCA, DE 5",  PARA CABEAMENTO SUBTERRANEO (NBR 15715)</t>
  </si>
  <si>
    <t>Interruptor duplo para condulete alumínio para eletrodutos de 1’’, de sobrepor, com conexões e acessórios.</t>
  </si>
  <si>
    <t>Leito tipo semi-pesado 400 mm x 100 mm fabricado em aço galvanizado a fogo # 12/14</t>
  </si>
  <si>
    <t>Leito tipo semi-pesado 600 mm x 100 mm fabricado em aço galvanizado a fogo # 12/14</t>
  </si>
  <si>
    <t>Luminária de sobrepor T5 2x28W, ref:Osram LEDVANCE DAMP‐PROOF HOUSING Longa Dupla (7016392), Osram LEDVANCE DAMP‐PROOF SEM TUBO DUPLA (7012956), Philips TCW060 2x36, Ourolux Ourofort IP65 2X28/32/36/40W (01527/01528), Lumicenter FHT03‐S228</t>
  </si>
  <si>
    <t>Terminal para cabo de média tensão. Ref: Prysmian TM-20-120</t>
  </si>
  <si>
    <t>Terminal para cabo de média tensão. Ref: Prysmian TM-20-240</t>
  </si>
  <si>
    <t xml:space="preserve">Tomada 20A para condulete alumínio para eletrodutos de 1’’, de sobrepor, com conexões e acessórios. </t>
  </si>
  <si>
    <t>Haste de aterramento 3/4" x 3 m, tipo camada alta de cobre</t>
  </si>
  <si>
    <t>Leito tipo semi-pesado 800 mm x 100 mm fabricado em aço galvanizado a fogo # 12/14</t>
  </si>
  <si>
    <t>Engenheiro Eletricista com encargos complementares</t>
  </si>
  <si>
    <t>Mão francesa metálica dupla, com dois perfis 38 mm x 38 mm, L = 800 mm</t>
  </si>
  <si>
    <t>Armadura de tela de aço CA-60 4,2mm</t>
  </si>
  <si>
    <t>Concreto preparado na obra C20 S50, controle "B", brita 1</t>
  </si>
  <si>
    <t>Forma para fundação com tábuas e sarrafos, 3 reaproveitamentos</t>
  </si>
  <si>
    <t>Lastro de brita 1 apiloado com soquete manual para regularização</t>
  </si>
  <si>
    <t>Grelha pré-moldada de concreto para canaleta 35 x 60 x 5 cm</t>
  </si>
  <si>
    <t>Furo em concreto com broca de widia, utilizando martele elétrico Ø 3/8" profundidade 10 cm</t>
  </si>
  <si>
    <t>POSTE CONICO CONTINUO EM ACO GALVANIZADO, RETO, BRACO SIMPLES, ENGASTADO,  H = 5 M</t>
  </si>
  <si>
    <t>Suporte para luminária para poste simples (1 luminária)</t>
  </si>
  <si>
    <t>Adesivo de contato a base d'água</t>
  </si>
  <si>
    <t>Carpete em placa, para uso comercial, adequado para tráfego pesado, conforme especificações técnicas.</t>
  </si>
  <si>
    <t>Carpete em rolo, para uso comercial, adequado para tráfego pesado, conforme especificações técnicas.</t>
  </si>
  <si>
    <t>Graute epóxi fluido de alta resistência mecânica. Ref: Sikadur 42 BR.</t>
  </si>
  <si>
    <t>Obs.: considerando consumo de 2.000 kg/m³, conforme site do fabricante: https://bra.sika.com/pt/construcao/pisos-industriais/reparo-em-pisos/argamassa-epoxi/sikadur-42-br.html</t>
  </si>
  <si>
    <t>CONCRETO FCK = 20MPA, TRAÇO 1:2,7:3 (EM MASSA SECA DE CIMENTO/ AREIA MÉDIA/ BRITA 1) - PREPARO MECÂNICO COM BETONEIRA 600 L. AF_05/2021</t>
  </si>
  <si>
    <t>CONCRETO MAGRO PARA LASTRO, TRAÇO 1:4,5:4,5 (EM MASSA SECA DE CIMENTO/ AREIA MÉDIA/ BRITA 1) - PREPARO MANUAL. AF_05/2021</t>
  </si>
  <si>
    <t>SARRAFO NAO APARELHADO *2,5 X 10* CM, EM MACARANDUBA, ANGELIM OU EQUIVALENTE DA REGIAO - BRUTA</t>
  </si>
  <si>
    <t>TABUA NAO APARELHADA *2,5 X 20* CM, EM MACARANDUBA, ANGELIM OU EQUIVALENTE DA REGIAO - BRUTA</t>
  </si>
  <si>
    <t>FURO PARA TORNEIRA OU OUTROS ACESSORIOS EM BANCADA DE MARMORE/ GRANITO OU OUTRO TIPO DE PEDRA NATURAL</t>
  </si>
  <si>
    <t>ADESIVO ACRILICO DE BASE AQUOSA / COLA DE CONTATO</t>
  </si>
  <si>
    <t>ANEL DE VEDACAO, PVC FLEXIVEL, 100 MM, PARA SAIDA DE BACIA / VASO SANITARIO</t>
  </si>
  <si>
    <t>ADESIVO PLASTICO PARA PVC, FRASCO COM *850* GR</t>
  </si>
  <si>
    <t>SOLUCAO PREPARADORA / LIMPADORA PARA PVC, FRASCO COM 1000 CM3</t>
  </si>
  <si>
    <t>CAIXA SIFONADA, PVC, 150 X *185* X 75 MM, COM GRELHA QUADRADA, BRANCA</t>
  </si>
  <si>
    <t>PASTA LUBRIFICANTE PARA TUBOS E CONEXOES COM JUNTA ELASTICA, EMBALAGEM DE *400* GR (USO EM PVC, ACO, POLIETILENO E OUTROS)</t>
  </si>
  <si>
    <t>CAIXA SIFONADA PVC, 250 X 230 X 75 MM, COM TAMPA CEGA QUADRADA, BRANCA</t>
  </si>
  <si>
    <t>RALO SECO CONICO, PVC, 100 X 40 MM, COM GRELHA REDONDA BRANCA</t>
  </si>
  <si>
    <t>BACIA SANITARIA (VASO) CONVENCIONAL, DE LOUCA BRANCA, SIFAO APARENTE, SAIDA VERTICAL (SEM ASSENTO)</t>
  </si>
  <si>
    <t>LAVATORIO DE LOUCA BRANCA, SUSPENSO (SEM COLUNA), DIMENSOES *40 X 30* CM</t>
  </si>
  <si>
    <t>MICTORIO INDICUDUAL, SIFONADO, LOUCA BRANCA, SEM COMPLEMENTOS</t>
  </si>
  <si>
    <t>TOMADA 2P+T 10A, 250V (APENAS MODULO)</t>
  </si>
  <si>
    <t>TOMADA 2P+T 20A, 250V (APENAS MODULO)</t>
  </si>
  <si>
    <t>BATENTE / PORTAL / ADUELA / MARCO EM MADEIRA MACICA COM REBAIXO, E = *3* CM, L = *14* CM, PARA PORTAS DE GIRO DE *60 CM A 120* CM X *210* CM, PINUS / EUCALIPTO / VIROLA OU EQUIVALENTE DA REGIAO (NAO INCLUI ALIZARES)</t>
  </si>
  <si>
    <t>GUARNICAO / ALIZAR / VISTA LISA EM MADEIRA MACICA, PARA PORTA , E = *1* CM, L = *5* CM, CEDRINHO / ANGELIM COMERCIAL / TAURI/ CURUPIXA / PEROBA / CUMARU OU EQUIVALENTE DA REGIAO</t>
  </si>
  <si>
    <t>DOBRADICA EM ACO/FERRO, 3 1/2" X 3", E= 1,9 A 2 MM, COM ANEL, CROMADO OU ZINCADO, TAMPA BOLA, COM PARAFUSOS</t>
  </si>
  <si>
    <t>BACIA SANITARIA (VASO) CONVENCIONAL PARA PCD, SEM FURO FRONTAL, DE LOUCA BRANCA (SEM ASSENTO)</t>
  </si>
  <si>
    <t>ELETRODUTO/DUTO PEAD FLEXIVEL PAREDE SIMPLES, CORRUGACAO HELICOIDAL, COR PRETA, SEM ROSCA, DE 3", PARA CABEAMENTO SUBTERRANEO (NBR 15715)</t>
  </si>
  <si>
    <t>TINTA ACRILICA A BASE DE SOLVENTE, PARA SINALIZACAO HORIZONTAL VIARIA (NBR 11862)</t>
  </si>
  <si>
    <t>TELA DE ACO SOLDADA NERVURADA, CA-60, Q-92, (1,48 KG/M2), DIAMETRO DO FIO = 4,2 MM, LARGURA = 2,45 X 60 M DE COMPRIMENTO, ESPACAMENTO DA MALHA = 15 X 15 CM</t>
  </si>
  <si>
    <t>GRANITO PARA BANCADA, POLIDO, TIPO ANDORINHA/ QUARTZ/ CASTELO/ CORUMBA OU OUTROS EQUIVALENTES DA REGIAO, E= *2,5* CM</t>
  </si>
  <si>
    <t>ELETRODUTO/DUTO PEAD FLEXIVEL PAREDE SIMPLES, CORRUGACAO HELICOIDAL, COR PRETA, SEM ROSCA, DE 2", PARA CABEAMENTO SUBTERRANEO (NBR 15715)</t>
  </si>
  <si>
    <t>POSTE CONICO CONTINUO EM ACO GALVANIZADO, CURVO, BRACO SIMPLES, ENGASTADO, H = 9 M, DIAMETRO INFERIOR = *135* MM</t>
  </si>
  <si>
    <t>CONDULETE DE ALUMINIO TIPO E, PARA ELETRODUTO ROSCAVEL DE 1 1/4", COM TAMPA CEGA</t>
  </si>
  <si>
    <t>POSTE CONICO CONTINUO EM ACO GALVANIZADO, CURVO, BRACO SIMPLES, FLANGEADO, H = 9 M, DIAMETRO INFERIOR = *135* MM</t>
  </si>
  <si>
    <t>POSTE CONICO CONTINUO EM ACO GALVANIZADO, CURVO, BRACO DUPLO, FLANGEADO, H = 9 M, DIAMETRO INFERIOR = *135* MM</t>
  </si>
  <si>
    <t>CAIXA DE INSPECAO PARA ATERRAMENTO E PARA RAIOS, EM POLIPROPILENO, DIAMETRO = 300 MM X ALTURA = 400 MM</t>
  </si>
  <si>
    <t>TELA DE ACO SOLDADA GALVANIZADA/ZINCADA PARA ALVENARIA, FIO D = *1,20 A 1,70* MM, MALHA 15 X 15 MM, (C X L) *50 X 12* CM</t>
  </si>
  <si>
    <t>MEIO-FIO OU GUIA DE CONCRETO PRE-MOLDADO, TIPO CHAPEU PARA BOCA DE LOBO, DIMENSOES *1,20* X 0,15 X 0,30 M</t>
  </si>
  <si>
    <t>SARRAFO NAO APARELHADO *2,5 X 7* CM, EM MACARANDUBA, ANGELIM OU EQUIVALENTE DA REGIAO - BRUTA</t>
  </si>
  <si>
    <t>CAIBRO NAO APARELHADO *7,5 X 7,5* CM, EM MACARANDUBA, ANGELIM OU EQUIVALENTE DA REGIAO - BRUTA</t>
  </si>
  <si>
    <t>ARGAMASSA COLANTE TIPO AC III</t>
  </si>
  <si>
    <t>PISO TATIL DE ALERTA OU DIRECIONAL, DE BORRACHA, COLORIDO, 25 X 25 CM, E = 12 MM, PARA ARGAMASSA</t>
  </si>
  <si>
    <t>PISO EM GRANILITE, MARMORITE OU GRANITINA, AGREGADO COR PRETO, CINZA, PALHA OU BRANCO, E= *8* MM (INCLUSO EXECUCAO)</t>
  </si>
  <si>
    <t>SELADOR ACRILICO OPACO PREMIUM INTERIOR/EXTERIOR</t>
  </si>
  <si>
    <t>FITA CREPE ROLO DE 25 MM X 50 M</t>
  </si>
  <si>
    <t>DILUENTE EPOXI</t>
  </si>
  <si>
    <t>MICROESFERAS DE VIDRO PARA SINALIZACAO HORIZONTAL VIARIA, TIPO II-A (DROP-ON) - NBR 16184</t>
  </si>
  <si>
    <t>Acabamento para válvula de descarga 4900.C.PRO - Deca</t>
  </si>
  <si>
    <t>Kit conversor Hydra Max para Hydra Conforto 4916.C.114.CONF – Linha Hydra Eco Conforto – Deca</t>
  </si>
  <si>
    <t xml:space="preserve">Kit conversor Hydra Max para Hydra Conforto 4916.C.112.CONF – linha Hydra Eco Conforto – Deca </t>
  </si>
  <si>
    <t>SF-02678</t>
  </si>
  <si>
    <t>SF-02679</t>
  </si>
  <si>
    <t>SF-02680</t>
  </si>
  <si>
    <t>SF-02681</t>
  </si>
  <si>
    <t>SF-02682</t>
  </si>
  <si>
    <t>SF-02689</t>
  </si>
  <si>
    <t>SF-02690</t>
  </si>
  <si>
    <t>CHAPA DE MDF BRANCO LISO 1 FACE, E = 18 MM, DE *2,75 X 1,85* M</t>
  </si>
  <si>
    <t>CHUMBADOR DE ACO, DIAMETRO 5/8", COMPRIMENTO 6", COM PORCA</t>
  </si>
  <si>
    <t>DILUENTE AGUARRAS</t>
  </si>
  <si>
    <t>DISJUNTOR TIPO DIN/IEC, TRIPOLAR DE 10 ATE 50A</t>
  </si>
  <si>
    <t>MASTRO SIMPLES GALVANIZADO DIAMETRO NOMINAL 2"</t>
  </si>
  <si>
    <t>PRIMER EPOXI / EPOXIDICO</t>
  </si>
  <si>
    <t>TERMINAL A COMPRESSAO EM COBRE ESTANHADO PARA CABO 10 MM2, 1 FURO E 1 COMPRESSAO, PARA PARAFUSO DE FIXACAO M6</t>
  </si>
  <si>
    <t>TUBO ACO CARBONO SEM COSTURA 2 1/2", E = 5,16 MM, SCHEDULE 40 (8,62 KG/M)</t>
  </si>
  <si>
    <t>VALVULA DE ESCOAMENTO PARA TANQUE, EM METAL CROMADO, 1.1/2 ", SEM LADRAO, COM TAMPAO PLASTICO</t>
  </si>
  <si>
    <t>VIDRO LISO INCOLOR 4MM - SEM COLOCACAO</t>
  </si>
  <si>
    <t>MONTAGEM DE ARMADURA DE ESTACAS, DIÂMETRO = 16,0 MM. AF_09/2021</t>
  </si>
  <si>
    <t>GRAUTEAMENTO VERTICAL EM ALVENARIA ESTRUTURAL. AF_09/2021</t>
  </si>
  <si>
    <t>GRAUTEAMENTO DE CINTA SUPERIOR OU DE VERGA EM ALVENARIA ESTRUTURAL. AF_09/2021</t>
  </si>
  <si>
    <t>Obs.: Consumo de acordo com o fabricante do produto "Super Graute Quartzolit", referência comercial indicada.</t>
  </si>
  <si>
    <t>https://www.quartzolit.weber/files/br/2017-12/super_graute_quartzolit.pdf</t>
  </si>
  <si>
    <t>280 ml</t>
  </si>
  <si>
    <t>Obs.: Rendimento da resina e do selante de acordo com recomendações do fabricante. Consumo médio. Selante: 2,5 m por bisnaga de 280 ml (abertura de 20mm x 10mm). Resina: 165 m2 por embalagem de 18 L.</t>
  </si>
  <si>
    <t>https://bra.sika.com/dms/getdocument.get/936a7cee-8d90-4be4-9494-f16d0e9334b4/sikacryl_-103.pdf</t>
  </si>
  <si>
    <t>Conector reto 1"</t>
  </si>
  <si>
    <t>Conector fixo NPT 3/4"</t>
  </si>
  <si>
    <t>Conector giratório NPT 3/4"</t>
  </si>
  <si>
    <t>Lâmina de madeira - cerejeira</t>
  </si>
  <si>
    <t>COMPENSADO NAVAL - CHAPA/PAINEL EM MADEIRA COMPENSADA PRENSADA, DE 2200 X 1600 MM, E = 20 MM</t>
  </si>
  <si>
    <t>SF-02701</t>
  </si>
  <si>
    <t>SF-02702</t>
  </si>
  <si>
    <t>SF-02703</t>
  </si>
  <si>
    <t>SF-02704</t>
  </si>
  <si>
    <t>SF-02705</t>
  </si>
  <si>
    <t>SF-02711</t>
  </si>
  <si>
    <t>SF-02712</t>
  </si>
  <si>
    <t>SF-02713</t>
  </si>
  <si>
    <t>SF-02714</t>
  </si>
  <si>
    <t>SF-02715</t>
  </si>
  <si>
    <t>SF-02716</t>
  </si>
  <si>
    <t>SF-02717</t>
  </si>
  <si>
    <t>SF-02718</t>
  </si>
  <si>
    <t>SF-02719</t>
  </si>
  <si>
    <t>SF-02720</t>
  </si>
  <si>
    <t>SF-02721</t>
  </si>
  <si>
    <t>SF-02722</t>
  </si>
  <si>
    <t>SF-02723</t>
  </si>
  <si>
    <t>SF-02724</t>
  </si>
  <si>
    <t>SF-02725</t>
  </si>
  <si>
    <t>SF-02726</t>
  </si>
  <si>
    <t>SF-02727</t>
  </si>
  <si>
    <t>SF-02728</t>
  </si>
  <si>
    <t>SF-02729</t>
  </si>
  <si>
    <t>SF-02730</t>
  </si>
  <si>
    <t>SF-02731</t>
  </si>
  <si>
    <t>SF-02732</t>
  </si>
  <si>
    <t>SF-02733</t>
  </si>
  <si>
    <t>SF-02734</t>
  </si>
  <si>
    <t>SF-02735</t>
  </si>
  <si>
    <t>SF-02736</t>
  </si>
  <si>
    <t>SF-02737</t>
  </si>
  <si>
    <t>SF-02738</t>
  </si>
  <si>
    <t>SF-02739</t>
  </si>
  <si>
    <t>SF-02740</t>
  </si>
  <si>
    <t>SF-02741</t>
  </si>
  <si>
    <t>SF-02742</t>
  </si>
  <si>
    <t>SF-02743</t>
  </si>
  <si>
    <t>SF-02744</t>
  </si>
  <si>
    <t>SF-02745</t>
  </si>
  <si>
    <t>SF-02746</t>
  </si>
  <si>
    <t>SF-02747</t>
  </si>
  <si>
    <t>SF-02748</t>
  </si>
  <si>
    <t>BLOCO CERAMICO / TIJOLO VAZADO PARA ALVENARIA DE VEDACAO, FUROS NA VERTICAL,, 9 X 19 X 39 CM (NBR 15270)</t>
  </si>
  <si>
    <t>BLOCO CERAMICO / TIJOLO VAZADO PARA ALVENARIA DE VEDACAO, 8 FUROS NA HORIZONTAL, DE 9 X 19 X 19 CM (L XA X C)</t>
  </si>
  <si>
    <t>BLOCO CERAMICO / TIJOLO VAZADO PARA ALVENARIA DE VEDACAO, 8 FUROS NA HORIZONTAL, 9 X 19 X 19 CM (L X A X C)</t>
  </si>
  <si>
    <t>CHAPA/PAINEL DE MADEIRA COMPENSADA RESINADA (MADEIRITE RESINADO ROSA) PARA FORMA DE CONCRETO, DE 2200 x 1100 MM, E = 17 MM</t>
  </si>
  <si>
    <t>GUARNICAO / MOLDURA / ARREMATE DE ACABAMENTO PARA ESQUADRIA, EM ALUMINIO PERFIL 25, ACABAMENTO ANODIZADO BRANCO OU BRILHANTE, PARA 1 FACE</t>
  </si>
  <si>
    <t>JANELA MAXIM AR, EM ALUMINIO PERFIL 25, 60 X 80 CM (A X L), ACABAMENTO BRANCO OU BRILHANTE, BATENTE DE 4 A 5 CM, COM VIDRO, SEM GUARNICAO/ALIZAR</t>
  </si>
  <si>
    <t>MASSA PREMIUM PARA TEXTURA LISA DE BASE ACRILICA, USO INTERNO E EXTERNO</t>
  </si>
  <si>
    <t>RESINA ACRILICA PREMIUM BASE AGUA - COR BRANCA</t>
  </si>
  <si>
    <t>TINTA LATEX ACRILICA PREMIUM, COR BRANCO FOSCO</t>
  </si>
  <si>
    <t>ANEL BORRACHA PARA TUBO ESGOTO PREDIAL, DN 75 MM (NBR 5688)</t>
  </si>
  <si>
    <t>ELETRODUTO/DUTO PEAD FLEXIVEL PAREDE SIMPLES, CORRUGACAO HELICOIDAL, COR PRETA, SEM ROSCA, DE 1 1/4", PARA CABEAMENTO SUBTERRANEO (NBR 15715)</t>
  </si>
  <si>
    <t>LIXA EM FOLHA PARA PAREDE OU MADEIRA, NUMERO 120, COR VERMELHA</t>
  </si>
  <si>
    <t>MASSA ACRILICA PARA SUPERFICIES INTERNAS E EXTERNAS</t>
  </si>
  <si>
    <t>MASSA CORRIDA PARA SUPERFICIES DE AMBIENTES INTERNOS</t>
  </si>
  <si>
    <t>PLACA DE OBRA (PARA CONSTRUCAO CIVIL) EM CHAPA GALVANIZADA *N. 22*, ADESIVADA, DE *2,4 X 1,2* M (SEM POSTES PARA FIXACAO)</t>
  </si>
  <si>
    <t>Caixa hermética para CFTV</t>
  </si>
  <si>
    <t>POSTE CONICO CONTINUO EM ACO GALVANIZADO, RETO, H = 4 M</t>
  </si>
  <si>
    <t>POLIESTIRENO EXPANDIDO/EPS (ISOPOR), TIPO 2F, BLOCO</t>
  </si>
  <si>
    <t>*Considerando distância Brasília-Sâo Paulo = 1.030 km</t>
  </si>
  <si>
    <t>Abraçadeira metálica reforçada para mangote até 4”</t>
  </si>
  <si>
    <t>Acabamento para válvula de descarga de 1 1/2” e 1 1/4”</t>
  </si>
  <si>
    <t>Acabamento para válvula de descarga de 1 1/2 ” e 1 1/4” com duplo acionamento</t>
  </si>
  <si>
    <t>Acabamento para válvula de descarga de 1 1/2 ” e 1 1/4” - Linha Acessibilidade</t>
  </si>
  <si>
    <t>Anel de borracha para vedação na interligação de tubos de esgoto</t>
  </si>
  <si>
    <t>Antiespuma para ralo ou caixa sifonada – DN 150mm</t>
  </si>
  <si>
    <t>Rejunte cimentício flexível</t>
  </si>
  <si>
    <t>Rejunte resinado acrílico</t>
  </si>
  <si>
    <t>Arejador de torneira articulado com adaptador completo</t>
  </si>
  <si>
    <t>Bacia convencional para caixa de descarga acoplada</t>
  </si>
  <si>
    <t>Bacia Convencional - Linha Administrativa</t>
  </si>
  <si>
    <t>Bacia conforto (h=44cm) – Linha Acessibilidade</t>
  </si>
  <si>
    <t>Barra de apoio 40cm - Linha Acessibilidade</t>
  </si>
  <si>
    <t>Barra de apoio 70 cm - Linha Acessibilidade</t>
  </si>
  <si>
    <t>Barra de apoio 80 cm - Linha Acessibilidade</t>
  </si>
  <si>
    <t>Barra de apoio lateral fixa 30cm - Linha Acessibilidade</t>
  </si>
  <si>
    <t>Chave de nível tipo boia eletromecânica</t>
  </si>
  <si>
    <t>Chave de nível tipo boia pera</t>
  </si>
  <si>
    <t>Bolsa de ligação Branca para Vaso Sanitário</t>
  </si>
  <si>
    <t>Bolsa de vedação Preta para Vaso Sanitário</t>
  </si>
  <si>
    <t>Botão de Acionamento para Mictório</t>
  </si>
  <si>
    <t>Botão de Acionamento Superior para Caixa Acoplada</t>
  </si>
  <si>
    <t>Braço de metal para Chuveiro</t>
  </si>
  <si>
    <t>Caixa acoplada universal</t>
  </si>
  <si>
    <t>Caixa de descarga alta/elevada</t>
  </si>
  <si>
    <t>Caixa de gordura grande com cesta</t>
  </si>
  <si>
    <t>Prolongador de PVC para Caixa de Gordura - DN300</t>
  </si>
  <si>
    <t>Caixa de hidrante de parede com vidro - 70x50 cm</t>
  </si>
  <si>
    <t>Caixa de inspeção e interligação em PVC</t>
  </si>
  <si>
    <t>Caixa sifonada de PVC DN 150 mm</t>
  </si>
  <si>
    <t>Caixa sifonada de PVC DN 250 mm</t>
  </si>
  <si>
    <t>SF-02751</t>
  </si>
  <si>
    <t>Válvula de escoamento para pia de cozinha - 4 1/2” com cesta em inox</t>
  </si>
  <si>
    <t>SF-02752</t>
  </si>
  <si>
    <t>Chuveiro Elétrico</t>
  </si>
  <si>
    <t>SF-02753</t>
  </si>
  <si>
    <t>Chuveiro Elétrico - Linha Residencial</t>
  </si>
  <si>
    <t>SF-02754</t>
  </si>
  <si>
    <t>SF-02755</t>
  </si>
  <si>
    <t>Sede para válvula de descarga de baixa pressão - 1 1/2” e 1 1/4”</t>
  </si>
  <si>
    <t>SF-02756</t>
  </si>
  <si>
    <t>Contra sede para válvula de descarga 1 1/2” e 1 1/4”</t>
  </si>
  <si>
    <t>SF-02757</t>
  </si>
  <si>
    <t>Êmbolo para válvula de descarga 1 1/2” e 1 1/4”</t>
  </si>
  <si>
    <t>SF-02758</t>
  </si>
  <si>
    <t>Corrente plástica para calhas</t>
  </si>
  <si>
    <t>SF-02759</t>
  </si>
  <si>
    <t>SF-02760</t>
  </si>
  <si>
    <t>SF-02761</t>
  </si>
  <si>
    <t>SF-02762</t>
  </si>
  <si>
    <t>SF-02763</t>
  </si>
  <si>
    <t>SF-02764</t>
  </si>
  <si>
    <t>Ligação flexível em PVC - 40cm</t>
  </si>
  <si>
    <t>SF-02765</t>
  </si>
  <si>
    <t>Espude de Ligação para Bacia Sanitária</t>
  </si>
  <si>
    <t>SF-02766</t>
  </si>
  <si>
    <t>Gatilho para Ducha Higiênica</t>
  </si>
  <si>
    <t>SF-02767</t>
  </si>
  <si>
    <t>Gongo Hidráulico para Sprinklers Automáticos</t>
  </si>
  <si>
    <t>SF-02768</t>
  </si>
  <si>
    <t>Grelha redonda para ralo - 10 cm</t>
  </si>
  <si>
    <t>SF-02769</t>
  </si>
  <si>
    <t>Grelha redonda para ralo - 15 cm</t>
  </si>
  <si>
    <t>SF-02770</t>
  </si>
  <si>
    <t>SF-02771</t>
  </si>
  <si>
    <t>SF-02772</t>
  </si>
  <si>
    <t>Kit de acionamento para torneiras e válvulas de mictório ativadas por pressão manual</t>
  </si>
  <si>
    <t>SF-02773</t>
  </si>
  <si>
    <t>SF-02774</t>
  </si>
  <si>
    <t>Lavatório suspenso - Linha Acessibilidade</t>
  </si>
  <si>
    <t>SF-02775</t>
  </si>
  <si>
    <t>Mangueira Flexível para Ducha Higiênica 120 cm</t>
  </si>
  <si>
    <t>SF-02776</t>
  </si>
  <si>
    <t>Manômetro DN100 (4”) até 150psi - COM glicerina</t>
  </si>
  <si>
    <t>SF-02777</t>
  </si>
  <si>
    <t>Manômetro DN63 (2 1/2”) até 150psi - COM glicerina</t>
  </si>
  <si>
    <t>SF-02778</t>
  </si>
  <si>
    <t>Manômetro DN63 (2 1/2”) até 150psi - Seco</t>
  </si>
  <si>
    <t>SF-02779</t>
  </si>
  <si>
    <t>Kit completo para caixa acoplada - Acionamento superior ou lateral</t>
  </si>
  <si>
    <t>SF-02780</t>
  </si>
  <si>
    <t>Mecanismo acionador para caixa acoplada superior ou lateral</t>
  </si>
  <si>
    <t>SF-02781</t>
  </si>
  <si>
    <t>Mecanismo torre de entrada universal para caixa acoplada - Acionamento superior ou lateral</t>
  </si>
  <si>
    <t>SF-02782</t>
  </si>
  <si>
    <t>Mecanismo torre de saída universal para caixa acoplada - Acionamento superior ou lateral</t>
  </si>
  <si>
    <t>SF-02783</t>
  </si>
  <si>
    <t>Mictório - Linha Administrativa</t>
  </si>
  <si>
    <t>SF-02784</t>
  </si>
  <si>
    <t>SF-02785</t>
  </si>
  <si>
    <t>SF-02786</t>
  </si>
  <si>
    <t>SF-02787</t>
  </si>
  <si>
    <t>SF-02788</t>
  </si>
  <si>
    <t>SF-02789</t>
  </si>
  <si>
    <t>SF-02790</t>
  </si>
  <si>
    <t>Kit de fixação de bacias e bidês com parafuso cromado</t>
  </si>
  <si>
    <t>SF-02791</t>
  </si>
  <si>
    <t>Placa de comando para torneiras com funcionamento por sensor</t>
  </si>
  <si>
    <t>SF-02792</t>
  </si>
  <si>
    <t>Rolete em plástico para porta papel higiênico</t>
  </si>
  <si>
    <t>SF-02793</t>
  </si>
  <si>
    <t>Porta papel higiênico (papeleira) de embutir</t>
  </si>
  <si>
    <t>SF-02794</t>
  </si>
  <si>
    <t>SF-02795</t>
  </si>
  <si>
    <t>SF-02796</t>
  </si>
  <si>
    <t>SF-02797</t>
  </si>
  <si>
    <t>Pressostato para pressão de 80 até 120 PSI (aprox. 5 a 8 bar)</t>
  </si>
  <si>
    <t>SF-02798</t>
  </si>
  <si>
    <t>Pressostato para pressão até 60 psi (4 bar)</t>
  </si>
  <si>
    <t>SF-02799</t>
  </si>
  <si>
    <t>Prolongador longo de bronze rosca x rosca - 1/2”</t>
  </si>
  <si>
    <t>SF-02800</t>
  </si>
  <si>
    <t>Ralo Linear com Grelha Inox -70 cm</t>
  </si>
  <si>
    <t>SF-02801</t>
  </si>
  <si>
    <t>Ralo semi esférico, tipo Abacaxi - 4”</t>
  </si>
  <si>
    <t>SF-02802</t>
  </si>
  <si>
    <t>Base Registro de Gaveta 1 1/2”</t>
  </si>
  <si>
    <t>SF-02803</t>
  </si>
  <si>
    <t>Base registro de gaveta 1 1/4”</t>
  </si>
  <si>
    <t>SF-02804</t>
  </si>
  <si>
    <t>Base registro de gaveta 1”</t>
  </si>
  <si>
    <t>SF-02805</t>
  </si>
  <si>
    <t>Base registro de gaveta 1/2”</t>
  </si>
  <si>
    <t>SF-02806</t>
  </si>
  <si>
    <t>Base registro de gaveta 3/4”</t>
  </si>
  <si>
    <t>SF-02807</t>
  </si>
  <si>
    <t>SF-02808</t>
  </si>
  <si>
    <t>Válvula de esfera em bronze 3/4”</t>
  </si>
  <si>
    <t>SF-02809</t>
  </si>
  <si>
    <t>Válvula de esfera em bronze 1 1/2”</t>
  </si>
  <si>
    <t>SF-02810</t>
  </si>
  <si>
    <t>Válvula de esfera em bronze 2”</t>
  </si>
  <si>
    <t>SF-02811</t>
  </si>
  <si>
    <t>Válvula de esfera metálica 1/2” para gás</t>
  </si>
  <si>
    <t>SF-02812</t>
  </si>
  <si>
    <t>Registro de Gaveta Bruto 1 1/2”</t>
  </si>
  <si>
    <t>SF-02813</t>
  </si>
  <si>
    <t>Registro de Gaveta Bruto 1 1/4”</t>
  </si>
  <si>
    <t>SF-02814</t>
  </si>
  <si>
    <t>Registro de Gaveta Bruto 1”</t>
  </si>
  <si>
    <t>SF-02815</t>
  </si>
  <si>
    <t>Registro de Gaveta Bruto 1/2”</t>
  </si>
  <si>
    <t>SF-02816</t>
  </si>
  <si>
    <t>Registro de Gaveta Bruto 2 1/2”</t>
  </si>
  <si>
    <t>SF-02817</t>
  </si>
  <si>
    <t>Registro de Gaveta Bruto 2”</t>
  </si>
  <si>
    <t>SF-02818</t>
  </si>
  <si>
    <t>Registro de Gaveta Bruto 3”</t>
  </si>
  <si>
    <t>SF-02819</t>
  </si>
  <si>
    <t>Registro de Gaveta Bruto 3/4”</t>
  </si>
  <si>
    <t>SF-02820</t>
  </si>
  <si>
    <t>Registro de Gaveta Bruto 4”</t>
  </si>
  <si>
    <t>SF-02821</t>
  </si>
  <si>
    <t>Base Registro de Pressão 1/2”</t>
  </si>
  <si>
    <t>SF-02822</t>
  </si>
  <si>
    <t>Base Registro de Pressão 3/4”</t>
  </si>
  <si>
    <t>SF-02823</t>
  </si>
  <si>
    <t>Registro de Pressão Bruto 1/2”</t>
  </si>
  <si>
    <t>SF-02824</t>
  </si>
  <si>
    <t>Registro de Pressão Bruto 3/4”</t>
  </si>
  <si>
    <t>SF-02825</t>
  </si>
  <si>
    <t>Registro Esfera PVC VS Roscável 1/2”</t>
  </si>
  <si>
    <t>SF-02826</t>
  </si>
  <si>
    <t>Registro Esfera PVC VS Roscável 1 1/2”</t>
  </si>
  <si>
    <t>SF-02827</t>
  </si>
  <si>
    <t>Registro Esfera PVC VS Soldável 60mm</t>
  </si>
  <si>
    <t>SF-02828</t>
  </si>
  <si>
    <t>Registro para Hidrante 2 1/2”</t>
  </si>
  <si>
    <t>SF-02829</t>
  </si>
  <si>
    <t>Registro Regulador de Vazão Metálico 1/2”</t>
  </si>
  <si>
    <t>SF-02830</t>
  </si>
  <si>
    <t>Registro Regulador de Vazão Para Chuveiro 1/2”</t>
  </si>
  <si>
    <t>SF-02831</t>
  </si>
  <si>
    <t>Reparo completo para válvula descarga – 1 1/2” e 1 1/4”</t>
  </si>
  <si>
    <t>SF-02832</t>
  </si>
  <si>
    <t>Reparo completo para válvula descarga – 1 1/2 ” e 1 1/4” (duplo acionamento)</t>
  </si>
  <si>
    <t>SF-02833</t>
  </si>
  <si>
    <t>Mecanismo de Vedação Substituível (MVS) - Reparo para TORNEIRA ou MISTURADOR</t>
  </si>
  <si>
    <t>SF-02834</t>
  </si>
  <si>
    <t>Mecanismo de Vedação Substituível (MVS) - Reparo para REGISTRO DE PRESSÃO</t>
  </si>
  <si>
    <t>SF-02835</t>
  </si>
  <si>
    <t>Mecanismo de Vedação Cerâmica (MVC) - Reparo 1/4 de volta para TORNEIRA e MISTURADOR</t>
  </si>
  <si>
    <t>SF-02836</t>
  </si>
  <si>
    <t>Mecanismo de Vedação Cerâmica (MVC) - Reparo 1/4 de volta para REGISTRO DE PRESSÃO</t>
  </si>
  <si>
    <t>SF-02837</t>
  </si>
  <si>
    <t>SF-02838</t>
  </si>
  <si>
    <t>SF-02839</t>
  </si>
  <si>
    <t>Sifão para lavatório 1 1/2”</t>
  </si>
  <si>
    <t>SF-02840</t>
  </si>
  <si>
    <t>Sifão para mictório com adaptador para 2”</t>
  </si>
  <si>
    <t>SF-02841</t>
  </si>
  <si>
    <t>Sifão sanfonado universal - PVC cromado</t>
  </si>
  <si>
    <t>SF-02842</t>
  </si>
  <si>
    <t>Arejador Articulado</t>
  </si>
  <si>
    <t>SF-02843</t>
  </si>
  <si>
    <t>Tampa cega para caixa de gordura - 25 cm de diâmetro</t>
  </si>
  <si>
    <t>SF-02844</t>
  </si>
  <si>
    <t>Tanque hidropneumático com bolsa de separação – 75 Litros</t>
  </si>
  <si>
    <t>SF-02845</t>
  </si>
  <si>
    <t>Tanque de Pressão Vertical - 24 litros</t>
  </si>
  <si>
    <t>SF-02846</t>
  </si>
  <si>
    <t>SF-02847</t>
  </si>
  <si>
    <t>Tecla para válvula de descarga</t>
  </si>
  <si>
    <t>SF-02848</t>
  </si>
  <si>
    <t>Terminal de Ventilação PVC - 100 mm</t>
  </si>
  <si>
    <t>SF-02849</t>
  </si>
  <si>
    <t>Terminal de Ventilação PVC - 50 mm</t>
  </si>
  <si>
    <t>SF-02850</t>
  </si>
  <si>
    <t>Terminal de Ventilação PVC - 75 mm</t>
  </si>
  <si>
    <t>SF-02851</t>
  </si>
  <si>
    <t>Termostato de vareta - regulagem de 30 a 80°C</t>
  </si>
  <si>
    <t>SF-02852</t>
  </si>
  <si>
    <t>Torneira de Bóia Com Balão Plástico 1 1/2”</t>
  </si>
  <si>
    <t>SF-02853</t>
  </si>
  <si>
    <t>Torneira de Bóia Com Balão Plástico 1 1/4”</t>
  </si>
  <si>
    <t>SF-02854</t>
  </si>
  <si>
    <t>Torneira de Bóia Com Balão Plástico 1”</t>
  </si>
  <si>
    <t>SF-02855</t>
  </si>
  <si>
    <t>Torneira de Bóia Com Balão Plástico 2”</t>
  </si>
  <si>
    <t>SF-02856</t>
  </si>
  <si>
    <t>Torneira de Bóia Com Balão Plástico 3/4”</t>
  </si>
  <si>
    <t>SF-02857</t>
  </si>
  <si>
    <t>SF-02858</t>
  </si>
  <si>
    <t>SF-02859</t>
  </si>
  <si>
    <t>SF-02860</t>
  </si>
  <si>
    <t>SF-02861</t>
  </si>
  <si>
    <t>SF-02862</t>
  </si>
  <si>
    <t>SF-02863</t>
  </si>
  <si>
    <t>Tubo de cobre classe “E” 22mm</t>
  </si>
  <si>
    <t>SF-02864</t>
  </si>
  <si>
    <t>Tubo de cobre classe “E” 28 mm</t>
  </si>
  <si>
    <t>SF-02865</t>
  </si>
  <si>
    <t>Tubo de cobre classe “E” 42mm</t>
  </si>
  <si>
    <t>SF-02866</t>
  </si>
  <si>
    <t>Tubo de cobre classe “E” 35mm</t>
  </si>
  <si>
    <t>SF-02867</t>
  </si>
  <si>
    <t>Tubo de cobre classe “E” 54mm</t>
  </si>
  <si>
    <t>SF-02868</t>
  </si>
  <si>
    <t>Tubo de cobre classe “E” 66mm</t>
  </si>
  <si>
    <t>SF-02869</t>
  </si>
  <si>
    <t>Tubo de cobre classe “E” 79mm</t>
  </si>
  <si>
    <t>SF-02870</t>
  </si>
  <si>
    <t>Tubo de cobre classe “E” 104mm</t>
  </si>
  <si>
    <t>SF-02871</t>
  </si>
  <si>
    <t>Tubo CPVC soldável 22 mm – Linha Residencial</t>
  </si>
  <si>
    <t>SF-02872</t>
  </si>
  <si>
    <t>Tubo CPVC soldável 28 mm  – Linha Residencial</t>
  </si>
  <si>
    <t>SF-02873</t>
  </si>
  <si>
    <t>Tubo de aço-carbono galvanizado 1 1/4” – Água Potável e Combate a Incêndio</t>
  </si>
  <si>
    <t>SF-02874</t>
  </si>
  <si>
    <t>Tubo de aço-carbono galvanizado 1/2” – Água Potável e Combate a Incêndio</t>
  </si>
  <si>
    <t>SF-02875</t>
  </si>
  <si>
    <t>Tubo de aço-carbono galvanizado 3/4” – Água Potável e Combate a Incêndio</t>
  </si>
  <si>
    <t>SF-02876</t>
  </si>
  <si>
    <t>Tubo de aço-carbono galvanizado 1” – Água Potável e Combate a Incêndio</t>
  </si>
  <si>
    <t>SF-02877</t>
  </si>
  <si>
    <t>Tubo de aço-carbono galvanizado 2” – Água Potável e Combate a Incêndio</t>
  </si>
  <si>
    <t>SF-02878</t>
  </si>
  <si>
    <t>Tubo de aço-carbono galvanizado 2 1/2” – Água Potável e Combate a Incêndio</t>
  </si>
  <si>
    <t>SF-02879</t>
  </si>
  <si>
    <t>Tubo de aço-carbono galvanizado 3” – Água Potável e Combate a Incêndio</t>
  </si>
  <si>
    <t>SF-02880</t>
  </si>
  <si>
    <t>Niple de aço-carbono galvanizado 2”</t>
  </si>
  <si>
    <t>SF-02881</t>
  </si>
  <si>
    <t>Niple de aço-carbono galvanizado 2 1/2”</t>
  </si>
  <si>
    <t>SF-02882</t>
  </si>
  <si>
    <t>Niple de aço-carbono galvanizado 3”</t>
  </si>
  <si>
    <t>SF-02883</t>
  </si>
  <si>
    <t>Tubo de Ligação para Bacia Sanitária</t>
  </si>
  <si>
    <t>SF-02884</t>
  </si>
  <si>
    <t>Tubo de Ligação para Válvula de Descarga</t>
  </si>
  <si>
    <t>SF-02885</t>
  </si>
  <si>
    <t>Tubo PVC esgoto DN 300 mm - Ocre</t>
  </si>
  <si>
    <t>SF-02886</t>
  </si>
  <si>
    <t>Tubo PVC esgoto ou águas pluviais predial DN 100mm</t>
  </si>
  <si>
    <t>SF-02887</t>
  </si>
  <si>
    <t>SF-02888</t>
  </si>
  <si>
    <t>Tubo PVC esgoto ou águas pluviais predial DN 40 mm</t>
  </si>
  <si>
    <t>SF-02889</t>
  </si>
  <si>
    <t>Tubo PVC esgoto ou águas pluviais predial DN 50mm</t>
  </si>
  <si>
    <t>SF-02890</t>
  </si>
  <si>
    <t>Tubo PVC esgoto ou águas pluviais predial DN 75mm</t>
  </si>
  <si>
    <t>SF-02891</t>
  </si>
  <si>
    <t>Tubo PVC roscável para água fria 1 1/2”</t>
  </si>
  <si>
    <t>SF-02892</t>
  </si>
  <si>
    <t>Tubo PVC roscável para água fria 1”</t>
  </si>
  <si>
    <t>SF-02893</t>
  </si>
  <si>
    <t>Tubo PVC roscável para água fria 2 1/2”</t>
  </si>
  <si>
    <t>SF-02894</t>
  </si>
  <si>
    <t>Tubo PVC roscável para água fria 2”</t>
  </si>
  <si>
    <t>SF-02895</t>
  </si>
  <si>
    <t>Tubo PVC roscável para água fria 3”</t>
  </si>
  <si>
    <t>SF-02896</t>
  </si>
  <si>
    <t>Tubo PVC roscável para água fria 3/4”</t>
  </si>
  <si>
    <t>SF-02897</t>
  </si>
  <si>
    <t>Tubo PVC roscável para água fria 4”</t>
  </si>
  <si>
    <t>SF-02898</t>
  </si>
  <si>
    <t>Tubo PVC roscável para água fria 6”</t>
  </si>
  <si>
    <t>SF-02899</t>
  </si>
  <si>
    <t>Tubo PVC soldável água fria DN 20mm</t>
  </si>
  <si>
    <t>SF-02900</t>
  </si>
  <si>
    <t>SF-02901</t>
  </si>
  <si>
    <t>SF-02902</t>
  </si>
  <si>
    <t>SF-02903</t>
  </si>
  <si>
    <t>SF-02904</t>
  </si>
  <si>
    <t>Tubo PVC soldável água fria DN 60mm</t>
  </si>
  <si>
    <t>SF-02905</t>
  </si>
  <si>
    <t>Tubo PVC soldável água fria DN 75 mm</t>
  </si>
  <si>
    <t>SF-02906</t>
  </si>
  <si>
    <t>Tubo PVC soldável água fria DN 85 mm</t>
  </si>
  <si>
    <t>SF-02907</t>
  </si>
  <si>
    <t>Tubo PVC soldável água fria DN 110 mm</t>
  </si>
  <si>
    <t>SF-02908</t>
  </si>
  <si>
    <t>Diafragma de borracha cilíndrico para válvula de descarga – Sistema a Vácuo</t>
  </si>
  <si>
    <t>SF-02909</t>
  </si>
  <si>
    <t>Válvula de descarga DN25 – Sistema a Vácuo</t>
  </si>
  <si>
    <t>SF-02910</t>
  </si>
  <si>
    <t>Módulo ativador (mecanismo de controle) – Sistema a vácuo</t>
  </si>
  <si>
    <t>SF-02911</t>
  </si>
  <si>
    <t>Filtro de ar - Sistema a vácuo</t>
  </si>
  <si>
    <t>SF-02912</t>
  </si>
  <si>
    <t>Ensaio de estanqueidade em rede de gás GLP</t>
  </si>
  <si>
    <t>SF-02914</t>
  </si>
  <si>
    <t>Sensor de Nível – Sistema a vácuo</t>
  </si>
  <si>
    <t>SF-02915</t>
  </si>
  <si>
    <t>Válvula de água – Sistema a vácuo</t>
  </si>
  <si>
    <t>SF-02916</t>
  </si>
  <si>
    <t>SF-02917</t>
  </si>
  <si>
    <t>SF-02918</t>
  </si>
  <si>
    <t>Válvula de escoamento para lavatório e bidê</t>
  </si>
  <si>
    <t>SF-02919</t>
  </si>
  <si>
    <t>Válvula de escoamento para pia de cozinha 3 1/2”</t>
  </si>
  <si>
    <t>SF-02920</t>
  </si>
  <si>
    <t>SF-02921</t>
  </si>
  <si>
    <t>Válvula de Sucção tipo Pé com Crivos 1”</t>
  </si>
  <si>
    <t>SF-02922</t>
  </si>
  <si>
    <t>Válvula de Sucção tipo Pé com Crivos 2”</t>
  </si>
  <si>
    <t>SF-02923</t>
  </si>
  <si>
    <t>Válvula de Sucção de Pé tipo cebola flangeada 6”</t>
  </si>
  <si>
    <t>SF-02924</t>
  </si>
  <si>
    <t>SF-02925</t>
  </si>
  <si>
    <t>SF-02926</t>
  </si>
  <si>
    <t>Válvula de retenção vertical - 3”</t>
  </si>
  <si>
    <t>SF-02927</t>
  </si>
  <si>
    <t>Válvula de retenção vertical - 4”</t>
  </si>
  <si>
    <t>SF-02928</t>
  </si>
  <si>
    <t>Válvula de retenção vertical - 2”</t>
  </si>
  <si>
    <t>SF-02929</t>
  </si>
  <si>
    <t>Válvula de retenção vertical - 2 1/2”</t>
  </si>
  <si>
    <t>SF-02930</t>
  </si>
  <si>
    <t>SF-02931</t>
  </si>
  <si>
    <t>SF-02932</t>
  </si>
  <si>
    <t>SF-02933</t>
  </si>
  <si>
    <t>SF-02934</t>
  </si>
  <si>
    <t>Acoplamento Circular PVC 88mm</t>
  </si>
  <si>
    <t>SF-02935</t>
  </si>
  <si>
    <t>Adaptador com Flange e Anel 85mm x 3”</t>
  </si>
  <si>
    <t>SF-02936</t>
  </si>
  <si>
    <t>Adaptador em 90° para filtro cromado 1/2 x 1/4 - Bico fino</t>
  </si>
  <si>
    <t>SF-02937</t>
  </si>
  <si>
    <t>Adaptador em 90° para filtro cromado 1/2 x 3/4</t>
  </si>
  <si>
    <t>SF-02938</t>
  </si>
  <si>
    <t>Adaptador de saída para vaso sanitário - 100mm</t>
  </si>
  <si>
    <t>SF-02939</t>
  </si>
  <si>
    <t>Adaptador JR com anel 100mm - Tubo de Ferro Fundido para PVC</t>
  </si>
  <si>
    <t>SF-02940</t>
  </si>
  <si>
    <t>Adaptador PVC água fria- 60 mm x 2”</t>
  </si>
  <si>
    <t>SF-02941</t>
  </si>
  <si>
    <t>Manilha para Poço – 1,10x0,50x0,05 m</t>
  </si>
  <si>
    <t>SF-02942</t>
  </si>
  <si>
    <t>Adaptador para filtro 3/8 x 1/2 - Rosca macho</t>
  </si>
  <si>
    <t>SF-02943</t>
  </si>
  <si>
    <t>Aquecedor elétrico horizontal – 200L – Linha Residencial</t>
  </si>
  <si>
    <t>SF-02944</t>
  </si>
  <si>
    <t>Válvula Alívio/Segurança 4 Bar- 1/2” para Aquecedor (Boiler)</t>
  </si>
  <si>
    <t>SF-02945</t>
  </si>
  <si>
    <t>Bomba para Hidromassagem Syllent Mb63 1/3Cv Monofásica 220V</t>
  </si>
  <si>
    <t>SF-02946</t>
  </si>
  <si>
    <t>Motobomba Centrífuga Submersível 1cv – trifásica - Ø máx. sólidos ≥ 20mm</t>
  </si>
  <si>
    <t>SF-02947</t>
  </si>
  <si>
    <t>Motobomba Centrífuga Submersível 2cv - trifásica - Ø máx. sólidos ≥ 20mm</t>
  </si>
  <si>
    <t>SF-02948</t>
  </si>
  <si>
    <t>Motobomba Centrífuga Submersível 3cv - trifásica - Ø máx. sólidos ≥ 20mm</t>
  </si>
  <si>
    <t>SF-02949</t>
  </si>
  <si>
    <t>Motobomba Centrífuga Submersível 4cv - trifásica - Ø máx. sólidos ≥ 20mm</t>
  </si>
  <si>
    <t>SF-02950</t>
  </si>
  <si>
    <t>Motobomba Centrífuga Submersível 5cv – trifásica - Ø máx. sólidos ≥ 60mm</t>
  </si>
  <si>
    <t>SF-02951</t>
  </si>
  <si>
    <t>Motobomba Centrífuga Submersível 7,5cv - trifásica - Ø máx. sólidos ≥ 70mm</t>
  </si>
  <si>
    <t>SF-02952</t>
  </si>
  <si>
    <t>Motobomba Centrífuga Submersível 10cv – trifásica - Ø máx. sólidos ≥ 70mm</t>
  </si>
  <si>
    <t>SF-02953</t>
  </si>
  <si>
    <t>Motobomba Centrífuga Submersível 15cv – trifásica - Ø máx. sólidos ≥ 65mm</t>
  </si>
  <si>
    <t>SF-02954</t>
  </si>
  <si>
    <t>Motobomba centrífuga de superfície monoestágio 1,5cv - monofásica</t>
  </si>
  <si>
    <t>SF-02955</t>
  </si>
  <si>
    <t>Motobomba centrífuga de superfície monoestágio 2cv - monofásica</t>
  </si>
  <si>
    <t>SF-02956</t>
  </si>
  <si>
    <t>Motobomba centrífuga de superfície monoestágio 2cv - trifásica - Combate a Incêndio</t>
  </si>
  <si>
    <t>SF-02957</t>
  </si>
  <si>
    <t>Motobomba centrífuga de superfície monoestágio 3cv - trifásica</t>
  </si>
  <si>
    <t>SF-02958</t>
  </si>
  <si>
    <t>Motobomba centrífuga de superfície monoestágio 5cv - trifásica</t>
  </si>
  <si>
    <t>SF-02959</t>
  </si>
  <si>
    <t>Motobomba centrífuga de superfície monoestágio 5cv - trifásica – Combate a Incêndio</t>
  </si>
  <si>
    <t>SF-02960</t>
  </si>
  <si>
    <t>Motobomba centrífuga de superfície monoestágio 7,5cv - trifásica</t>
  </si>
  <si>
    <t>SF-02961</t>
  </si>
  <si>
    <t>Motobomba centrífuga de superfície monoestágio 7,5cv - trifásica – Combate a Incêndio</t>
  </si>
  <si>
    <t>SF-02962</t>
  </si>
  <si>
    <t>Motobomba centrífuga de superfície monoestágio 10cv - trifásica</t>
  </si>
  <si>
    <t>SF-02963</t>
  </si>
  <si>
    <t>Motobomba centrífuga de superfície monoestágio 15cv - trifásica – Combate a Incêndio</t>
  </si>
  <si>
    <t>SF-02964</t>
  </si>
  <si>
    <t>SF-02965</t>
  </si>
  <si>
    <t>SF-02966</t>
  </si>
  <si>
    <t>Motor Elétrico 12,5cv - 02 ou 04 polos - trifásico - para acoplamento em bomba centrífuga</t>
  </si>
  <si>
    <t>SF-02967</t>
  </si>
  <si>
    <t>Motor Elétrico 20cv - 02 ou 04 polos - trifásico - para acoplamento em bomba centrífuga</t>
  </si>
  <si>
    <t>SF-02968</t>
  </si>
  <si>
    <t>Motor Elétrico 25cv - 02 ou 04 polos – trifásico - para acoplamento em bomba centrífuga</t>
  </si>
  <si>
    <t>SF-02969</t>
  </si>
  <si>
    <t>Desentupidora Elétrica 1/2 cv</t>
  </si>
  <si>
    <t>SF-02970</t>
  </si>
  <si>
    <t>Bucha de Redução em CPVC 28 x 22mm</t>
  </si>
  <si>
    <t>SF-02971</t>
  </si>
  <si>
    <t>Bucha T em metal cromado, entrada e saída de 1/2”, regulagem para mangueira fina (1/4” ou 6,5mm)</t>
  </si>
  <si>
    <t>SF-02972</t>
  </si>
  <si>
    <t>Tê 90° rosca fêmea em latão cromado 1/2”</t>
  </si>
  <si>
    <t>SF-02973</t>
  </si>
  <si>
    <t>Plug Galvanizado 4”</t>
  </si>
  <si>
    <t>SF-02974</t>
  </si>
  <si>
    <t>Caixa d’água 1000 Litros</t>
  </si>
  <si>
    <t>SF-02975</t>
  </si>
  <si>
    <t>Canopla para Sprinkler de 1/2”, em latão cromado, diâmetro externo de 6,5cm</t>
  </si>
  <si>
    <t>SF-02976</t>
  </si>
  <si>
    <t>Sprinkler Pendente 1/2” Cromado 68°C, Fator K80 (5,6)</t>
  </si>
  <si>
    <t>SF-02977</t>
  </si>
  <si>
    <t>Cap PVC Soldável 60 mm</t>
  </si>
  <si>
    <t>SF-02978</t>
  </si>
  <si>
    <t>Capa prensável para mangueira 3/4”</t>
  </si>
  <si>
    <t>SF-02979</t>
  </si>
  <si>
    <t>Tê 90° em cobre 22 mm</t>
  </si>
  <si>
    <t>SF-02980</t>
  </si>
  <si>
    <t>Conector em cobre ou bronze 22mm x 3/4” fêmea</t>
  </si>
  <si>
    <t>SF-02981</t>
  </si>
  <si>
    <t>Conector em cobre ou bronze 22mm x 3/4” macho</t>
  </si>
  <si>
    <t>SF-02982</t>
  </si>
  <si>
    <t>Conector em cobre ou bronze 28 mm x 1” macho</t>
  </si>
  <si>
    <t>SF-02983</t>
  </si>
  <si>
    <t>União em Cobre 22mm</t>
  </si>
  <si>
    <t>SF-02984</t>
  </si>
  <si>
    <t>União em Cobre 28mm</t>
  </si>
  <si>
    <t>SF-02985</t>
  </si>
  <si>
    <t>Curva Ferro Galvanizado 90° Fêmea 2”</t>
  </si>
  <si>
    <t>SF-02986</t>
  </si>
  <si>
    <t>Curva 45° Longa PVC esgoto ou águas pluviais predial DN 100 mm</t>
  </si>
  <si>
    <t>SF-02987</t>
  </si>
  <si>
    <t>Curva 90° de aço-carbono galvanizado 3”</t>
  </si>
  <si>
    <t>SF-02988</t>
  </si>
  <si>
    <t>Curva 90° PVC esgoto DN 100 mm Série R</t>
  </si>
  <si>
    <t>SF-02989</t>
  </si>
  <si>
    <t>Fita perfurada em aço-carbono - 17x0,40mm - rolo 30m</t>
  </si>
  <si>
    <t>SF-02990</t>
  </si>
  <si>
    <t>Flange PVC soldável água fria DN 60mm</t>
  </si>
  <si>
    <t>SF-02991</t>
  </si>
  <si>
    <t>Flange PVC soldável água fria DN 25mm</t>
  </si>
  <si>
    <t>SF-02992</t>
  </si>
  <si>
    <t>Flange roscável de aço-carbono galvanizado 6”</t>
  </si>
  <si>
    <t>SF-02993</t>
  </si>
  <si>
    <t>Joelho 45° em aço-carbono galvanizado 1 1/2” – Água Potável e Combate a Incêndio</t>
  </si>
  <si>
    <t>SF-02994</t>
  </si>
  <si>
    <t>Joelho 45° em aço-carbono galvanizado 2” – Água Potável e Combate a Incêndio</t>
  </si>
  <si>
    <t>SF-02995</t>
  </si>
  <si>
    <t>Joelho 45° em aço-carbono galvanizado 3” – Água Potável e Combate a Incêndio</t>
  </si>
  <si>
    <t>SF-02996</t>
  </si>
  <si>
    <t>Joelho 45° CPVC 28mm – Linha Residencial</t>
  </si>
  <si>
    <t>SF-02997</t>
  </si>
  <si>
    <t>Joelho 45° PVC soldável água fria DN 60mm</t>
  </si>
  <si>
    <t>SF-02998</t>
  </si>
  <si>
    <t>Joelho 45° CPVC 22mm – Linha Residencial</t>
  </si>
  <si>
    <t>SF-02999</t>
  </si>
  <si>
    <t>Joelho 45° PVC esgoto ou águas pluviais predial DN 50 mm</t>
  </si>
  <si>
    <t>SF-03000</t>
  </si>
  <si>
    <t>Joelho 90° em aço-carbono galvanizado 1 1/2” – Água Potável e Combate a Incêndio</t>
  </si>
  <si>
    <t>SF-03001</t>
  </si>
  <si>
    <t>Joelho 90° em aço-carbono galvanizado 1/2” – Água Potável e Combate a Incêndio</t>
  </si>
  <si>
    <t>SF-03002</t>
  </si>
  <si>
    <t>Joelho 90° em aço-carbono galvanizado 2” – Água Potável e Combate a Incêndio</t>
  </si>
  <si>
    <t>SF-03003</t>
  </si>
  <si>
    <t>Joelho 90° em aço-carbono galvanizado 2 1/2” - Água Potável e Combate a Incêndio</t>
  </si>
  <si>
    <t>SF-03004</t>
  </si>
  <si>
    <t>Joelho 90° em Cobre classe “E” 22mm</t>
  </si>
  <si>
    <t>SF-03005</t>
  </si>
  <si>
    <t>Joelho 90° em Cobre classe “E” 22mm x 1/2” - rosca fêmea</t>
  </si>
  <si>
    <t>SF-03006</t>
  </si>
  <si>
    <t>Joelho 90° CPVC 22mm – Linha Residencial</t>
  </si>
  <si>
    <t>SF-03007</t>
  </si>
  <si>
    <t>Joelho 90° CPVC 28mm – Linha Residencial</t>
  </si>
  <si>
    <t>SF-03008</t>
  </si>
  <si>
    <t>Joelho 90° PVC soldável água fria DN 60mm</t>
  </si>
  <si>
    <t>SF-03009</t>
  </si>
  <si>
    <t>Tê 90° PVC soldável água fria DN 60mm</t>
  </si>
  <si>
    <t>SF-03010</t>
  </si>
  <si>
    <t>Tê de redução PVC soldável água fria 60 x 50mm</t>
  </si>
  <si>
    <t>SF-03011</t>
  </si>
  <si>
    <t>Joelho em cobre 22mm x 1/2” – rosca fêmea</t>
  </si>
  <si>
    <t>SF-03012</t>
  </si>
  <si>
    <t>SF-03013</t>
  </si>
  <si>
    <t>Tubo PEAD corrugado para drenagem – Diâmetro 110mm</t>
  </si>
  <si>
    <t>SF-03014</t>
  </si>
  <si>
    <t>SF-03015</t>
  </si>
  <si>
    <t>Luva de Correr PVC esgoto ou águas pluviais predial DN 100mm</t>
  </si>
  <si>
    <t>SF-03016</t>
  </si>
  <si>
    <t>Luva de transição CPVC 1” x 28mm – Linha Residencial</t>
  </si>
  <si>
    <t>SF-03017</t>
  </si>
  <si>
    <t>Luva de transição CPVC 1/2” x 22mm  – Linha Residencial</t>
  </si>
  <si>
    <t>SF-03018</t>
  </si>
  <si>
    <t>Luva de transição CPVC 3/4” x 22mm – Linha Residencial</t>
  </si>
  <si>
    <t>SF-03019</t>
  </si>
  <si>
    <t>Luva em aço-carbono galvanizado 2 1/2” - Água Potável e Combate a Incêndio</t>
  </si>
  <si>
    <t>SF-03020</t>
  </si>
  <si>
    <t>Luva em aço-carbono galvanizado 2” - Água Potável e Combate a Incêndio</t>
  </si>
  <si>
    <t>SF-03021</t>
  </si>
  <si>
    <t>Luva em aço-carbono galvanizado 3” - Água Potável e Combate a Incêndio</t>
  </si>
  <si>
    <t>SF-03022</t>
  </si>
  <si>
    <t>Tê 45° (Junção) em aço-carbono galvanizado 2 1/2” – Água Potável e Combate a Incêndio</t>
  </si>
  <si>
    <t>SF-03023</t>
  </si>
  <si>
    <t>Tê 45° (Junção) em aço-carbono galvanizado 2” – Água Potável e Combate a Incêndio</t>
  </si>
  <si>
    <t>SF-03024</t>
  </si>
  <si>
    <t>Tê 45° (Junção) em aço-carbono galvanizado 3” – Água Potável e Combate a Incêndio</t>
  </si>
  <si>
    <t>SF-03025</t>
  </si>
  <si>
    <t>Tê 45° (Junção) PVC esgoto ou águas pluviais predial DN 75mm</t>
  </si>
  <si>
    <t>SF-03026</t>
  </si>
  <si>
    <t>União CPVC 22mm – Linha Residencial</t>
  </si>
  <si>
    <t>SF-03027</t>
  </si>
  <si>
    <t>União CPVC 28mm– Linha Residencial</t>
  </si>
  <si>
    <t>SF-03028</t>
  </si>
  <si>
    <t>União com assento cônico aço-carbono galvanizado 1 1/2” – Água Potável e Combate a Incêndio</t>
  </si>
  <si>
    <t>SF-03029</t>
  </si>
  <si>
    <t>União com assento cônico aço-carbono galvanizado 1 1/4” – Água Potável e Combate a Incêndio</t>
  </si>
  <si>
    <t>SF-03030</t>
  </si>
  <si>
    <t>União com assento cônico aço-carbono galvanizado 2” – Água Potável e Combate a Incêndio</t>
  </si>
  <si>
    <t>SF-03031</t>
  </si>
  <si>
    <t>União com assento cônico aço-carbono galvanizado 3” – Água Potável e Combate a Incêndio</t>
  </si>
  <si>
    <t>SF-03032</t>
  </si>
  <si>
    <t>União com assento cônico aço-carbono galvanizado 4” – Água Potável e Combate a Incêndio</t>
  </si>
  <si>
    <t>SF-03033</t>
  </si>
  <si>
    <t>União com assento cônico aço-carbono galvanizado 1” – Água Potável e Combate a Incêndio</t>
  </si>
  <si>
    <t>SF-03034</t>
  </si>
  <si>
    <t>União com assento cônico aço-carbono galvanizado 2 1/2” – Água Potável e Combate a Incêndio</t>
  </si>
  <si>
    <t>SF-03035</t>
  </si>
  <si>
    <t>Tê 90° em aço-carbono galvanizado 1 1/2” – Água Potável e Combate a Incêndio</t>
  </si>
  <si>
    <t>SF-03036</t>
  </si>
  <si>
    <t>Tê 90° em aço-carbono galvanizado 1/2” – Água Potável e Combate a Incêndio</t>
  </si>
  <si>
    <t>SF-03037</t>
  </si>
  <si>
    <t>Tê 90° em aço-carbono galvanizado 2 1/2” – Água Potável e Combate a Incêndio</t>
  </si>
  <si>
    <t>SF-03038</t>
  </si>
  <si>
    <t>Tê 90° em aço-carbono galvanizado 2” – Água Potável e Combate a Incêndio</t>
  </si>
  <si>
    <t>SF-03039</t>
  </si>
  <si>
    <t>Tê de redução em aço-carbono galvanizado 2”x1 1/2” – Água Potável e Combate a Incêndio</t>
  </si>
  <si>
    <t>SF-03040</t>
  </si>
  <si>
    <t>Tê 90° CPVC 22mm – Linha Residencial</t>
  </si>
  <si>
    <t>SF-03041</t>
  </si>
  <si>
    <t>Tê 90° CPVC 28mm – Linha Residencial</t>
  </si>
  <si>
    <t>SF-03042</t>
  </si>
  <si>
    <t>Luva CPVC 22mm – Linha Residencial</t>
  </si>
  <si>
    <t>SF-03043</t>
  </si>
  <si>
    <t>Luva CPVC 28mm– Linha Residencial</t>
  </si>
  <si>
    <t>SF-03044</t>
  </si>
  <si>
    <t>Luva PVC roscável para água fria 1 1/2”</t>
  </si>
  <si>
    <t>SF-03045</t>
  </si>
  <si>
    <t>Luva PVC roscável para água fria 2”</t>
  </si>
  <si>
    <t>SF-03046</t>
  </si>
  <si>
    <t>SF-03047</t>
  </si>
  <si>
    <t>União PVC soldável 60mm</t>
  </si>
  <si>
    <t>SF-03048</t>
  </si>
  <si>
    <t>União PVC soldável 85mm</t>
  </si>
  <si>
    <t>SF-03049</t>
  </si>
  <si>
    <t>Mangueira de sucção (mangote) em PVC - diâmetro interno de 3”</t>
  </si>
  <si>
    <t>SF-03050</t>
  </si>
  <si>
    <t>Mangueira de sucção (mangote) em PVC - diâmetro interno de 4”</t>
  </si>
  <si>
    <t>SF-03051</t>
  </si>
  <si>
    <t>Mangueira em PVC flexível transparente - DN 5/16”</t>
  </si>
  <si>
    <t>SF-03052</t>
  </si>
  <si>
    <t>Mangueira Fina Natural 4,35 x 6,35mm (1/4”)</t>
  </si>
  <si>
    <t>SF-03053</t>
  </si>
  <si>
    <t>Aspersor de Irrigação 3/4” - giratório tipo canhão</t>
  </si>
  <si>
    <t>SF-03054</t>
  </si>
  <si>
    <t>Aeronave remotamente pilotada - drone - peso inferior a 250g</t>
  </si>
  <si>
    <t>SF-03055</t>
  </si>
  <si>
    <t>Medidor de umidade em superfícies por meio de imagem termográfica infravermelha para detecção de infiltrações</t>
  </si>
  <si>
    <t>SF-03056</t>
  </si>
  <si>
    <t>Compressor de ar – 140 psi</t>
  </si>
  <si>
    <t>SF-03057</t>
  </si>
  <si>
    <t>Alicate bomba d’água 10” - mordentes RETOS e dentados</t>
  </si>
  <si>
    <t>SF-03058</t>
  </si>
  <si>
    <t>Alicate bomba d’água 10” - mordentes CURVOS e dentados</t>
  </si>
  <si>
    <t>SF-03059</t>
  </si>
  <si>
    <t>Chave de grifo 8”</t>
  </si>
  <si>
    <t>SF-03060</t>
  </si>
  <si>
    <t>Chave de grifo 10”</t>
  </si>
  <si>
    <t>SF-03061</t>
  </si>
  <si>
    <t>Chave de grifo 12”</t>
  </si>
  <si>
    <t>SF-03062</t>
  </si>
  <si>
    <t>Chave de grifo 14”</t>
  </si>
  <si>
    <t>SF-03063</t>
  </si>
  <si>
    <t>Chave de grifo 18”</t>
  </si>
  <si>
    <t>SF-03064</t>
  </si>
  <si>
    <t>Chave de grifo 24”</t>
  </si>
  <si>
    <t>SF-03065</t>
  </si>
  <si>
    <t>Chave de grifo 36”</t>
  </si>
  <si>
    <t>SF-03066</t>
  </si>
  <si>
    <t>Chave de grifo 48”</t>
  </si>
  <si>
    <t>SF-03067</t>
  </si>
  <si>
    <t>Conjunto de chaves fixas de 2 bocas (16 peças, de 6 a 50mm)</t>
  </si>
  <si>
    <t>SF-03068</t>
  </si>
  <si>
    <t>Jogo de chave cachimbo de nº 6 a 32 mm</t>
  </si>
  <si>
    <t>SF-03069</t>
  </si>
  <si>
    <t>Desentupidora manual 12m</t>
  </si>
  <si>
    <t>SF-03070</t>
  </si>
  <si>
    <t>Desentupidora manual 4m</t>
  </si>
  <si>
    <t>SF-03071</t>
  </si>
  <si>
    <t>Torno de bancada fixo nº 4</t>
  </si>
  <si>
    <t>SF-03072</t>
  </si>
  <si>
    <t>Bomba manual para graxa 500g</t>
  </si>
  <si>
    <t>SF-03073</t>
  </si>
  <si>
    <t>Bomba manual para graxa 5 a 7kg</t>
  </si>
  <si>
    <t>SF-03074</t>
  </si>
  <si>
    <t>Bomba manual para Teste Hidrostático - Vazão 80 L/h - com Manômetro</t>
  </si>
  <si>
    <t>SF-03075</t>
  </si>
  <si>
    <t>Rádio comunicador bidirecional - alcance até 25km</t>
  </si>
  <si>
    <t>SF-03077</t>
  </si>
  <si>
    <t>Locação de caminhão tanque à vácuo (≥ 10.000 litros) para limpeza de Caixa Coletora de Esgoto</t>
  </si>
  <si>
    <t>SF-03078</t>
  </si>
  <si>
    <t>Locação de caminhão tanque à vácuo (≥ 10.000 litros) para limpeza de Caixa de Gordura</t>
  </si>
  <si>
    <t>SF-03079</t>
  </si>
  <si>
    <t>Locação de Banheiro Químico Standard</t>
  </si>
  <si>
    <t>SF-03080</t>
  </si>
  <si>
    <t>Serviço de vídeo inspeção robotizada para ramais hidrossanitários (&lt;1000m/dia)</t>
  </si>
  <si>
    <t>SF-03081</t>
  </si>
  <si>
    <t>Serviço de desentupimento/desobstrução de tubulação</t>
  </si>
  <si>
    <t>SF-03082</t>
  </si>
  <si>
    <t>Ensaio de Potabilidade</t>
  </si>
  <si>
    <t>SF-03083</t>
  </si>
  <si>
    <t>Ensaio de Caracterização de Efluente</t>
  </si>
  <si>
    <t>SF-03084</t>
  </si>
  <si>
    <t>SF-03085</t>
  </si>
  <si>
    <t>SF-03086</t>
  </si>
  <si>
    <t>SF-03087</t>
  </si>
  <si>
    <t>SF-03088</t>
  </si>
  <si>
    <t>SF-03089</t>
  </si>
  <si>
    <t>SF-03090</t>
  </si>
  <si>
    <t>SF-03091</t>
  </si>
  <si>
    <t>SF-03092</t>
  </si>
  <si>
    <t>SF-03093</t>
  </si>
  <si>
    <t>SF-03094</t>
  </si>
  <si>
    <t>Fotômetro para cloro livre e total</t>
  </si>
  <si>
    <t>SF-03095</t>
  </si>
  <si>
    <t>Mangueira de incêndio tipo 2 - engate 2 1/2” - lance 15m</t>
  </si>
  <si>
    <t>SF-03096</t>
  </si>
  <si>
    <t>Manômetro DN100 (4”) até 150psi - para aferição (NBR 14105-1 classe A1)</t>
  </si>
  <si>
    <t>SF-03097</t>
  </si>
  <si>
    <t>Medidor de Vibração portátil</t>
  </si>
  <si>
    <t>SF-03098</t>
  </si>
  <si>
    <t>Jogo de tarraxas para PVC de 1/2” a 1”</t>
  </si>
  <si>
    <t>SF-03099</t>
  </si>
  <si>
    <t>Tarraxa para PVC de 1 1/2”</t>
  </si>
  <si>
    <t>SF-03100</t>
  </si>
  <si>
    <t>Tarraxa para PVC de 1 1/4”</t>
  </si>
  <si>
    <t>SF-03101</t>
  </si>
  <si>
    <t>Tarraxa para PVC de 2”</t>
  </si>
  <si>
    <t>SF-03102</t>
  </si>
  <si>
    <t>Tarraxa para PVC de 2 1/2”</t>
  </si>
  <si>
    <t>SF-03103</t>
  </si>
  <si>
    <t>Tarraxa para PVC de 3”</t>
  </si>
  <si>
    <t>SF-03104</t>
  </si>
  <si>
    <t>Tarraxa para PVC de 4”</t>
  </si>
  <si>
    <t>SF-03105</t>
  </si>
  <si>
    <t>SF-03106</t>
  </si>
  <si>
    <t>SF-03107</t>
  </si>
  <si>
    <t>SF-03108</t>
  </si>
  <si>
    <t>Selo mecânico tipo 21 - Ø1 1/4” para bombas centrífugas</t>
  </si>
  <si>
    <t>SF-03109</t>
  </si>
  <si>
    <t>Selo mecânico tipo 21 - Ø3/4” para bombas centrífugas</t>
  </si>
  <si>
    <t>SF-03110</t>
  </si>
  <si>
    <t>Selo mecânico tipo 21 - Ø5/8” para bombas centrífugas</t>
  </si>
  <si>
    <t>SF-03111</t>
  </si>
  <si>
    <t>Bucha de redução em ferro galvanizado 3” X 2 1/2”</t>
  </si>
  <si>
    <t>SF-03112</t>
  </si>
  <si>
    <t>Tubo de aço-carbono galvanizado 1 1/2” – Água Potável e Combate a Incêndio</t>
  </si>
  <si>
    <t>SF-03113</t>
  </si>
  <si>
    <t>Tubo de ligação para mictório</t>
  </si>
  <si>
    <t>SF-03125</t>
  </si>
  <si>
    <t>ABRACADEIRA EM ACO PARA AMARRACAO DE ELETRODUTOS, TIPO D, COM 3" E PARAFUSO DE FIXACAO</t>
  </si>
  <si>
    <t>ACOPLAMENTO DE CONDUTOR PLUVIAL, EM PVC, DIAMETRO ENTRE 80 E 100 MM, PARA DRENAGEM PREDIAL</t>
  </si>
  <si>
    <t>ADAPTADOR PVC SOLDAVEL CURTO COM BOLSA E ROSCA, 60 MM X 2", PARA AGUA FRIA</t>
  </si>
  <si>
    <t>ADAPTADOR PVC SOLDAVEL, COM FLANGE E ANEL DE VEDACAO, 25 MM X 3/4", PARA CAIXA D'AGUA</t>
  </si>
  <si>
    <t>ADAPTADOR PVC SOLDAVEL, COM FLANGES E ANEL DE VEDACAO, 60 MM X 2", PARA CAIXA D' AGUA</t>
  </si>
  <si>
    <t>ADAPTADOR PVC SOLDAVEL, COM FLANGES LIVRES, 85 MM X 3", PARA CAIXA D' AGUA</t>
  </si>
  <si>
    <t>ALICATE DE CORTE DIAGONAL 6 " COM ISOLAMENTO</t>
  </si>
  <si>
    <t>ANEL BORRACHA PARA TUBO ESGOTO PREDIAL, DN 100 MM (NBR 5688)</t>
  </si>
  <si>
    <t>ANEL EM CONCRETO ARMADO, LISO, PARA POCOS DE VISITAS, POCOS DE INSPECAO, FOSSAS SEPTICAS E SUMIDOUROS, COM FUNDO, DIAMETRO INTERNO DE 1,00 M E ALTURA DE 0,50 M</t>
  </si>
  <si>
    <t>AQUECEDOR DE AGUA ELETRICO HORIZONTAL, RESERVATORIO DE 200 L CILINDRICO EM COBRE, REFORCADO COM ACO CARBONO, MONOFASICO, TENSAO NOMINAL 220 V</t>
  </si>
  <si>
    <t>ASSENTO SANITARIO DE PLASTICO, TIPO CONVENCIONAL</t>
  </si>
  <si>
    <t>BARRA DE APOIO RETA, EM ACO INOX POLIDO, COMPRIMENTO 70CM, DIAMETRO MINIMO 3 CM</t>
  </si>
  <si>
    <t>BARRA DE APOIO RETA, EM ACO INOX POLIDO, COMPRIMENTO 80CM, DIAMETRO MINIMO 3 CM</t>
  </si>
  <si>
    <t>BOLSA DE LIGACAO EM PVC FLEXIVEL PARA VASO SANITARIO 1.1/2 " (40 MM)</t>
  </si>
  <si>
    <t>BOTA DE PVC PRETA, CANO MEDIO, SEM FORRO</t>
  </si>
  <si>
    <t>BRACO / CANO PARA CHUVEIRO ELETRICO, EM ALUMINIO, 30 CM X 1/2 "</t>
  </si>
  <si>
    <t>BUCHA DE REDUCAO DE FERRO GALVANIZADO, COM ROSCA BSP, DE 3" X 2 1/2"</t>
  </si>
  <si>
    <t>BUCHA DE REDUCAO, CPVC, SOLDAVEL, 28 X 22 MM, PARA AGUA QUENTE</t>
  </si>
  <si>
    <t>CAIXA D'AGUA EM POLIETILENO 1000 LITROS, COM TAMPA</t>
  </si>
  <si>
    <t>CAIXA DE DESCARGA DE PLASTICO EXTERNA, DE *9* L, PUXADOR FIO DE NYLON, NAO INCLUSO CANO, BOLSA, ENGATE</t>
  </si>
  <si>
    <t>CAIXA DE INCENDIO/ABRIGO PARA MANGUEIRA, DE EMBUTIR/INTERNA, COM 90 X 60 X 17 CM, EM CHAPA DE ACO, PORTA COM VENTILACAO, VISOR COM A INSCRICAO "INCENDIO", SUPORTE/CESTA INTERNA PARA A MANGUEIRA, PINTURA ELETROSTATICA VERMELHA</t>
  </si>
  <si>
    <t>CAIXA SIFONADA, PVC, 150 X 150 X 50 MM, COM GRELHA REDONDA, BRANCA</t>
  </si>
  <si>
    <t>CANOPLA ACABAMENTO CROMADO PARA INSTALACAO DE SPRINKLER, SOB FORRO, 15 MM</t>
  </si>
  <si>
    <t>CAP PVC, SOLDAVEL, 60 MM, PARA AGUA FRIA PREDIAL</t>
  </si>
  <si>
    <t>CARRINHO DE MAO DE ACO CAPACIDADE 50 A 60 L, PNEU COM CAMARA</t>
  </si>
  <si>
    <t>CHUMBADOR, DIAMETRO 1/4" COM PARAFUSO 1/4" X 40 MM</t>
  </si>
  <si>
    <t>CONDUTOR PLUVIAL, PVC, CIRCULAR, DIAMETRO ENTRE 80 E 100 MM, PARA DRENAGEM PREDIAL</t>
  </si>
  <si>
    <t>CONECTOR BRONZE/LATAO (REF 603) SEM ANEL DE SOLDA, BOLSA X ROSCA F, 22 MM X 3/4"</t>
  </si>
  <si>
    <t>CUBA ACO INOX (AISI 304) DE EMBUTIR COM VALVULA 3 1/2 ", DE *40 X 34 X 12* CM</t>
  </si>
  <si>
    <t>CURVA DE PVC, 90 GRAUS, SERIE R, DN 100 MM, PARA ESGOTO OU AGUAS PLUVIAIS PREDIAIS</t>
  </si>
  <si>
    <t>CURVA PVC LONGA 45 GRAUS, 100 MM, PARA ESGOTO PREDIAL</t>
  </si>
  <si>
    <t>CURVA 90 GRAUS DE FERRO GALVANIZADO, COM ROSCA BSP FEMEA, DE 2"</t>
  </si>
  <si>
    <t>CURVA 90 GRAUS DE FERRO GALVANIZADO, COM ROSCA BSP FEMEA, DE 3"</t>
  </si>
  <si>
    <t>DESEMPENADEIRA DE ACO LISA 12 X *25* CM COM CABO FECHADO DE MADEIRA</t>
  </si>
  <si>
    <t>DESEMPENADEIRA PLASTICA LISA *14 X 27* CM</t>
  </si>
  <si>
    <t>ENXADA ESTREITA *25 X 23* CM COM CABO</t>
  </si>
  <si>
    <t>ESCADA DUPLA DE ABRIR EM ALUMINIO, MODELO PINTOR, 8 DEGRAUS</t>
  </si>
  <si>
    <t>ESPATULA DE ACO INOX COM CABO DE MADEIRA, LARGURA 8 CM</t>
  </si>
  <si>
    <t>ESQUADRO DE ACO 12 " (300 MM), CABO DE ALUMINIO</t>
  </si>
  <si>
    <t>FITA METALICA PERFURADA, L = 17 MM, ROLO DE 30 M, CARGA RECOMENDADA = *19* KGF</t>
  </si>
  <si>
    <t>INSTALADOR DE TUBULACOES (TUBOS/EQUIPAMENTOS)</t>
  </si>
  <si>
    <t>JOELHO CPVC, SOLDAVEL, 45 GRAUS, 22 MM, PARA AGUA QUENTE</t>
  </si>
  <si>
    <t>JOELHO CPVC, SOLDAVEL, 45 GRAUS, 28 MM, PARA AGUA QUENTE</t>
  </si>
  <si>
    <t>JOELHO CPVC, SOLDAVEL, 90 GRAUS, 22 MM, PARA AGUA QUENTE</t>
  </si>
  <si>
    <t>JOELHO CPVC, SOLDAVEL, 90 GRAUS, 28 MM, PARA AGUA QUENTE</t>
  </si>
  <si>
    <t>JOELHO PVC, SOLDAVEL, PB, 45 GRAUS, DN 50 MM, PARA ESGOTO PREDIAL</t>
  </si>
  <si>
    <t>JOELHO PVC, SOLDAVEL, 90 GRAUS, 60 MM, PARA AGUA FRIA PREDIAL</t>
  </si>
  <si>
    <t>JOELHO, PVC SOLDAVEL, 45 GRAUS, 60 MM, PARA AGUA FRIA PREDIAL</t>
  </si>
  <si>
    <t>JUNCAO SIMPLES, PVC SERIE R, DN 75 X 75 MM, PARA ESGOTO OU AGUAS PLUVIAIS PREDIAIS</t>
  </si>
  <si>
    <t>LUVA CPVC, SOLDAVEL, 22 MM, PARA AGUA QUENTE PREDIAL</t>
  </si>
  <si>
    <t>LUVA CPVC, SOLDAVEL, 28 MM, PARA AGUA QUENTE PREDIAL</t>
  </si>
  <si>
    <t>LUVA DE CORRER, PVC SERIE R, 100 MM, PARA ESGOTO OU AGUAS PLUVIAIS PREDIAIS</t>
  </si>
  <si>
    <t>LUVA DE TRANSICAO, CPVC, 22 MM X 1/2", PARA AGUA QUENTE</t>
  </si>
  <si>
    <t>LUVA PVC SOLDAVEL, 60 MM, PARA AGUA FRIA PREDIAL</t>
  </si>
  <si>
    <t>MANGUEIRA CRISTAL PARA NIVEL, LISA, PVC TRANSPARENTE, 5/16" X1 MM</t>
  </si>
  <si>
    <t>MANGUEIRA DE INCENDIO, TIPO 2, DE 2 1/2", COMPRIMENTO = 15 M, TECIDO EM FIO DE POLIESTER E TUBO INTERNO EM BORRACHA SINTETICA, COM UNIOES ENGATE RAPIDO</t>
  </si>
  <si>
    <t>MANOMETRO COM CAIXA EM ACO PINTADO, ESCALA *10* KGF/CM2 (*10* BAR), DIAMETRO NOMINAL DE *63* MM, CONEXAO DE 1/4"</t>
  </si>
  <si>
    <t>MANOMETRO COM CAIXA EM ACO PINTADO, ESCALA *10* KGF/CM2 (*10* BAR), DIAMETRO NOMINAL DE 100 MM, CONEXAO DE 1/2"</t>
  </si>
  <si>
    <t>MISTURADOR METALICO, BASE PARA CHUVEIRO/BANHEIRA, 1/2 " OU 3/4 ", SOLDAVEL OU ROSCAVEL (NAO INCLUI ACABAMENTOS)</t>
  </si>
  <si>
    <t>NIPLE DE FERRO GALVANIZADO, COM ROSCA BSP, DE 2 1/2"</t>
  </si>
  <si>
    <t>NIPLE DE FERRO GALVANIZADO, COM ROSCA BSP, DE 2"</t>
  </si>
  <si>
    <t>NIPLE DE FERRO GALVANIZADO, COM ROSCA BSP, DE 3"</t>
  </si>
  <si>
    <t>OLEO DIESEL COMBUSTIVEL COMUM</t>
  </si>
  <si>
    <t>PLACA DE SINALIZACAO DE SEGURANCA CONTRA INCENDIO, FOTOLUMINESCENTE, RETANGULAR, *13 X 26* CM, EM PVC *2* MM ANTI-CHAMAS (SIMBOLOS, CORES E PICTOGRAMAS CONFORME NBR 16820)</t>
  </si>
  <si>
    <t>PLUG OU BUJAO DE FERRO GALVANIZADO, DE 4"</t>
  </si>
  <si>
    <t>PRUMO DE CENTRO EM ACO *400* G</t>
  </si>
  <si>
    <t>PRUMO DE PAREDE EM ACO 700 A 750 G</t>
  </si>
  <si>
    <t>RALO FOFO SEMIESFERICO, 100 MM, PARA LAJES/ CALHAS</t>
  </si>
  <si>
    <t>REGISTRO DE ESFERA, PVC, COM VOLANTE, VS, ROSCAVEL, DN 1 1/2", COM CORPO DIVIDIDO</t>
  </si>
  <si>
    <t>REGISTRO DE ESFERA, PVC, COM VOLANTE, VS, ROSCAVEL, DN 1/2", COM CORPO DIVIDIDO</t>
  </si>
  <si>
    <t>REGISTRO DE ESFERA, PVC, COM VOLANTE, VS, SOLDAVEL, DN 60 MM, COM CORPO DIVIDIDO</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</si>
  <si>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</si>
  <si>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</si>
  <si>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</si>
  <si>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</si>
  <si>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</si>
  <si>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</si>
  <si>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</si>
  <si>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</si>
  <si>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</si>
  <si>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</si>
  <si>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</si>
  <si>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</si>
  <si>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REGUA DE ALUMINIO PARA PEDREIRO 2 X 1 "</t>
  </si>
  <si>
    <t>REJUNTE CIMENTICIO, QUALQUER COR</t>
  </si>
  <si>
    <t>SIFAO EM METAL CROMADO PARA TANQUE, 1.1/4 X 1.1/2 "</t>
  </si>
  <si>
    <t>SPRINKLER TIPO PENDENTE, 68 GRAUS CELSIUS (BULBO VERMELHO), ACABAMENTO CROMADO, 1/2" - 15 MM</t>
  </si>
  <si>
    <t>TALHA MANUAL DE CORRENTE, CAPACIDADE DE 2 T COM ELEVACAO DE 3 M</t>
  </si>
  <si>
    <t>TALHADEIRA COM PUNHO DE PROTECAO *20 X 250* MM</t>
  </si>
  <si>
    <t>TE CPVC, SOLDAVEL, 90 GRAUS, 22 MM, PARA AGUA QUENTE PREDIAL</t>
  </si>
  <si>
    <t>TE CPVC, SOLDAVEL, 90 GRAUS, 28 MM, PARA AGUA QUENTE PREDIAL</t>
  </si>
  <si>
    <t>TE DE COBRE (REF 611) SEM ANEL DE SOLDA, BOLSA X BOLSA X BOLSA, 22 MM</t>
  </si>
  <si>
    <t>TE DE FERRO GALVANIZADO, DE 1 1/2"</t>
  </si>
  <si>
    <t>TE DE FERRO GALVANIZADO, DE 1/2"</t>
  </si>
  <si>
    <t>TE DE FERRO GALVANIZADO, DE 2 1/2"</t>
  </si>
  <si>
    <t>TE DE FERRO GALVANIZADO, DE 2"</t>
  </si>
  <si>
    <t>TE DE REDUCAO DE FERRO GALVANIZADO, COM ROSCA BSP, DE 2" X 1 1/2"</t>
  </si>
  <si>
    <t>TE SOLDAVEL, PVC, 90 GRAUS, 60 MM, PARA AGUA FRIA PREDIAL (NBR 5648)</t>
  </si>
  <si>
    <t>TE 45 GRAUS DE FERRO GALVANIZADO, COM ROSCA BSP, DE 2 1/2"</t>
  </si>
  <si>
    <t>TE 45 GRAUS DE FERRO GALVANIZADO, COM ROSCA BSP, DE 2"</t>
  </si>
  <si>
    <t>TE 45 GRAUS DE FERRO GALVANIZADO, COM ROSCA BSP, DE 3"</t>
  </si>
  <si>
    <t>TERMINAL DE VENTILACAO, 100 MM, SERIE NORMAL, ESGOTO PREDIAL</t>
  </si>
  <si>
    <t>TERMINAL DE VENTILACAO, 50 MM, SERIE NORMAL, ESGOTO PREDIAL</t>
  </si>
  <si>
    <t>TERMINAL DE VENTILACAO, 75 MM, SERIE NORMAL, ESGOTO PREDIAL</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</si>
  <si>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</si>
  <si>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</si>
  <si>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</si>
  <si>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</si>
  <si>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</si>
  <si>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METALICA CROMADA DE MESA, PARA LAVATORIO, TEMPORIZADA PRESSAO FECHAMENTO AUTOMATICO, BICA BAIXA</t>
  </si>
  <si>
    <t>TORNEIRA METALICA CROMADA PARA JARDIM / TANQUE, COM BICO PLASTICO, CANO LONGO, DE PAREDE, PADRAO POPULAR / USO GERAL , 1/2 " OU 3/4 " (REF 1153 / 1130)</t>
  </si>
  <si>
    <t>TUBO COLETOR DE ESGOTO PVC, JEI, DN 300 MM (NBR 7362)</t>
  </si>
  <si>
    <t>TUBO DE COBRE CLASSE "E", DN = 104 MM, PARA INSTALACAO HIDRAULICA PREDIAL</t>
  </si>
  <si>
    <t>TUBO DE COBRE CLASSE "E", DN = 35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</si>
  <si>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</si>
  <si>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</si>
  <si>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</si>
  <si>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PVC SERIE NORMAL, DN 50 MM, PARA ESGOTO PREDIAL (NBR 5688)</t>
  </si>
  <si>
    <t>TUBO PVC SERIE NORMAL, DN 75 MM, PARA ESGOTO PREDIAL (NBR 5688)</t>
  </si>
  <si>
    <t>TUBO PVC, ROSCAVEL, 1", AGUA FRIA PREDIAL</t>
  </si>
  <si>
    <t>TUBO PVC, ROSCAVEL, 3", AGUA FRIA PREDIAL</t>
  </si>
  <si>
    <t>TUBO PVC, SOLDAVEL, DN 100 MM, AGUA FRIA (NBR-5648)</t>
  </si>
  <si>
    <t>TUBO PVC, SOLDAVEL, DN 20 MM, AGUA FRIA (NBR-5648)</t>
  </si>
  <si>
    <t>TUBO PVC, SOLDAVEL, DN 25 MM, AGUA FRIA (NBR-5648)</t>
  </si>
  <si>
    <t>TUBO PVC, SOLDAVEL, DN 32 MM, AGUA FRIA (NBR-5648)</t>
  </si>
  <si>
    <t>TUBO PVC, SOLDAVEL, DN 40 MM, AGUA FRIA (NBR-5648)</t>
  </si>
  <si>
    <t>TUBO PVC, SOLDAVEL, DN 60 MM, AGUA FRIA (NBR-5648)</t>
  </si>
  <si>
    <t>TUBO PVC, SOLDAVEL, DN 75 MM, AGUA FRIA (NBR-5648)</t>
  </si>
  <si>
    <t>TUBO PVC, SOLDAVEL, DN 85 MM, AGUA FRIA (NBR-5648)</t>
  </si>
  <si>
    <t>UNIAO DE FERRO GALVANIZADO, COM ASSENTO CONICO DE BRONZE, DE 1 1/4"</t>
  </si>
  <si>
    <t>UNIAO DE FERRO GALVANIZADO, COM ROSCA BSP, COM ASSENTO PLANO, DE 1 1/2"</t>
  </si>
  <si>
    <t>UNIAO DE FERRO GALVANIZADO, COM ROSCA BSP, COM ASSENTO PLANO, DE 2 1/2"</t>
  </si>
  <si>
    <t>UNIAO DE FERRO GALVANIZADO, COM ROSCA BSP, COM ASSENTO PLANO, DE 2"</t>
  </si>
  <si>
    <t>UNIAO DE FERRO GALVANIZADO, COM ROSCA BSP, COM ASSENTO PLANO, DE 3"</t>
  </si>
  <si>
    <t>UNIAO DE FERRO GALVANIZADO, COM ROSCA BSP, COM ASSENTO PLANO, DE 4"</t>
  </si>
  <si>
    <t>UNIAO, CPVC, SOLDAVEL, 22 MM, PARA AGUA QUENTE PREDIAL</t>
  </si>
  <si>
    <t>UNIAO, CPVC, SOLDAVEL, 28 MM, PARA AGUA QUENTE PREDIAL</t>
  </si>
  <si>
    <t>VALVULA DE DESCARGA EM METAL CROMADO PARA MICTORIO COM ACIONAMENTO POR PRESSAO E FECHAMENTO AUTOMATICO</t>
  </si>
  <si>
    <t>VALVULA DE ESFERA BRUTA EM BRONZE, BITOLA 2 " (REF 1552-B)</t>
  </si>
  <si>
    <t>VALVULA DE ESFERA BRUTA EM BRONZE, BITOLA 3/4 " (REF 1552-B)</t>
  </si>
  <si>
    <t>VALVULA DE RETENCAO DE BRONZE, PE COM CRIVOS, EXTREMIDADE COM ROSCA, DE 1", PARA FUNDO DE POCO</t>
  </si>
  <si>
    <t>VALVULA DE RETENCAO DE BRONZE, PE COM CRIVOS, EXTREMIDADE COM ROSCA, DE 2", PARA FUNDO DE POCO</t>
  </si>
  <si>
    <t>VALVULA DE RETENCAO HORIZONTAL, DE BRONZE (PN-25), 2", 400 PSI, TAMPA DE PORCA DE UNIAO, EXTREMIDADES COM ROSCA</t>
  </si>
  <si>
    <t>VALVULA DE RETENCAO HORIZONTAL, DE BRONZE (PN-25), 3/4", 400 PSI, TAMPA DE PORCA DE UNIAO, EXTREMIDADES COM ROSCA</t>
  </si>
  <si>
    <t>VALVULA DE RETENCAO VERTICAL, DE BRONZE (PN-16), 2 1/2", 200 PSI, EXTREMIDADES COM ROSCA</t>
  </si>
  <si>
    <t>VALVULA DE RETENCAO VERTICAL, DE BRONZE (PN-16), 2",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</si>
  <si>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</si>
  <si>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</si>
  <si>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</si>
  <si>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</si>
  <si>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ACETILENO (RECARGA DE GAS ACETILENO PARA CILINDRO DE CONJUNTO OXICORTE GRANDE) NAO INCLUI TROCA/MANUTENCAO DO CILINDRO</t>
  </si>
  <si>
    <t>LOCACAO DE CONTAINER 2,30 X 6,00 M, ALT. 2,50 M, COM 1 SANITARIO, PARA ESCRITORIO, COMPLETO, SEM DIVISORIAS INTERNAS (NAO INCLUI MOBILIZACAO/DESMOBILIZACAO)</t>
  </si>
  <si>
    <t>LOCACAO DE CONTAINER 2,30 X 6,00 M, ALT. 2,50 M, PARA ESCRITORIO, SEM DIVISORIAS INTERNAS E SEM SANITARIO (NAO INCLUI MOBILIZACAO/DESMOBILIZACAO)</t>
  </si>
  <si>
    <t>LOCACAO DE CONTAINER 2,30 X 6,00 M, ALT. 2,50 M, PARA SANITARIO, COM 4 BACIAS, 8 CHUVEIROS,1 LAVATORIO E 1 MICTORIO (NAO INCLUI MOBILIZACAO/DESMOBILIZACAO)</t>
  </si>
  <si>
    <t>TAMPAO FOFO ARTICULADO, CLASSE B125 CARGA MAX 12,5 T, REDONDO, TAMPA 600 MM (COM INSCRICAO EM RELEVO DO TIPO DE REDE)</t>
  </si>
  <si>
    <t>TAMPAO FOFO ARTICULADO, CLASSE D400 CARGA MAX 40 T, REDONDO, TAMPA 600 MM (COM INSCRICAO EM RELEVO DO TIPO DE REDE)</t>
  </si>
  <si>
    <t>TAMPAO FOFO SIMPLES COM BASE, CLASSE A15 CARGA MAX 1,5 T, 400 X 600 MM (COM INSCRICAO EM RELEVO DO TIPO DE REDE)</t>
  </si>
  <si>
    <t>LANÇAMENTO COM USO DE BALDES, ADENSAMENTO E ACABAMENTO DE CONCRETO EM ESTRUTURAS. AF_02/2022</t>
  </si>
  <si>
    <t>CAIXA DE GORDURA EM PVC, DIAMETRO MINIMO 300 MM, DIAMETRO DE SAIDA 100 MM, CAPACIDADE APROXIMADA 18 LITROS, COM TAMPA E CESTO</t>
  </si>
  <si>
    <t>POSTE CONICO CONTINUO EM ACO GALVANIZADO, RETO, FLANGEADO, H = 3 M, DIAMETRO INFERIOR = *95* MM</t>
  </si>
  <si>
    <t>TUBO ACO GALVANIZADO COM COSTURA, CLASSE LEVE, DN 32 MM ( 1 1/4"), E = 2,65 MM, *2,71*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</si>
  <si>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</si>
  <si>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</si>
  <si>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</si>
  <si>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</si>
  <si>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</si>
  <si>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</si>
  <si>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PVC SERIE NORMAL, DN 100 MM, PARA ESGOTO PREDIAL (NBR 5688)</t>
  </si>
  <si>
    <t>TUBO PVC, ROSCAVEL, 1 1/2", AGUA FRIA PREDIAL</t>
  </si>
  <si>
    <t>TUBO PVC, ROSCAVEL, 2 1/2", AGUA FRIA PREDIAL</t>
  </si>
  <si>
    <t>TUBO PVC, ROSCAVEL, 2", PARA AGUA FRIA PREDIAL</t>
  </si>
  <si>
    <t>TUBO PVC SERIE NORMAL, DN 150 MM, PARA ESGOTO PREDIAL (NBR 5688)</t>
  </si>
  <si>
    <t>TUBO PVC SERIE NORMAL, DN 40 MM, PARA ESGOTO PREDIAL (NBR 5688)</t>
  </si>
  <si>
    <t>TUBO PVC ROSCAVEL, 3/4", AGUA FRIA PREDIAL</t>
  </si>
  <si>
    <t>TUBO PVC, ROSCAVEL, 4", AGUA FRIA PREDIAL</t>
  </si>
  <si>
    <t>TUBO PVC, ROSCAVEL, 6", AGUA FRIA PREDIAL</t>
  </si>
  <si>
    <t>LUVA PVC, ROSCAVEL, 1 1/2", AGUA FRIA PREDIAL</t>
  </si>
  <si>
    <t>LUVA PVC, ROSCAVEL, 2", AGUA FRIA PREDIAL</t>
  </si>
  <si>
    <t>UNIAO PVC, SOLDAVEL, 60 MM, PARA AGUA FRIA PREDIAL</t>
  </si>
  <si>
    <t>UNIAO PVC, SOLDAVEL, 85 MM, PARA AGUA FRIA PREDIAL</t>
  </si>
  <si>
    <t>TUBO ACO GALVANIZADO COM COSTURA, CLASSE LEVE, DN 40 MM ( 1 1/2"), E = 3,00 MM, *3,48* KG/M (NBR 5580)</t>
  </si>
  <si>
    <t>Manutenção Hidrossanitária</t>
  </si>
  <si>
    <t>CÓD. SINFRA</t>
  </si>
  <si>
    <t>FATOR DE UTILIZAÇÃO²</t>
  </si>
  <si>
    <t>VIDA ÚTIL (ANOS)³</t>
  </si>
  <si>
    <t>% DE DEPRECIAÇÃO MENSAL³</t>
  </si>
  <si>
    <r>
      <t>CUSTO UNITÁRIO</t>
    </r>
    <r>
      <rPr>
        <b/>
        <vertAlign val="superscript"/>
        <sz val="11"/>
        <rFont val="Arial"/>
        <family val="2"/>
      </rPr>
      <t>4</t>
    </r>
  </si>
  <si>
    <t>VALOR MENSAL DE DEPRECIAÇÃO³</t>
  </si>
  <si>
    <t>VALOR TOTAL DE DEPRECIAÇÃO PARA 30 MESES³</t>
  </si>
  <si>
    <t>Serviços sob Demanda</t>
  </si>
  <si>
    <t>Materiais</t>
  </si>
  <si>
    <t>Serrote 20 polegadas</t>
  </si>
  <si>
    <t>Marreta 2 kg</t>
  </si>
  <si>
    <t>Trena 5m</t>
  </si>
  <si>
    <t>02.01</t>
  </si>
  <si>
    <t>Serviços Preliminares</t>
  </si>
  <si>
    <t>02.01.01</t>
  </si>
  <si>
    <t>02.01.02</t>
  </si>
  <si>
    <t>02.01.03</t>
  </si>
  <si>
    <t>02.01.04</t>
  </si>
  <si>
    <t>02.02</t>
  </si>
  <si>
    <t>Serviços - Limpeza</t>
  </si>
  <si>
    <t>02.02.01</t>
  </si>
  <si>
    <t>02.02.02</t>
  </si>
  <si>
    <t>02.03</t>
  </si>
  <si>
    <t>Serviços - Segurança do Trabalho</t>
  </si>
  <si>
    <t>02.03.01</t>
  </si>
  <si>
    <t>02.03.02</t>
  </si>
  <si>
    <t>02.03.03</t>
  </si>
  <si>
    <t>02.03.04</t>
  </si>
  <si>
    <t>02.03.05</t>
  </si>
  <si>
    <t>02.03.06</t>
  </si>
  <si>
    <t>02.03.07</t>
  </si>
  <si>
    <t>02.03.08</t>
  </si>
  <si>
    <t>02.03.09</t>
  </si>
  <si>
    <t>02.03.10</t>
  </si>
  <si>
    <t>02.03.11</t>
  </si>
  <si>
    <t>02.03.12</t>
  </si>
  <si>
    <t>02.03.13</t>
  </si>
  <si>
    <t>02.03.14</t>
  </si>
  <si>
    <t>02.03.15</t>
  </si>
  <si>
    <t>02.03.16</t>
  </si>
  <si>
    <t>02.03.17</t>
  </si>
  <si>
    <t>02.03.18</t>
  </si>
  <si>
    <t>02.03.19</t>
  </si>
  <si>
    <t>02.03.20</t>
  </si>
  <si>
    <t>02.03.21</t>
  </si>
  <si>
    <t>02.03.22</t>
  </si>
  <si>
    <t>02.04</t>
  </si>
  <si>
    <t>02.04.01</t>
  </si>
  <si>
    <t>02.04.02</t>
  </si>
  <si>
    <t>02.04.03</t>
  </si>
  <si>
    <t>03.00</t>
  </si>
  <si>
    <t>02.00</t>
  </si>
  <si>
    <t>03.01</t>
  </si>
  <si>
    <t>Materiais - Revestimentos</t>
  </si>
  <si>
    <t>03.01.01</t>
  </si>
  <si>
    <t>03.01.02</t>
  </si>
  <si>
    <t>03.02</t>
  </si>
  <si>
    <t>Materiais - Ralos e Caixas</t>
  </si>
  <si>
    <t>Materiais - Registros e Válvulas</t>
  </si>
  <si>
    <t>Materiais - Tubos e Conexões</t>
  </si>
  <si>
    <t>Materiais - Louças, Cubas e Complementos</t>
  </si>
  <si>
    <t>Materiais - Acessórios</t>
  </si>
  <si>
    <t>Materiais - Acessibilidade</t>
  </si>
  <si>
    <t>Materiais - Válvulas de descarga</t>
  </si>
  <si>
    <t>Materiais - Aquecedores de água</t>
  </si>
  <si>
    <t>Materiais - Dispositivos de Monitoramento Hidráulico</t>
  </si>
  <si>
    <t>Materiais - Sistema a Vácuo</t>
  </si>
  <si>
    <t>Materiais - Comando e Controle</t>
  </si>
  <si>
    <t>Relógio de Ponto Biométrico</t>
  </si>
  <si>
    <t>Ferramentas e Equipamentos - Acesso, logística e segurança</t>
  </si>
  <si>
    <t>Ferramentas e Equipamentos - Civil</t>
  </si>
  <si>
    <t>Ferramentas e Equipamentos - Ferramentas Elétricas e Hidráulicas</t>
  </si>
  <si>
    <t>Ferramentas e Equipamentos - Instrumentos de medição</t>
  </si>
  <si>
    <t>Ferramentas e Equipamentos - Serralheria</t>
  </si>
  <si>
    <t>Ferramentas e Equipamentos - Uso Geral</t>
  </si>
  <si>
    <t>Veículos</t>
  </si>
  <si>
    <t>Materiais - Caixas de descarga</t>
  </si>
  <si>
    <t>Materiais - Bombas hidráulicas</t>
  </si>
  <si>
    <t>Materiais - Metais de Acabamento e Componentes</t>
  </si>
  <si>
    <t>Materiais - Incêndio</t>
  </si>
  <si>
    <t>03.03</t>
  </si>
  <si>
    <t>03.04</t>
  </si>
  <si>
    <t>03.05</t>
  </si>
  <si>
    <t>03.06</t>
  </si>
  <si>
    <t>03.07</t>
  </si>
  <si>
    <t>03.08</t>
  </si>
  <si>
    <t>03.09</t>
  </si>
  <si>
    <t>03.10</t>
  </si>
  <si>
    <t>03.11</t>
  </si>
  <si>
    <t>03.12</t>
  </si>
  <si>
    <t>03.13</t>
  </si>
  <si>
    <t>03.14</t>
  </si>
  <si>
    <t>03.15</t>
  </si>
  <si>
    <t>03.16</t>
  </si>
  <si>
    <t>04.01</t>
  </si>
  <si>
    <t>05.01</t>
  </si>
  <si>
    <t>05.02</t>
  </si>
  <si>
    <t>05.03</t>
  </si>
  <si>
    <t>05.04</t>
  </si>
  <si>
    <t>05.05</t>
  </si>
  <si>
    <t>05.06</t>
  </si>
  <si>
    <t>06.01</t>
  </si>
  <si>
    <t>Ferramentas / Equipamentos</t>
  </si>
  <si>
    <t>04.00</t>
  </si>
  <si>
    <t>05.00</t>
  </si>
  <si>
    <t>06.00</t>
  </si>
  <si>
    <t>03.02.01</t>
  </si>
  <si>
    <t>03.02.02</t>
  </si>
  <si>
    <t>03.02.03</t>
  </si>
  <si>
    <t>03.02.04</t>
  </si>
  <si>
    <t>03.02.05</t>
  </si>
  <si>
    <t>03.02.06</t>
  </si>
  <si>
    <t>03.02.07</t>
  </si>
  <si>
    <t>03.02.08</t>
  </si>
  <si>
    <t>03.02.09</t>
  </si>
  <si>
    <t>03.02.10</t>
  </si>
  <si>
    <t>03.02.11</t>
  </si>
  <si>
    <t>03.02.12</t>
  </si>
  <si>
    <t>03.02.13</t>
  </si>
  <si>
    <t>03.02.14</t>
  </si>
  <si>
    <t>03.02.15</t>
  </si>
  <si>
    <t>03.02.16</t>
  </si>
  <si>
    <t>03.02.17</t>
  </si>
  <si>
    <t>03.03.01</t>
  </si>
  <si>
    <t>03.03.02</t>
  </si>
  <si>
    <t>03.03.03</t>
  </si>
  <si>
    <t>03.03.04</t>
  </si>
  <si>
    <t>03.03.05</t>
  </si>
  <si>
    <t>03.03.06</t>
  </si>
  <si>
    <t>03.03.07</t>
  </si>
  <si>
    <t>03.03.08</t>
  </si>
  <si>
    <t>03.03.09</t>
  </si>
  <si>
    <t>03.03.10</t>
  </si>
  <si>
    <t>03.03.11</t>
  </si>
  <si>
    <t>03.03.12</t>
  </si>
  <si>
    <t>03.03.13</t>
  </si>
  <si>
    <t>03.03.14</t>
  </si>
  <si>
    <t>03.03.15</t>
  </si>
  <si>
    <t>03.03.16</t>
  </si>
  <si>
    <t>03.03.17</t>
  </si>
  <si>
    <t>03.03.18</t>
  </si>
  <si>
    <t>03.03.19</t>
  </si>
  <si>
    <t>03.03.20</t>
  </si>
  <si>
    <t>03.03.21</t>
  </si>
  <si>
    <t>03.03.22</t>
  </si>
  <si>
    <t>03.03.23</t>
  </si>
  <si>
    <t>03.03.24</t>
  </si>
  <si>
    <t>03.03.25</t>
  </si>
  <si>
    <t>03.03.26</t>
  </si>
  <si>
    <t>03.03.27</t>
  </si>
  <si>
    <t>03.03.28</t>
  </si>
  <si>
    <t>03.03.29</t>
  </si>
  <si>
    <t>03.03.30</t>
  </si>
  <si>
    <t>03.03.31</t>
  </si>
  <si>
    <t>03.03.32</t>
  </si>
  <si>
    <t>03.03.33</t>
  </si>
  <si>
    <t>03.03.34</t>
  </si>
  <si>
    <t>03.03.35</t>
  </si>
  <si>
    <t>03.03.36</t>
  </si>
  <si>
    <t>03.03.37</t>
  </si>
  <si>
    <t>03.03.38</t>
  </si>
  <si>
    <t>03.03.39</t>
  </si>
  <si>
    <t>03.03.40</t>
  </si>
  <si>
    <t>03.03.41</t>
  </si>
  <si>
    <t>Válvula de retenção horizontal –  2”</t>
  </si>
  <si>
    <t>03.03.42</t>
  </si>
  <si>
    <t>Válvula de retenção horizontal – 3/4”</t>
  </si>
  <si>
    <t>03.03.43</t>
  </si>
  <si>
    <t>03.03.44</t>
  </si>
  <si>
    <t>03.03.45</t>
  </si>
  <si>
    <t>03.04.001</t>
  </si>
  <si>
    <t>03.04.002</t>
  </si>
  <si>
    <t>Abraçadeira tipo D (copo) copo para dutos/tubulações até 3”</t>
  </si>
  <si>
    <t>03.04.003</t>
  </si>
  <si>
    <t>03.04.004</t>
  </si>
  <si>
    <t>03.04.005</t>
  </si>
  <si>
    <t>03.04.006</t>
  </si>
  <si>
    <t>03.04.007</t>
  </si>
  <si>
    <t>03.04.008</t>
  </si>
  <si>
    <t>03.04.009</t>
  </si>
  <si>
    <t>03.04.010</t>
  </si>
  <si>
    <t>03.04.011</t>
  </si>
  <si>
    <t>03.04.012</t>
  </si>
  <si>
    <t>03.04.013</t>
  </si>
  <si>
    <t>03.04.014</t>
  </si>
  <si>
    <t>03.04.015</t>
  </si>
  <si>
    <t>03.04.016</t>
  </si>
  <si>
    <t>03.04.017</t>
  </si>
  <si>
    <t>03.04.018</t>
  </si>
  <si>
    <t>03.04.019</t>
  </si>
  <si>
    <t>03.04.020</t>
  </si>
  <si>
    <t>03.04.021</t>
  </si>
  <si>
    <t>03.04.022</t>
  </si>
  <si>
    <t>03.04.023</t>
  </si>
  <si>
    <t>03.04.024</t>
  </si>
  <si>
    <t>03.04.025</t>
  </si>
  <si>
    <t>03.04.026</t>
  </si>
  <si>
    <t>03.04.027</t>
  </si>
  <si>
    <t>03.04.028</t>
  </si>
  <si>
    <t>03.04.029</t>
  </si>
  <si>
    <t>03.04.030</t>
  </si>
  <si>
    <t>03.04.031</t>
  </si>
  <si>
    <t>03.04.032</t>
  </si>
  <si>
    <t>03.04.033</t>
  </si>
  <si>
    <t>03.04.034</t>
  </si>
  <si>
    <t>03.04.035</t>
  </si>
  <si>
    <t>03.04.036</t>
  </si>
  <si>
    <t>03.04.037</t>
  </si>
  <si>
    <t>03.04.038</t>
  </si>
  <si>
    <t>03.04.039</t>
  </si>
  <si>
    <t>03.04.040</t>
  </si>
  <si>
    <t>03.04.041</t>
  </si>
  <si>
    <t>03.04.042</t>
  </si>
  <si>
    <t>03.04.043</t>
  </si>
  <si>
    <t>03.04.044</t>
  </si>
  <si>
    <t>03.04.045</t>
  </si>
  <si>
    <t>03.04.046</t>
  </si>
  <si>
    <t>03.04.047</t>
  </si>
  <si>
    <t>Papelão Hidráulico 1/16” para junta</t>
  </si>
  <si>
    <t>03.04.048</t>
  </si>
  <si>
    <t>03.04.049</t>
  </si>
  <si>
    <t>03.04.050</t>
  </si>
  <si>
    <t>03.04.051</t>
  </si>
  <si>
    <t>Luva PVC soldável água fria DN 60mm</t>
  </si>
  <si>
    <t>03.04.052</t>
  </si>
  <si>
    <t>03.04.053</t>
  </si>
  <si>
    <t>03.04.054</t>
  </si>
  <si>
    <t>03.04.055</t>
  </si>
  <si>
    <t>03.04.056</t>
  </si>
  <si>
    <t>03.04.057</t>
  </si>
  <si>
    <t>03.04.058</t>
  </si>
  <si>
    <t>03.04.059</t>
  </si>
  <si>
    <t>03.04.060</t>
  </si>
  <si>
    <t>03.04.061</t>
  </si>
  <si>
    <t>03.04.062</t>
  </si>
  <si>
    <t>03.04.063</t>
  </si>
  <si>
    <t>03.04.064</t>
  </si>
  <si>
    <t>03.04.065</t>
  </si>
  <si>
    <t>03.04.066</t>
  </si>
  <si>
    <t>03.04.067</t>
  </si>
  <si>
    <t>03.04.068</t>
  </si>
  <si>
    <t>03.04.069</t>
  </si>
  <si>
    <t>03.04.070</t>
  </si>
  <si>
    <t>03.04.071</t>
  </si>
  <si>
    <t>03.04.072</t>
  </si>
  <si>
    <t>03.04.073</t>
  </si>
  <si>
    <t>03.04.074</t>
  </si>
  <si>
    <t>03.04.075</t>
  </si>
  <si>
    <t>03.04.076</t>
  </si>
  <si>
    <t>03.04.077</t>
  </si>
  <si>
    <t>03.04.078</t>
  </si>
  <si>
    <t>03.04.079</t>
  </si>
  <si>
    <t>03.04.080</t>
  </si>
  <si>
    <t>03.04.081</t>
  </si>
  <si>
    <t>03.04.082</t>
  </si>
  <si>
    <t>03.04.083</t>
  </si>
  <si>
    <t>03.04.084</t>
  </si>
  <si>
    <t>03.04.085</t>
  </si>
  <si>
    <t>03.04.086</t>
  </si>
  <si>
    <t>03.04.087</t>
  </si>
  <si>
    <t>03.04.088</t>
  </si>
  <si>
    <t>03.04.089</t>
  </si>
  <si>
    <t>03.04.090</t>
  </si>
  <si>
    <t>03.04.091</t>
  </si>
  <si>
    <t>03.04.092</t>
  </si>
  <si>
    <t>03.04.093</t>
  </si>
  <si>
    <t>03.04.094</t>
  </si>
  <si>
    <t>03.04.095</t>
  </si>
  <si>
    <t>03.04.096</t>
  </si>
  <si>
    <t>03.04.097</t>
  </si>
  <si>
    <t>03.04.098</t>
  </si>
  <si>
    <t>03.04.099</t>
  </si>
  <si>
    <t>03.04.100</t>
  </si>
  <si>
    <t>03.04.101</t>
  </si>
  <si>
    <t>03.04.102</t>
  </si>
  <si>
    <t>03.04.103</t>
  </si>
  <si>
    <t>03.04.104</t>
  </si>
  <si>
    <t>03.04.105</t>
  </si>
  <si>
    <t>03.04.106</t>
  </si>
  <si>
    <t>03.04.107</t>
  </si>
  <si>
    <t>03.04.108</t>
  </si>
  <si>
    <t>03.04.109</t>
  </si>
  <si>
    <t>03.04.110</t>
  </si>
  <si>
    <t>03.04.111</t>
  </si>
  <si>
    <t>03.04.112</t>
  </si>
  <si>
    <t>03.04.113</t>
  </si>
  <si>
    <t>03.04.114</t>
  </si>
  <si>
    <t>03.04.115</t>
  </si>
  <si>
    <t>03.04.116</t>
  </si>
  <si>
    <t>Tubo Condutor em PVC para Calha 88mm</t>
  </si>
  <si>
    <t>03.04.117</t>
  </si>
  <si>
    <t>03.04.118</t>
  </si>
  <si>
    <t>03.04.119</t>
  </si>
  <si>
    <t>03.04.120</t>
  </si>
  <si>
    <t>03.04.121</t>
  </si>
  <si>
    <t>03.04.122</t>
  </si>
  <si>
    <t>03.04.123</t>
  </si>
  <si>
    <t>03.04.124</t>
  </si>
  <si>
    <t>03.04.125</t>
  </si>
  <si>
    <t>03.04.126</t>
  </si>
  <si>
    <t>03.04.127</t>
  </si>
  <si>
    <t>03.04.128</t>
  </si>
  <si>
    <t>03.04.129</t>
  </si>
  <si>
    <t>03.04.130</t>
  </si>
  <si>
    <t>03.04.131</t>
  </si>
  <si>
    <t>03.04.132</t>
  </si>
  <si>
    <t>03.04.133</t>
  </si>
  <si>
    <t>03.04.134</t>
  </si>
  <si>
    <t>03.04.135</t>
  </si>
  <si>
    <t>03.04.136</t>
  </si>
  <si>
    <t>03.04.137</t>
  </si>
  <si>
    <t>03.04.138</t>
  </si>
  <si>
    <t>03.04.139</t>
  </si>
  <si>
    <t>03.04.140</t>
  </si>
  <si>
    <t>03.04.141</t>
  </si>
  <si>
    <t>03.04.142</t>
  </si>
  <si>
    <t>03.04.143</t>
  </si>
  <si>
    <t>03.04.144</t>
  </si>
  <si>
    <t>03.04.145</t>
  </si>
  <si>
    <t>03.04.146</t>
  </si>
  <si>
    <t>03.05.01</t>
  </si>
  <si>
    <t>03.05.02</t>
  </si>
  <si>
    <t>03.05.03</t>
  </si>
  <si>
    <t>03.05.04</t>
  </si>
  <si>
    <t>03.05.05</t>
  </si>
  <si>
    <t>03.05.06</t>
  </si>
  <si>
    <t>03.05.07</t>
  </si>
  <si>
    <t>03.05.08</t>
  </si>
  <si>
    <t>03.05.09</t>
  </si>
  <si>
    <t>03.05.10</t>
  </si>
  <si>
    <t>03.05.11</t>
  </si>
  <si>
    <t>03.05.12</t>
  </si>
  <si>
    <t>03.05.13</t>
  </si>
  <si>
    <t>03.05.14</t>
  </si>
  <si>
    <t>03.05.15</t>
  </si>
  <si>
    <t>03.05.16</t>
  </si>
  <si>
    <t>03.05.17</t>
  </si>
  <si>
    <t>03.05.18</t>
  </si>
  <si>
    <t>03.05.19</t>
  </si>
  <si>
    <t>03.05.20</t>
  </si>
  <si>
    <t>03.05.21</t>
  </si>
  <si>
    <t>03.05.22</t>
  </si>
  <si>
    <t>03.06.01</t>
  </si>
  <si>
    <t>03.06.02</t>
  </si>
  <si>
    <t>03.06.03</t>
  </si>
  <si>
    <t>03.06.04</t>
  </si>
  <si>
    <t>03.06.05</t>
  </si>
  <si>
    <t>03.06.06</t>
  </si>
  <si>
    <t>03.06.07</t>
  </si>
  <si>
    <t>03.06.08</t>
  </si>
  <si>
    <t>03.06.09</t>
  </si>
  <si>
    <t>03.06.10</t>
  </si>
  <si>
    <t>03.06.11</t>
  </si>
  <si>
    <t>03.06.12</t>
  </si>
  <si>
    <t>03.06.13</t>
  </si>
  <si>
    <t>03.06.14</t>
  </si>
  <si>
    <t>03.06.15</t>
  </si>
  <si>
    <t>03.06.16</t>
  </si>
  <si>
    <t>03.06.17</t>
  </si>
  <si>
    <t>03.06.18</t>
  </si>
  <si>
    <t>03.06.19</t>
  </si>
  <si>
    <t>03.06.20</t>
  </si>
  <si>
    <t>03.06.21</t>
  </si>
  <si>
    <t>03.06.22</t>
  </si>
  <si>
    <t>03.06.23</t>
  </si>
  <si>
    <t>03.06.24</t>
  </si>
  <si>
    <t>03.06.25</t>
  </si>
  <si>
    <t>03.06.26</t>
  </si>
  <si>
    <t>03.06.27</t>
  </si>
  <si>
    <t>03.07.01</t>
  </si>
  <si>
    <t>03.07.02</t>
  </si>
  <si>
    <t>03.07.03</t>
  </si>
  <si>
    <t>03.07.04</t>
  </si>
  <si>
    <t>03.07.05</t>
  </si>
  <si>
    <t>03.07.06</t>
  </si>
  <si>
    <t>03.07.07</t>
  </si>
  <si>
    <t>03.07.08</t>
  </si>
  <si>
    <t>03.08.01</t>
  </si>
  <si>
    <t>03.08.02</t>
  </si>
  <si>
    <t>03.08.03</t>
  </si>
  <si>
    <t>03.08.04</t>
  </si>
  <si>
    <t>03.09.01</t>
  </si>
  <si>
    <t>03.09.02</t>
  </si>
  <si>
    <t>03.09.03</t>
  </si>
  <si>
    <t>03.09.04</t>
  </si>
  <si>
    <t>03.09.05</t>
  </si>
  <si>
    <t>03.09.06</t>
  </si>
  <si>
    <t>03.09.07</t>
  </si>
  <si>
    <t>03.09.08</t>
  </si>
  <si>
    <t>03.09.09</t>
  </si>
  <si>
    <t>03.09.10</t>
  </si>
  <si>
    <t>03.09.11</t>
  </si>
  <si>
    <t>03.09.12</t>
  </si>
  <si>
    <t>03.09.13</t>
  </si>
  <si>
    <t>03.10.01</t>
  </si>
  <si>
    <t>03.10.02</t>
  </si>
  <si>
    <t>03.10.03</t>
  </si>
  <si>
    <t>03.10.04</t>
  </si>
  <si>
    <t>03.10.05</t>
  </si>
  <si>
    <t>03.10.06</t>
  </si>
  <si>
    <t>03.10.07</t>
  </si>
  <si>
    <t>03.11.01</t>
  </si>
  <si>
    <t>03.11.02</t>
  </si>
  <si>
    <t>03.11.03</t>
  </si>
  <si>
    <t>03.11.04</t>
  </si>
  <si>
    <t>03.11.05</t>
  </si>
  <si>
    <t>03.12.01</t>
  </si>
  <si>
    <t>03.12.02</t>
  </si>
  <si>
    <t>03.12.03</t>
  </si>
  <si>
    <t>03.12.04</t>
  </si>
  <si>
    <t>03.12.05</t>
  </si>
  <si>
    <t>03.12.06</t>
  </si>
  <si>
    <t>03.12.07</t>
  </si>
  <si>
    <t>03.12.08</t>
  </si>
  <si>
    <t>03.12.09</t>
  </si>
  <si>
    <t>03.12.10</t>
  </si>
  <si>
    <t>03.12.11</t>
  </si>
  <si>
    <t>03.12.12</t>
  </si>
  <si>
    <t>03.12.13</t>
  </si>
  <si>
    <t>03.12.14</t>
  </si>
  <si>
    <t>03.12.15</t>
  </si>
  <si>
    <t>03.12.16</t>
  </si>
  <si>
    <t>03.12.17</t>
  </si>
  <si>
    <t>03.12.18</t>
  </si>
  <si>
    <t>03.12.19</t>
  </si>
  <si>
    <t>03.12.20</t>
  </si>
  <si>
    <t>03.12.21</t>
  </si>
  <si>
    <t>03.12.22</t>
  </si>
  <si>
    <t>03.12.23</t>
  </si>
  <si>
    <t>03.12.24</t>
  </si>
  <si>
    <t>03.12.25</t>
  </si>
  <si>
    <t>03.12.26</t>
  </si>
  <si>
    <t>03.12.27</t>
  </si>
  <si>
    <t>03.13.01</t>
  </si>
  <si>
    <t>03.13.02</t>
  </si>
  <si>
    <t>03.13.03</t>
  </si>
  <si>
    <t>03.13.04</t>
  </si>
  <si>
    <t>03.13.05</t>
  </si>
  <si>
    <t>03.13.06</t>
  </si>
  <si>
    <t>03.13.07</t>
  </si>
  <si>
    <t>03.13.08</t>
  </si>
  <si>
    <t>03.14.01</t>
  </si>
  <si>
    <t>03.14.02</t>
  </si>
  <si>
    <t>03.14.03</t>
  </si>
  <si>
    <t>03.14.04</t>
  </si>
  <si>
    <t>03.14.05</t>
  </si>
  <si>
    <t>03.14.06</t>
  </si>
  <si>
    <t>03.15.01</t>
  </si>
  <si>
    <t>03.15.02</t>
  </si>
  <si>
    <t>03.15.03</t>
  </si>
  <si>
    <t>03.15.04</t>
  </si>
  <si>
    <t>03.16.01</t>
  </si>
  <si>
    <t>03.16.02</t>
  </si>
  <si>
    <t>04.01.01</t>
  </si>
  <si>
    <t>05.01.01</t>
  </si>
  <si>
    <t>05.01.02</t>
  </si>
  <si>
    <t>05.02.01</t>
  </si>
  <si>
    <t>05.02.02</t>
  </si>
  <si>
    <t>05.02.03</t>
  </si>
  <si>
    <t>05.02.04</t>
  </si>
  <si>
    <t>05.02.05</t>
  </si>
  <si>
    <t>05.02.06</t>
  </si>
  <si>
    <t>05.02.07</t>
  </si>
  <si>
    <t>05.02.08</t>
  </si>
  <si>
    <t>05.02.09</t>
  </si>
  <si>
    <t>05.02.10</t>
  </si>
  <si>
    <t>05.02.11</t>
  </si>
  <si>
    <t>05.02.12</t>
  </si>
  <si>
    <t>05.02.13</t>
  </si>
  <si>
    <t>05.02.14</t>
  </si>
  <si>
    <t>05.02.15</t>
  </si>
  <si>
    <t>05.02.16</t>
  </si>
  <si>
    <t>05.02.17</t>
  </si>
  <si>
    <t>05.02.18</t>
  </si>
  <si>
    <t>05.02.19</t>
  </si>
  <si>
    <t>05.02.20</t>
  </si>
  <si>
    <t>05.02.21</t>
  </si>
  <si>
    <t>05.02.22</t>
  </si>
  <si>
    <t>05.02.23</t>
  </si>
  <si>
    <t>05.02.24</t>
  </si>
  <si>
    <t>05.02.25</t>
  </si>
  <si>
    <t>05.02.26</t>
  </si>
  <si>
    <t>05.02.27</t>
  </si>
  <si>
    <t>05.03.01</t>
  </si>
  <si>
    <t>05.03.02</t>
  </si>
  <si>
    <t>05.03.03</t>
  </si>
  <si>
    <t>05.03.04</t>
  </si>
  <si>
    <t>05.03.05</t>
  </si>
  <si>
    <t>Jogo de Cossinete BSPT 1” a 2” para máquina rosqueadeira</t>
  </si>
  <si>
    <t>05.03.06</t>
  </si>
  <si>
    <t>Jogo de Cossinete BSPT 12 a 34 para máquina rosqueadeira</t>
  </si>
  <si>
    <t>05.03.07</t>
  </si>
  <si>
    <t>Jogo de Cossinete NPT 212 A 4 para máquina rosqueadeira</t>
  </si>
  <si>
    <t>05.03.08</t>
  </si>
  <si>
    <t>05.03.09</t>
  </si>
  <si>
    <t>05.03.10</t>
  </si>
  <si>
    <t>05.03.11</t>
  </si>
  <si>
    <t>05.03.12</t>
  </si>
  <si>
    <t>05.03.13</t>
  </si>
  <si>
    <t>05.03.14</t>
  </si>
  <si>
    <t>05.04.01</t>
  </si>
  <si>
    <t>05.04.02</t>
  </si>
  <si>
    <t>05.04.03</t>
  </si>
  <si>
    <t>05.04.04</t>
  </si>
  <si>
    <t>05.04.05</t>
  </si>
  <si>
    <t>05.04.06</t>
  </si>
  <si>
    <t>05.04.07</t>
  </si>
  <si>
    <t>05.04.08</t>
  </si>
  <si>
    <t>05.04.09</t>
  </si>
  <si>
    <t>05.04.10</t>
  </si>
  <si>
    <t>05.05.01</t>
  </si>
  <si>
    <t>05.05.02</t>
  </si>
  <si>
    <t>05.06.01</t>
  </si>
  <si>
    <t>05.06.02</t>
  </si>
  <si>
    <t>05.06.03</t>
  </si>
  <si>
    <t>05.06.04</t>
  </si>
  <si>
    <t>05.06.05</t>
  </si>
  <si>
    <t>05.06.06</t>
  </si>
  <si>
    <t>05.06.07</t>
  </si>
  <si>
    <t>05.06.08</t>
  </si>
  <si>
    <t>05.06.09</t>
  </si>
  <si>
    <t>05.06.10</t>
  </si>
  <si>
    <t>05.06.11</t>
  </si>
  <si>
    <t>05.06.12</t>
  </si>
  <si>
    <t>05.06.13</t>
  </si>
  <si>
    <t>05.06.14</t>
  </si>
  <si>
    <t>05.06.15</t>
  </si>
  <si>
    <t>05.06.16</t>
  </si>
  <si>
    <t>05.06.17</t>
  </si>
  <si>
    <t>05.06.18</t>
  </si>
  <si>
    <t>05.06.19</t>
  </si>
  <si>
    <t>05.06.20</t>
  </si>
  <si>
    <t>05.06.21</t>
  </si>
  <si>
    <t>05.06.22</t>
  </si>
  <si>
    <t>05.06.23</t>
  </si>
  <si>
    <t>05.06.24</t>
  </si>
  <si>
    <t>05.06.25</t>
  </si>
  <si>
    <t>05.06.26</t>
  </si>
  <si>
    <t>05.06.27</t>
  </si>
  <si>
    <t>05.06.28</t>
  </si>
  <si>
    <t>05.06.29</t>
  </si>
  <si>
    <t>05.06.30</t>
  </si>
  <si>
    <t>05.06.31</t>
  </si>
  <si>
    <t>Alicate de pressão de 10”</t>
  </si>
  <si>
    <t>05.06.32</t>
  </si>
  <si>
    <t>05.06.33</t>
  </si>
  <si>
    <t>05.06.34</t>
  </si>
  <si>
    <t>05.06.35</t>
  </si>
  <si>
    <t>05.06.36</t>
  </si>
  <si>
    <t>Conjunto Pé de cabra 15”x16mm e 24”x19mm</t>
  </si>
  <si>
    <t>05.06.37</t>
  </si>
  <si>
    <t>05.06.38</t>
  </si>
  <si>
    <t>05.06.39</t>
  </si>
  <si>
    <t>05.06.40</t>
  </si>
  <si>
    <t>05.06.41</t>
  </si>
  <si>
    <t>05.06.42</t>
  </si>
  <si>
    <t>05.06.43</t>
  </si>
  <si>
    <t>05.06.44</t>
  </si>
  <si>
    <t>03.05.23</t>
  </si>
  <si>
    <t>03.05.24</t>
  </si>
  <si>
    <t>03.05.25</t>
  </si>
  <si>
    <t>03.05.26</t>
  </si>
  <si>
    <t>Bomba Centrífuga Mancalizada, 02 estágios, Potência 25cv (motor não incluído)</t>
  </si>
  <si>
    <t>Bomba Centrífuga Mancalizada, 01 estágio , Potência 20cv (motor não incluído)</t>
  </si>
  <si>
    <t>Bomba Centrífuga Mancalizada, 02 estágios, Potência 20cv (motor não incluído)</t>
  </si>
  <si>
    <t>03.12.28</t>
  </si>
  <si>
    <t>Data: Abril de 2022</t>
  </si>
  <si>
    <t>Serviços Técnicos</t>
  </si>
  <si>
    <t>Válvula redutora de pressão vertical/horizontal - 4”</t>
  </si>
  <si>
    <t>06.02</t>
  </si>
  <si>
    <t>un x mês</t>
  </si>
  <si>
    <t>Cálculo sem CPRB</t>
  </si>
  <si>
    <t>não-desonerado</t>
  </si>
  <si>
    <t>PLANILHA ORÇAMENTÁRIA - Resumo</t>
  </si>
  <si>
    <t>FATOR DE UTILIZAÇÃO</t>
  </si>
  <si>
    <t>COM BDI</t>
  </si>
  <si>
    <t>SEM BDI</t>
  </si>
  <si>
    <t>SUBTOTAL DO ITEM</t>
  </si>
  <si>
    <t>CUSTO TOTAL ESTIMADO PARA 30 MESES</t>
  </si>
  <si>
    <t>Subtotal da Equipe de Dedicação Exclusiva</t>
  </si>
  <si>
    <t>N/A</t>
  </si>
  <si>
    <t>Subtotal de Serviços Sob Demanda</t>
  </si>
  <si>
    <t>Subtotal de Materiais</t>
  </si>
  <si>
    <t>Subtotal de Relógio de Ponto Biométrico</t>
  </si>
  <si>
    <t>Subtotal de Depreciação Ferramental</t>
  </si>
  <si>
    <t>Subtotal de Veículos</t>
  </si>
  <si>
    <t>Valor Global Estimado para 30 Meses (R$)</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</si>
</sst>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R$&quot;\ * #,##0.00_-;\-&quot;R$&quot;\ * #,##0.00_-;_-&quot;R$&quot;\ * &quot;-&quot;??_-;_-@_-"/>
    <numFmt numFmtId="43" formatCode="_-* #,##0.00_-;\-* #,##0.00_-;_-* &quot;-&quot;??_-;_-@_-"/>
    <numFmt numFmtId="164" formatCode="_-&quot;R$&quot;* #,##0.00_-;\-&quot;R$&quot;* #,##0.00_-;_-&quot;R$&quot;* &quot;-&quot;??_-;_-@_-"/>
    <numFmt numFmtId="165" formatCode="_(* #,##0.00_);_(* \(#,##0.00\);_(* \-??_);_(@_)"/>
    <numFmt numFmtId="166" formatCode="_(&quot;R$&quot;* #,##0.00_);_(&quot;R$&quot;* \(#,##0.00\);_(&quot;R$&quot;* &quot;-&quot;??_);_(@_)"/>
    <numFmt numFmtId="167" formatCode="0.0000"/>
    <numFmt numFmtId="168" formatCode="_(* #,##0.00_);_(* \(#,##0.00\);_(* &quot;-&quot;??_);_(@_)"/>
    <numFmt numFmtId="169" formatCode="#,##0.00;;"/>
    <numFmt numFmtId="170" formatCode="&quot;R$&quot;\ #,##0.00;[Red]&quot;R$&quot;\ #,##0.00"/>
    <numFmt numFmtId="171" formatCode="_([$R$ -416]* #,##0.00_);_([$R$ -416]* \(#,##0.00\);_([$R$ -416]* &quot;-&quot;??_);_(@_)"/>
    <numFmt numFmtId="172" formatCode="&quot;R$&quot;\ #,##0.00"/>
  </numFmts>
  <fonts count="33" x14ac:knownFonts="1">
    <font>
      <sz val="11"/>
      <color theme="1"/>
      <name val="Calibri"/>
      <family val="2"/>
      <scheme val="minor"/>
    </font>
    <font>
      <sz val="11"/>
      <color theme="1"/>
      <name val="Calibri"/>
      <family val="2"/>
      <scheme val="minor"/>
    </font>
    <font>
      <sz val="10"/>
      <name val="Arial"/>
      <family val="2"/>
    </font>
    <font>
      <b/>
      <sz val="10"/>
      <name val="Arial"/>
      <family val="2"/>
    </font>
    <font>
      <b/>
      <u/>
      <sz val="10"/>
      <name val="Arial"/>
      <family val="2"/>
    </font>
    <font>
      <sz val="8"/>
      <name val="Arial"/>
      <family val="2"/>
    </font>
    <font>
      <b/>
      <sz val="10"/>
      <color rgb="FFFF0000"/>
      <name val="Arial"/>
      <family val="2"/>
    </font>
    <font>
      <b/>
      <sz val="10"/>
      <color theme="0"/>
      <name val="Arial"/>
      <family val="2"/>
    </font>
    <font>
      <u/>
      <sz val="11"/>
      <color theme="10"/>
      <name val="Calibri"/>
      <family val="2"/>
      <scheme val="minor"/>
    </font>
    <font>
      <b/>
      <i/>
      <sz val="16"/>
      <color rgb="FFFF0000"/>
      <name val="Verdana"/>
      <family val="2"/>
    </font>
    <font>
      <b/>
      <sz val="11"/>
      <color theme="1"/>
      <name val="Arial"/>
      <family val="2"/>
    </font>
    <font>
      <b/>
      <sz val="14"/>
      <color theme="1"/>
      <name val="Arial"/>
      <family val="2"/>
    </font>
    <font>
      <b/>
      <sz val="14"/>
      <name val="Verdana"/>
      <family val="2"/>
    </font>
    <font>
      <b/>
      <sz val="14"/>
      <color theme="1"/>
      <name val="Verdana"/>
      <family val="2"/>
    </font>
    <font>
      <sz val="11"/>
      <color theme="1"/>
      <name val="Verdana"/>
      <family val="2"/>
    </font>
    <font>
      <b/>
      <sz val="12"/>
      <name val="Arial"/>
      <family val="2"/>
    </font>
    <font>
      <b/>
      <sz val="11"/>
      <name val="Arial"/>
      <family val="2"/>
    </font>
    <font>
      <b/>
      <sz val="14"/>
      <name val="Arial"/>
      <family val="2"/>
    </font>
    <font>
      <sz val="12"/>
      <name val="Arial"/>
      <family val="2"/>
    </font>
    <font>
      <sz val="11"/>
      <color theme="1"/>
      <name val="Arial"/>
      <family val="2"/>
    </font>
    <font>
      <b/>
      <sz val="11"/>
      <color rgb="FFFF0000"/>
      <name val="Arial"/>
      <family val="2"/>
    </font>
    <font>
      <b/>
      <sz val="10"/>
      <color theme="1"/>
      <name val="Arial"/>
      <family val="2"/>
    </font>
    <font>
      <u/>
      <sz val="9"/>
      <color indexed="12"/>
      <name val="Arial"/>
      <family val="2"/>
    </font>
    <font>
      <sz val="11"/>
      <name val="Verdana"/>
      <family val="2"/>
    </font>
    <font>
      <sz val="11"/>
      <name val="Arial"/>
      <family val="2"/>
    </font>
    <font>
      <b/>
      <sz val="11"/>
      <color theme="0"/>
      <name val="Arial"/>
      <family val="2"/>
    </font>
    <font>
      <b/>
      <u/>
      <sz val="11"/>
      <color theme="1"/>
      <name val="Arial"/>
      <family val="2"/>
    </font>
    <font>
      <sz val="12"/>
      <color theme="1"/>
      <name val="Arial"/>
      <family val="2"/>
    </font>
    <font>
      <sz val="10"/>
      <color theme="1"/>
      <name val="Arial"/>
      <family val="2"/>
    </font>
    <font>
      <b/>
      <u/>
      <sz val="11"/>
      <color theme="10"/>
      <name val="Calibri"/>
      <family val="2"/>
      <scheme val="minor"/>
    </font>
    <font>
      <b/>
      <vertAlign val="superscript"/>
      <sz val="11"/>
      <name val="Arial"/>
      <family val="2"/>
    </font>
    <font>
      <u/>
      <sz val="10"/>
      <color indexed="12"/>
      <name val="Arial"/>
      <family val="2"/>
    </font>
    <font>
      <b/>
      <sz val="14"/>
      <color theme="0"/>
      <name val="Calibri"/>
      <family val="2"/>
      <scheme val="minor"/>
    </font>
  </fonts>
  <fills count="9">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F243D"/>
        <bgColor indexed="64"/>
      </patternFill>
    </fill>
    <fill>
      <patternFill patternType="solid">
        <fgColor theme="0"/>
        <bgColor indexed="64"/>
      </patternFill>
    </fill>
    <fill>
      <patternFill patternType="solid">
        <fgColor theme="8" tint="0.39997558519241921"/>
        <bgColor indexed="64"/>
      </patternFill>
    </fill>
    <fill>
      <patternFill patternType="solid">
        <fgColor theme="4" tint="0.79998168889431442"/>
        <bgColor indexed="64"/>
      </patternFill>
    </fill>
  </fills>
  <borders count="43">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5485">
    <xf numFmtId="0" fontId="0" fillId="0" borderId="0"/>
    <xf numFmtId="9" fontId="1" fillId="0" borderId="0" applyFont="0" applyFill="0" applyBorder="0" applyAlignment="0" applyProtection="0"/>
    <xf numFmtId="0" fontId="2" fillId="0" borderId="0"/>
    <xf numFmtId="165" fontId="2" fillId="0" borderId="0" applyFont="0" applyFill="0" applyAlignment="0" applyProtection="0"/>
    <xf numFmtId="166" fontId="2" fillId="0" borderId="0" applyFont="0" applyFill="0" applyBorder="0" applyAlignment="0" applyProtection="0"/>
    <xf numFmtId="0" fontId="8" fillId="0" borderId="0" applyNumberFormat="0" applyFill="0" applyBorder="0" applyAlignment="0" applyProtection="0"/>
    <xf numFmtId="164" fontId="2" fillId="0" borderId="0" applyFont="0" applyFill="0" applyBorder="0" applyAlignment="0" applyProtection="0"/>
    <xf numFmtId="0" fontId="2" fillId="0" borderId="0">
      <protection locked="0"/>
    </xf>
    <xf numFmtId="164"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6" fontId="1" fillId="0" borderId="0" applyFont="0" applyFill="0" applyBorder="0" applyAlignment="0" applyProtection="0"/>
    <xf numFmtId="9"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 fillId="0" borderId="0"/>
    <xf numFmtId="0" fontId="31" fillId="0" borderId="0" applyNumberFormat="0" applyFill="0" applyBorder="0" applyAlignment="0" applyProtection="0">
      <alignment vertical="top"/>
      <protection locked="0"/>
    </xf>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0" fontId="2" fillId="0" borderId="0"/>
    <xf numFmtId="171" fontId="2" fillId="0" borderId="0"/>
    <xf numFmtId="0" fontId="2" fillId="0" borderId="0"/>
    <xf numFmtId="0" fontId="2" fillId="0" borderId="0">
      <protection locked="0"/>
    </xf>
    <xf numFmtId="171" fontId="1" fillId="0" borderId="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2" fillId="0" borderId="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2" fillId="0" borderId="0">
      <protection locked="0"/>
    </xf>
    <xf numFmtId="43" fontId="2" fillId="0" borderId="0" applyFont="0" applyFill="0" applyBorder="0" applyAlignment="0" applyProtection="0"/>
    <xf numFmtId="9"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2" fillId="0" borderId="0" applyFont="0" applyFill="0" applyBorder="0" applyAlignment="0" applyProtection="0"/>
    <xf numFmtId="171" fontId="1" fillId="0" borderId="0"/>
    <xf numFmtId="9"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71"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2" fillId="0" borderId="0">
      <protection locked="0"/>
    </xf>
    <xf numFmtId="0" fontId="2" fillId="0" borderId="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0" fontId="2" fillId="0" borderId="0">
      <protection locked="0"/>
    </xf>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0" fontId="27" fillId="0" borderId="0"/>
    <xf numFmtId="43" fontId="27" fillId="0" borderId="0"/>
    <xf numFmtId="44" fontId="27" fillId="0" borderId="0"/>
    <xf numFmtId="9" fontId="27" fillId="0" borderId="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43" fontId="27" fillId="0" borderId="0"/>
  </cellStyleXfs>
  <cellXfs count="257">
    <xf numFmtId="0" fontId="0" fillId="0" borderId="0" xfId="0"/>
    <xf numFmtId="0" fontId="2" fillId="0" borderId="0" xfId="0" applyFont="1"/>
    <xf numFmtId="0" fontId="3" fillId="0" borderId="0" xfId="0" applyFont="1" applyAlignment="1">
      <alignment horizontal="left" vertical="center"/>
    </xf>
    <xf numFmtId="0" fontId="2" fillId="0" borderId="0" xfId="0" applyFont="1" applyAlignment="1" applyProtection="1">
      <alignment horizontal="center" vertical="center"/>
      <protection locked="0"/>
    </xf>
    <xf numFmtId="0" fontId="0" fillId="0" borderId="0" xfId="0" applyAlignment="1"/>
    <xf numFmtId="0" fontId="0" fillId="0" borderId="0" xfId="0" applyAlignment="1">
      <alignment wrapText="1"/>
    </xf>
    <xf numFmtId="0" fontId="9" fillId="4" borderId="0" xfId="0" applyFont="1" applyFill="1" applyAlignment="1">
      <alignment horizontal="centerContinuous" vertical="distributed"/>
    </xf>
    <xf numFmtId="167" fontId="9" fillId="4" borderId="0" xfId="0" applyNumberFormat="1" applyFont="1" applyFill="1" applyAlignment="1">
      <alignment horizontal="centerContinuous" vertical="distributed"/>
    </xf>
    <xf numFmtId="0" fontId="9" fillId="0" borderId="0" xfId="0" applyFont="1" applyAlignment="1">
      <alignment horizontal="centerContinuous" vertical="distributed"/>
    </xf>
    <xf numFmtId="2" fontId="11" fillId="0" borderId="0" xfId="0" applyNumberFormat="1" applyFont="1" applyAlignment="1">
      <alignment horizontal="center" vertical="center" wrapText="1"/>
    </xf>
    <xf numFmtId="0" fontId="12" fillId="4" borderId="0" xfId="0" applyFont="1" applyFill="1" applyAlignment="1">
      <alignment horizontal="centerContinuous" vertical="center" wrapText="1"/>
    </xf>
    <xf numFmtId="0" fontId="13" fillId="4" borderId="0" xfId="0" applyFont="1" applyFill="1" applyAlignment="1">
      <alignment horizontal="centerContinuous" vertical="center" wrapText="1"/>
    </xf>
    <xf numFmtId="167" fontId="13" fillId="4" borderId="0" xfId="0" applyNumberFormat="1" applyFont="1" applyFill="1" applyAlignment="1">
      <alignment horizontal="centerContinuous" vertical="center" wrapText="1"/>
    </xf>
    <xf numFmtId="0" fontId="13" fillId="0" borderId="0" xfId="0" applyFont="1" applyAlignment="1">
      <alignment horizontal="centerContinuous" vertical="center" wrapText="1"/>
    </xf>
    <xf numFmtId="0" fontId="14" fillId="0" borderId="0" xfId="0" applyFont="1" applyAlignment="1">
      <alignment horizontal="centerContinuous" vertical="center" wrapText="1"/>
    </xf>
    <xf numFmtId="167" fontId="14" fillId="0" borderId="0" xfId="0" applyNumberFormat="1" applyFont="1" applyAlignment="1">
      <alignment horizontal="centerContinuous" vertical="center" wrapText="1"/>
    </xf>
    <xf numFmtId="0" fontId="19" fillId="0" borderId="0" xfId="0" applyFont="1" applyAlignment="1">
      <alignment vertical="center" wrapText="1"/>
    </xf>
    <xf numFmtId="167" fontId="19" fillId="0" borderId="0" xfId="0" applyNumberFormat="1" applyFont="1" applyAlignment="1">
      <alignment vertical="center" wrapText="1"/>
    </xf>
    <xf numFmtId="0" fontId="20" fillId="0" borderId="0" xfId="0" applyFont="1" applyAlignment="1">
      <alignment horizontal="center" vertical="center" wrapText="1"/>
    </xf>
    <xf numFmtId="2" fontId="19" fillId="0" borderId="0" xfId="0" applyNumberFormat="1" applyFont="1" applyAlignment="1">
      <alignment vertical="center" wrapText="1"/>
    </xf>
    <xf numFmtId="0" fontId="16" fillId="4" borderId="16" xfId="0" applyFont="1" applyFill="1" applyBorder="1" applyAlignment="1">
      <alignment horizontal="center" vertical="center" wrapText="1"/>
    </xf>
    <xf numFmtId="0" fontId="16" fillId="4" borderId="17" xfId="0" applyFont="1" applyFill="1" applyBorder="1" applyAlignment="1">
      <alignment horizontal="center" vertical="center" wrapText="1"/>
    </xf>
    <xf numFmtId="167" fontId="16" fillId="4" borderId="17" xfId="0" applyNumberFormat="1" applyFont="1" applyFill="1" applyBorder="1" applyAlignment="1">
      <alignment horizontal="center" vertical="center" wrapText="1"/>
    </xf>
    <xf numFmtId="0" fontId="16" fillId="4" borderId="18" xfId="0" applyFont="1" applyFill="1" applyBorder="1" applyAlignment="1">
      <alignment horizontal="center" vertical="center" wrapText="1"/>
    </xf>
    <xf numFmtId="0" fontId="16" fillId="0" borderId="19" xfId="0" applyFont="1" applyBorder="1" applyAlignment="1">
      <alignment horizontal="center" vertical="center" wrapText="1"/>
    </xf>
    <xf numFmtId="2" fontId="21" fillId="4" borderId="17" xfId="0" applyNumberFormat="1" applyFont="1" applyFill="1" applyBorder="1" applyAlignment="1">
      <alignment horizontal="center" vertical="center" wrapText="1"/>
    </xf>
    <xf numFmtId="0" fontId="3" fillId="0" borderId="15" xfId="2" applyFont="1" applyBorder="1" applyAlignment="1">
      <alignment horizontal="center" vertical="center" wrapText="1"/>
    </xf>
    <xf numFmtId="167" fontId="3" fillId="0" borderId="15" xfId="2" applyNumberFormat="1" applyFont="1" applyBorder="1" applyAlignment="1">
      <alignment vertical="center" wrapText="1"/>
    </xf>
    <xf numFmtId="0" fontId="3" fillId="0" borderId="15" xfId="2" applyFont="1" applyBorder="1" applyAlignment="1">
      <alignment vertical="center" wrapText="1"/>
    </xf>
    <xf numFmtId="0" fontId="3" fillId="0" borderId="11" xfId="2" applyFont="1" applyBorder="1" applyAlignment="1">
      <alignment vertical="center" wrapText="1"/>
    </xf>
    <xf numFmtId="0" fontId="3" fillId="0" borderId="0" xfId="2" applyFont="1" applyAlignment="1">
      <alignment vertical="center" wrapText="1"/>
    </xf>
    <xf numFmtId="166" fontId="2" fillId="0" borderId="0" xfId="4" applyFont="1" applyFill="1" applyBorder="1" applyAlignment="1" applyProtection="1">
      <alignment horizontal="center" vertical="center" wrapText="1"/>
    </xf>
    <xf numFmtId="0" fontId="2" fillId="0" borderId="0" xfId="2" applyAlignment="1">
      <alignment vertical="center" wrapText="1"/>
    </xf>
    <xf numFmtId="167" fontId="2" fillId="0" borderId="0" xfId="2" applyNumberFormat="1" applyAlignment="1">
      <alignment vertical="center" wrapText="1"/>
    </xf>
    <xf numFmtId="166" fontId="2" fillId="0" borderId="0" xfId="4" applyFont="1" applyBorder="1" applyAlignment="1" applyProtection="1">
      <alignment horizontal="center" vertical="center" wrapText="1"/>
    </xf>
    <xf numFmtId="166" fontId="2" fillId="0" borderId="23" xfId="4" applyFont="1" applyFill="1" applyBorder="1" applyAlignment="1" applyProtection="1">
      <alignment horizontal="center" vertical="center" wrapText="1"/>
    </xf>
    <xf numFmtId="0" fontId="2" fillId="0" borderId="0" xfId="0" applyFont="1" applyAlignment="1">
      <alignment horizontal="center" vertical="center" wrapText="1"/>
    </xf>
    <xf numFmtId="167" fontId="2"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166" fontId="7" fillId="5" borderId="23" xfId="4" applyFont="1" applyFill="1" applyBorder="1" applyAlignment="1" applyProtection="1">
      <alignment horizontal="center" vertical="center" wrapText="1"/>
    </xf>
    <xf numFmtId="166" fontId="7" fillId="0" borderId="0" xfId="4" applyFont="1" applyFill="1" applyBorder="1" applyAlignment="1" applyProtection="1">
      <alignment horizontal="center" vertical="center" wrapText="1"/>
    </xf>
    <xf numFmtId="0" fontId="3" fillId="0" borderId="10" xfId="2" applyFont="1" applyBorder="1" applyAlignment="1">
      <alignment horizontal="center" vertical="center" wrapText="1"/>
    </xf>
    <xf numFmtId="166" fontId="3" fillId="0" borderId="15" xfId="2" applyNumberFormat="1" applyFont="1" applyBorder="1" applyAlignment="1">
      <alignment vertical="center" wrapText="1"/>
    </xf>
    <xf numFmtId="166" fontId="2" fillId="0" borderId="0" xfId="4" applyFont="1" applyFill="1" applyBorder="1" applyAlignment="1" applyProtection="1">
      <alignment vertical="center" wrapText="1"/>
    </xf>
    <xf numFmtId="166" fontId="7" fillId="0" borderId="23" xfId="4" applyFont="1" applyFill="1" applyBorder="1" applyAlignment="1" applyProtection="1">
      <alignment horizontal="center" vertical="center" wrapText="1"/>
    </xf>
    <xf numFmtId="166" fontId="3" fillId="0" borderId="23" xfId="4" applyFont="1" applyFill="1" applyBorder="1" applyAlignment="1" applyProtection="1">
      <alignment horizontal="center" vertical="center" wrapText="1"/>
    </xf>
    <xf numFmtId="166" fontId="3" fillId="0" borderId="0" xfId="4" applyFont="1" applyFill="1" applyBorder="1" applyAlignment="1" applyProtection="1">
      <alignment horizontal="center" vertical="center" wrapText="1"/>
    </xf>
    <xf numFmtId="168" fontId="2" fillId="0" borderId="0" xfId="0" applyNumberFormat="1" applyFont="1" applyAlignment="1">
      <alignment horizontal="center" vertical="center" wrapText="1"/>
    </xf>
    <xf numFmtId="0" fontId="3" fillId="0" borderId="0" xfId="0" applyFont="1" applyAlignment="1">
      <alignment horizontal="center" vertical="center" wrapText="1"/>
    </xf>
    <xf numFmtId="166" fontId="3" fillId="0" borderId="15" xfId="2"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wrapText="1"/>
    </xf>
    <xf numFmtId="0" fontId="3" fillId="0" borderId="0" xfId="0" applyFont="1" applyAlignment="1">
      <alignment horizontal="left" vertical="center" wrapText="1"/>
    </xf>
    <xf numFmtId="167" fontId="3" fillId="0" borderId="0" xfId="0" applyNumberFormat="1" applyFont="1" applyAlignment="1">
      <alignment horizontal="left" vertical="center" wrapText="1"/>
    </xf>
    <xf numFmtId="166" fontId="2" fillId="0" borderId="0" xfId="4" applyFont="1" applyBorder="1" applyAlignment="1" applyProtection="1">
      <alignment horizontal="center" vertical="center"/>
    </xf>
    <xf numFmtId="0" fontId="2" fillId="0" borderId="9" xfId="0" applyFont="1" applyBorder="1" applyAlignment="1">
      <alignment horizontal="center" vertical="center" wrapText="1"/>
    </xf>
    <xf numFmtId="166" fontId="5" fillId="0" borderId="23" xfId="4" applyFont="1" applyBorder="1" applyAlignment="1" applyProtection="1">
      <alignment horizontal="center" vertical="center" wrapText="1"/>
    </xf>
    <xf numFmtId="166" fontId="5" fillId="0" borderId="0" xfId="4" applyFont="1" applyFill="1" applyBorder="1" applyAlignment="1" applyProtection="1">
      <alignment horizontal="center" vertical="center" wrapText="1"/>
    </xf>
    <xf numFmtId="0" fontId="3" fillId="0" borderId="0" xfId="0" applyFont="1" applyAlignment="1">
      <alignment vertical="center" wrapText="1"/>
    </xf>
    <xf numFmtId="167" fontId="3" fillId="0" borderId="0" xfId="0" applyNumberFormat="1" applyFont="1" applyAlignment="1">
      <alignment vertical="center" wrapText="1"/>
    </xf>
    <xf numFmtId="166" fontId="3" fillId="0" borderId="0" xfId="0" applyNumberFormat="1" applyFont="1" applyAlignment="1">
      <alignment vertical="center" wrapText="1"/>
    </xf>
    <xf numFmtId="0" fontId="3" fillId="0" borderId="23" xfId="0" applyFont="1" applyBorder="1" applyAlignment="1">
      <alignment vertical="center" wrapText="1"/>
    </xf>
    <xf numFmtId="0" fontId="2" fillId="0" borderId="23" xfId="0" applyFont="1" applyBorder="1"/>
    <xf numFmtId="4" fontId="2" fillId="0" borderId="23" xfId="0" applyNumberFormat="1" applyFont="1" applyBorder="1" applyAlignment="1">
      <alignment horizontal="center" vertical="center" wrapText="1"/>
    </xf>
    <xf numFmtId="4" fontId="2" fillId="0" borderId="0" xfId="0" applyNumberFormat="1" applyFont="1" applyAlignment="1">
      <alignment horizontal="center" vertical="center" wrapText="1"/>
    </xf>
    <xf numFmtId="0" fontId="2" fillId="0" borderId="0" xfId="0" applyFont="1" applyAlignment="1">
      <alignment horizontal="left" vertical="center"/>
    </xf>
    <xf numFmtId="167" fontId="2" fillId="0" borderId="9" xfId="0" applyNumberFormat="1" applyFont="1" applyBorder="1" applyAlignment="1">
      <alignment horizontal="center" vertical="center" wrapText="1"/>
    </xf>
    <xf numFmtId="166" fontId="2" fillId="0" borderId="9" xfId="4" applyFont="1" applyFill="1" applyBorder="1" applyAlignment="1" applyProtection="1">
      <alignment horizontal="center" vertical="center" wrapText="1"/>
    </xf>
    <xf numFmtId="166" fontId="2" fillId="0" borderId="9" xfId="4" applyFont="1" applyBorder="1" applyAlignment="1" applyProtection="1">
      <alignment horizontal="center" vertical="center" wrapText="1"/>
    </xf>
    <xf numFmtId="166" fontId="2" fillId="0" borderId="25" xfId="4" applyFont="1" applyFill="1" applyBorder="1" applyAlignment="1" applyProtection="1">
      <alignment horizontal="center" vertical="center" wrapText="1"/>
    </xf>
    <xf numFmtId="167" fontId="3" fillId="0" borderId="9" xfId="2" applyNumberFormat="1" applyFont="1" applyBorder="1" applyAlignment="1">
      <alignment vertical="center" wrapText="1"/>
    </xf>
    <xf numFmtId="0" fontId="3" fillId="0" borderId="9" xfId="2" applyFont="1" applyBorder="1" applyAlignment="1">
      <alignment vertical="center" wrapText="1"/>
    </xf>
    <xf numFmtId="0" fontId="3" fillId="0" borderId="25" xfId="2" applyFont="1" applyBorder="1" applyAlignment="1">
      <alignment vertical="center" wrapText="1"/>
    </xf>
    <xf numFmtId="166" fontId="2" fillId="0" borderId="23" xfId="4" applyFont="1" applyBorder="1" applyAlignment="1" applyProtection="1">
      <alignment horizontal="center" vertical="center"/>
    </xf>
    <xf numFmtId="166" fontId="2" fillId="0" borderId="0" xfId="4" applyFont="1" applyFill="1" applyBorder="1" applyAlignment="1" applyProtection="1">
      <alignment horizontal="center" vertical="center"/>
    </xf>
    <xf numFmtId="166" fontId="2" fillId="0" borderId="0" xfId="0" applyNumberFormat="1" applyFont="1" applyAlignment="1">
      <alignment horizontal="center" vertical="center" wrapText="1"/>
    </xf>
    <xf numFmtId="166" fontId="2" fillId="0" borderId="9" xfId="4" applyFont="1" applyBorder="1" applyAlignment="1" applyProtection="1">
      <alignment horizontal="center" vertical="center"/>
    </xf>
    <xf numFmtId="166" fontId="2" fillId="0" borderId="25" xfId="4" applyFont="1" applyBorder="1" applyAlignment="1" applyProtection="1">
      <alignment horizontal="center" vertical="center"/>
    </xf>
    <xf numFmtId="0" fontId="9" fillId="4" borderId="0" xfId="0" applyFont="1" applyFill="1" applyAlignment="1" applyProtection="1">
      <alignment horizontal="centerContinuous" vertical="center"/>
      <protection locked="0"/>
    </xf>
    <xf numFmtId="0" fontId="12" fillId="4" borderId="0" xfId="0" applyFont="1" applyFill="1" applyAlignment="1" applyProtection="1">
      <alignment horizontal="centerContinuous" vertical="center"/>
      <protection locked="0"/>
    </xf>
    <xf numFmtId="0" fontId="23" fillId="6" borderId="0" xfId="0" applyFont="1" applyFill="1" applyAlignment="1" applyProtection="1">
      <alignment horizontal="centerContinuous" vertical="center" wrapText="1"/>
      <protection locked="0"/>
    </xf>
    <xf numFmtId="0" fontId="0" fillId="0" borderId="0" xfId="0" applyProtection="1">
      <protection locked="0"/>
    </xf>
    <xf numFmtId="0" fontId="2" fillId="0" borderId="0" xfId="0" applyFont="1" applyAlignment="1" applyProtection="1">
      <alignment horizontal="left" vertical="center" wrapText="1"/>
      <protection locked="0"/>
    </xf>
    <xf numFmtId="0" fontId="9" fillId="4" borderId="0" xfId="0" applyFont="1" applyFill="1" applyAlignment="1" applyProtection="1">
      <alignment horizontal="centerContinuous" vertical="center" wrapText="1"/>
      <protection locked="0"/>
    </xf>
    <xf numFmtId="0" fontId="12" fillId="4" borderId="0" xfId="0" applyFont="1" applyFill="1" applyAlignment="1" applyProtection="1">
      <alignment horizontal="centerContinuous" vertical="center" wrapText="1"/>
      <protection locked="0"/>
    </xf>
    <xf numFmtId="0" fontId="17" fillId="6" borderId="9" xfId="0" applyFont="1" applyFill="1" applyBorder="1" applyAlignment="1" applyProtection="1">
      <alignment horizontal="center" vertical="center" wrapText="1"/>
      <protection locked="0"/>
    </xf>
    <xf numFmtId="0" fontId="17" fillId="6" borderId="0" xfId="0" applyFont="1" applyFill="1" applyAlignment="1" applyProtection="1">
      <alignment horizontal="center" vertical="center" wrapText="1"/>
      <protection locked="0"/>
    </xf>
    <xf numFmtId="0" fontId="13" fillId="4" borderId="0" xfId="0" applyFont="1" applyFill="1" applyAlignment="1">
      <alignment horizontal="centerContinuous" vertical="center"/>
    </xf>
    <xf numFmtId="0" fontId="14" fillId="0" borderId="0" xfId="0" applyFont="1" applyAlignment="1">
      <alignment horizontal="centerContinuous" vertical="center"/>
    </xf>
    <xf numFmtId="0" fontId="9" fillId="4" borderId="0" xfId="0" applyFont="1" applyFill="1" applyAlignment="1" applyProtection="1">
      <alignment horizontal="centerContinuous" vertical="center" wrapText="1"/>
    </xf>
    <xf numFmtId="10" fontId="2" fillId="0" borderId="13" xfId="1" applyNumberFormat="1" applyFont="1" applyFill="1" applyBorder="1" applyAlignment="1" applyProtection="1">
      <alignment horizontal="center" vertical="center" wrapText="1"/>
    </xf>
    <xf numFmtId="166" fontId="2" fillId="0" borderId="13" xfId="4" applyFont="1" applyFill="1" applyBorder="1" applyAlignment="1" applyProtection="1">
      <alignment horizontal="center" vertical="center" wrapText="1"/>
    </xf>
    <xf numFmtId="10" fontId="25" fillId="2" borderId="27" xfId="1" applyNumberFormat="1" applyFont="1" applyFill="1" applyBorder="1" applyAlignment="1" applyProtection="1">
      <alignment wrapText="1"/>
    </xf>
    <xf numFmtId="0" fontId="8" fillId="0" borderId="0" xfId="5" applyNumberFormat="1" applyBorder="1" applyAlignment="1" applyProtection="1">
      <alignment horizontal="left" vertical="center" wrapText="1"/>
    </xf>
    <xf numFmtId="0" fontId="8" fillId="0" borderId="0" xfId="5" applyBorder="1" applyAlignment="1" applyProtection="1">
      <alignment wrapText="1"/>
    </xf>
    <xf numFmtId="0" fontId="6" fillId="0" borderId="10" xfId="2" applyFont="1" applyBorder="1" applyAlignment="1">
      <alignment horizontal="center" vertical="center" wrapText="1"/>
    </xf>
    <xf numFmtId="0" fontId="3" fillId="0" borderId="0" xfId="0" applyFont="1" applyAlignment="1">
      <alignment wrapText="1"/>
    </xf>
    <xf numFmtId="49" fontId="2" fillId="0" borderId="0" xfId="0" applyNumberFormat="1" applyFont="1" applyAlignment="1">
      <alignment horizontal="center" vertical="center" wrapText="1"/>
    </xf>
    <xf numFmtId="2" fontId="2" fillId="0" borderId="0" xfId="2" applyNumberFormat="1" applyAlignment="1">
      <alignment vertical="center" wrapText="1"/>
    </xf>
    <xf numFmtId="0" fontId="2" fillId="0" borderId="0" xfId="0" applyFont="1" applyAlignment="1">
      <alignment horizontal="left" vertical="center" wrapText="1"/>
    </xf>
    <xf numFmtId="0" fontId="22" fillId="0" borderId="0" xfId="5" applyNumberFormat="1" applyFont="1" applyFill="1" applyBorder="1" applyAlignment="1" applyProtection="1">
      <alignment horizontal="center" vertical="center" wrapText="1"/>
    </xf>
    <xf numFmtId="0" fontId="22" fillId="0" borderId="0" xfId="5" applyFont="1" applyBorder="1" applyAlignment="1" applyProtection="1">
      <alignment wrapText="1"/>
    </xf>
    <xf numFmtId="2" fontId="28" fillId="4" borderId="0" xfId="4" applyNumberFormat="1" applyFont="1" applyFill="1" applyBorder="1" applyAlignment="1" applyProtection="1">
      <alignment horizontal="center" vertical="center" wrapText="1"/>
    </xf>
    <xf numFmtId="0" fontId="2" fillId="0" borderId="0" xfId="2" applyBorder="1" applyAlignment="1">
      <alignment vertical="center" wrapText="1"/>
    </xf>
    <xf numFmtId="167" fontId="2" fillId="0" borderId="0" xfId="2" applyNumberFormat="1" applyBorder="1" applyAlignment="1">
      <alignment vertical="center" wrapText="1"/>
    </xf>
    <xf numFmtId="0" fontId="2" fillId="0" borderId="0" xfId="0" applyFont="1" applyBorder="1" applyAlignment="1">
      <alignment horizontal="center" vertical="center" wrapText="1"/>
    </xf>
    <xf numFmtId="167" fontId="2" fillId="0" borderId="0" xfId="0" applyNumberFormat="1" applyFont="1" applyBorder="1" applyAlignment="1">
      <alignment horizontal="center" vertical="center" wrapText="1"/>
    </xf>
    <xf numFmtId="168" fontId="2" fillId="0" borderId="0" xfId="0" applyNumberFormat="1" applyFont="1" applyBorder="1" applyAlignment="1">
      <alignment horizontal="center" vertical="center" wrapText="1"/>
    </xf>
    <xf numFmtId="168" fontId="2" fillId="0" borderId="9" xfId="0" applyNumberFormat="1" applyFont="1" applyBorder="1" applyAlignment="1">
      <alignment horizontal="center" vertical="center" wrapText="1"/>
    </xf>
    <xf numFmtId="0" fontId="2" fillId="0" borderId="0" xfId="2" applyFont="1" applyAlignment="1">
      <alignment vertical="center" wrapText="1"/>
    </xf>
    <xf numFmtId="167" fontId="2" fillId="0" borderId="0" xfId="2" applyNumberFormat="1" applyFont="1" applyAlignment="1">
      <alignment vertical="center" wrapText="1"/>
    </xf>
    <xf numFmtId="0" fontId="2" fillId="0" borderId="0" xfId="2" applyFont="1" applyBorder="1" applyAlignment="1">
      <alignment vertical="center" wrapText="1"/>
    </xf>
    <xf numFmtId="167" fontId="2" fillId="0" borderId="0" xfId="2" applyNumberFormat="1" applyFont="1" applyBorder="1" applyAlignment="1">
      <alignment vertical="center" wrapText="1"/>
    </xf>
    <xf numFmtId="0" fontId="2" fillId="0" borderId="0" xfId="0" applyFont="1" applyFill="1" applyAlignment="1">
      <alignment horizontal="center" vertical="center" wrapText="1"/>
    </xf>
    <xf numFmtId="0" fontId="3" fillId="0" borderId="24" xfId="2" applyFont="1" applyBorder="1" applyAlignment="1">
      <alignment horizontal="center" vertical="center" wrapText="1"/>
    </xf>
    <xf numFmtId="0" fontId="19" fillId="0" borderId="0" xfId="0" applyFont="1" applyAlignment="1">
      <alignment vertical="center"/>
    </xf>
    <xf numFmtId="0" fontId="16" fillId="4" borderId="17" xfId="0" applyFont="1" applyFill="1" applyBorder="1" applyAlignment="1">
      <alignment horizontal="center" vertical="center"/>
    </xf>
    <xf numFmtId="0" fontId="29" fillId="0" borderId="0" xfId="5" applyFont="1" applyAlignment="1">
      <alignment horizontal="center" vertical="center" wrapText="1"/>
    </xf>
    <xf numFmtId="0" fontId="2" fillId="0" borderId="0" xfId="0" applyFont="1" applyFill="1" applyBorder="1" applyAlignment="1">
      <alignment horizontal="center" vertical="center" wrapText="1"/>
    </xf>
    <xf numFmtId="0" fontId="0" fillId="0" borderId="0" xfId="0"/>
    <xf numFmtId="166" fontId="2" fillId="0" borderId="13" xfId="19" applyFont="1" applyFill="1" applyBorder="1" applyAlignment="1" applyProtection="1">
      <alignment horizontal="center" vertical="center" wrapText="1"/>
      <protection locked="0"/>
    </xf>
    <xf numFmtId="166" fontId="2" fillId="0" borderId="13" xfId="19" applyFont="1" applyFill="1" applyBorder="1" applyAlignment="1" applyProtection="1">
      <alignment horizontal="center" vertical="center" wrapText="1"/>
    </xf>
    <xf numFmtId="2" fontId="3" fillId="0" borderId="0" xfId="17" applyNumberFormat="1" applyFont="1" applyAlignment="1" applyProtection="1">
      <alignment horizontal="right"/>
      <protection locked="0"/>
    </xf>
    <xf numFmtId="168" fontId="2" fillId="0" borderId="0" xfId="17" applyFont="1" applyProtection="1">
      <protection locked="0"/>
    </xf>
    <xf numFmtId="168" fontId="2" fillId="0" borderId="0" xfId="17" applyFont="1" applyAlignment="1" applyProtection="1">
      <alignment horizontal="right"/>
      <protection locked="0"/>
    </xf>
    <xf numFmtId="0" fontId="2" fillId="0" borderId="0" xfId="7" applyFont="1" applyAlignment="1">
      <alignment vertical="center"/>
      <protection locked="0"/>
    </xf>
    <xf numFmtId="0" fontId="2" fillId="0" borderId="0" xfId="7" applyFont="1" applyAlignment="1">
      <alignment vertical="center" wrapText="1"/>
      <protection locked="0"/>
    </xf>
    <xf numFmtId="168" fontId="2" fillId="0" borderId="0" xfId="17" applyFont="1" applyAlignment="1" applyProtection="1">
      <alignment horizontal="center" wrapText="1"/>
      <protection locked="0"/>
    </xf>
    <xf numFmtId="0" fontId="3" fillId="8" borderId="32" xfId="7" applyFont="1" applyFill="1" applyBorder="1" applyAlignment="1" applyProtection="1">
      <alignment horizontal="center" vertical="center"/>
    </xf>
    <xf numFmtId="166" fontId="2" fillId="8" borderId="32" xfId="4" applyFont="1" applyFill="1" applyBorder="1" applyAlignment="1" applyProtection="1">
      <alignment horizontal="right" vertical="center" wrapText="1"/>
    </xf>
    <xf numFmtId="10" fontId="2" fillId="8" borderId="32" xfId="1" applyNumberFormat="1" applyFont="1" applyFill="1" applyBorder="1" applyAlignment="1" applyProtection="1">
      <alignment horizontal="center" vertical="center" wrapText="1"/>
    </xf>
    <xf numFmtId="166" fontId="2" fillId="8" borderId="32" xfId="4" applyFont="1" applyFill="1" applyBorder="1" applyAlignment="1" applyProtection="1">
      <alignment horizontal="center" vertical="center" wrapText="1"/>
    </xf>
    <xf numFmtId="0" fontId="3" fillId="7" borderId="2" xfId="7" applyFont="1" applyFill="1" applyBorder="1" applyAlignment="1" applyProtection="1">
      <alignment horizontal="center" vertical="center"/>
    </xf>
    <xf numFmtId="10" fontId="2" fillId="7" borderId="3" xfId="1" applyNumberFormat="1" applyFont="1" applyFill="1" applyBorder="1" applyAlignment="1" applyProtection="1">
      <alignment horizontal="center" vertical="center" wrapText="1"/>
    </xf>
    <xf numFmtId="166" fontId="2" fillId="7" borderId="3" xfId="4" applyFont="1" applyFill="1" applyBorder="1" applyAlignment="1" applyProtection="1">
      <alignment horizontal="center" vertical="center" wrapText="1"/>
    </xf>
    <xf numFmtId="44" fontId="2" fillId="0" borderId="0" xfId="7" applyNumberFormat="1" applyFont="1" applyAlignment="1">
      <alignment vertical="center" wrapText="1"/>
      <protection locked="0"/>
    </xf>
    <xf numFmtId="0" fontId="0" fillId="0" borderId="0" xfId="0" applyProtection="1"/>
    <xf numFmtId="49" fontId="2" fillId="0" borderId="13" xfId="3" applyNumberFormat="1" applyFont="1" applyFill="1" applyBorder="1" applyAlignment="1" applyProtection="1">
      <alignment horizontal="left" vertical="center" wrapText="1"/>
    </xf>
    <xf numFmtId="4" fontId="2" fillId="0" borderId="13" xfId="3" applyNumberFormat="1" applyFont="1" applyFill="1" applyBorder="1" applyAlignment="1" applyProtection="1">
      <alignment horizontal="center" vertical="center" wrapText="1"/>
    </xf>
    <xf numFmtId="169" fontId="20" fillId="2" borderId="26" xfId="0" applyNumberFormat="1" applyFont="1" applyFill="1" applyBorder="1" applyAlignment="1" applyProtection="1">
      <alignment vertical="center" wrapText="1"/>
    </xf>
    <xf numFmtId="169" fontId="20" fillId="2" borderId="27" xfId="0" applyNumberFormat="1" applyFont="1" applyFill="1" applyBorder="1" applyAlignment="1" applyProtection="1">
      <alignment vertical="center" wrapText="1"/>
    </xf>
    <xf numFmtId="169" fontId="25" fillId="2" borderId="10" xfId="0" applyNumberFormat="1" applyFont="1" applyFill="1" applyBorder="1" applyAlignment="1" applyProtection="1">
      <alignment wrapText="1"/>
    </xf>
    <xf numFmtId="169" fontId="25" fillId="2" borderId="15" xfId="0" applyNumberFormat="1" applyFont="1" applyFill="1" applyBorder="1" applyAlignment="1" applyProtection="1">
      <alignment wrapText="1"/>
    </xf>
    <xf numFmtId="169" fontId="25" fillId="2" borderId="15" xfId="0" applyNumberFormat="1" applyFont="1" applyFill="1" applyBorder="1" applyAlignment="1" applyProtection="1">
      <alignment horizontal="centerContinuous" wrapText="1"/>
    </xf>
    <xf numFmtId="169" fontId="25" fillId="2" borderId="10" xfId="0" applyNumberFormat="1" applyFont="1" applyFill="1" applyBorder="1" applyAlignment="1" applyProtection="1">
      <alignment horizontal="centerContinuous" wrapText="1"/>
    </xf>
    <xf numFmtId="0" fontId="16" fillId="4" borderId="33" xfId="0" applyFont="1" applyFill="1" applyBorder="1" applyAlignment="1" applyProtection="1">
      <alignment horizontal="center" vertical="center" wrapText="1"/>
    </xf>
    <xf numFmtId="2" fontId="16" fillId="4" borderId="7" xfId="17" applyNumberFormat="1" applyFont="1" applyFill="1" applyBorder="1" applyAlignment="1" applyProtection="1">
      <alignment horizontal="center" vertical="center" wrapText="1"/>
    </xf>
    <xf numFmtId="2" fontId="16" fillId="4" borderId="7" xfId="11" applyNumberFormat="1" applyFont="1" applyFill="1" applyBorder="1" applyAlignment="1" applyProtection="1">
      <alignment horizontal="center" vertical="center" wrapText="1"/>
    </xf>
    <xf numFmtId="168" fontId="16" fillId="4" borderId="33" xfId="17" applyFont="1" applyFill="1" applyBorder="1" applyAlignment="1" applyProtection="1">
      <alignment horizontal="center" vertical="center" wrapText="1"/>
    </xf>
    <xf numFmtId="2" fontId="16" fillId="4" borderId="7" xfId="18" applyNumberFormat="1" applyFont="1" applyFill="1" applyBorder="1" applyAlignment="1" applyProtection="1">
      <alignment horizontal="center" vertical="center" wrapText="1"/>
    </xf>
    <xf numFmtId="3" fontId="2" fillId="0" borderId="5" xfId="3" applyNumberFormat="1" applyFont="1" applyFill="1" applyBorder="1" applyAlignment="1" applyProtection="1">
      <alignment horizontal="center" vertical="center" wrapText="1"/>
    </xf>
    <xf numFmtId="3" fontId="2" fillId="0" borderId="13" xfId="3" applyNumberFormat="1" applyFont="1" applyFill="1" applyBorder="1" applyAlignment="1" applyProtection="1">
      <alignment horizontal="center" vertical="center" wrapText="1"/>
    </xf>
    <xf numFmtId="3" fontId="2" fillId="8" borderId="32" xfId="3" applyNumberFormat="1" applyFont="1" applyFill="1" applyBorder="1" applyAlignment="1" applyProtection="1">
      <alignment horizontal="center" vertical="center" wrapText="1"/>
    </xf>
    <xf numFmtId="49" fontId="3" fillId="8" borderId="32" xfId="3" applyNumberFormat="1" applyFont="1" applyFill="1" applyBorder="1" applyAlignment="1" applyProtection="1">
      <alignment horizontal="center" vertical="center" wrapText="1"/>
    </xf>
    <xf numFmtId="4" fontId="2" fillId="8" borderId="32" xfId="3" applyNumberFormat="1" applyFont="1" applyFill="1" applyBorder="1" applyAlignment="1" applyProtection="1">
      <alignment horizontal="center" vertical="center" wrapText="1"/>
    </xf>
    <xf numFmtId="3" fontId="3" fillId="8" borderId="32" xfId="3" applyNumberFormat="1" applyFont="1" applyFill="1" applyBorder="1" applyAlignment="1" applyProtection="1">
      <alignment horizontal="center" vertical="center" wrapText="1"/>
    </xf>
    <xf numFmtId="3" fontId="2" fillId="7" borderId="3" xfId="3" applyNumberFormat="1" applyFont="1" applyFill="1" applyBorder="1" applyAlignment="1" applyProtection="1">
      <alignment horizontal="center" vertical="center" wrapText="1"/>
    </xf>
    <xf numFmtId="49" fontId="3" fillId="7" borderId="3" xfId="3" applyNumberFormat="1" applyFont="1" applyFill="1" applyBorder="1" applyAlignment="1" applyProtection="1">
      <alignment horizontal="center" vertical="center" wrapText="1"/>
    </xf>
    <xf numFmtId="4" fontId="2" fillId="7" borderId="3" xfId="3" applyNumberFormat="1" applyFont="1" applyFill="1" applyBorder="1" applyAlignment="1" applyProtection="1">
      <alignment horizontal="center" vertical="center" wrapText="1"/>
    </xf>
    <xf numFmtId="166" fontId="3" fillId="7" borderId="3" xfId="19" applyFont="1" applyFill="1" applyBorder="1" applyAlignment="1" applyProtection="1">
      <alignment horizontal="center" vertical="center" wrapText="1"/>
    </xf>
    <xf numFmtId="0" fontId="0" fillId="0" borderId="0" xfId="0" applyBorder="1" applyProtection="1"/>
    <xf numFmtId="166" fontId="2" fillId="7" borderId="3" xfId="19" applyFont="1" applyFill="1" applyBorder="1" applyAlignment="1" applyProtection="1">
      <alignment horizontal="center" vertical="center" wrapText="1"/>
    </xf>
    <xf numFmtId="44" fontId="3" fillId="7" borderId="3" xfId="3" applyNumberFormat="1" applyFont="1" applyFill="1" applyBorder="1" applyAlignment="1" applyProtection="1">
      <alignment horizontal="center" vertical="center" wrapText="1"/>
    </xf>
    <xf numFmtId="166" fontId="2" fillId="7" borderId="4" xfId="19" applyFont="1" applyFill="1" applyBorder="1" applyAlignment="1" applyProtection="1">
      <alignment horizontal="center" vertical="center" wrapText="1"/>
    </xf>
    <xf numFmtId="0" fontId="25" fillId="2" borderId="27" xfId="0" applyNumberFormat="1" applyFont="1" applyFill="1" applyBorder="1" applyAlignment="1" applyProtection="1">
      <alignment horizontal="center" vertical="center" wrapText="1"/>
    </xf>
    <xf numFmtId="0" fontId="20" fillId="2" borderId="27" xfId="0" applyNumberFormat="1" applyFont="1" applyFill="1" applyBorder="1" applyAlignment="1" applyProtection="1">
      <alignment horizontal="center" vertical="center" wrapText="1"/>
    </xf>
    <xf numFmtId="10" fontId="2" fillId="2" borderId="1" xfId="1" applyNumberFormat="1" applyFont="1" applyFill="1" applyBorder="1" applyAlignment="1" applyProtection="1">
      <alignment horizontal="center" vertical="center" wrapText="1"/>
    </xf>
    <xf numFmtId="166" fontId="2" fillId="2" borderId="1" xfId="4" applyFont="1" applyFill="1" applyBorder="1" applyAlignment="1" applyProtection="1">
      <alignment horizontal="center" vertical="center" wrapText="1"/>
    </xf>
    <xf numFmtId="166" fontId="2" fillId="0" borderId="14" xfId="4" applyFont="1" applyFill="1" applyBorder="1" applyAlignment="1" applyProtection="1">
      <alignment horizontal="right" vertical="center" wrapText="1"/>
    </xf>
    <xf numFmtId="166" fontId="2" fillId="8" borderId="34" xfId="4" applyFont="1" applyFill="1" applyBorder="1" applyAlignment="1" applyProtection="1">
      <alignment horizontal="right" vertical="center" wrapText="1"/>
    </xf>
    <xf numFmtId="166" fontId="3" fillId="7" borderId="4" xfId="19" applyFont="1" applyFill="1" applyBorder="1" applyAlignment="1" applyProtection="1">
      <alignment horizontal="center" vertical="center" wrapText="1"/>
    </xf>
    <xf numFmtId="166" fontId="2" fillId="2" borderId="23" xfId="4" applyFont="1" applyFill="1" applyBorder="1" applyAlignment="1" applyProtection="1">
      <alignment horizontal="right" vertical="center" wrapText="1"/>
    </xf>
    <xf numFmtId="170" fontId="25" fillId="2" borderId="25" xfId="17" applyNumberFormat="1" applyFont="1" applyFill="1" applyBorder="1" applyAlignment="1" applyProtection="1">
      <alignment horizontal="right" wrapText="1"/>
    </xf>
    <xf numFmtId="0" fontId="16" fillId="4" borderId="10" xfId="0" applyFont="1" applyFill="1" applyBorder="1" applyAlignment="1" applyProtection="1">
      <alignment horizontal="centerContinuous" vertical="center"/>
    </xf>
    <xf numFmtId="0" fontId="16" fillId="4" borderId="15" xfId="0" applyFont="1" applyFill="1" applyBorder="1" applyAlignment="1" applyProtection="1">
      <alignment horizontal="centerContinuous" vertical="center"/>
    </xf>
    <xf numFmtId="0" fontId="2" fillId="0" borderId="28" xfId="0" applyFont="1" applyBorder="1" applyAlignment="1" applyProtection="1">
      <alignment vertical="center"/>
    </xf>
    <xf numFmtId="0" fontId="24" fillId="0" borderId="0" xfId="0" applyFont="1" applyAlignment="1" applyProtection="1">
      <alignment horizontal="center" vertical="center"/>
    </xf>
    <xf numFmtId="0" fontId="21" fillId="0" borderId="12" xfId="0" applyFont="1" applyBorder="1" applyAlignment="1" applyProtection="1">
      <alignment horizontal="center" vertical="center"/>
    </xf>
    <xf numFmtId="0" fontId="2" fillId="0" borderId="0" xfId="0" applyFont="1" applyAlignment="1" applyProtection="1">
      <alignment horizontal="center" vertical="center"/>
    </xf>
    <xf numFmtId="0" fontId="3" fillId="4" borderId="26" xfId="0" applyFont="1" applyFill="1" applyBorder="1" applyAlignment="1" applyProtection="1">
      <alignment horizontal="center" vertical="center" wrapText="1"/>
    </xf>
    <xf numFmtId="0" fontId="3" fillId="4" borderId="24" xfId="0" applyFont="1" applyFill="1" applyBorder="1" applyAlignment="1" applyProtection="1">
      <alignment horizontal="center" vertical="center"/>
    </xf>
    <xf numFmtId="0" fontId="2" fillId="0" borderId="20" xfId="0" applyFont="1" applyBorder="1" applyAlignment="1" applyProtection="1">
      <alignment vertical="center"/>
    </xf>
    <xf numFmtId="0" fontId="7" fillId="0" borderId="0" xfId="0" applyFont="1" applyAlignment="1" applyProtection="1">
      <alignment horizontal="center" vertical="center"/>
    </xf>
    <xf numFmtId="10" fontId="7" fillId="0" borderId="0" xfId="0" applyNumberFormat="1" applyFont="1" applyAlignment="1" applyProtection="1">
      <alignment horizontal="center" vertical="center"/>
    </xf>
    <xf numFmtId="0" fontId="0" fillId="0" borderId="0" xfId="0" applyAlignment="1" applyProtection="1">
      <alignment horizontal="center"/>
    </xf>
    <xf numFmtId="0" fontId="2" fillId="0" borderId="0" xfId="0" applyFont="1" applyBorder="1" applyAlignment="1" applyProtection="1">
      <alignment vertical="center"/>
    </xf>
    <xf numFmtId="168" fontId="16" fillId="4" borderId="7" xfId="17" applyFont="1" applyFill="1" applyBorder="1" applyAlignment="1" applyProtection="1">
      <alignment horizontal="center" vertical="center" wrapText="1"/>
    </xf>
    <xf numFmtId="168" fontId="16" fillId="4" borderId="8" xfId="17" applyFont="1" applyFill="1" applyBorder="1" applyAlignment="1" applyProtection="1">
      <alignment horizontal="center" vertical="center" wrapText="1"/>
    </xf>
    <xf numFmtId="43" fontId="16" fillId="4" borderId="7" xfId="11" applyFont="1" applyFill="1" applyBorder="1" applyAlignment="1" applyProtection="1">
      <alignment horizontal="center" vertical="center" wrapText="1"/>
    </xf>
    <xf numFmtId="0" fontId="16" fillId="4" borderId="7" xfId="0" applyFont="1" applyFill="1" applyBorder="1" applyAlignment="1" applyProtection="1">
      <alignment horizontal="center" vertical="center" wrapText="1"/>
    </xf>
    <xf numFmtId="0" fontId="16" fillId="4" borderId="6" xfId="0" applyFont="1" applyFill="1" applyBorder="1" applyAlignment="1" applyProtection="1">
      <alignment horizontal="center" vertical="center" wrapText="1"/>
    </xf>
    <xf numFmtId="0" fontId="26" fillId="0" borderId="35" xfId="0" applyFont="1" applyBorder="1" applyAlignment="1" applyProtection="1">
      <alignment horizontal="center" vertical="center"/>
      <protection locked="0"/>
    </xf>
    <xf numFmtId="0" fontId="20" fillId="0" borderId="36"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10" fontId="2" fillId="0" borderId="13" xfId="0" applyNumberFormat="1" applyFont="1" applyBorder="1" applyAlignment="1" applyProtection="1">
      <alignment horizontal="center" vertical="center"/>
      <protection locked="0"/>
    </xf>
    <xf numFmtId="10" fontId="3" fillId="4" borderId="27" xfId="0" applyNumberFormat="1" applyFont="1" applyFill="1" applyBorder="1" applyAlignment="1" applyProtection="1">
      <alignment horizontal="center" vertical="center"/>
      <protection locked="0"/>
    </xf>
    <xf numFmtId="10" fontId="2" fillId="0" borderId="13" xfId="1" applyNumberFormat="1" applyFont="1" applyFill="1" applyBorder="1" applyAlignment="1" applyProtection="1">
      <alignment horizontal="center" vertical="center" wrapText="1"/>
      <protection locked="0"/>
    </xf>
    <xf numFmtId="0" fontId="12" fillId="4" borderId="0" xfId="0" applyFont="1" applyFill="1" applyBorder="1" applyAlignment="1" applyProtection="1">
      <alignment horizontal="centerContinuous" vertical="center"/>
      <protection locked="0"/>
    </xf>
    <xf numFmtId="168" fontId="16" fillId="4" borderId="13" xfId="17" applyFont="1" applyFill="1" applyBorder="1" applyAlignment="1" applyProtection="1">
      <alignment horizontal="center" vertical="center" wrapText="1"/>
      <protection locked="0"/>
    </xf>
    <xf numFmtId="168" fontId="16" fillId="4" borderId="14" xfId="17" applyFont="1" applyFill="1" applyBorder="1" applyAlignment="1" applyProtection="1">
      <alignment horizontal="center" vertical="center" wrapText="1"/>
      <protection locked="0"/>
    </xf>
    <xf numFmtId="0" fontId="0" fillId="0" borderId="12" xfId="0" applyBorder="1" applyAlignment="1">
      <alignment horizontal="center" vertical="center"/>
    </xf>
    <xf numFmtId="0" fontId="0" fillId="0" borderId="13" xfId="0" applyBorder="1" applyAlignment="1">
      <alignment vertical="center"/>
    </xf>
    <xf numFmtId="0" fontId="0" fillId="0" borderId="13" xfId="0" applyBorder="1" applyAlignment="1">
      <alignment horizontal="center" vertical="center"/>
    </xf>
    <xf numFmtId="172" fontId="0" fillId="0" borderId="13" xfId="0" applyNumberFormat="1" applyBorder="1" applyAlignment="1">
      <alignment horizontal="center" vertical="center"/>
    </xf>
    <xf numFmtId="172" fontId="0" fillId="0" borderId="14" xfId="0" applyNumberFormat="1" applyBorder="1" applyAlignment="1">
      <alignment horizontal="center" vertical="center"/>
    </xf>
    <xf numFmtId="0" fontId="0" fillId="0" borderId="0" xfId="0" applyAlignment="1">
      <alignment vertical="center"/>
    </xf>
    <xf numFmtId="2" fontId="0" fillId="0" borderId="13" xfId="0" applyNumberForma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vertical="center"/>
    </xf>
    <xf numFmtId="0" fontId="0" fillId="0" borderId="38" xfId="0" applyBorder="1" applyAlignment="1">
      <alignment horizontal="center" vertical="center"/>
    </xf>
    <xf numFmtId="172" fontId="0" fillId="0" borderId="38" xfId="0" applyNumberFormat="1" applyBorder="1" applyAlignment="1">
      <alignment horizontal="center" vertical="center"/>
    </xf>
    <xf numFmtId="172" fontId="0" fillId="0" borderId="39" xfId="0" applyNumberFormat="1" applyBorder="1" applyAlignment="1">
      <alignment horizontal="center" vertical="center"/>
    </xf>
    <xf numFmtId="0" fontId="32" fillId="2" borderId="40" xfId="0" applyFont="1" applyFill="1" applyBorder="1" applyAlignment="1">
      <alignment vertical="center"/>
    </xf>
    <xf numFmtId="0" fontId="0" fillId="2" borderId="41" xfId="0" applyFill="1" applyBorder="1" applyAlignment="1">
      <alignment vertical="center"/>
    </xf>
    <xf numFmtId="172" fontId="32" fillId="2" borderId="42" xfId="0" applyNumberFormat="1" applyFont="1" applyFill="1" applyBorder="1" applyAlignment="1">
      <alignment horizontal="center" vertical="center"/>
    </xf>
    <xf numFmtId="0" fontId="0" fillId="0" borderId="0" xfId="0" quotePrefix="1"/>
    <xf numFmtId="0" fontId="0" fillId="6" borderId="0" xfId="0" applyFill="1"/>
    <xf numFmtId="0" fontId="7" fillId="6" borderId="9" xfId="0" applyFont="1" applyFill="1" applyBorder="1" applyAlignment="1" applyProtection="1">
      <alignment horizontal="center" vertical="center"/>
      <protection locked="0"/>
    </xf>
    <xf numFmtId="3" fontId="3" fillId="0" borderId="21" xfId="2" applyNumberFormat="1" applyFont="1" applyBorder="1" applyAlignment="1">
      <alignment horizontal="center" vertical="center"/>
    </xf>
    <xf numFmtId="0" fontId="3" fillId="0" borderId="20" xfId="2" applyFont="1" applyBorder="1" applyAlignment="1">
      <alignment horizontal="center" vertical="center"/>
    </xf>
    <xf numFmtId="0" fontId="3" fillId="0" borderId="24" xfId="2" applyFont="1" applyBorder="1" applyAlignment="1">
      <alignment horizontal="center" vertical="center"/>
    </xf>
    <xf numFmtId="0" fontId="3" fillId="0" borderId="22" xfId="2" applyFont="1" applyBorder="1" applyAlignment="1">
      <alignment horizontal="center" vertical="center" wrapText="1"/>
    </xf>
    <xf numFmtId="0" fontId="3" fillId="0" borderId="0" xfId="2" applyFont="1" applyBorder="1" applyAlignment="1">
      <alignment horizontal="center" vertical="center" wrapText="1"/>
    </xf>
    <xf numFmtId="0" fontId="3" fillId="0" borderId="9" xfId="2" applyFont="1" applyBorder="1" applyAlignment="1">
      <alignment horizontal="center" vertical="center" wrapText="1"/>
    </xf>
    <xf numFmtId="3" fontId="3" fillId="0" borderId="20" xfId="2" applyNumberFormat="1" applyFont="1" applyBorder="1" applyAlignment="1">
      <alignment horizontal="center" vertical="center"/>
    </xf>
    <xf numFmtId="3" fontId="3" fillId="0" borderId="24" xfId="2" applyNumberFormat="1" applyFont="1" applyBorder="1" applyAlignment="1">
      <alignment horizontal="center" vertical="center"/>
    </xf>
    <xf numFmtId="0" fontId="3" fillId="3" borderId="22" xfId="2" applyFont="1" applyFill="1" applyBorder="1" applyAlignment="1">
      <alignment horizontal="center" vertical="center" wrapText="1"/>
    </xf>
    <xf numFmtId="0" fontId="3" fillId="3" borderId="0" xfId="2" applyFont="1" applyFill="1" applyBorder="1" applyAlignment="1">
      <alignment horizontal="center" vertical="center" wrapText="1"/>
    </xf>
    <xf numFmtId="0" fontId="3" fillId="3" borderId="9" xfId="2" applyFont="1" applyFill="1" applyBorder="1" applyAlignment="1">
      <alignment horizontal="center" vertical="center" wrapText="1"/>
    </xf>
    <xf numFmtId="0" fontId="3" fillId="0" borderId="22"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3" fillId="0" borderId="9" xfId="2" applyFont="1" applyFill="1" applyBorder="1" applyAlignment="1">
      <alignment horizontal="center" vertical="center" wrapText="1"/>
    </xf>
    <xf numFmtId="3" fontId="3" fillId="0" borderId="21" xfId="2" applyNumberFormat="1" applyFont="1" applyFill="1" applyBorder="1" applyAlignment="1">
      <alignment horizontal="center" vertical="center"/>
    </xf>
    <xf numFmtId="0" fontId="3" fillId="0" borderId="20" xfId="2" applyFont="1" applyFill="1" applyBorder="1" applyAlignment="1">
      <alignment horizontal="center" vertical="center"/>
    </xf>
    <xf numFmtId="0" fontId="3" fillId="0" borderId="24" xfId="2" applyFont="1" applyFill="1" applyBorder="1" applyAlignment="1">
      <alignment horizontal="center" vertical="center"/>
    </xf>
    <xf numFmtId="3" fontId="3" fillId="0" borderId="20" xfId="2" applyNumberFormat="1" applyFont="1" applyFill="1" applyBorder="1" applyAlignment="1">
      <alignment horizontal="center" vertical="center"/>
    </xf>
    <xf numFmtId="3" fontId="3" fillId="0" borderId="24" xfId="2" applyNumberFormat="1" applyFont="1" applyFill="1" applyBorder="1" applyAlignment="1">
      <alignment horizontal="center" vertical="center"/>
    </xf>
    <xf numFmtId="0" fontId="3" fillId="0" borderId="0" xfId="2" applyFont="1" applyAlignment="1">
      <alignment horizontal="center" vertical="center" wrapText="1"/>
    </xf>
    <xf numFmtId="0" fontId="3" fillId="0" borderId="0" xfId="2" applyFont="1" applyFill="1" applyAlignment="1">
      <alignment horizontal="center" vertical="center" wrapText="1"/>
    </xf>
    <xf numFmtId="3" fontId="3" fillId="0" borderId="21" xfId="2" applyNumberFormat="1" applyFont="1" applyBorder="1" applyAlignment="1">
      <alignment horizontal="center" vertical="center" wrapText="1"/>
    </xf>
    <xf numFmtId="0" fontId="3" fillId="0" borderId="20" xfId="2" applyFont="1" applyBorder="1" applyAlignment="1">
      <alignment horizontal="center" vertical="center" wrapText="1"/>
    </xf>
    <xf numFmtId="3" fontId="3" fillId="3" borderId="21" xfId="2" applyNumberFormat="1" applyFont="1" applyFill="1" applyBorder="1" applyAlignment="1">
      <alignment horizontal="center" vertical="center"/>
    </xf>
    <xf numFmtId="0" fontId="3" fillId="3" borderId="20" xfId="2" applyFont="1" applyFill="1" applyBorder="1" applyAlignment="1">
      <alignment horizontal="center" vertical="center"/>
    </xf>
    <xf numFmtId="0" fontId="3" fillId="3" borderId="24" xfId="2" applyFont="1" applyFill="1" applyBorder="1" applyAlignment="1">
      <alignment horizontal="center" vertical="center"/>
    </xf>
    <xf numFmtId="0" fontId="3" fillId="3" borderId="0" xfId="2" applyFont="1" applyFill="1" applyAlignment="1">
      <alignment horizontal="center" vertical="center" wrapText="1"/>
    </xf>
    <xf numFmtId="0" fontId="16" fillId="4" borderId="6" xfId="0" applyFont="1" applyFill="1" applyBorder="1" applyAlignment="1" applyProtection="1">
      <alignment horizontal="center" vertical="center" wrapText="1"/>
      <protection locked="0"/>
    </xf>
    <xf numFmtId="0" fontId="16" fillId="4" borderId="12" xfId="0" applyFont="1" applyFill="1" applyBorder="1" applyAlignment="1" applyProtection="1">
      <alignment horizontal="center" vertical="center" wrapText="1"/>
      <protection locked="0"/>
    </xf>
    <xf numFmtId="0" fontId="16" fillId="4" borderId="7" xfId="0" applyFont="1" applyFill="1" applyBorder="1" applyAlignment="1" applyProtection="1">
      <alignment horizontal="center" vertical="center" wrapText="1"/>
      <protection locked="0"/>
    </xf>
    <xf numFmtId="0" fontId="16" fillId="4" borderId="13" xfId="0" applyFont="1" applyFill="1" applyBorder="1" applyAlignment="1" applyProtection="1">
      <alignment horizontal="center" vertical="center" wrapText="1"/>
      <protection locked="0"/>
    </xf>
    <xf numFmtId="43" fontId="16" fillId="4" borderId="7" xfId="11" applyFont="1" applyFill="1" applyBorder="1" applyAlignment="1" applyProtection="1">
      <alignment horizontal="center" vertical="center" wrapText="1"/>
      <protection locked="0"/>
    </xf>
    <xf numFmtId="43" fontId="16" fillId="4" borderId="13" xfId="11" applyFont="1" applyFill="1" applyBorder="1" applyAlignment="1" applyProtection="1">
      <alignment horizontal="center" vertical="center" wrapText="1"/>
      <protection locked="0"/>
    </xf>
    <xf numFmtId="168" fontId="16" fillId="4" borderId="7" xfId="17" applyFont="1" applyFill="1" applyBorder="1" applyAlignment="1" applyProtection="1">
      <alignment horizontal="center" vertical="center" wrapText="1"/>
      <protection locked="0"/>
    </xf>
    <xf numFmtId="168" fontId="16" fillId="4" borderId="8" xfId="17" applyFont="1" applyFill="1" applyBorder="1" applyAlignment="1" applyProtection="1">
      <alignment horizontal="center" vertical="center" wrapText="1"/>
      <protection locked="0"/>
    </xf>
    <xf numFmtId="0" fontId="10" fillId="0" borderId="29" xfId="0" applyFont="1" applyBorder="1" applyAlignment="1" applyProtection="1">
      <alignment horizontal="center" vertical="center" wrapText="1"/>
    </xf>
    <xf numFmtId="0" fontId="10" fillId="0" borderId="30" xfId="0" applyFont="1" applyBorder="1" applyAlignment="1" applyProtection="1">
      <alignment horizontal="center" vertical="center" wrapText="1"/>
    </xf>
    <xf numFmtId="0" fontId="10" fillId="0" borderId="31" xfId="0" applyFont="1" applyBorder="1" applyAlignment="1" applyProtection="1">
      <alignment horizontal="center" vertical="center" wrapText="1"/>
    </xf>
    <xf numFmtId="0" fontId="15" fillId="0" borderId="0" xfId="0" applyFont="1" applyAlignment="1" applyProtection="1">
      <alignment horizontal="left"/>
    </xf>
  </cellXfs>
  <cellStyles count="55485">
    <cellStyle name="Cancel" xfId="72"/>
    <cellStyle name="Hiperlink" xfId="5" builtinId="8"/>
    <cellStyle name="Hiperlink 2" xfId="56"/>
    <cellStyle name="Moeda 10" xfId="4238"/>
    <cellStyle name="Moeda 10 2" xfId="30489"/>
    <cellStyle name="Moeda 11" xfId="29248"/>
    <cellStyle name="Moeda 11 2" xfId="55478"/>
    <cellStyle name="Moeda 12" xfId="29252"/>
    <cellStyle name="Moeda 12 2" xfId="55482"/>
    <cellStyle name="Moeda 13" xfId="29256"/>
    <cellStyle name="Moeda 14" xfId="29259"/>
    <cellStyle name="Moeda 2" xfId="4"/>
    <cellStyle name="Moeda 2 2" xfId="8"/>
    <cellStyle name="Moeda 2 2 10" xfId="29250"/>
    <cellStyle name="Moeda 2 2 10 2" xfId="55480"/>
    <cellStyle name="Moeda 2 2 11" xfId="29261"/>
    <cellStyle name="Moeda 2 2 2" xfId="24"/>
    <cellStyle name="Moeda 2 2 2 2" xfId="47"/>
    <cellStyle name="Moeda 2 2 2 2 2" xfId="29293"/>
    <cellStyle name="Moeda 2 2 2 3" xfId="29271"/>
    <cellStyle name="Moeda 2 2 3" xfId="31"/>
    <cellStyle name="Moeda 2 2 3 2" xfId="53"/>
    <cellStyle name="Moeda 2 2 3 2 2" xfId="29299"/>
    <cellStyle name="Moeda 2 2 3 3" xfId="29277"/>
    <cellStyle name="Moeda 2 2 4" xfId="36"/>
    <cellStyle name="Moeda 2 2 4 2" xfId="29282"/>
    <cellStyle name="Moeda 2 2 4 3 3 2" xfId="8031"/>
    <cellStyle name="Moeda 2 2 4 3 3 2 2" xfId="14420"/>
    <cellStyle name="Moeda 2 2 4 3 3 2 2 2" xfId="40662"/>
    <cellStyle name="Moeda 2 2 4 3 3 2 3" xfId="34276"/>
    <cellStyle name="Moeda 2 2 4 3 3 3" xfId="6330"/>
    <cellStyle name="Moeda 2 2 4 3 3 3 2" xfId="32575"/>
    <cellStyle name="Moeda 2 2 4 3 3 4" xfId="12719"/>
    <cellStyle name="Moeda 2 2 4 3 3 4 2" xfId="38961"/>
    <cellStyle name="Moeda 2 2 4 3 4" xfId="6114"/>
    <cellStyle name="Moeda 2 2 4 3 4 2" xfId="7814"/>
    <cellStyle name="Moeda 2 2 4 3 4 2 2" xfId="14203"/>
    <cellStyle name="Moeda 2 2 4 3 4 2 2 2" xfId="40445"/>
    <cellStyle name="Moeda 2 2 4 3 4 2 3" xfId="34059"/>
    <cellStyle name="Moeda 2 2 4 3 4 3" xfId="12502"/>
    <cellStyle name="Moeda 2 2 4 3 4 3 2" xfId="38744"/>
    <cellStyle name="Moeda 2 2 4 3 4 4" xfId="32359"/>
    <cellStyle name="Moeda 2 2 4 3 5" xfId="6439"/>
    <cellStyle name="Moeda 2 2 4 3 5 2" xfId="12828"/>
    <cellStyle name="Moeda 2 2 4 3 5 2 2" xfId="39070"/>
    <cellStyle name="Moeda 2 2 4 3 5 3" xfId="32684"/>
    <cellStyle name="Moeda 2 2 4 3 6" xfId="4736"/>
    <cellStyle name="Moeda 2 2 4 3 6 2" xfId="30985"/>
    <cellStyle name="Moeda 2 2 4 3 7" xfId="11127"/>
    <cellStyle name="Moeda 2 2 4 3 7 2" xfId="37369"/>
    <cellStyle name="Moeda 2 2 4 4" xfId="4345"/>
    <cellStyle name="Moeda 2 2 4 4 2" xfId="7746"/>
    <cellStyle name="Moeda 2 2 4 4 2 2" xfId="14135"/>
    <cellStyle name="Moeda 2 2 4 4 2 2 2" xfId="40377"/>
    <cellStyle name="Moeda 2 2 4 4 2 3" xfId="33991"/>
    <cellStyle name="Moeda 2 2 4 4 3" xfId="6046"/>
    <cellStyle name="Moeda 2 2 4 4 3 2" xfId="32291"/>
    <cellStyle name="Moeda 2 2 4 4 4" xfId="12434"/>
    <cellStyle name="Moeda 2 2 4 4 4 2" xfId="38676"/>
    <cellStyle name="Moeda 2 2 4 4 5" xfId="30594"/>
    <cellStyle name="Moeda 2 2 4 5" xfId="4453"/>
    <cellStyle name="Moeda 2 2 4 5 2" xfId="7855"/>
    <cellStyle name="Moeda 2 2 4 5 2 2" xfId="14244"/>
    <cellStyle name="Moeda 2 2 4 5 2 2 2" xfId="40486"/>
    <cellStyle name="Moeda 2 2 4 5 2 3" xfId="34100"/>
    <cellStyle name="Moeda 2 2 4 5 3" xfId="6155"/>
    <cellStyle name="Moeda 2 2 4 5 3 2" xfId="32400"/>
    <cellStyle name="Moeda 2 2 4 5 4" xfId="12543"/>
    <cellStyle name="Moeda 2 2 4 5 4 2" xfId="38785"/>
    <cellStyle name="Moeda 2 2 4 5 5" xfId="30702"/>
    <cellStyle name="Moeda 2 2 4 6" xfId="4561"/>
    <cellStyle name="Moeda 2 2 4 6 2" xfId="7963"/>
    <cellStyle name="Moeda 2 2 4 6 2 2" xfId="14352"/>
    <cellStyle name="Moeda 2 2 4 6 2 2 2" xfId="40594"/>
    <cellStyle name="Moeda 2 2 4 6 2 3" xfId="34208"/>
    <cellStyle name="Moeda 2 2 4 6 3" xfId="6262"/>
    <cellStyle name="Moeda 2 2 4 6 3 2" xfId="32507"/>
    <cellStyle name="Moeda 2 2 4 6 4" xfId="12651"/>
    <cellStyle name="Moeda 2 2 4 6 4 2" xfId="38893"/>
    <cellStyle name="Moeda 2 2 4 6 5" xfId="30810"/>
    <cellStyle name="Moeda 2 2 4 7" xfId="5969"/>
    <cellStyle name="Moeda 2 2 4 7 2" xfId="7669"/>
    <cellStyle name="Moeda 2 2 4 7 2 2" xfId="14058"/>
    <cellStyle name="Moeda 2 2 4 7 2 2 2" xfId="40300"/>
    <cellStyle name="Moeda 2 2 4 7 2 3" xfId="33914"/>
    <cellStyle name="Moeda 2 2 4 7 3" xfId="12357"/>
    <cellStyle name="Moeda 2 2 4 7 3 2" xfId="38599"/>
    <cellStyle name="Moeda 2 2 4 7 4" xfId="32214"/>
    <cellStyle name="Moeda 2 2 4 8" xfId="6371"/>
    <cellStyle name="Moeda 2 2 4 8 2" xfId="12760"/>
    <cellStyle name="Moeda 2 2 4 8 2 2" xfId="39002"/>
    <cellStyle name="Moeda 2 2 4 8 3" xfId="32616"/>
    <cellStyle name="Moeda 2 2 4 9" xfId="8063"/>
    <cellStyle name="Moeda 2 2 4 9 2" xfId="14452"/>
    <cellStyle name="Moeda 2 2 4 9 2 2" xfId="40694"/>
    <cellStyle name="Moeda 2 2 4 9 3" xfId="34308"/>
    <cellStyle name="Moeda 2 2 5" xfId="4253"/>
    <cellStyle name="Moeda 2 2 5 2" xfId="4329"/>
    <cellStyle name="Moeda 2 2 5 2 2" xfId="7730"/>
    <cellStyle name="Moeda 2 2 5 2 2 2" xfId="14119"/>
    <cellStyle name="Moeda 2 2 5 2 2 2 2" xfId="40361"/>
    <cellStyle name="Moeda 2 2 5 2 2 3" xfId="33975"/>
    <cellStyle name="Moeda 2 2 5 2 3" xfId="6030"/>
    <cellStyle name="Moeda 2 2 5 2 3 2" xfId="32275"/>
    <cellStyle name="Moeda 2 2 5 2 4" xfId="12418"/>
    <cellStyle name="Moeda 2 2 5 2 4 2" xfId="38660"/>
    <cellStyle name="Moeda 2 2 5 2 5" xfId="30578"/>
    <cellStyle name="Moeda 2 2 5 3" xfId="4437"/>
    <cellStyle name="Moeda 2 2 5 3 2" xfId="7839"/>
    <cellStyle name="Moeda 2 2 5 3 2 2" xfId="14228"/>
    <cellStyle name="Moeda 2 2 5 3 2 2 2" xfId="40470"/>
    <cellStyle name="Moeda 2 2 5 3 2 3" xfId="34084"/>
    <cellStyle name="Moeda 2 2 5 3 3" xfId="6139"/>
    <cellStyle name="Moeda 2 2 5 3 3 2" xfId="32384"/>
    <cellStyle name="Moeda 2 2 5 3 4" xfId="12527"/>
    <cellStyle name="Moeda 2 2 5 3 4 2" xfId="38769"/>
    <cellStyle name="Moeda 2 2 5 3 5" xfId="30686"/>
    <cellStyle name="Moeda 2 2 5 4" xfId="4545"/>
    <cellStyle name="Moeda 2 2 5 4 2" xfId="7947"/>
    <cellStyle name="Moeda 2 2 5 4 2 2" xfId="14336"/>
    <cellStyle name="Moeda 2 2 5 4 2 2 2" xfId="40578"/>
    <cellStyle name="Moeda 2 2 5 4 2 3" xfId="34192"/>
    <cellStyle name="Moeda 2 2 5 4 3" xfId="6246"/>
    <cellStyle name="Moeda 2 2 5 4 3 2" xfId="32491"/>
    <cellStyle name="Moeda 2 2 5 4 4" xfId="12635"/>
    <cellStyle name="Moeda 2 2 5 4 4 2" xfId="38877"/>
    <cellStyle name="Moeda 2 2 5 4 5" xfId="30794"/>
    <cellStyle name="Moeda 2 2 5 5" xfId="5954"/>
    <cellStyle name="Moeda 2 2 5 5 2" xfId="7653"/>
    <cellStyle name="Moeda 2 2 5 5 2 2" xfId="14042"/>
    <cellStyle name="Moeda 2 2 5 5 2 2 2" xfId="40284"/>
    <cellStyle name="Moeda 2 2 5 5 2 3" xfId="33898"/>
    <cellStyle name="Moeda 2 2 5 5 3" xfId="12341"/>
    <cellStyle name="Moeda 2 2 5 5 3 2" xfId="38583"/>
    <cellStyle name="Moeda 2 2 5 5 4" xfId="32199"/>
    <cellStyle name="Moeda 2 2 5 6" xfId="6355"/>
    <cellStyle name="Moeda 2 2 5 6 2" xfId="12744"/>
    <cellStyle name="Moeda 2 2 5 6 2 2" xfId="38986"/>
    <cellStyle name="Moeda 2 2 5 6 3" xfId="32600"/>
    <cellStyle name="Moeda 2 2 5 7" xfId="4653"/>
    <cellStyle name="Moeda 2 2 5 7 2" xfId="30902"/>
    <cellStyle name="Moeda 2 2 5 8" xfId="11044"/>
    <cellStyle name="Moeda 2 2 5 8 2" xfId="37286"/>
    <cellStyle name="Moeda 2 2 5 9" xfId="30502"/>
    <cellStyle name="Moeda 2 2 6" xfId="4288"/>
    <cellStyle name="Moeda 2 2 6 2" xfId="4365"/>
    <cellStyle name="Moeda 2 2 6 2 2" xfId="7766"/>
    <cellStyle name="Moeda 2 2 6 2 2 2" xfId="14155"/>
    <cellStyle name="Moeda 2 2 6 2 2 2 2" xfId="40397"/>
    <cellStyle name="Moeda 2 2 6 2 2 3" xfId="34011"/>
    <cellStyle name="Moeda 2 2 6 2 3" xfId="6066"/>
    <cellStyle name="Moeda 2 2 6 2 3 2" xfId="32311"/>
    <cellStyle name="Moeda 2 2 6 2 4" xfId="12454"/>
    <cellStyle name="Moeda 2 2 6 2 4 2" xfId="38696"/>
    <cellStyle name="Moeda 2 2 6 2 5" xfId="30614"/>
    <cellStyle name="Moeda 2 2 6 3" xfId="4473"/>
    <cellStyle name="Moeda 2 2 6 3 2" xfId="7875"/>
    <cellStyle name="Moeda 2 2 6 3 2 2" xfId="14264"/>
    <cellStyle name="Moeda 2 2 6 3 2 2 2" xfId="40506"/>
    <cellStyle name="Moeda 2 2 6 3 2 3" xfId="34120"/>
    <cellStyle name="Moeda 2 2 6 3 3" xfId="6175"/>
    <cellStyle name="Moeda 2 2 6 3 3 2" xfId="32420"/>
    <cellStyle name="Moeda 2 2 6 3 4" xfId="12563"/>
    <cellStyle name="Moeda 2 2 6 3 4 2" xfId="38805"/>
    <cellStyle name="Moeda 2 2 6 3 5" xfId="30722"/>
    <cellStyle name="Moeda 2 2 6 4" xfId="4581"/>
    <cellStyle name="Moeda 2 2 6 4 2" xfId="7983"/>
    <cellStyle name="Moeda 2 2 6 4 2 2" xfId="14372"/>
    <cellStyle name="Moeda 2 2 6 4 2 2 2" xfId="40614"/>
    <cellStyle name="Moeda 2 2 6 4 2 3" xfId="34228"/>
    <cellStyle name="Moeda 2 2 6 4 3" xfId="6282"/>
    <cellStyle name="Moeda 2 2 6 4 3 2" xfId="32527"/>
    <cellStyle name="Moeda 2 2 6 4 4" xfId="12671"/>
    <cellStyle name="Moeda 2 2 6 4 4 2" xfId="38913"/>
    <cellStyle name="Moeda 2 2 6 4 5" xfId="30830"/>
    <cellStyle name="Moeda 2 2 6 5" xfId="5989"/>
    <cellStyle name="Moeda 2 2 6 5 2" xfId="7689"/>
    <cellStyle name="Moeda 2 2 6 5 2 2" xfId="14078"/>
    <cellStyle name="Moeda 2 2 6 5 2 2 2" xfId="40320"/>
    <cellStyle name="Moeda 2 2 6 5 2 3" xfId="33934"/>
    <cellStyle name="Moeda 2 2 6 5 3" xfId="12377"/>
    <cellStyle name="Moeda 2 2 6 5 3 2" xfId="38619"/>
    <cellStyle name="Moeda 2 2 6 5 4" xfId="32234"/>
    <cellStyle name="Moeda 2 2 6 6" xfId="6391"/>
    <cellStyle name="Moeda 2 2 6 6 2" xfId="12780"/>
    <cellStyle name="Moeda 2 2 6 6 2 2" xfId="39022"/>
    <cellStyle name="Moeda 2 2 6 6 3" xfId="32636"/>
    <cellStyle name="Moeda 2 2 6 7" xfId="4688"/>
    <cellStyle name="Moeda 2 2 6 7 2" xfId="30937"/>
    <cellStyle name="Moeda 2 2 6 8" xfId="11079"/>
    <cellStyle name="Moeda 2 2 6 8 2" xfId="37321"/>
    <cellStyle name="Moeda 2 2 6 9" xfId="30537"/>
    <cellStyle name="Moeda 2 2 7" xfId="4397"/>
    <cellStyle name="Moeda 2 2 7 2" xfId="4505"/>
    <cellStyle name="Moeda 2 2 7 2 2" xfId="7907"/>
    <cellStyle name="Moeda 2 2 7 2 2 2" xfId="14296"/>
    <cellStyle name="Moeda 2 2 7 2 2 2 2" xfId="40538"/>
    <cellStyle name="Moeda 2 2 7 2 2 3" xfId="34152"/>
    <cellStyle name="Moeda 2 2 7 2 3" xfId="6206"/>
    <cellStyle name="Moeda 2 2 7 2 3 2" xfId="32451"/>
    <cellStyle name="Moeda 2 2 7 2 4" xfId="12595"/>
    <cellStyle name="Moeda 2 2 7 2 4 2" xfId="38837"/>
    <cellStyle name="Moeda 2 2 7 2 5" xfId="30754"/>
    <cellStyle name="Moeda 2 2 7 3" xfId="4613"/>
    <cellStyle name="Moeda 2 2 7 3 2" xfId="8015"/>
    <cellStyle name="Moeda 2 2 7 3 2 2" xfId="14404"/>
    <cellStyle name="Moeda 2 2 7 3 2 2 2" xfId="40646"/>
    <cellStyle name="Moeda 2 2 7 3 2 3" xfId="34260"/>
    <cellStyle name="Moeda 2 2 7 3 3" xfId="6314"/>
    <cellStyle name="Moeda 2 2 7 3 3 2" xfId="32559"/>
    <cellStyle name="Moeda 2 2 7 3 4" xfId="12703"/>
    <cellStyle name="Moeda 2 2 7 3 4 2" xfId="38945"/>
    <cellStyle name="Moeda 2 2 7 3 5" xfId="30862"/>
    <cellStyle name="Moeda 2 2 7 4" xfId="6098"/>
    <cellStyle name="Moeda 2 2 7 4 2" xfId="7798"/>
    <cellStyle name="Moeda 2 2 7 4 2 2" xfId="14187"/>
    <cellStyle name="Moeda 2 2 7 4 2 2 2" xfId="40429"/>
    <cellStyle name="Moeda 2 2 7 4 2 3" xfId="34043"/>
    <cellStyle name="Moeda 2 2 7 4 3" xfId="12486"/>
    <cellStyle name="Moeda 2 2 7 4 3 2" xfId="38728"/>
    <cellStyle name="Moeda 2 2 7 4 4" xfId="32343"/>
    <cellStyle name="Moeda 2 2 7 5" xfId="6423"/>
    <cellStyle name="Moeda 2 2 7 5 2" xfId="12812"/>
    <cellStyle name="Moeda 2 2 7 5 2 2" xfId="39054"/>
    <cellStyle name="Moeda 2 2 7 5 3" xfId="32668"/>
    <cellStyle name="Moeda 2 2 7 6" xfId="4720"/>
    <cellStyle name="Moeda 2 2 7 6 2" xfId="30969"/>
    <cellStyle name="Moeda 2 2 7 7" xfId="11111"/>
    <cellStyle name="Moeda 2 2 7 7 2" xfId="37353"/>
    <cellStyle name="Moeda 2 2 7 8" xfId="30646"/>
    <cellStyle name="Moeda 2 2 8" xfId="4809"/>
    <cellStyle name="Moeda 2 2 8 2" xfId="6510"/>
    <cellStyle name="Moeda 2 2 8 2 2" xfId="12899"/>
    <cellStyle name="Moeda 2 2 8 2 2 2" xfId="39141"/>
    <cellStyle name="Moeda 2 2 8 2 3" xfId="32755"/>
    <cellStyle name="Moeda 2 2 8 3" xfId="11198"/>
    <cellStyle name="Moeda 2 2 8 3 2" xfId="37440"/>
    <cellStyle name="Moeda 2 2 8 4" xfId="31056"/>
    <cellStyle name="Moeda 2 2 9" xfId="8047"/>
    <cellStyle name="Moeda 2 2 9 2" xfId="14436"/>
    <cellStyle name="Moeda 2 2 9 2 2" xfId="40678"/>
    <cellStyle name="Moeda 2 2 9 3" xfId="34292"/>
    <cellStyle name="Moeda 2 3" xfId="6"/>
    <cellStyle name="Moeda 2 3 10" xfId="4643"/>
    <cellStyle name="Moeda 2 3 10 2" xfId="30892"/>
    <cellStyle name="Moeda 2 3 11" xfId="11034"/>
    <cellStyle name="Moeda 2 3 11 2" xfId="37276"/>
    <cellStyle name="Moeda 2 3 12" xfId="346"/>
    <cellStyle name="Moeda 2 3 12 2" xfId="29389"/>
    <cellStyle name="Moeda 2 3 13" xfId="29253"/>
    <cellStyle name="Moeda 2 3 13 2" xfId="55483"/>
    <cellStyle name="Moeda 2 3 14" xfId="29260"/>
    <cellStyle name="Moeda 2 3 2" xfId="30"/>
    <cellStyle name="Moeda 2 3 2 10" xfId="2043"/>
    <cellStyle name="Moeda 2 3 2 10 2" xfId="29877"/>
    <cellStyle name="Moeda 2 3 2 11" xfId="29276"/>
    <cellStyle name="Moeda 2 3 2 2" xfId="52"/>
    <cellStyle name="Moeda 2 3 2 2 2" xfId="7684"/>
    <cellStyle name="Moeda 2 3 2 2 2 2" xfId="14073"/>
    <cellStyle name="Moeda 2 3 2 2 2 2 2" xfId="40315"/>
    <cellStyle name="Moeda 2 3 2 2 2 3" xfId="33929"/>
    <cellStyle name="Moeda 2 3 2 2 3" xfId="5984"/>
    <cellStyle name="Moeda 2 3 2 2 3 2" xfId="32229"/>
    <cellStyle name="Moeda 2 3 2 2 4" xfId="12372"/>
    <cellStyle name="Moeda 2 3 2 2 4 2" xfId="38614"/>
    <cellStyle name="Moeda 2 3 2 2 5" xfId="4283"/>
    <cellStyle name="Moeda 2 3 2 2 5 2" xfId="30532"/>
    <cellStyle name="Moeda 2 3 2 2 6" xfId="29298"/>
    <cellStyle name="Moeda 2 3 2 3" xfId="4360"/>
    <cellStyle name="Moeda 2 3 2 3 2" xfId="7761"/>
    <cellStyle name="Moeda 2 3 2 3 2 2" xfId="14150"/>
    <cellStyle name="Moeda 2 3 2 3 2 2 2" xfId="40392"/>
    <cellStyle name="Moeda 2 3 2 3 2 3" xfId="34006"/>
    <cellStyle name="Moeda 2 3 2 3 3" xfId="6061"/>
    <cellStyle name="Moeda 2 3 2 3 3 2" xfId="32306"/>
    <cellStyle name="Moeda 2 3 2 3 4" xfId="12449"/>
    <cellStyle name="Moeda 2 3 2 3 4 2" xfId="38691"/>
    <cellStyle name="Moeda 2 3 2 3 5" xfId="30609"/>
    <cellStyle name="Moeda 2 3 2 4" xfId="4468"/>
    <cellStyle name="Moeda 2 3 2 4 2" xfId="7870"/>
    <cellStyle name="Moeda 2 3 2 4 2 2" xfId="14259"/>
    <cellStyle name="Moeda 2 3 2 4 2 2 2" xfId="40501"/>
    <cellStyle name="Moeda 2 3 2 4 2 3" xfId="34115"/>
    <cellStyle name="Moeda 2 3 2 4 3" xfId="6170"/>
    <cellStyle name="Moeda 2 3 2 4 3 2" xfId="32415"/>
    <cellStyle name="Moeda 2 3 2 4 4" xfId="12558"/>
    <cellStyle name="Moeda 2 3 2 4 4 2" xfId="38800"/>
    <cellStyle name="Moeda 2 3 2 4 5" xfId="30717"/>
    <cellStyle name="Moeda 2 3 2 5" xfId="4576"/>
    <cellStyle name="Moeda 2 3 2 5 2" xfId="7978"/>
    <cellStyle name="Moeda 2 3 2 5 2 2" xfId="14367"/>
    <cellStyle name="Moeda 2 3 2 5 2 2 2" xfId="40609"/>
    <cellStyle name="Moeda 2 3 2 5 2 3" xfId="34223"/>
    <cellStyle name="Moeda 2 3 2 5 3" xfId="6277"/>
    <cellStyle name="Moeda 2 3 2 5 3 2" xfId="32522"/>
    <cellStyle name="Moeda 2 3 2 5 4" xfId="12666"/>
    <cellStyle name="Moeda 2 3 2 5 4 2" xfId="38908"/>
    <cellStyle name="Moeda 2 3 2 5 5" xfId="30825"/>
    <cellStyle name="Moeda 2 3 2 6" xfId="5330"/>
    <cellStyle name="Moeda 2 3 2 6 2" xfId="7029"/>
    <cellStyle name="Moeda 2 3 2 6 2 2" xfId="13418"/>
    <cellStyle name="Moeda 2 3 2 6 2 2 2" xfId="39660"/>
    <cellStyle name="Moeda 2 3 2 6 2 3" xfId="33274"/>
    <cellStyle name="Moeda 2 3 2 6 3" xfId="11717"/>
    <cellStyle name="Moeda 2 3 2 6 3 2" xfId="37959"/>
    <cellStyle name="Moeda 2 3 2 6 4" xfId="31575"/>
    <cellStyle name="Moeda 2 3 2 7" xfId="6386"/>
    <cellStyle name="Moeda 2 3 2 7 2" xfId="12775"/>
    <cellStyle name="Moeda 2 3 2 7 2 2" xfId="39017"/>
    <cellStyle name="Moeda 2 3 2 7 3" xfId="32631"/>
    <cellStyle name="Moeda 2 3 2 8" xfId="4683"/>
    <cellStyle name="Moeda 2 3 2 8 2" xfId="30932"/>
    <cellStyle name="Moeda 2 3 2 9" xfId="11074"/>
    <cellStyle name="Moeda 2 3 2 9 2" xfId="37316"/>
    <cellStyle name="Moeda 2 3 3" xfId="35"/>
    <cellStyle name="Moeda 2 3 3 10" xfId="29281"/>
    <cellStyle name="Moeda 2 3 3 2" xfId="4323"/>
    <cellStyle name="Moeda 2 3 3 2 2" xfId="7724"/>
    <cellStyle name="Moeda 2 3 3 2 2 2" xfId="14113"/>
    <cellStyle name="Moeda 2 3 3 2 2 2 2" xfId="40355"/>
    <cellStyle name="Moeda 2 3 3 2 2 3" xfId="33969"/>
    <cellStyle name="Moeda 2 3 3 2 3" xfId="6024"/>
    <cellStyle name="Moeda 2 3 3 2 3 2" xfId="32269"/>
    <cellStyle name="Moeda 2 3 3 2 4" xfId="12412"/>
    <cellStyle name="Moeda 2 3 3 2 4 2" xfId="38654"/>
    <cellStyle name="Moeda 2 3 3 2 5" xfId="30572"/>
    <cellStyle name="Moeda 2 3 3 3" xfId="4431"/>
    <cellStyle name="Moeda 2 3 3 3 2" xfId="7833"/>
    <cellStyle name="Moeda 2 3 3 3 2 2" xfId="14222"/>
    <cellStyle name="Moeda 2 3 3 3 2 2 2" xfId="40464"/>
    <cellStyle name="Moeda 2 3 3 3 2 3" xfId="34078"/>
    <cellStyle name="Moeda 2 3 3 3 3" xfId="6133"/>
    <cellStyle name="Moeda 2 3 3 3 3 2" xfId="32378"/>
    <cellStyle name="Moeda 2 3 3 3 4" xfId="12521"/>
    <cellStyle name="Moeda 2 3 3 3 4 2" xfId="38763"/>
    <cellStyle name="Moeda 2 3 3 3 5" xfId="30680"/>
    <cellStyle name="Moeda 2 3 3 4" xfId="4539"/>
    <cellStyle name="Moeda 2 3 3 4 2" xfId="7941"/>
    <cellStyle name="Moeda 2 3 3 4 2 2" xfId="14330"/>
    <cellStyle name="Moeda 2 3 3 4 2 2 2" xfId="40572"/>
    <cellStyle name="Moeda 2 3 3 4 2 3" xfId="34186"/>
    <cellStyle name="Moeda 2 3 3 4 3" xfId="6240"/>
    <cellStyle name="Moeda 2 3 3 4 3 2" xfId="32485"/>
    <cellStyle name="Moeda 2 3 3 4 4" xfId="12629"/>
    <cellStyle name="Moeda 2 3 3 4 4 2" xfId="38871"/>
    <cellStyle name="Moeda 2 3 3 4 5" xfId="30788"/>
    <cellStyle name="Moeda 2 3 3 5" xfId="5948"/>
    <cellStyle name="Moeda 2 3 3 5 2" xfId="7647"/>
    <cellStyle name="Moeda 2 3 3 5 2 2" xfId="14036"/>
    <cellStyle name="Moeda 2 3 3 5 2 2 2" xfId="40278"/>
    <cellStyle name="Moeda 2 3 3 5 2 3" xfId="33892"/>
    <cellStyle name="Moeda 2 3 3 5 3" xfId="12335"/>
    <cellStyle name="Moeda 2 3 3 5 3 2" xfId="38577"/>
    <cellStyle name="Moeda 2 3 3 5 4" xfId="32193"/>
    <cellStyle name="Moeda 2 3 3 6" xfId="6349"/>
    <cellStyle name="Moeda 2 3 3 6 2" xfId="12738"/>
    <cellStyle name="Moeda 2 3 3 6 2 2" xfId="38980"/>
    <cellStyle name="Moeda 2 3 3 6 3" xfId="32594"/>
    <cellStyle name="Moeda 2 3 3 7" xfId="4647"/>
    <cellStyle name="Moeda 2 3 3 7 2" xfId="30896"/>
    <cellStyle name="Moeda 2 3 3 8" xfId="11038"/>
    <cellStyle name="Moeda 2 3 3 8 2" xfId="37280"/>
    <cellStyle name="Moeda 2 3 3 9" xfId="4247"/>
    <cellStyle name="Moeda 2 3 3 9 2" xfId="30496"/>
    <cellStyle name="Moeda 2 3 4" xfId="4241"/>
    <cellStyle name="Moeda 2 3 4 2" xfId="7643"/>
    <cellStyle name="Moeda 2 3 4 2 2" xfId="14032"/>
    <cellStyle name="Moeda 2 3 4 2 2 2" xfId="40274"/>
    <cellStyle name="Moeda 2 3 4 2 3" xfId="33888"/>
    <cellStyle name="Moeda 2 3 4 3" xfId="5944"/>
    <cellStyle name="Moeda 2 3 4 3 2" xfId="32189"/>
    <cellStyle name="Moeda 2 3 4 4" xfId="12331"/>
    <cellStyle name="Moeda 2 3 4 4 2" xfId="38573"/>
    <cellStyle name="Moeda 2 3 4 5" xfId="30492"/>
    <cellStyle name="Moeda 2 3 5" xfId="4319"/>
    <cellStyle name="Moeda 2 3 5 2" xfId="7720"/>
    <cellStyle name="Moeda 2 3 5 2 2" xfId="14109"/>
    <cellStyle name="Moeda 2 3 5 2 2 2" xfId="40351"/>
    <cellStyle name="Moeda 2 3 5 2 3" xfId="33965"/>
    <cellStyle name="Moeda 2 3 5 3" xfId="6020"/>
    <cellStyle name="Moeda 2 3 5 3 2" xfId="32265"/>
    <cellStyle name="Moeda 2 3 5 4" xfId="12408"/>
    <cellStyle name="Moeda 2 3 5 4 2" xfId="38650"/>
    <cellStyle name="Moeda 2 3 5 5" xfId="30568"/>
    <cellStyle name="Moeda 2 3 6" xfId="4427"/>
    <cellStyle name="Moeda 2 3 6 2" xfId="7829"/>
    <cellStyle name="Moeda 2 3 6 2 2" xfId="14218"/>
    <cellStyle name="Moeda 2 3 6 2 2 2" xfId="40460"/>
    <cellStyle name="Moeda 2 3 6 2 3" xfId="34074"/>
    <cellStyle name="Moeda 2 3 6 3" xfId="6129"/>
    <cellStyle name="Moeda 2 3 6 3 2" xfId="32374"/>
    <cellStyle name="Moeda 2 3 6 4" xfId="12517"/>
    <cellStyle name="Moeda 2 3 6 4 2" xfId="38759"/>
    <cellStyle name="Moeda 2 3 6 5" xfId="30676"/>
    <cellStyle name="Moeda 2 3 7" xfId="4535"/>
    <cellStyle name="Moeda 2 3 7 2" xfId="7937"/>
    <cellStyle name="Moeda 2 3 7 2 2" xfId="14326"/>
    <cellStyle name="Moeda 2 3 7 2 2 2" xfId="40568"/>
    <cellStyle name="Moeda 2 3 7 2 3" xfId="34182"/>
    <cellStyle name="Moeda 2 3 7 3" xfId="6236"/>
    <cellStyle name="Moeda 2 3 7 3 2" xfId="32481"/>
    <cellStyle name="Moeda 2 3 7 4" xfId="12625"/>
    <cellStyle name="Moeda 2 3 7 4 2" xfId="38867"/>
    <cellStyle name="Moeda 2 3 7 5" xfId="30784"/>
    <cellStyle name="Moeda 2 3 8" xfId="4840"/>
    <cellStyle name="Moeda 2 3 8 2" xfId="6541"/>
    <cellStyle name="Moeda 2 3 8 2 2" xfId="12930"/>
    <cellStyle name="Moeda 2 3 8 2 2 2" xfId="39172"/>
    <cellStyle name="Moeda 2 3 8 2 3" xfId="32786"/>
    <cellStyle name="Moeda 2 3 8 3" xfId="11229"/>
    <cellStyle name="Moeda 2 3 8 3 2" xfId="37471"/>
    <cellStyle name="Moeda 2 3 8 4" xfId="31087"/>
    <cellStyle name="Moeda 2 3 9" xfId="6345"/>
    <cellStyle name="Moeda 2 3 9 2" xfId="12734"/>
    <cellStyle name="Moeda 2 3 9 2 2" xfId="38976"/>
    <cellStyle name="Moeda 2 3 9 3" xfId="32590"/>
    <cellStyle name="Moeda 2 4" xfId="21"/>
    <cellStyle name="Moeda 2 4 2" xfId="44"/>
    <cellStyle name="Moeda 2 4 2 2" xfId="26522"/>
    <cellStyle name="Moeda 2 4 2 3" xfId="20608"/>
    <cellStyle name="Moeda 2 4 2 4" xfId="8308"/>
    <cellStyle name="Moeda 2 4 2 5" xfId="29290"/>
    <cellStyle name="Moeda 2 4 3" xfId="23565"/>
    <cellStyle name="Moeda 2 4 4" xfId="17651"/>
    <cellStyle name="Moeda 2 4 5" xfId="694"/>
    <cellStyle name="Moeda 2 4 6" xfId="29268"/>
    <cellStyle name="Moeda 2 5" xfId="9"/>
    <cellStyle name="Moeda 2 5 2" xfId="12"/>
    <cellStyle name="Moeda 2 5 3" xfId="15"/>
    <cellStyle name="Moeda 2 5 4" xfId="26"/>
    <cellStyle name="Moeda 2 6" xfId="29247"/>
    <cellStyle name="Moeda 2 6 2" xfId="55477"/>
    <cellStyle name="Moeda 3" xfId="19"/>
    <cellStyle name="Moeda 3 10" xfId="4320"/>
    <cellStyle name="Moeda 3 10 2" xfId="7721"/>
    <cellStyle name="Moeda 3 10 2 2" xfId="14110"/>
    <cellStyle name="Moeda 3 10 2 2 2" xfId="40352"/>
    <cellStyle name="Moeda 3 10 2 3" xfId="33966"/>
    <cellStyle name="Moeda 3 10 3" xfId="6021"/>
    <cellStyle name="Moeda 3 10 3 2" xfId="32266"/>
    <cellStyle name="Moeda 3 10 4" xfId="12409"/>
    <cellStyle name="Moeda 3 10 4 2" xfId="38651"/>
    <cellStyle name="Moeda 3 10 5" xfId="30569"/>
    <cellStyle name="Moeda 3 11" xfId="4428"/>
    <cellStyle name="Moeda 3 11 2" xfId="7830"/>
    <cellStyle name="Moeda 3 11 2 2" xfId="14219"/>
    <cellStyle name="Moeda 3 11 2 2 2" xfId="40461"/>
    <cellStyle name="Moeda 3 11 2 3" xfId="34075"/>
    <cellStyle name="Moeda 3 11 3" xfId="6130"/>
    <cellStyle name="Moeda 3 11 3 2" xfId="32375"/>
    <cellStyle name="Moeda 3 11 4" xfId="12518"/>
    <cellStyle name="Moeda 3 11 4 2" xfId="38760"/>
    <cellStyle name="Moeda 3 11 5" xfId="30677"/>
    <cellStyle name="Moeda 3 12" xfId="4536"/>
    <cellStyle name="Moeda 3 12 2" xfId="7938"/>
    <cellStyle name="Moeda 3 12 2 2" xfId="14327"/>
    <cellStyle name="Moeda 3 12 2 2 2" xfId="40569"/>
    <cellStyle name="Moeda 3 12 2 3" xfId="34183"/>
    <cellStyle name="Moeda 3 12 3" xfId="6237"/>
    <cellStyle name="Moeda 3 12 3 2" xfId="32482"/>
    <cellStyle name="Moeda 3 12 4" xfId="12626"/>
    <cellStyle name="Moeda 3 12 4 2" xfId="38868"/>
    <cellStyle name="Moeda 3 12 5" xfId="30785"/>
    <cellStyle name="Moeda 3 13" xfId="4780"/>
    <cellStyle name="Moeda 3 13 2" xfId="6481"/>
    <cellStyle name="Moeda 3 13 2 2" xfId="12870"/>
    <cellStyle name="Moeda 3 13 2 2 2" xfId="39112"/>
    <cellStyle name="Moeda 3 13 2 3" xfId="32726"/>
    <cellStyle name="Moeda 3 13 3" xfId="11169"/>
    <cellStyle name="Moeda 3 13 3 2" xfId="37411"/>
    <cellStyle name="Moeda 3 13 4" xfId="31027"/>
    <cellStyle name="Moeda 3 14" xfId="6346"/>
    <cellStyle name="Moeda 3 14 2" xfId="12735"/>
    <cellStyle name="Moeda 3 14 2 2" xfId="38977"/>
    <cellStyle name="Moeda 3 14 3" xfId="32591"/>
    <cellStyle name="Moeda 3 15" xfId="8048"/>
    <cellStyle name="Moeda 3 15 2" xfId="14437"/>
    <cellStyle name="Moeda 3 15 2 2" xfId="40679"/>
    <cellStyle name="Moeda 3 15 3" xfId="34293"/>
    <cellStyle name="Moeda 3 16" xfId="4644"/>
    <cellStyle name="Moeda 3 16 2" xfId="30893"/>
    <cellStyle name="Moeda 3 17" xfId="11035"/>
    <cellStyle name="Moeda 3 17 2" xfId="37277"/>
    <cellStyle name="Moeda 3 18" xfId="159"/>
    <cellStyle name="Moeda 3 18 2" xfId="29330"/>
    <cellStyle name="Moeda 3 19" xfId="29249"/>
    <cellStyle name="Moeda 3 19 2" xfId="55479"/>
    <cellStyle name="Moeda 3 2" xfId="23"/>
    <cellStyle name="Moeda 3 2 10" xfId="8053"/>
    <cellStyle name="Moeda 3 2 10 2" xfId="14442"/>
    <cellStyle name="Moeda 3 2 10 2 2" xfId="40684"/>
    <cellStyle name="Moeda 3 2 10 3" xfId="34298"/>
    <cellStyle name="Moeda 3 2 11" xfId="4659"/>
    <cellStyle name="Moeda 3 2 11 2" xfId="30908"/>
    <cellStyle name="Moeda 3 2 12" xfId="11050"/>
    <cellStyle name="Moeda 3 2 12 2" xfId="37292"/>
    <cellStyle name="Moeda 3 2 13" xfId="252"/>
    <cellStyle name="Moeda 3 2 13 2" xfId="29360"/>
    <cellStyle name="Moeda 3 2 14" xfId="29270"/>
    <cellStyle name="Moeda 3 2 2" xfId="46"/>
    <cellStyle name="Moeda 3 2 2 10" xfId="4674"/>
    <cellStyle name="Moeda 3 2 2 10 2" xfId="30923"/>
    <cellStyle name="Moeda 3 2 2 11" xfId="11065"/>
    <cellStyle name="Moeda 3 2 2 11 2" xfId="37307"/>
    <cellStyle name="Moeda 3 2 2 12" xfId="2045"/>
    <cellStyle name="Moeda 3 2 2 12 2" xfId="29879"/>
    <cellStyle name="Moeda 3 2 2 13" xfId="29292"/>
    <cellStyle name="Moeda 3 2 2 2" xfId="4309"/>
    <cellStyle name="Moeda 3 2 2 2 2" xfId="4386"/>
    <cellStyle name="Moeda 3 2 2 2 2 2" xfId="7787"/>
    <cellStyle name="Moeda 3 2 2 2 2 2 2" xfId="14176"/>
    <cellStyle name="Moeda 3 2 2 2 2 2 2 2" xfId="40418"/>
    <cellStyle name="Moeda 3 2 2 2 2 2 3" xfId="34032"/>
    <cellStyle name="Moeda 3 2 2 2 2 3" xfId="6087"/>
    <cellStyle name="Moeda 3 2 2 2 2 3 2" xfId="32332"/>
    <cellStyle name="Moeda 3 2 2 2 2 4" xfId="12475"/>
    <cellStyle name="Moeda 3 2 2 2 2 4 2" xfId="38717"/>
    <cellStyle name="Moeda 3 2 2 2 2 5" xfId="30635"/>
    <cellStyle name="Moeda 3 2 2 2 3" xfId="4494"/>
    <cellStyle name="Moeda 3 2 2 2 3 2" xfId="7896"/>
    <cellStyle name="Moeda 3 2 2 2 3 2 2" xfId="14285"/>
    <cellStyle name="Moeda 3 2 2 2 3 2 2 2" xfId="40527"/>
    <cellStyle name="Moeda 3 2 2 2 3 2 3" xfId="34141"/>
    <cellStyle name="Moeda 3 2 2 2 3 3" xfId="6196"/>
    <cellStyle name="Moeda 3 2 2 2 3 3 2" xfId="32441"/>
    <cellStyle name="Moeda 3 2 2 2 3 4" xfId="12584"/>
    <cellStyle name="Moeda 3 2 2 2 3 4 2" xfId="38826"/>
    <cellStyle name="Moeda 3 2 2 2 3 5" xfId="30743"/>
    <cellStyle name="Moeda 3 2 2 2 4" xfId="4602"/>
    <cellStyle name="Moeda 3 2 2 2 4 2" xfId="8004"/>
    <cellStyle name="Moeda 3 2 2 2 4 2 2" xfId="14393"/>
    <cellStyle name="Moeda 3 2 2 2 4 2 2 2" xfId="40635"/>
    <cellStyle name="Moeda 3 2 2 2 4 2 3" xfId="34249"/>
    <cellStyle name="Moeda 3 2 2 2 4 3" xfId="6303"/>
    <cellStyle name="Moeda 3 2 2 2 4 3 2" xfId="32548"/>
    <cellStyle name="Moeda 3 2 2 2 4 4" xfId="12692"/>
    <cellStyle name="Moeda 3 2 2 2 4 4 2" xfId="38934"/>
    <cellStyle name="Moeda 3 2 2 2 4 5" xfId="30851"/>
    <cellStyle name="Moeda 3 2 2 2 5" xfId="6010"/>
    <cellStyle name="Moeda 3 2 2 2 5 2" xfId="7710"/>
    <cellStyle name="Moeda 3 2 2 2 5 2 2" xfId="14099"/>
    <cellStyle name="Moeda 3 2 2 2 5 2 2 2" xfId="40341"/>
    <cellStyle name="Moeda 3 2 2 2 5 2 3" xfId="33955"/>
    <cellStyle name="Moeda 3 2 2 2 5 3" xfId="12398"/>
    <cellStyle name="Moeda 3 2 2 2 5 3 2" xfId="38640"/>
    <cellStyle name="Moeda 3 2 2 2 5 4" xfId="32255"/>
    <cellStyle name="Moeda 3 2 2 2 6" xfId="6412"/>
    <cellStyle name="Moeda 3 2 2 2 6 2" xfId="12801"/>
    <cellStyle name="Moeda 3 2 2 2 6 2 2" xfId="39043"/>
    <cellStyle name="Moeda 3 2 2 2 6 3" xfId="32657"/>
    <cellStyle name="Moeda 3 2 2 2 7" xfId="4709"/>
    <cellStyle name="Moeda 3 2 2 2 7 2" xfId="30958"/>
    <cellStyle name="Moeda 3 2 2 2 8" xfId="11100"/>
    <cellStyle name="Moeda 3 2 2 2 8 2" xfId="37342"/>
    <cellStyle name="Moeda 3 2 2 2 9" xfId="30558"/>
    <cellStyle name="Moeda 3 2 2 3" xfId="4274"/>
    <cellStyle name="Moeda 3 2 2 3 2" xfId="4418"/>
    <cellStyle name="Moeda 3 2 2 3 2 2" xfId="7820"/>
    <cellStyle name="Moeda 3 2 2 3 2 2 2" xfId="14209"/>
    <cellStyle name="Moeda 3 2 2 3 2 2 2 2" xfId="40451"/>
    <cellStyle name="Moeda 3 2 2 3 2 2 3" xfId="34065"/>
    <cellStyle name="Moeda 3 2 2 3 2 3" xfId="6120"/>
    <cellStyle name="Moeda 3 2 2 3 2 3 2" xfId="32365"/>
    <cellStyle name="Moeda 3 2 2 3 2 4" xfId="12508"/>
    <cellStyle name="Moeda 3 2 2 3 2 4 2" xfId="38750"/>
    <cellStyle name="Moeda 3 2 2 3 2 5" xfId="30667"/>
    <cellStyle name="Moeda 3 2 2 3 3" xfId="4526"/>
    <cellStyle name="Moeda 3 2 2 3 3 2" xfId="7928"/>
    <cellStyle name="Moeda 3 2 2 3 3 2 2" xfId="14317"/>
    <cellStyle name="Moeda 3 2 2 3 3 2 2 2" xfId="40559"/>
    <cellStyle name="Moeda 3 2 2 3 3 2 3" xfId="34173"/>
    <cellStyle name="Moeda 3 2 2 3 3 3" xfId="6227"/>
    <cellStyle name="Moeda 3 2 2 3 3 3 2" xfId="32472"/>
    <cellStyle name="Moeda 3 2 2 3 3 4" xfId="12616"/>
    <cellStyle name="Moeda 3 2 2 3 3 4 2" xfId="38858"/>
    <cellStyle name="Moeda 3 2 2 3 3 5" xfId="30775"/>
    <cellStyle name="Moeda 3 2 2 3 4" xfId="4634"/>
    <cellStyle name="Moeda 3 2 2 3 4 2" xfId="8037"/>
    <cellStyle name="Moeda 3 2 2 3 4 2 2" xfId="14426"/>
    <cellStyle name="Moeda 3 2 2 3 4 2 2 2" xfId="40668"/>
    <cellStyle name="Moeda 3 2 2 3 4 2 3" xfId="34282"/>
    <cellStyle name="Moeda 3 2 2 3 4 3" xfId="6336"/>
    <cellStyle name="Moeda 3 2 2 3 4 3 2" xfId="32581"/>
    <cellStyle name="Moeda 3 2 2 3 4 4" xfId="12725"/>
    <cellStyle name="Moeda 3 2 2 3 4 4 2" xfId="38967"/>
    <cellStyle name="Moeda 3 2 2 3 4 5" xfId="30883"/>
    <cellStyle name="Moeda 3 2 2 3 5" xfId="5975"/>
    <cellStyle name="Moeda 3 2 2 3 5 2" xfId="7675"/>
    <cellStyle name="Moeda 3 2 2 3 5 2 2" xfId="14064"/>
    <cellStyle name="Moeda 3 2 2 3 5 2 2 2" xfId="40306"/>
    <cellStyle name="Moeda 3 2 2 3 5 2 3" xfId="33920"/>
    <cellStyle name="Moeda 3 2 2 3 5 3" xfId="12363"/>
    <cellStyle name="Moeda 3 2 2 3 5 3 2" xfId="38605"/>
    <cellStyle name="Moeda 3 2 2 3 5 4" xfId="32220"/>
    <cellStyle name="Moeda 3 2 2 3 6" xfId="6445"/>
    <cellStyle name="Moeda 3 2 2 3 6 2" xfId="12834"/>
    <cellStyle name="Moeda 3 2 2 3 6 2 2" xfId="39076"/>
    <cellStyle name="Moeda 3 2 2 3 6 3" xfId="32690"/>
    <cellStyle name="Moeda 3 2 2 3 7" xfId="4742"/>
    <cellStyle name="Moeda 3 2 2 3 7 2" xfId="30991"/>
    <cellStyle name="Moeda 3 2 2 3 8" xfId="11133"/>
    <cellStyle name="Moeda 3 2 2 3 8 2" xfId="37375"/>
    <cellStyle name="Moeda 3 2 2 3 9" xfId="30523"/>
    <cellStyle name="Moeda 3 2 2 4" xfId="4351"/>
    <cellStyle name="Moeda 3 2 2 4 2" xfId="7752"/>
    <cellStyle name="Moeda 3 2 2 4 2 2" xfId="14141"/>
    <cellStyle name="Moeda 3 2 2 4 2 2 2" xfId="40383"/>
    <cellStyle name="Moeda 3 2 2 4 2 3" xfId="33997"/>
    <cellStyle name="Moeda 3 2 2 4 3" xfId="6052"/>
    <cellStyle name="Moeda 3 2 2 4 3 2" xfId="32297"/>
    <cellStyle name="Moeda 3 2 2 4 4" xfId="12440"/>
    <cellStyle name="Moeda 3 2 2 4 4 2" xfId="38682"/>
    <cellStyle name="Moeda 3 2 2 4 5" xfId="30600"/>
    <cellStyle name="Moeda 3 2 2 5" xfId="4459"/>
    <cellStyle name="Moeda 3 2 2 5 2" xfId="7861"/>
    <cellStyle name="Moeda 3 2 2 5 2 2" xfId="14250"/>
    <cellStyle name="Moeda 3 2 2 5 2 2 2" xfId="40492"/>
    <cellStyle name="Moeda 3 2 2 5 2 3" xfId="34106"/>
    <cellStyle name="Moeda 3 2 2 5 3" xfId="6161"/>
    <cellStyle name="Moeda 3 2 2 5 3 2" xfId="32406"/>
    <cellStyle name="Moeda 3 2 2 5 4" xfId="12549"/>
    <cellStyle name="Moeda 3 2 2 5 4 2" xfId="38791"/>
    <cellStyle name="Moeda 3 2 2 5 5" xfId="30708"/>
    <cellStyle name="Moeda 3 2 2 6" xfId="4567"/>
    <cellStyle name="Moeda 3 2 2 6 2" xfId="7969"/>
    <cellStyle name="Moeda 3 2 2 6 2 2" xfId="14358"/>
    <cellStyle name="Moeda 3 2 2 6 2 2 2" xfId="40600"/>
    <cellStyle name="Moeda 3 2 2 6 2 3" xfId="34214"/>
    <cellStyle name="Moeda 3 2 2 6 3" xfId="6268"/>
    <cellStyle name="Moeda 3 2 2 6 3 2" xfId="32513"/>
    <cellStyle name="Moeda 3 2 2 6 4" xfId="12657"/>
    <cellStyle name="Moeda 3 2 2 6 4 2" xfId="38899"/>
    <cellStyle name="Moeda 3 2 2 6 5" xfId="30816"/>
    <cellStyle name="Moeda 3 2 2 7" xfId="5332"/>
    <cellStyle name="Moeda 3 2 2 7 2" xfId="7031"/>
    <cellStyle name="Moeda 3 2 2 7 2 2" xfId="13420"/>
    <cellStyle name="Moeda 3 2 2 7 2 2 2" xfId="39662"/>
    <cellStyle name="Moeda 3 2 2 7 2 3" xfId="33276"/>
    <cellStyle name="Moeda 3 2 2 7 3" xfId="11719"/>
    <cellStyle name="Moeda 3 2 2 7 3 2" xfId="37961"/>
    <cellStyle name="Moeda 3 2 2 7 4" xfId="31577"/>
    <cellStyle name="Moeda 3 2 2 8" xfId="6377"/>
    <cellStyle name="Moeda 3 2 2 8 2" xfId="12766"/>
    <cellStyle name="Moeda 3 2 2 8 2 2" xfId="39008"/>
    <cellStyle name="Moeda 3 2 2 8 3" xfId="32622"/>
    <cellStyle name="Moeda 3 2 2 9" xfId="8069"/>
    <cellStyle name="Moeda 3 2 2 9 2" xfId="14458"/>
    <cellStyle name="Moeda 3 2 2 9 2 2" xfId="40700"/>
    <cellStyle name="Moeda 3 2 2 9 3" xfId="34314"/>
    <cellStyle name="Moeda 3 2 3" xfId="4294"/>
    <cellStyle name="Moeda 3 2 3 2" xfId="4371"/>
    <cellStyle name="Moeda 3 2 3 2 2" xfId="7772"/>
    <cellStyle name="Moeda 3 2 3 2 2 2" xfId="14161"/>
    <cellStyle name="Moeda 3 2 3 2 2 2 2" xfId="40403"/>
    <cellStyle name="Moeda 3 2 3 2 2 3" xfId="34017"/>
    <cellStyle name="Moeda 3 2 3 2 3" xfId="6072"/>
    <cellStyle name="Moeda 3 2 3 2 3 2" xfId="32317"/>
    <cellStyle name="Moeda 3 2 3 2 4" xfId="12460"/>
    <cellStyle name="Moeda 3 2 3 2 4 2" xfId="38702"/>
    <cellStyle name="Moeda 3 2 3 2 5" xfId="30620"/>
    <cellStyle name="Moeda 3 2 3 3" xfId="4479"/>
    <cellStyle name="Moeda 3 2 3 3 2" xfId="7881"/>
    <cellStyle name="Moeda 3 2 3 3 2 2" xfId="14270"/>
    <cellStyle name="Moeda 3 2 3 3 2 2 2" xfId="40512"/>
    <cellStyle name="Moeda 3 2 3 3 2 3" xfId="34126"/>
    <cellStyle name="Moeda 3 2 3 3 3" xfId="6181"/>
    <cellStyle name="Moeda 3 2 3 3 3 2" xfId="32426"/>
    <cellStyle name="Moeda 3 2 3 3 4" xfId="12569"/>
    <cellStyle name="Moeda 3 2 3 3 4 2" xfId="38811"/>
    <cellStyle name="Moeda 3 2 3 3 5" xfId="30728"/>
    <cellStyle name="Moeda 3 2 3 4" xfId="4587"/>
    <cellStyle name="Moeda 3 2 3 4 2" xfId="7989"/>
    <cellStyle name="Moeda 3 2 3 4 2 2" xfId="14378"/>
    <cellStyle name="Moeda 3 2 3 4 2 2 2" xfId="40620"/>
    <cellStyle name="Moeda 3 2 3 4 2 3" xfId="34234"/>
    <cellStyle name="Moeda 3 2 3 4 3" xfId="6288"/>
    <cellStyle name="Moeda 3 2 3 4 3 2" xfId="32533"/>
    <cellStyle name="Moeda 3 2 3 4 4" xfId="12677"/>
    <cellStyle name="Moeda 3 2 3 4 4 2" xfId="38919"/>
    <cellStyle name="Moeda 3 2 3 4 5" xfId="30836"/>
    <cellStyle name="Moeda 3 2 3 5" xfId="5995"/>
    <cellStyle name="Moeda 3 2 3 5 2" xfId="7695"/>
    <cellStyle name="Moeda 3 2 3 5 2 2" xfId="14084"/>
    <cellStyle name="Moeda 3 2 3 5 2 2 2" xfId="40326"/>
    <cellStyle name="Moeda 3 2 3 5 2 3" xfId="33940"/>
    <cellStyle name="Moeda 3 2 3 5 3" xfId="12383"/>
    <cellStyle name="Moeda 3 2 3 5 3 2" xfId="38625"/>
    <cellStyle name="Moeda 3 2 3 5 4" xfId="32240"/>
    <cellStyle name="Moeda 3 2 3 6" xfId="6397"/>
    <cellStyle name="Moeda 3 2 3 6 2" xfId="12786"/>
    <cellStyle name="Moeda 3 2 3 6 2 2" xfId="39028"/>
    <cellStyle name="Moeda 3 2 3 6 3" xfId="32642"/>
    <cellStyle name="Moeda 3 2 3 7" xfId="4694"/>
    <cellStyle name="Moeda 3 2 3 7 2" xfId="30943"/>
    <cellStyle name="Moeda 3 2 3 8" xfId="11085"/>
    <cellStyle name="Moeda 3 2 3 8 2" xfId="37327"/>
    <cellStyle name="Moeda 3 2 3 9" xfId="30543"/>
    <cellStyle name="Moeda 3 2 4" xfId="4259"/>
    <cellStyle name="Moeda 3 2 4 2" xfId="4403"/>
    <cellStyle name="Moeda 3 2 4 2 2" xfId="7804"/>
    <cellStyle name="Moeda 3 2 4 2 2 2" xfId="14193"/>
    <cellStyle name="Moeda 3 2 4 2 2 2 2" xfId="40435"/>
    <cellStyle name="Moeda 3 2 4 2 2 3" xfId="34049"/>
    <cellStyle name="Moeda 3 2 4 2 3" xfId="6104"/>
    <cellStyle name="Moeda 3 2 4 2 3 2" xfId="32349"/>
    <cellStyle name="Moeda 3 2 4 2 4" xfId="12492"/>
    <cellStyle name="Moeda 3 2 4 2 4 2" xfId="38734"/>
    <cellStyle name="Moeda 3 2 4 2 5" xfId="30652"/>
    <cellStyle name="Moeda 3 2 4 3" xfId="4511"/>
    <cellStyle name="Moeda 3 2 4 3 2" xfId="7913"/>
    <cellStyle name="Moeda 3 2 4 3 2 2" xfId="14302"/>
    <cellStyle name="Moeda 3 2 4 3 2 2 2" xfId="40544"/>
    <cellStyle name="Moeda 3 2 4 3 2 3" xfId="34158"/>
    <cellStyle name="Moeda 3 2 4 3 3" xfId="6212"/>
    <cellStyle name="Moeda 3 2 4 3 3 2" xfId="32457"/>
    <cellStyle name="Moeda 3 2 4 3 4" xfId="12601"/>
    <cellStyle name="Moeda 3 2 4 3 4 2" xfId="38843"/>
    <cellStyle name="Moeda 3 2 4 3 5" xfId="30760"/>
    <cellStyle name="Moeda 3 2 4 4" xfId="4619"/>
    <cellStyle name="Moeda 3 2 4 4 2" xfId="8021"/>
    <cellStyle name="Moeda 3 2 4 4 2 2" xfId="14410"/>
    <cellStyle name="Moeda 3 2 4 4 2 2 2" xfId="40652"/>
    <cellStyle name="Moeda 3 2 4 4 2 3" xfId="34266"/>
    <cellStyle name="Moeda 3 2 4 4 3" xfId="6320"/>
    <cellStyle name="Moeda 3 2 4 4 3 2" xfId="32565"/>
    <cellStyle name="Moeda 3 2 4 4 4" xfId="12709"/>
    <cellStyle name="Moeda 3 2 4 4 4 2" xfId="38951"/>
    <cellStyle name="Moeda 3 2 4 4 5" xfId="30868"/>
    <cellStyle name="Moeda 3 2 4 5" xfId="5959"/>
    <cellStyle name="Moeda 3 2 4 5 2" xfId="7659"/>
    <cellStyle name="Moeda 3 2 4 5 2 2" xfId="14048"/>
    <cellStyle name="Moeda 3 2 4 5 2 2 2" xfId="40290"/>
    <cellStyle name="Moeda 3 2 4 5 2 3" xfId="33904"/>
    <cellStyle name="Moeda 3 2 4 5 3" xfId="12347"/>
    <cellStyle name="Moeda 3 2 4 5 3 2" xfId="38589"/>
    <cellStyle name="Moeda 3 2 4 5 4" xfId="32204"/>
    <cellStyle name="Moeda 3 2 4 6" xfId="6429"/>
    <cellStyle name="Moeda 3 2 4 6 2" xfId="12818"/>
    <cellStyle name="Moeda 3 2 4 6 2 2" xfId="39060"/>
    <cellStyle name="Moeda 3 2 4 6 3" xfId="32674"/>
    <cellStyle name="Moeda 3 2 4 7" xfId="4726"/>
    <cellStyle name="Moeda 3 2 4 7 2" xfId="30975"/>
    <cellStyle name="Moeda 3 2 4 8" xfId="11117"/>
    <cellStyle name="Moeda 3 2 4 8 2" xfId="37359"/>
    <cellStyle name="Moeda 3 2 4 9" xfId="30508"/>
    <cellStyle name="Moeda 3 2 5" xfId="4335"/>
    <cellStyle name="Moeda 3 2 5 2" xfId="7736"/>
    <cellStyle name="Moeda 3 2 5 2 2" xfId="14125"/>
    <cellStyle name="Moeda 3 2 5 2 2 2" xfId="40367"/>
    <cellStyle name="Moeda 3 2 5 2 3" xfId="33981"/>
    <cellStyle name="Moeda 3 2 5 3" xfId="6036"/>
    <cellStyle name="Moeda 3 2 5 3 2" xfId="32281"/>
    <cellStyle name="Moeda 3 2 5 4" xfId="12424"/>
    <cellStyle name="Moeda 3 2 5 4 2" xfId="38666"/>
    <cellStyle name="Moeda 3 2 5 5" xfId="30584"/>
    <cellStyle name="Moeda 3 2 6" xfId="4443"/>
    <cellStyle name="Moeda 3 2 6 2" xfId="7845"/>
    <cellStyle name="Moeda 3 2 6 2 2" xfId="14234"/>
    <cellStyle name="Moeda 3 2 6 2 2 2" xfId="40476"/>
    <cellStyle name="Moeda 3 2 6 2 3" xfId="34090"/>
    <cellStyle name="Moeda 3 2 6 3" xfId="6145"/>
    <cellStyle name="Moeda 3 2 6 3 2" xfId="32390"/>
    <cellStyle name="Moeda 3 2 6 4" xfId="12533"/>
    <cellStyle name="Moeda 3 2 6 4 2" xfId="38775"/>
    <cellStyle name="Moeda 3 2 6 5" xfId="30692"/>
    <cellStyle name="Moeda 3 2 7" xfId="4551"/>
    <cellStyle name="Moeda 3 2 7 2" xfId="7953"/>
    <cellStyle name="Moeda 3 2 7 2 2" xfId="14342"/>
    <cellStyle name="Moeda 3 2 7 2 2 2" xfId="40584"/>
    <cellStyle name="Moeda 3 2 7 2 3" xfId="34198"/>
    <cellStyle name="Moeda 3 2 7 3" xfId="6252"/>
    <cellStyle name="Moeda 3 2 7 3 2" xfId="32497"/>
    <cellStyle name="Moeda 3 2 7 4" xfId="12641"/>
    <cellStyle name="Moeda 3 2 7 4 2" xfId="38883"/>
    <cellStyle name="Moeda 3 2 7 5" xfId="30800"/>
    <cellStyle name="Moeda 3 2 8" xfId="4811"/>
    <cellStyle name="Moeda 3 2 8 2" xfId="6512"/>
    <cellStyle name="Moeda 3 2 8 2 2" xfId="12901"/>
    <cellStyle name="Moeda 3 2 8 2 2 2" xfId="39143"/>
    <cellStyle name="Moeda 3 2 8 2 3" xfId="32757"/>
    <cellStyle name="Moeda 3 2 8 3" xfId="11200"/>
    <cellStyle name="Moeda 3 2 8 3 2" xfId="37442"/>
    <cellStyle name="Moeda 3 2 8 4" xfId="31058"/>
    <cellStyle name="Moeda 3 2 9" xfId="6361"/>
    <cellStyle name="Moeda 3 2 9 2" xfId="12750"/>
    <cellStyle name="Moeda 3 2 9 2 2" xfId="38992"/>
    <cellStyle name="Moeda 3 2 9 3" xfId="32606"/>
    <cellStyle name="Moeda 3 3" xfId="348"/>
    <cellStyle name="Moeda 3 3 10" xfId="8058"/>
    <cellStyle name="Moeda 3 3 10 2" xfId="14447"/>
    <cellStyle name="Moeda 3 3 10 2 2" xfId="40689"/>
    <cellStyle name="Moeda 3 3 10 3" xfId="34303"/>
    <cellStyle name="Moeda 3 3 11" xfId="4664"/>
    <cellStyle name="Moeda 3 3 11 2" xfId="30913"/>
    <cellStyle name="Moeda 3 3 12" xfId="11055"/>
    <cellStyle name="Moeda 3 3 12 2" xfId="37297"/>
    <cellStyle name="Moeda 3 3 13" xfId="29391"/>
    <cellStyle name="Moeda 3 3 2" xfId="4279"/>
    <cellStyle name="Moeda 3 3 2 10" xfId="4679"/>
    <cellStyle name="Moeda 3 3 2 10 2" xfId="30928"/>
    <cellStyle name="Moeda 3 3 2 11" xfId="11070"/>
    <cellStyle name="Moeda 3 3 2 11 2" xfId="37312"/>
    <cellStyle name="Moeda 3 3 2 12" xfId="30528"/>
    <cellStyle name="Moeda 3 3 2 2" xfId="4314"/>
    <cellStyle name="Moeda 3 3 2 2 2" xfId="4391"/>
    <cellStyle name="Moeda 3 3 2 2 2 2" xfId="7792"/>
    <cellStyle name="Moeda 3 3 2 2 2 2 2" xfId="14181"/>
    <cellStyle name="Moeda 3 3 2 2 2 2 2 2" xfId="40423"/>
    <cellStyle name="Moeda 3 3 2 2 2 2 3" xfId="34037"/>
    <cellStyle name="Moeda 3 3 2 2 2 3" xfId="6092"/>
    <cellStyle name="Moeda 3 3 2 2 2 3 2" xfId="32337"/>
    <cellStyle name="Moeda 3 3 2 2 2 4" xfId="12480"/>
    <cellStyle name="Moeda 3 3 2 2 2 4 2" xfId="38722"/>
    <cellStyle name="Moeda 3 3 2 2 2 5" xfId="30640"/>
    <cellStyle name="Moeda 3 3 2 2 3" xfId="4499"/>
    <cellStyle name="Moeda 3 3 2 2 3 2" xfId="7901"/>
    <cellStyle name="Moeda 3 3 2 2 3 2 2" xfId="14290"/>
    <cellStyle name="Moeda 3 3 2 2 3 2 2 2" xfId="40532"/>
    <cellStyle name="Moeda 3 3 2 2 3 2 3" xfId="34146"/>
    <cellStyle name="Moeda 3 3 2 2 3 3" xfId="30748"/>
    <cellStyle name="Moeda 3 3 2 2 3 4" xfId="12589"/>
    <cellStyle name="Moeda 3 3 2 2 3 4 2" xfId="38831"/>
    <cellStyle name="Moeda 3 3 2 2 4" xfId="4607"/>
    <cellStyle name="Moeda 3 3 2 2 4 2" xfId="8009"/>
    <cellStyle name="Moeda 3 3 2 2 4 2 2" xfId="14398"/>
    <cellStyle name="Moeda 3 3 2 2 4 2 2 2" xfId="40640"/>
    <cellStyle name="Moeda 3 3 2 2 4 2 3" xfId="34254"/>
    <cellStyle name="Moeda 3 3 2 2 4 3" xfId="6308"/>
    <cellStyle name="Moeda 3 3 2 2 4 3 2" xfId="32553"/>
    <cellStyle name="Moeda 3 3 2 2 4 4" xfId="12697"/>
    <cellStyle name="Moeda 3 3 2 2 4 4 2" xfId="38939"/>
    <cellStyle name="Moeda 3 3 2 2 4 5" xfId="30856"/>
    <cellStyle name="Moeda 3 3 2 2 5" xfId="6015"/>
    <cellStyle name="Moeda 3 3 2 2 5 2" xfId="7715"/>
    <cellStyle name="Moeda 3 3 2 2 5 2 2" xfId="14104"/>
    <cellStyle name="Moeda 3 3 2 2 5 2 2 2" xfId="40346"/>
    <cellStyle name="Moeda 3 3 2 2 5 2 3" xfId="33960"/>
    <cellStyle name="Moeda 3 3 2 2 5 3" xfId="12403"/>
    <cellStyle name="Moeda 3 3 2 2 5 3 2" xfId="38645"/>
    <cellStyle name="Moeda 3 3 2 2 5 4" xfId="32260"/>
    <cellStyle name="Moeda 3 3 2 2 6" xfId="6417"/>
    <cellStyle name="Moeda 3 3 2 2 6 2" xfId="12806"/>
    <cellStyle name="Moeda 3 3 2 2 6 2 2" xfId="39048"/>
    <cellStyle name="Moeda 3 3 2 2 6 3" xfId="32662"/>
    <cellStyle name="Moeda 3 3 2 2 7" xfId="4714"/>
    <cellStyle name="Moeda 3 3 2 2 7 2" xfId="30963"/>
    <cellStyle name="Moeda 3 3 2 2 8" xfId="11105"/>
    <cellStyle name="Moeda 3 3 2 2 8 2" xfId="37347"/>
    <cellStyle name="Moeda 3 3 2 2 9" xfId="30563"/>
    <cellStyle name="Moeda 3 3 2 3" xfId="4423"/>
    <cellStyle name="Moeda 3 3 2 3 2" xfId="4531"/>
    <cellStyle name="Moeda 3 3 2 3 2 2" xfId="7933"/>
    <cellStyle name="Moeda 3 3 2 3 2 2 2" xfId="14322"/>
    <cellStyle name="Moeda 3 3 2 3 2 2 2 2" xfId="40564"/>
    <cellStyle name="Moeda 3 3 2 3 2 2 3" xfId="34178"/>
    <cellStyle name="Moeda 3 3 2 3 2 3" xfId="6232"/>
    <cellStyle name="Moeda 3 3 2 3 2 3 2" xfId="32477"/>
    <cellStyle name="Moeda 3 3 2 3 2 4" xfId="12621"/>
    <cellStyle name="Moeda 3 3 2 3 2 4 2" xfId="38863"/>
    <cellStyle name="Moeda 3 3 2 3 2 5" xfId="30780"/>
    <cellStyle name="Moeda 3 3 2 3 3" xfId="4639"/>
    <cellStyle name="Moeda 3 3 2 3 3 2" xfId="8042"/>
    <cellStyle name="Moeda 3 3 2 3 3 2 2" xfId="14431"/>
    <cellStyle name="Moeda 3 3 2 3 3 2 2 2" xfId="40673"/>
    <cellStyle name="Moeda 3 3 2 3 3 2 3" xfId="34287"/>
    <cellStyle name="Moeda 3 3 2 3 3 3" xfId="6341"/>
    <cellStyle name="Moeda 3 3 2 3 3 3 2" xfId="32586"/>
    <cellStyle name="Moeda 3 3 2 3 3 4" xfId="12730"/>
    <cellStyle name="Moeda 3 3 2 3 3 4 2" xfId="38972"/>
    <cellStyle name="Moeda 3 3 2 3 3 5" xfId="30888"/>
    <cellStyle name="Moeda 3 3 2 3 4" xfId="6125"/>
    <cellStyle name="Moeda 3 3 2 3 4 2" xfId="7825"/>
    <cellStyle name="Moeda 3 3 2 3 4 2 2" xfId="14214"/>
    <cellStyle name="Moeda 3 3 2 3 4 2 2 2" xfId="40456"/>
    <cellStyle name="Moeda 3 3 2 3 4 2 3" xfId="34070"/>
    <cellStyle name="Moeda 3 3 2 3 4 3" xfId="12513"/>
    <cellStyle name="Moeda 3 3 2 3 4 3 2" xfId="38755"/>
    <cellStyle name="Moeda 3 3 2 3 4 4" xfId="32370"/>
    <cellStyle name="Moeda 3 3 2 3 5" xfId="6450"/>
    <cellStyle name="Moeda 3 3 2 3 5 2" xfId="12839"/>
    <cellStyle name="Moeda 3 3 2 3 5 2 2" xfId="39081"/>
    <cellStyle name="Moeda 3 3 2 3 5 3" xfId="32695"/>
    <cellStyle name="Moeda 3 3 2 3 6" xfId="4747"/>
    <cellStyle name="Moeda 3 3 2 3 6 2" xfId="30996"/>
    <cellStyle name="Moeda 3 3 2 3 7" xfId="11138"/>
    <cellStyle name="Moeda 3 3 2 3 7 2" xfId="37380"/>
    <cellStyle name="Moeda 3 3 2 3 8" xfId="30672"/>
    <cellStyle name="Moeda 3 3 2 4" xfId="4356"/>
    <cellStyle name="Moeda 3 3 2 4 2" xfId="7757"/>
    <cellStyle name="Moeda 3 3 2 4 2 2" xfId="14146"/>
    <cellStyle name="Moeda 3 3 2 4 2 2 2" xfId="40388"/>
    <cellStyle name="Moeda 3 3 2 4 2 3" xfId="34002"/>
    <cellStyle name="Moeda 3 3 2 4 3" xfId="6057"/>
    <cellStyle name="Moeda 3 3 2 4 3 2" xfId="32302"/>
    <cellStyle name="Moeda 3 3 2 4 4" xfId="12445"/>
    <cellStyle name="Moeda 3 3 2 4 4 2" xfId="38687"/>
    <cellStyle name="Moeda 3 3 2 4 5" xfId="30605"/>
    <cellStyle name="Moeda 3 3 2 5" xfId="4464"/>
    <cellStyle name="Moeda 3 3 2 5 2" xfId="7866"/>
    <cellStyle name="Moeda 3 3 2 5 2 2" xfId="14255"/>
    <cellStyle name="Moeda 3 3 2 5 2 2 2" xfId="40497"/>
    <cellStyle name="Moeda 3 3 2 5 2 3" xfId="34111"/>
    <cellStyle name="Moeda 3 3 2 5 3" xfId="6166"/>
    <cellStyle name="Moeda 3 3 2 5 3 2" xfId="32411"/>
    <cellStyle name="Moeda 3 3 2 5 4" xfId="12554"/>
    <cellStyle name="Moeda 3 3 2 5 4 2" xfId="38796"/>
    <cellStyle name="Moeda 3 3 2 5 5" xfId="30713"/>
    <cellStyle name="Moeda 3 3 2 6" xfId="4572"/>
    <cellStyle name="Moeda 3 3 2 6 2" xfId="7974"/>
    <cellStyle name="Moeda 3 3 2 6 2 2" xfId="14363"/>
    <cellStyle name="Moeda 3 3 2 6 2 2 2" xfId="40605"/>
    <cellStyle name="Moeda 3 3 2 6 2 3" xfId="34219"/>
    <cellStyle name="Moeda 3 3 2 6 3" xfId="6273"/>
    <cellStyle name="Moeda 3 3 2 6 3 2" xfId="32518"/>
    <cellStyle name="Moeda 3 3 2 6 4" xfId="12662"/>
    <cellStyle name="Moeda 3 3 2 6 4 2" xfId="38904"/>
    <cellStyle name="Moeda 3 3 2 6 5" xfId="30821"/>
    <cellStyle name="Moeda 3 3 2 7" xfId="5980"/>
    <cellStyle name="Moeda 3 3 2 7 2" xfId="7680"/>
    <cellStyle name="Moeda 3 3 2 7 2 2" xfId="14069"/>
    <cellStyle name="Moeda 3 3 2 7 2 2 2" xfId="40311"/>
    <cellStyle name="Moeda 3 3 2 7 2 3" xfId="33925"/>
    <cellStyle name="Moeda 3 3 2 7 3" xfId="12368"/>
    <cellStyle name="Moeda 3 3 2 7 3 2" xfId="38610"/>
    <cellStyle name="Moeda 3 3 2 7 4" xfId="32225"/>
    <cellStyle name="Moeda 3 3 2 8" xfId="6382"/>
    <cellStyle name="Moeda 3 3 2 8 2" xfId="12771"/>
    <cellStyle name="Moeda 3 3 2 8 2 2" xfId="39013"/>
    <cellStyle name="Moeda 3 3 2 8 3" xfId="32627"/>
    <cellStyle name="Moeda 3 3 2 9" xfId="8074"/>
    <cellStyle name="Moeda 3 3 2 9 2" xfId="14463"/>
    <cellStyle name="Moeda 3 3 2 9 2 2" xfId="40705"/>
    <cellStyle name="Moeda 3 3 2 9 3" xfId="34319"/>
    <cellStyle name="Moeda 3 3 3" xfId="4299"/>
    <cellStyle name="Moeda 3 3 3 2" xfId="4376"/>
    <cellStyle name="Moeda 3 3 3 2 2" xfId="7777"/>
    <cellStyle name="Moeda 3 3 3 2 2 2" xfId="14166"/>
    <cellStyle name="Moeda 3 3 3 2 2 2 2" xfId="40408"/>
    <cellStyle name="Moeda 3 3 3 2 2 3" xfId="34022"/>
    <cellStyle name="Moeda 3 3 3 2 3" xfId="6077"/>
    <cellStyle name="Moeda 3 3 3 2 3 2" xfId="32322"/>
    <cellStyle name="Moeda 3 3 3 2 4" xfId="12465"/>
    <cellStyle name="Moeda 3 3 3 2 4 2" xfId="38707"/>
    <cellStyle name="Moeda 3 3 3 2 5" xfId="30625"/>
    <cellStyle name="Moeda 3 3 3 3" xfId="4484"/>
    <cellStyle name="Moeda 3 3 3 3 2" xfId="7886"/>
    <cellStyle name="Moeda 3 3 3 3 2 2" xfId="14275"/>
    <cellStyle name="Moeda 3 3 3 3 2 2 2" xfId="40517"/>
    <cellStyle name="Moeda 3 3 3 3 2 3" xfId="34131"/>
    <cellStyle name="Moeda 3 3 3 3 3" xfId="6186"/>
    <cellStyle name="Moeda 3 3 3 3 3 2" xfId="32431"/>
    <cellStyle name="Moeda 3 3 3 3 4" xfId="12574"/>
    <cellStyle name="Moeda 3 3 3 3 4 2" xfId="38816"/>
    <cellStyle name="Moeda 3 3 3 3 5" xfId="30733"/>
    <cellStyle name="Moeda 3 3 3 4" xfId="4592"/>
    <cellStyle name="Moeda 3 3 3 4 2" xfId="7994"/>
    <cellStyle name="Moeda 3 3 3 4 2 2" xfId="14383"/>
    <cellStyle name="Moeda 3 3 3 4 2 2 2" xfId="40625"/>
    <cellStyle name="Moeda 3 3 3 4 2 3" xfId="34239"/>
    <cellStyle name="Moeda 3 3 3 4 3" xfId="6293"/>
    <cellStyle name="Moeda 3 3 3 4 3 2" xfId="32538"/>
    <cellStyle name="Moeda 3 3 3 4 4" xfId="12682"/>
    <cellStyle name="Moeda 3 3 3 4 4 2" xfId="38924"/>
    <cellStyle name="Moeda 3 3 3 4 5" xfId="30841"/>
    <cellStyle name="Moeda 3 3 3 5" xfId="6000"/>
    <cellStyle name="Moeda 3 3 3 5 2" xfId="7700"/>
    <cellStyle name="Moeda 3 3 3 5 2 2" xfId="14089"/>
    <cellStyle name="Moeda 3 3 3 5 2 2 2" xfId="40331"/>
    <cellStyle name="Moeda 3 3 3 5 2 3" xfId="33945"/>
    <cellStyle name="Moeda 3 3 3 5 3" xfId="12388"/>
    <cellStyle name="Moeda 3 3 3 5 3 2" xfId="38630"/>
    <cellStyle name="Moeda 3 3 3 5 4" xfId="32245"/>
    <cellStyle name="Moeda 3 3 3 6" xfId="6402"/>
    <cellStyle name="Moeda 3 3 3 6 2" xfId="12791"/>
    <cellStyle name="Moeda 3 3 3 6 2 2" xfId="39033"/>
    <cellStyle name="Moeda 3 3 3 6 3" xfId="32647"/>
    <cellStyle name="Moeda 3 3 3 7" xfId="4699"/>
    <cellStyle name="Moeda 3 3 3 7 2" xfId="30948"/>
    <cellStyle name="Moeda 3 3 3 8" xfId="11090"/>
    <cellStyle name="Moeda 3 3 3 8 2" xfId="37332"/>
    <cellStyle name="Moeda 3 3 3 9" xfId="30548"/>
    <cellStyle name="Moeda 3 3 4" xfId="4264"/>
    <cellStyle name="Moeda 3 3 4 2" xfId="4408"/>
    <cellStyle name="Moeda 3 3 4 2 2" xfId="7809"/>
    <cellStyle name="Moeda 3 3 4 2 2 2" xfId="14198"/>
    <cellStyle name="Moeda 3 3 4 2 2 2 2" xfId="40440"/>
    <cellStyle name="Moeda 3 3 4 2 2 3" xfId="34054"/>
    <cellStyle name="Moeda 3 3 4 2 3" xfId="6109"/>
    <cellStyle name="Moeda 3 3 4 2 3 2" xfId="32354"/>
    <cellStyle name="Moeda 3 3 4 2 4" xfId="12497"/>
    <cellStyle name="Moeda 3 3 4 2 4 2" xfId="38739"/>
    <cellStyle name="Moeda 3 3 4 2 5" xfId="30657"/>
    <cellStyle name="Moeda 3 3 4 3" xfId="4516"/>
    <cellStyle name="Moeda 3 3 4 3 2" xfId="7918"/>
    <cellStyle name="Moeda 3 3 4 3 2 2" xfId="14307"/>
    <cellStyle name="Moeda 3 3 4 3 2 2 2" xfId="40549"/>
    <cellStyle name="Moeda 3 3 4 3 2 3" xfId="34163"/>
    <cellStyle name="Moeda 3 3 4 3 3" xfId="6217"/>
    <cellStyle name="Moeda 3 3 4 3 3 2" xfId="32462"/>
    <cellStyle name="Moeda 3 3 4 3 4" xfId="12606"/>
    <cellStyle name="Moeda 3 3 4 3 4 2" xfId="38848"/>
    <cellStyle name="Moeda 3 3 4 3 5" xfId="30765"/>
    <cellStyle name="Moeda 3 3 4 4" xfId="4624"/>
    <cellStyle name="Moeda 3 3 4 4 2" xfId="8026"/>
    <cellStyle name="Moeda 3 3 4 4 2 2" xfId="14415"/>
    <cellStyle name="Moeda 3 3 4 4 2 2 2" xfId="40657"/>
    <cellStyle name="Moeda 3 3 4 4 2 3" xfId="34271"/>
    <cellStyle name="Moeda 3 3 4 4 3" xfId="6325"/>
    <cellStyle name="Moeda 3 3 4 4 3 2" xfId="32570"/>
    <cellStyle name="Moeda 3 3 4 4 4" xfId="12714"/>
    <cellStyle name="Moeda 3 3 4 4 4 2" xfId="38956"/>
    <cellStyle name="Moeda 3 3 4 4 5" xfId="30873"/>
    <cellStyle name="Moeda 3 3 4 5" xfId="5964"/>
    <cellStyle name="Moeda 3 3 4 5 2" xfId="7664"/>
    <cellStyle name="Moeda 3 3 4 5 2 2" xfId="14053"/>
    <cellStyle name="Moeda 3 3 4 5 2 2 2" xfId="40295"/>
    <cellStyle name="Moeda 3 3 4 5 2 3" xfId="33909"/>
    <cellStyle name="Moeda 3 3 4 5 3" xfId="12352"/>
    <cellStyle name="Moeda 3 3 4 5 3 2" xfId="38594"/>
    <cellStyle name="Moeda 3 3 4 5 4" xfId="32209"/>
    <cellStyle name="Moeda 3 3 4 6" xfId="6434"/>
    <cellStyle name="Moeda 3 3 4 6 2" xfId="12823"/>
    <cellStyle name="Moeda 3 3 4 6 2 2" xfId="39065"/>
    <cellStyle name="Moeda 3 3 4 6 3" xfId="32679"/>
    <cellStyle name="Moeda 3 3 4 7" xfId="4731"/>
    <cellStyle name="Moeda 3 3 4 7 2" xfId="30980"/>
    <cellStyle name="Moeda 3 3 4 8" xfId="11122"/>
    <cellStyle name="Moeda 3 3 4 8 2" xfId="37364"/>
    <cellStyle name="Moeda 3 3 4 9" xfId="30513"/>
    <cellStyle name="Moeda 3 3 5" xfId="4340"/>
    <cellStyle name="Moeda 3 3 5 2" xfId="7741"/>
    <cellStyle name="Moeda 3 3 5 2 2" xfId="14130"/>
    <cellStyle name="Moeda 3 3 5 2 2 2" xfId="40372"/>
    <cellStyle name="Moeda 3 3 5 2 3" xfId="33986"/>
    <cellStyle name="Moeda 3 3 5 3" xfId="6041"/>
    <cellStyle name="Moeda 3 3 5 3 2" xfId="32286"/>
    <cellStyle name="Moeda 3 3 5 4" xfId="12429"/>
    <cellStyle name="Moeda 3 3 5 4 2" xfId="38671"/>
    <cellStyle name="Moeda 3 3 5 5" xfId="30589"/>
    <cellStyle name="Moeda 3 3 6" xfId="4448"/>
    <cellStyle name="Moeda 3 3 6 2" xfId="7850"/>
    <cellStyle name="Moeda 3 3 6 2 2" xfId="14239"/>
    <cellStyle name="Moeda 3 3 6 2 2 2" xfId="40481"/>
    <cellStyle name="Moeda 3 3 6 2 3" xfId="34095"/>
    <cellStyle name="Moeda 3 3 6 3" xfId="6150"/>
    <cellStyle name="Moeda 3 3 6 3 2" xfId="32395"/>
    <cellStyle name="Moeda 3 3 6 4" xfId="12538"/>
    <cellStyle name="Moeda 3 3 6 4 2" xfId="38780"/>
    <cellStyle name="Moeda 3 3 6 5" xfId="30697"/>
    <cellStyle name="Moeda 3 3 7" xfId="4556"/>
    <cellStyle name="Moeda 3 3 7 2" xfId="7958"/>
    <cellStyle name="Moeda 3 3 7 2 2" xfId="14347"/>
    <cellStyle name="Moeda 3 3 7 2 2 2" xfId="40589"/>
    <cellStyle name="Moeda 3 3 7 2 3" xfId="34203"/>
    <cellStyle name="Moeda 3 3 7 3" xfId="6257"/>
    <cellStyle name="Moeda 3 3 7 3 2" xfId="32502"/>
    <cellStyle name="Moeda 3 3 7 4" xfId="12646"/>
    <cellStyle name="Moeda 3 3 7 4 2" xfId="38888"/>
    <cellStyle name="Moeda 3 3 7 5" xfId="30805"/>
    <cellStyle name="Moeda 3 3 8" xfId="4842"/>
    <cellStyle name="Moeda 3 3 8 2" xfId="6543"/>
    <cellStyle name="Moeda 3 3 8 2 2" xfId="12932"/>
    <cellStyle name="Moeda 3 3 8 2 2 2" xfId="39174"/>
    <cellStyle name="Moeda 3 3 8 2 3" xfId="32788"/>
    <cellStyle name="Moeda 3 3 8 3" xfId="11231"/>
    <cellStyle name="Moeda 3 3 8 3 2" xfId="37473"/>
    <cellStyle name="Moeda 3 3 8 4" xfId="31089"/>
    <cellStyle name="Moeda 3 3 9" xfId="6366"/>
    <cellStyle name="Moeda 3 3 9 2" xfId="12755"/>
    <cellStyle name="Moeda 3 3 9 2 2" xfId="38997"/>
    <cellStyle name="Moeda 3 3 9 3" xfId="32611"/>
    <cellStyle name="Moeda 3 4" xfId="695"/>
    <cellStyle name="Moeda 3 4 10" xfId="4669"/>
    <cellStyle name="Moeda 3 4 10 2" xfId="30918"/>
    <cellStyle name="Moeda 3 4 11" xfId="11060"/>
    <cellStyle name="Moeda 3 4 11 2" xfId="37302"/>
    <cellStyle name="Moeda 3 4 2" xfId="4304"/>
    <cellStyle name="Moeda 3 4 2 2" xfId="4381"/>
    <cellStyle name="Moeda 3 4 2 2 2" xfId="7782"/>
    <cellStyle name="Moeda 3 4 2 2 2 2" xfId="14171"/>
    <cellStyle name="Moeda 3 4 2 2 2 2 2" xfId="40413"/>
    <cellStyle name="Moeda 3 4 2 2 2 3" xfId="34027"/>
    <cellStyle name="Moeda 3 4 2 2 3" xfId="6082"/>
    <cellStyle name="Moeda 3 4 2 2 3 2" xfId="32327"/>
    <cellStyle name="Moeda 3 4 2 2 4" xfId="12470"/>
    <cellStyle name="Moeda 3 4 2 2 4 2" xfId="38712"/>
    <cellStyle name="Moeda 3 4 2 2 5" xfId="30630"/>
    <cellStyle name="Moeda 3 4 2 3" xfId="4489"/>
    <cellStyle name="Moeda 3 4 2 3 2" xfId="7891"/>
    <cellStyle name="Moeda 3 4 2 3 2 2" xfId="14280"/>
    <cellStyle name="Moeda 3 4 2 3 2 2 2" xfId="40522"/>
    <cellStyle name="Moeda 3 4 2 3 2 3" xfId="34136"/>
    <cellStyle name="Moeda 3 4 2 3 3" xfId="6191"/>
    <cellStyle name="Moeda 3 4 2 3 3 2" xfId="32436"/>
    <cellStyle name="Moeda 3 4 2 3 4" xfId="12579"/>
    <cellStyle name="Moeda 3 4 2 3 4 2" xfId="38821"/>
    <cellStyle name="Moeda 3 4 2 3 5" xfId="30738"/>
    <cellStyle name="Moeda 3 4 2 4" xfId="4597"/>
    <cellStyle name="Moeda 3 4 2 4 2" xfId="7999"/>
    <cellStyle name="Moeda 3 4 2 4 2 2" xfId="14388"/>
    <cellStyle name="Moeda 3 4 2 4 2 2 2" xfId="40630"/>
    <cellStyle name="Moeda 3 4 2 4 2 3" xfId="34244"/>
    <cellStyle name="Moeda 3 4 2 4 3" xfId="6298"/>
    <cellStyle name="Moeda 3 4 2 4 3 2" xfId="32543"/>
    <cellStyle name="Moeda 3 4 2 4 4" xfId="12687"/>
    <cellStyle name="Moeda 3 4 2 4 4 2" xfId="38929"/>
    <cellStyle name="Moeda 3 4 2 4 5" xfId="30846"/>
    <cellStyle name="Moeda 3 4 2 5" xfId="6005"/>
    <cellStyle name="Moeda 3 4 2 5 2" xfId="7705"/>
    <cellStyle name="Moeda 3 4 2 5 2 2" xfId="14094"/>
    <cellStyle name="Moeda 3 4 2 5 2 2 2" xfId="40336"/>
    <cellStyle name="Moeda 3 4 2 5 2 3" xfId="33950"/>
    <cellStyle name="Moeda 3 4 2 5 3" xfId="12393"/>
    <cellStyle name="Moeda 3 4 2 5 3 2" xfId="38635"/>
    <cellStyle name="Moeda 3 4 2 5 4" xfId="32250"/>
    <cellStyle name="Moeda 3 4 2 6" xfId="6407"/>
    <cellStyle name="Moeda 3 4 2 6 2" xfId="12796"/>
    <cellStyle name="Moeda 3 4 2 6 2 2" xfId="39038"/>
    <cellStyle name="Moeda 3 4 2 6 3" xfId="32652"/>
    <cellStyle name="Moeda 3 4 2 7" xfId="4704"/>
    <cellStyle name="Moeda 3 4 2 7 2" xfId="30953"/>
    <cellStyle name="Moeda 3 4 2 8" xfId="11095"/>
    <cellStyle name="Moeda 3 4 2 8 2" xfId="37337"/>
    <cellStyle name="Moeda 3 4 2 9" xfId="30553"/>
    <cellStyle name="Moeda 3 4 3" xfId="4269"/>
    <cellStyle name="Moeda 3 4 3 2" xfId="4413"/>
    <cellStyle name="Moeda 3 4 3 2 2" xfId="7815"/>
    <cellStyle name="Moeda 3 4 3 2 2 2" xfId="14204"/>
    <cellStyle name="Moeda 3 4 3 2 2 2 2" xfId="40446"/>
    <cellStyle name="Moeda 3 4 3 2 2 3" xfId="34060"/>
    <cellStyle name="Moeda 3 4 3 2 3" xfId="6115"/>
    <cellStyle name="Moeda 3 4 3 2 3 2" xfId="32360"/>
    <cellStyle name="Moeda 3 4 3 2 4" xfId="12503"/>
    <cellStyle name="Moeda 3 4 3 2 4 2" xfId="38745"/>
    <cellStyle name="Moeda 3 4 3 2 5" xfId="30662"/>
    <cellStyle name="Moeda 3 4 3 3" xfId="4521"/>
    <cellStyle name="Moeda 3 4 3 3 2" xfId="7923"/>
    <cellStyle name="Moeda 3 4 3 3 2 2" xfId="14312"/>
    <cellStyle name="Moeda 3 4 3 3 2 2 2" xfId="40554"/>
    <cellStyle name="Moeda 3 4 3 3 2 3" xfId="34168"/>
    <cellStyle name="Moeda 3 4 3 3 3" xfId="6222"/>
    <cellStyle name="Moeda 3 4 3 3 3 2" xfId="32467"/>
    <cellStyle name="Moeda 3 4 3 3 4" xfId="12611"/>
    <cellStyle name="Moeda 3 4 3 3 4 2" xfId="38853"/>
    <cellStyle name="Moeda 3 4 3 3 5" xfId="30770"/>
    <cellStyle name="Moeda 3 4 3 4" xfId="4629"/>
    <cellStyle name="Moeda 3 4 3 4 2" xfId="8032"/>
    <cellStyle name="Moeda 3 4 3 4 2 2" xfId="14421"/>
    <cellStyle name="Moeda 3 4 3 4 2 2 2" xfId="40663"/>
    <cellStyle name="Moeda 3 4 3 4 2 3" xfId="34277"/>
    <cellStyle name="Moeda 3 4 3 4 3" xfId="6331"/>
    <cellStyle name="Moeda 3 4 3 4 3 2" xfId="32576"/>
    <cellStyle name="Moeda 3 4 3 4 4" xfId="12720"/>
    <cellStyle name="Moeda 3 4 3 4 4 2" xfId="38962"/>
    <cellStyle name="Moeda 3 4 3 4 5" xfId="30878"/>
    <cellStyle name="Moeda 3 4 3 5" xfId="5970"/>
    <cellStyle name="Moeda 3 4 3 5 2" xfId="7670"/>
    <cellStyle name="Moeda 3 4 3 5 2 2" xfId="14059"/>
    <cellStyle name="Moeda 3 4 3 5 2 2 2" xfId="40301"/>
    <cellStyle name="Moeda 3 4 3 5 2 3" xfId="33915"/>
    <cellStyle name="Moeda 3 4 3 5 3" xfId="12358"/>
    <cellStyle name="Moeda 3 4 3 5 3 2" xfId="38600"/>
    <cellStyle name="Moeda 3 4 3 5 4" xfId="32215"/>
    <cellStyle name="Moeda 3 4 3 6" xfId="6440"/>
    <cellStyle name="Moeda 3 4 3 6 2" xfId="12829"/>
    <cellStyle name="Moeda 3 4 3 6 2 2" xfId="39071"/>
    <cellStyle name="Moeda 3 4 3 6 3" xfId="32685"/>
    <cellStyle name="Moeda 3 4 3 7" xfId="4737"/>
    <cellStyle name="Moeda 3 4 3 7 2" xfId="30986"/>
    <cellStyle name="Moeda 3 4 3 8" xfId="11128"/>
    <cellStyle name="Moeda 3 4 3 8 2" xfId="37370"/>
    <cellStyle name="Moeda 3 4 3 9" xfId="30518"/>
    <cellStyle name="Moeda 3 4 4" xfId="4346"/>
    <cellStyle name="Moeda 3 4 4 2" xfId="7747"/>
    <cellStyle name="Moeda 3 4 4 2 2" xfId="14136"/>
    <cellStyle name="Moeda 3 4 4 2 2 2" xfId="40378"/>
    <cellStyle name="Moeda 3 4 4 2 3" xfId="33992"/>
    <cellStyle name="Moeda 3 4 4 3" xfId="6047"/>
    <cellStyle name="Moeda 3 4 4 3 2" xfId="32292"/>
    <cellStyle name="Moeda 3 4 4 4" xfId="12435"/>
    <cellStyle name="Moeda 3 4 4 4 2" xfId="38677"/>
    <cellStyle name="Moeda 3 4 4 5" xfId="30595"/>
    <cellStyle name="Moeda 3 4 5" xfId="4454"/>
    <cellStyle name="Moeda 3 4 5 2" xfId="7856"/>
    <cellStyle name="Moeda 3 4 5 2 2" xfId="14245"/>
    <cellStyle name="Moeda 3 4 5 2 2 2" xfId="40487"/>
    <cellStyle name="Moeda 3 4 5 2 3" xfId="34101"/>
    <cellStyle name="Moeda 3 4 5 3" xfId="6156"/>
    <cellStyle name="Moeda 3 4 5 3 2" xfId="32401"/>
    <cellStyle name="Moeda 3 4 5 4" xfId="12544"/>
    <cellStyle name="Moeda 3 4 5 4 2" xfId="38786"/>
    <cellStyle name="Moeda 3 4 5 5" xfId="30703"/>
    <cellStyle name="Moeda 3 4 6" xfId="4562"/>
    <cellStyle name="Moeda 3 4 6 2" xfId="7964"/>
    <cellStyle name="Moeda 3 4 6 2 2" xfId="14353"/>
    <cellStyle name="Moeda 3 4 6 2 2 2" xfId="40595"/>
    <cellStyle name="Moeda 3 4 6 2 3" xfId="34209"/>
    <cellStyle name="Moeda 3 4 6 3" xfId="6263"/>
    <cellStyle name="Moeda 3 4 6 3 2" xfId="32508"/>
    <cellStyle name="Moeda 3 4 6 4" xfId="12652"/>
    <cellStyle name="Moeda 3 4 6 4 2" xfId="38894"/>
    <cellStyle name="Moeda 3 4 6 5" xfId="30811"/>
    <cellStyle name="Moeda 3 4 7" xfId="4931"/>
    <cellStyle name="Moeda 3 4 7 2" xfId="8309"/>
    <cellStyle name="Moeda 3 4 7 2 2" xfId="26523"/>
    <cellStyle name="Moeda 3 4 7 2 3" xfId="20609"/>
    <cellStyle name="Moeda 3 4 7 3" xfId="23566"/>
    <cellStyle name="Moeda 3 4 7 4" xfId="17652"/>
    <cellStyle name="Moeda 3 4 8" xfId="6372"/>
    <cellStyle name="Moeda 3 4 8 2" xfId="12761"/>
    <cellStyle name="Moeda 3 4 8 2 2" xfId="39003"/>
    <cellStyle name="Moeda 3 4 8 3" xfId="32617"/>
    <cellStyle name="Moeda 3 4 9" xfId="8064"/>
    <cellStyle name="Moeda 3 4 9 2" xfId="14453"/>
    <cellStyle name="Moeda 3 4 9 2 2" xfId="40695"/>
    <cellStyle name="Moeda 3 4 9 3" xfId="34309"/>
    <cellStyle name="Moeda 3 5" xfId="4254"/>
    <cellStyle name="Moeda 3 5 2" xfId="4330"/>
    <cellStyle name="Moeda 3 5 2 2" xfId="7731"/>
    <cellStyle name="Moeda 3 5 2 2 2" xfId="14120"/>
    <cellStyle name="Moeda 3 5 2 2 2 2" xfId="40362"/>
    <cellStyle name="Moeda 3 5 2 2 3" xfId="33976"/>
    <cellStyle name="Moeda 3 5 2 3" xfId="6031"/>
    <cellStyle name="Moeda 3 5 2 3 2" xfId="32276"/>
    <cellStyle name="Moeda 3 5 2 4" xfId="12419"/>
    <cellStyle name="Moeda 3 5 2 4 2" xfId="38661"/>
    <cellStyle name="Moeda 3 5 2 5" xfId="30579"/>
    <cellStyle name="Moeda 3 5 3" xfId="4438"/>
    <cellStyle name="Moeda 3 5 3 2" xfId="7840"/>
    <cellStyle name="Moeda 3 5 3 2 2" xfId="14229"/>
    <cellStyle name="Moeda 3 5 3 2 2 2" xfId="40471"/>
    <cellStyle name="Moeda 3 5 3 2 3" xfId="34085"/>
    <cellStyle name="Moeda 3 5 3 3" xfId="6140"/>
    <cellStyle name="Moeda 3 5 3 3 2" xfId="32385"/>
    <cellStyle name="Moeda 3 5 3 4" xfId="12528"/>
    <cellStyle name="Moeda 3 5 3 4 2" xfId="38770"/>
    <cellStyle name="Moeda 3 5 3 5" xfId="30687"/>
    <cellStyle name="Moeda 3 5 4" xfId="4546"/>
    <cellStyle name="Moeda 3 5 4 2" xfId="7948"/>
    <cellStyle name="Moeda 3 5 4 2 2" xfId="14337"/>
    <cellStyle name="Moeda 3 5 4 2 2 2" xfId="40579"/>
    <cellStyle name="Moeda 3 5 4 2 3" xfId="34193"/>
    <cellStyle name="Moeda 3 5 4 3" xfId="6247"/>
    <cellStyle name="Moeda 3 5 4 3 2" xfId="32492"/>
    <cellStyle name="Moeda 3 5 4 4" xfId="12636"/>
    <cellStyle name="Moeda 3 5 4 4 2" xfId="38878"/>
    <cellStyle name="Moeda 3 5 4 5" xfId="30795"/>
    <cellStyle name="Moeda 3 5 5" xfId="5955"/>
    <cellStyle name="Moeda 3 5 5 2" xfId="7654"/>
    <cellStyle name="Moeda 3 5 5 2 2" xfId="14043"/>
    <cellStyle name="Moeda 3 5 5 2 2 2" xfId="40285"/>
    <cellStyle name="Moeda 3 5 5 2 3" xfId="33899"/>
    <cellStyle name="Moeda 3 5 5 3" xfId="12342"/>
    <cellStyle name="Moeda 3 5 5 3 2" xfId="38584"/>
    <cellStyle name="Moeda 3 5 5 4" xfId="32200"/>
    <cellStyle name="Moeda 3 5 6" xfId="6356"/>
    <cellStyle name="Moeda 3 5 6 2" xfId="12745"/>
    <cellStyle name="Moeda 3 5 6 2 2" xfId="38987"/>
    <cellStyle name="Moeda 3 5 6 3" xfId="32601"/>
    <cellStyle name="Moeda 3 5 7" xfId="4654"/>
    <cellStyle name="Moeda 3 5 7 2" xfId="30903"/>
    <cellStyle name="Moeda 3 5 8" xfId="11045"/>
    <cellStyle name="Moeda 3 5 8 2" xfId="37287"/>
    <cellStyle name="Moeda 3 5 9" xfId="30503"/>
    <cellStyle name="Moeda 3 6" xfId="4284"/>
    <cellStyle name="Moeda 3 6 2" xfId="4361"/>
    <cellStyle name="Moeda 3 6 2 2" xfId="7762"/>
    <cellStyle name="Moeda 3 6 2 2 2" xfId="14151"/>
    <cellStyle name="Moeda 3 6 2 2 2 2" xfId="40393"/>
    <cellStyle name="Moeda 3 6 2 2 3" xfId="34007"/>
    <cellStyle name="Moeda 3 6 2 3" xfId="6062"/>
    <cellStyle name="Moeda 3 6 2 3 2" xfId="32307"/>
    <cellStyle name="Moeda 3 6 2 4" xfId="12450"/>
    <cellStyle name="Moeda 3 6 2 4 2" xfId="38692"/>
    <cellStyle name="Moeda 3 6 2 5" xfId="30610"/>
    <cellStyle name="Moeda 3 6 3" xfId="4469"/>
    <cellStyle name="Moeda 3 6 3 2" xfId="7871"/>
    <cellStyle name="Moeda 3 6 3 2 2" xfId="14260"/>
    <cellStyle name="Moeda 3 6 3 2 2 2" xfId="40502"/>
    <cellStyle name="Moeda 3 6 3 2 3" xfId="34116"/>
    <cellStyle name="Moeda 3 6 3 3" xfId="6171"/>
    <cellStyle name="Moeda 3 6 3 3 2" xfId="32416"/>
    <cellStyle name="Moeda 3 6 3 4" xfId="12559"/>
    <cellStyle name="Moeda 3 6 3 4 2" xfId="38801"/>
    <cellStyle name="Moeda 3 6 3 5" xfId="30718"/>
    <cellStyle name="Moeda 3 6 4" xfId="4577"/>
    <cellStyle name="Moeda 3 6 4 2" xfId="7979"/>
    <cellStyle name="Moeda 3 6 4 2 2" xfId="14368"/>
    <cellStyle name="Moeda 3 6 4 2 2 2" xfId="40610"/>
    <cellStyle name="Moeda 3 6 4 2 3" xfId="34224"/>
    <cellStyle name="Moeda 3 6 4 3" xfId="6278"/>
    <cellStyle name="Moeda 3 6 4 3 2" xfId="32523"/>
    <cellStyle name="Moeda 3 6 4 4" xfId="12667"/>
    <cellStyle name="Moeda 3 6 4 4 2" xfId="38909"/>
    <cellStyle name="Moeda 3 6 4 5" xfId="30826"/>
    <cellStyle name="Moeda 3 6 5" xfId="5985"/>
    <cellStyle name="Moeda 3 6 5 2" xfId="7685"/>
    <cellStyle name="Moeda 3 6 5 2 2" xfId="14074"/>
    <cellStyle name="Moeda 3 6 5 2 2 2" xfId="40316"/>
    <cellStyle name="Moeda 3 6 5 2 3" xfId="33930"/>
    <cellStyle name="Moeda 3 6 5 3" xfId="12373"/>
    <cellStyle name="Moeda 3 6 5 3 2" xfId="38615"/>
    <cellStyle name="Moeda 3 6 5 4" xfId="32230"/>
    <cellStyle name="Moeda 3 6 6" xfId="6387"/>
    <cellStyle name="Moeda 3 6 6 2" xfId="12776"/>
    <cellStyle name="Moeda 3 6 6 2 2" xfId="39018"/>
    <cellStyle name="Moeda 3 6 6 3" xfId="32632"/>
    <cellStyle name="Moeda 3 6 7" xfId="4684"/>
    <cellStyle name="Moeda 3 6 7 2" xfId="30933"/>
    <cellStyle name="Moeda 3 6 8" xfId="11075"/>
    <cellStyle name="Moeda 3 6 8 2" xfId="37317"/>
    <cellStyle name="Moeda 3 6 9" xfId="30533"/>
    <cellStyle name="Moeda 3 7" xfId="4248"/>
    <cellStyle name="Moeda 3 7 2" xfId="4324"/>
    <cellStyle name="Moeda 3 7 2 2" xfId="7725"/>
    <cellStyle name="Moeda 3 7 2 2 2" xfId="14114"/>
    <cellStyle name="Moeda 3 7 2 2 2 2" xfId="40356"/>
    <cellStyle name="Moeda 3 7 2 2 3" xfId="33970"/>
    <cellStyle name="Moeda 3 7 2 3" xfId="6025"/>
    <cellStyle name="Moeda 3 7 2 3 2" xfId="32270"/>
    <cellStyle name="Moeda 3 7 2 4" xfId="12413"/>
    <cellStyle name="Moeda 3 7 2 4 2" xfId="38655"/>
    <cellStyle name="Moeda 3 7 2 5" xfId="30573"/>
    <cellStyle name="Moeda 3 7 3" xfId="4432"/>
    <cellStyle name="Moeda 3 7 3 2" xfId="7834"/>
    <cellStyle name="Moeda 3 7 3 2 2" xfId="14223"/>
    <cellStyle name="Moeda 3 7 3 2 2 2" xfId="40465"/>
    <cellStyle name="Moeda 3 7 3 2 3" xfId="34079"/>
    <cellStyle name="Moeda 3 7 3 3" xfId="6134"/>
    <cellStyle name="Moeda 3 7 3 3 2" xfId="32379"/>
    <cellStyle name="Moeda 3 7 3 4" xfId="12522"/>
    <cellStyle name="Moeda 3 7 3 4 2" xfId="38764"/>
    <cellStyle name="Moeda 3 7 3 5" xfId="30681"/>
    <cellStyle name="Moeda 3 7 4" xfId="4540"/>
    <cellStyle name="Moeda 3 7 4 2" xfId="7942"/>
    <cellStyle name="Moeda 3 7 4 2 2" xfId="14331"/>
    <cellStyle name="Moeda 3 7 4 2 2 2" xfId="40573"/>
    <cellStyle name="Moeda 3 7 4 2 3" xfId="34187"/>
    <cellStyle name="Moeda 3 7 4 3" xfId="6241"/>
    <cellStyle name="Moeda 3 7 4 3 2" xfId="32486"/>
    <cellStyle name="Moeda 3 7 4 4" xfId="12630"/>
    <cellStyle name="Moeda 3 7 4 4 2" xfId="38872"/>
    <cellStyle name="Moeda 3 7 4 5" xfId="30789"/>
    <cellStyle name="Moeda 3 7 5" xfId="5949"/>
    <cellStyle name="Moeda 3 7 5 2" xfId="7648"/>
    <cellStyle name="Moeda 3 7 5 2 2" xfId="14037"/>
    <cellStyle name="Moeda 3 7 5 2 2 2" xfId="40279"/>
    <cellStyle name="Moeda 3 7 5 2 3" xfId="33893"/>
    <cellStyle name="Moeda 3 7 5 3" xfId="12336"/>
    <cellStyle name="Moeda 3 7 5 3 2" xfId="38578"/>
    <cellStyle name="Moeda 3 7 5 4" xfId="32194"/>
    <cellStyle name="Moeda 3 7 6" xfId="6350"/>
    <cellStyle name="Moeda 3 7 6 2" xfId="12739"/>
    <cellStyle name="Moeda 3 7 6 2 2" xfId="38981"/>
    <cellStyle name="Moeda 3 7 6 3" xfId="32595"/>
    <cellStyle name="Moeda 3 7 7" xfId="4648"/>
    <cellStyle name="Moeda 3 7 7 2" xfId="30897"/>
    <cellStyle name="Moeda 3 7 8" xfId="11039"/>
    <cellStyle name="Moeda 3 7 8 2" xfId="37281"/>
    <cellStyle name="Moeda 3 7 9" xfId="30497"/>
    <cellStyle name="Moeda 3 8" xfId="4289"/>
    <cellStyle name="Moeda 3 8 2" xfId="4366"/>
    <cellStyle name="Moeda 3 8 2 2" xfId="7767"/>
    <cellStyle name="Moeda 3 8 2 2 2" xfId="14156"/>
    <cellStyle name="Moeda 3 8 2 2 2 2" xfId="40398"/>
    <cellStyle name="Moeda 3 8 2 2 3" xfId="34012"/>
    <cellStyle name="Moeda 3 8 2 3" xfId="6067"/>
    <cellStyle name="Moeda 3 8 2 3 2" xfId="32312"/>
    <cellStyle name="Moeda 3 8 2 4" xfId="12455"/>
    <cellStyle name="Moeda 3 8 2 4 2" xfId="38697"/>
    <cellStyle name="Moeda 3 8 2 5" xfId="30615"/>
    <cellStyle name="Moeda 3 8 3" xfId="4474"/>
    <cellStyle name="Moeda 3 8 3 2" xfId="7876"/>
    <cellStyle name="Moeda 3 8 3 2 2" xfId="14265"/>
    <cellStyle name="Moeda 3 8 3 2 2 2" xfId="40507"/>
    <cellStyle name="Moeda 3 8 3 2 3" xfId="34121"/>
    <cellStyle name="Moeda 3 8 3 3" xfId="6176"/>
    <cellStyle name="Moeda 3 8 3 3 2" xfId="32421"/>
    <cellStyle name="Moeda 3 8 3 4" xfId="12564"/>
    <cellStyle name="Moeda 3 8 3 4 2" xfId="38806"/>
    <cellStyle name="Moeda 3 8 3 5" xfId="30723"/>
    <cellStyle name="Moeda 3 8 4" xfId="4582"/>
    <cellStyle name="Moeda 3 8 4 2" xfId="7984"/>
    <cellStyle name="Moeda 3 8 4 2 2" xfId="14373"/>
    <cellStyle name="Moeda 3 8 4 2 2 2" xfId="40615"/>
    <cellStyle name="Moeda 3 8 4 2 3" xfId="34229"/>
    <cellStyle name="Moeda 3 8 4 3" xfId="6283"/>
    <cellStyle name="Moeda 3 8 4 3 2" xfId="32528"/>
    <cellStyle name="Moeda 3 8 4 4" xfId="12672"/>
    <cellStyle name="Moeda 3 8 4 4 2" xfId="38914"/>
    <cellStyle name="Moeda 3 8 4 5" xfId="30831"/>
    <cellStyle name="Moeda 3 8 5" xfId="5990"/>
    <cellStyle name="Moeda 3 8 5 2" xfId="7690"/>
    <cellStyle name="Moeda 3 8 5 2 2" xfId="14079"/>
    <cellStyle name="Moeda 3 8 5 2 2 2" xfId="40321"/>
    <cellStyle name="Moeda 3 8 5 2 3" xfId="33935"/>
    <cellStyle name="Moeda 3 8 5 3" xfId="12378"/>
    <cellStyle name="Moeda 3 8 5 3 2" xfId="38620"/>
    <cellStyle name="Moeda 3 8 5 4" xfId="32235"/>
    <cellStyle name="Moeda 3 8 6" xfId="6392"/>
    <cellStyle name="Moeda 3 8 6 2" xfId="12781"/>
    <cellStyle name="Moeda 3 8 6 2 2" xfId="39023"/>
    <cellStyle name="Moeda 3 8 6 3" xfId="32637"/>
    <cellStyle name="Moeda 3 8 7" xfId="4689"/>
    <cellStyle name="Moeda 3 8 7 2" xfId="30938"/>
    <cellStyle name="Moeda 3 8 8" xfId="11080"/>
    <cellStyle name="Moeda 3 8 8 2" xfId="37322"/>
    <cellStyle name="Moeda 3 8 9" xfId="30538"/>
    <cellStyle name="Moeda 3 9" xfId="4242"/>
    <cellStyle name="Moeda 3 9 2" xfId="4398"/>
    <cellStyle name="Moeda 3 9 2 2" xfId="7799"/>
    <cellStyle name="Moeda 3 9 2 2 2" xfId="14188"/>
    <cellStyle name="Moeda 3 9 2 2 2 2" xfId="40430"/>
    <cellStyle name="Moeda 3 9 2 2 3" xfId="34044"/>
    <cellStyle name="Moeda 3 9 2 3" xfId="6099"/>
    <cellStyle name="Moeda 3 9 2 3 2" xfId="32344"/>
    <cellStyle name="Moeda 3 9 2 4" xfId="12487"/>
    <cellStyle name="Moeda 3 9 2 4 2" xfId="38729"/>
    <cellStyle name="Moeda 3 9 2 5" xfId="30647"/>
    <cellStyle name="Moeda 3 9 3" xfId="4506"/>
    <cellStyle name="Moeda 3 9 3 2" xfId="7908"/>
    <cellStyle name="Moeda 3 9 3 2 2" xfId="14297"/>
    <cellStyle name="Moeda 3 9 3 2 2 2" xfId="40539"/>
    <cellStyle name="Moeda 3 9 3 2 3" xfId="34153"/>
    <cellStyle name="Moeda 3 9 3 3" xfId="6207"/>
    <cellStyle name="Moeda 3 9 3 3 2" xfId="32452"/>
    <cellStyle name="Moeda 3 9 3 4" xfId="12596"/>
    <cellStyle name="Moeda 3 9 3 4 2" xfId="38838"/>
    <cellStyle name="Moeda 3 9 3 5" xfId="30755"/>
    <cellStyle name="Moeda 3 9 4" xfId="4614"/>
    <cellStyle name="Moeda 3 9 4 2" xfId="8016"/>
    <cellStyle name="Moeda 3 9 4 2 2" xfId="14405"/>
    <cellStyle name="Moeda 3 9 4 2 2 2" xfId="40647"/>
    <cellStyle name="Moeda 3 9 4 2 3" xfId="34261"/>
    <cellStyle name="Moeda 3 9 4 3" xfId="6315"/>
    <cellStyle name="Moeda 3 9 4 3 2" xfId="32560"/>
    <cellStyle name="Moeda 3 9 4 4" xfId="12704"/>
    <cellStyle name="Moeda 3 9 4 4 2" xfId="38946"/>
    <cellStyle name="Moeda 3 9 4 5" xfId="30863"/>
    <cellStyle name="Moeda 3 9 5" xfId="5945"/>
    <cellStyle name="Moeda 3 9 5 2" xfId="7644"/>
    <cellStyle name="Moeda 3 9 5 2 2" xfId="14033"/>
    <cellStyle name="Moeda 3 9 5 2 2 2" xfId="40275"/>
    <cellStyle name="Moeda 3 9 5 2 3" xfId="33889"/>
    <cellStyle name="Moeda 3 9 5 3" xfId="12332"/>
    <cellStyle name="Moeda 3 9 5 3 2" xfId="38574"/>
    <cellStyle name="Moeda 3 9 5 4" xfId="32190"/>
    <cellStyle name="Moeda 3 9 6" xfId="6424"/>
    <cellStyle name="Moeda 3 9 6 2" xfId="12813"/>
    <cellStyle name="Moeda 3 9 6 2 2" xfId="39055"/>
    <cellStyle name="Moeda 3 9 6 3" xfId="32669"/>
    <cellStyle name="Moeda 3 9 7" xfId="4721"/>
    <cellStyle name="Moeda 3 9 7 2" xfId="30970"/>
    <cellStyle name="Moeda 3 9 8" xfId="11112"/>
    <cellStyle name="Moeda 3 9 8 2" xfId="37354"/>
    <cellStyle name="Moeda 3 9 9" xfId="30493"/>
    <cellStyle name="Moeda 4" xfId="22"/>
    <cellStyle name="Moeda 4 10" xfId="8051"/>
    <cellStyle name="Moeda 4 10 2" xfId="14440"/>
    <cellStyle name="Moeda 4 10 2 2" xfId="40682"/>
    <cellStyle name="Moeda 4 10 3" xfId="34296"/>
    <cellStyle name="Moeda 4 11" xfId="4657"/>
    <cellStyle name="Moeda 4 11 2" xfId="30906"/>
    <cellStyle name="Moeda 4 12" xfId="11048"/>
    <cellStyle name="Moeda 4 12 2" xfId="37290"/>
    <cellStyle name="Moeda 4 13" xfId="248"/>
    <cellStyle name="Moeda 4 13 2" xfId="29356"/>
    <cellStyle name="Moeda 4 14" xfId="29269"/>
    <cellStyle name="Moeda 4 2" xfId="45"/>
    <cellStyle name="Moeda 4 2 10" xfId="4672"/>
    <cellStyle name="Moeda 4 2 10 2" xfId="30921"/>
    <cellStyle name="Moeda 4 2 11" xfId="11063"/>
    <cellStyle name="Moeda 4 2 11 2" xfId="37305"/>
    <cellStyle name="Moeda 4 2 12" xfId="2040"/>
    <cellStyle name="Moeda 4 2 12 2" xfId="29874"/>
    <cellStyle name="Moeda 4 2 13" xfId="29291"/>
    <cellStyle name="Moeda 4 2 2" xfId="4307"/>
    <cellStyle name="Moeda 4 2 2 2" xfId="4384"/>
    <cellStyle name="Moeda 4 2 2 2 2" xfId="7785"/>
    <cellStyle name="Moeda 4 2 2 2 2 2" xfId="14174"/>
    <cellStyle name="Moeda 4 2 2 2 2 2 2" xfId="40416"/>
    <cellStyle name="Moeda 4 2 2 2 2 3" xfId="34030"/>
    <cellStyle name="Moeda 4 2 2 2 3" xfId="6085"/>
    <cellStyle name="Moeda 4 2 2 2 3 2" xfId="32330"/>
    <cellStyle name="Moeda 4 2 2 2 4" xfId="12473"/>
    <cellStyle name="Moeda 4 2 2 2 4 2" xfId="38715"/>
    <cellStyle name="Moeda 4 2 2 2 5" xfId="30633"/>
    <cellStyle name="Moeda 4 2 2 3" xfId="4492"/>
    <cellStyle name="Moeda 4 2 2 3 2" xfId="7894"/>
    <cellStyle name="Moeda 4 2 2 3 2 2" xfId="14283"/>
    <cellStyle name="Moeda 4 2 2 3 2 2 2" xfId="40525"/>
    <cellStyle name="Moeda 4 2 2 3 2 3" xfId="34139"/>
    <cellStyle name="Moeda 4 2 2 3 3" xfId="6194"/>
    <cellStyle name="Moeda 4 2 2 3 3 2" xfId="32439"/>
    <cellStyle name="Moeda 4 2 2 3 4" xfId="12582"/>
    <cellStyle name="Moeda 4 2 2 3 4 2" xfId="38824"/>
    <cellStyle name="Moeda 4 2 2 3 5" xfId="30741"/>
    <cellStyle name="Moeda 4 2 2 4" xfId="4600"/>
    <cellStyle name="Moeda 4 2 2 4 2" xfId="8002"/>
    <cellStyle name="Moeda 4 2 2 4 2 2" xfId="14391"/>
    <cellStyle name="Moeda 4 2 2 4 2 2 2" xfId="40633"/>
    <cellStyle name="Moeda 4 2 2 4 2 3" xfId="34247"/>
    <cellStyle name="Moeda 4 2 2 4 3" xfId="6301"/>
    <cellStyle name="Moeda 4 2 2 4 3 2" xfId="32546"/>
    <cellStyle name="Moeda 4 2 2 4 4" xfId="12690"/>
    <cellStyle name="Moeda 4 2 2 4 4 2" xfId="38932"/>
    <cellStyle name="Moeda 4 2 2 4 5" xfId="30849"/>
    <cellStyle name="Moeda 4 2 2 5" xfId="6008"/>
    <cellStyle name="Moeda 4 2 2 5 2" xfId="7708"/>
    <cellStyle name="Moeda 4 2 2 5 2 2" xfId="14097"/>
    <cellStyle name="Moeda 4 2 2 5 2 2 2" xfId="40339"/>
    <cellStyle name="Moeda 4 2 2 5 2 3" xfId="33953"/>
    <cellStyle name="Moeda 4 2 2 5 3" xfId="12396"/>
    <cellStyle name="Moeda 4 2 2 5 3 2" xfId="38638"/>
    <cellStyle name="Moeda 4 2 2 5 4" xfId="32253"/>
    <cellStyle name="Moeda 4 2 2 6" xfId="6410"/>
    <cellStyle name="Moeda 4 2 2 6 2" xfId="12799"/>
    <cellStyle name="Moeda 4 2 2 6 2 2" xfId="39041"/>
    <cellStyle name="Moeda 4 2 2 6 3" xfId="32655"/>
    <cellStyle name="Moeda 4 2 2 7" xfId="4707"/>
    <cellStyle name="Moeda 4 2 2 7 2" xfId="30956"/>
    <cellStyle name="Moeda 4 2 2 8" xfId="11098"/>
    <cellStyle name="Moeda 4 2 2 8 2" xfId="37340"/>
    <cellStyle name="Moeda 4 2 2 9" xfId="30556"/>
    <cellStyle name="Moeda 4 2 3" xfId="4272"/>
    <cellStyle name="Moeda 4 2 3 2" xfId="4416"/>
    <cellStyle name="Moeda 4 2 3 2 2" xfId="7818"/>
    <cellStyle name="Moeda 4 2 3 2 2 2" xfId="14207"/>
    <cellStyle name="Moeda 4 2 3 2 2 2 2" xfId="40449"/>
    <cellStyle name="Moeda 4 2 3 2 2 3" xfId="34063"/>
    <cellStyle name="Moeda 4 2 3 2 3" xfId="6118"/>
    <cellStyle name="Moeda 4 2 3 2 3 2" xfId="32363"/>
    <cellStyle name="Moeda 4 2 3 2 4" xfId="12506"/>
    <cellStyle name="Moeda 4 2 3 2 4 2" xfId="38748"/>
    <cellStyle name="Moeda 4 2 3 2 5" xfId="30665"/>
    <cellStyle name="Moeda 4 2 3 3" xfId="4524"/>
    <cellStyle name="Moeda 4 2 3 3 2" xfId="7926"/>
    <cellStyle name="Moeda 4 2 3 3 2 2" xfId="14315"/>
    <cellStyle name="Moeda 4 2 3 3 2 2 2" xfId="40557"/>
    <cellStyle name="Moeda 4 2 3 3 2 3" xfId="34171"/>
    <cellStyle name="Moeda 4 2 3 3 3" xfId="6225"/>
    <cellStyle name="Moeda 4 2 3 3 3 2" xfId="32470"/>
    <cellStyle name="Moeda 4 2 3 3 4" xfId="12614"/>
    <cellStyle name="Moeda 4 2 3 3 4 2" xfId="38856"/>
    <cellStyle name="Moeda 4 2 3 3 5" xfId="30773"/>
    <cellStyle name="Moeda 4 2 3 4" xfId="4632"/>
    <cellStyle name="Moeda 4 2 3 4 2" xfId="8035"/>
    <cellStyle name="Moeda 4 2 3 4 2 2" xfId="14424"/>
    <cellStyle name="Moeda 4 2 3 4 2 2 2" xfId="40666"/>
    <cellStyle name="Moeda 4 2 3 4 2 3" xfId="34280"/>
    <cellStyle name="Moeda 4 2 3 4 3" xfId="6334"/>
    <cellStyle name="Moeda 4 2 3 4 3 2" xfId="32579"/>
    <cellStyle name="Moeda 4 2 3 4 4" xfId="12723"/>
    <cellStyle name="Moeda 4 2 3 4 4 2" xfId="38965"/>
    <cellStyle name="Moeda 4 2 3 4 5" xfId="30881"/>
    <cellStyle name="Moeda 4 2 3 5" xfId="5973"/>
    <cellStyle name="Moeda 4 2 3 5 2" xfId="7673"/>
    <cellStyle name="Moeda 4 2 3 5 2 2" xfId="14062"/>
    <cellStyle name="Moeda 4 2 3 5 2 2 2" xfId="40304"/>
    <cellStyle name="Moeda 4 2 3 5 2 3" xfId="33918"/>
    <cellStyle name="Moeda 4 2 3 5 3" xfId="12361"/>
    <cellStyle name="Moeda 4 2 3 5 3 2" xfId="38603"/>
    <cellStyle name="Moeda 4 2 3 5 4" xfId="32218"/>
    <cellStyle name="Moeda 4 2 3 6" xfId="6443"/>
    <cellStyle name="Moeda 4 2 3 6 2" xfId="12832"/>
    <cellStyle name="Moeda 4 2 3 6 2 2" xfId="39074"/>
    <cellStyle name="Moeda 4 2 3 6 3" xfId="32688"/>
    <cellStyle name="Moeda 4 2 3 7" xfId="4740"/>
    <cellStyle name="Moeda 4 2 3 7 2" xfId="30989"/>
    <cellStyle name="Moeda 4 2 3 8" xfId="11131"/>
    <cellStyle name="Moeda 4 2 3 8 2" xfId="37373"/>
    <cellStyle name="Moeda 4 2 3 9" xfId="30521"/>
    <cellStyle name="Moeda 4 2 4" xfId="4349"/>
    <cellStyle name="Moeda 4 2 4 2" xfId="7750"/>
    <cellStyle name="Moeda 4 2 4 2 2" xfId="14139"/>
    <cellStyle name="Moeda 4 2 4 2 2 2" xfId="40381"/>
    <cellStyle name="Moeda 4 2 4 2 3" xfId="33995"/>
    <cellStyle name="Moeda 4 2 4 3" xfId="6050"/>
    <cellStyle name="Moeda 4 2 4 3 2" xfId="32295"/>
    <cellStyle name="Moeda 4 2 4 4" xfId="12438"/>
    <cellStyle name="Moeda 4 2 4 4 2" xfId="38680"/>
    <cellStyle name="Moeda 4 2 4 5" xfId="30598"/>
    <cellStyle name="Moeda 4 2 5" xfId="4457"/>
    <cellStyle name="Moeda 4 2 5 2" xfId="7859"/>
    <cellStyle name="Moeda 4 2 5 2 2" xfId="14248"/>
    <cellStyle name="Moeda 4 2 5 2 2 2" xfId="40490"/>
    <cellStyle name="Moeda 4 2 5 2 3" xfId="34104"/>
    <cellStyle name="Moeda 4 2 5 3" xfId="6159"/>
    <cellStyle name="Moeda 4 2 5 3 2" xfId="32404"/>
    <cellStyle name="Moeda 4 2 5 4" xfId="12547"/>
    <cellStyle name="Moeda 4 2 5 4 2" xfId="38789"/>
    <cellStyle name="Moeda 4 2 5 5" xfId="30706"/>
    <cellStyle name="Moeda 4 2 6" xfId="4565"/>
    <cellStyle name="Moeda 4 2 6 2" xfId="7967"/>
    <cellStyle name="Moeda 4 2 6 2 2" xfId="14356"/>
    <cellStyle name="Moeda 4 2 6 2 2 2" xfId="40598"/>
    <cellStyle name="Moeda 4 2 6 2 3" xfId="34212"/>
    <cellStyle name="Moeda 4 2 6 3" xfId="6266"/>
    <cellStyle name="Moeda 4 2 6 3 2" xfId="32511"/>
    <cellStyle name="Moeda 4 2 6 4" xfId="12655"/>
    <cellStyle name="Moeda 4 2 6 4 2" xfId="38897"/>
    <cellStyle name="Moeda 4 2 6 5" xfId="30814"/>
    <cellStyle name="Moeda 4 2 7" xfId="5327"/>
    <cellStyle name="Moeda 4 2 7 2" xfId="7026"/>
    <cellStyle name="Moeda 4 2 7 2 2" xfId="13415"/>
    <cellStyle name="Moeda 4 2 7 2 2 2" xfId="39657"/>
    <cellStyle name="Moeda 4 2 7 2 3" xfId="33271"/>
    <cellStyle name="Moeda 4 2 7 3" xfId="11714"/>
    <cellStyle name="Moeda 4 2 7 3 2" xfId="37956"/>
    <cellStyle name="Moeda 4 2 7 4" xfId="31572"/>
    <cellStyle name="Moeda 4 2 8" xfId="6375"/>
    <cellStyle name="Moeda 4 2 8 2" xfId="12764"/>
    <cellStyle name="Moeda 4 2 8 2 2" xfId="39006"/>
    <cellStyle name="Moeda 4 2 8 3" xfId="32620"/>
    <cellStyle name="Moeda 4 2 9" xfId="8067"/>
    <cellStyle name="Moeda 4 2 9 2" xfId="14456"/>
    <cellStyle name="Moeda 4 2 9 2 2" xfId="40698"/>
    <cellStyle name="Moeda 4 2 9 3" xfId="34312"/>
    <cellStyle name="Moeda 4 3" xfId="4292"/>
    <cellStyle name="Moeda 4 3 2" xfId="4369"/>
    <cellStyle name="Moeda 4 3 2 2" xfId="7770"/>
    <cellStyle name="Moeda 4 3 2 2 2" xfId="14159"/>
    <cellStyle name="Moeda 4 3 2 2 2 2" xfId="40401"/>
    <cellStyle name="Moeda 4 3 2 2 3" xfId="34015"/>
    <cellStyle name="Moeda 4 3 2 3" xfId="6070"/>
    <cellStyle name="Moeda 4 3 2 3 2" xfId="32315"/>
    <cellStyle name="Moeda 4 3 2 4" xfId="12458"/>
    <cellStyle name="Moeda 4 3 2 4 2" xfId="38700"/>
    <cellStyle name="Moeda 4 3 2 5" xfId="30618"/>
    <cellStyle name="Moeda 4 3 3" xfId="4477"/>
    <cellStyle name="Moeda 4 3 3 2" xfId="7879"/>
    <cellStyle name="Moeda 4 3 3 2 2" xfId="14268"/>
    <cellStyle name="Moeda 4 3 3 2 2 2" xfId="40510"/>
    <cellStyle name="Moeda 4 3 3 2 3" xfId="34124"/>
    <cellStyle name="Moeda 4 3 3 3" xfId="6179"/>
    <cellStyle name="Moeda 4 3 3 3 2" xfId="32424"/>
    <cellStyle name="Moeda 4 3 3 4" xfId="12567"/>
    <cellStyle name="Moeda 4 3 3 4 2" xfId="38809"/>
    <cellStyle name="Moeda 4 3 3 5" xfId="30726"/>
    <cellStyle name="Moeda 4 3 4" xfId="4585"/>
    <cellStyle name="Moeda 4 3 4 2" xfId="7987"/>
    <cellStyle name="Moeda 4 3 4 2 2" xfId="14376"/>
    <cellStyle name="Moeda 4 3 4 2 2 2" xfId="40618"/>
    <cellStyle name="Moeda 4 3 4 2 3" xfId="34232"/>
    <cellStyle name="Moeda 4 3 4 3" xfId="6286"/>
    <cellStyle name="Moeda 4 3 4 3 2" xfId="32531"/>
    <cellStyle name="Moeda 4 3 4 4" xfId="12675"/>
    <cellStyle name="Moeda 4 3 4 4 2" xfId="38917"/>
    <cellStyle name="Moeda 4 3 4 5" xfId="30834"/>
    <cellStyle name="Moeda 4 3 5" xfId="5993"/>
    <cellStyle name="Moeda 4 3 5 2" xfId="7693"/>
    <cellStyle name="Moeda 4 3 5 2 2" xfId="14082"/>
    <cellStyle name="Moeda 4 3 5 2 2 2" xfId="40324"/>
    <cellStyle name="Moeda 4 3 5 2 3" xfId="33938"/>
    <cellStyle name="Moeda 4 3 5 3" xfId="12381"/>
    <cellStyle name="Moeda 4 3 5 3 2" xfId="38623"/>
    <cellStyle name="Moeda 4 3 5 4" xfId="32238"/>
    <cellStyle name="Moeda 4 3 6" xfId="6395"/>
    <cellStyle name="Moeda 4 3 6 2" xfId="12784"/>
    <cellStyle name="Moeda 4 3 6 2 2" xfId="39026"/>
    <cellStyle name="Moeda 4 3 6 3" xfId="32640"/>
    <cellStyle name="Moeda 4 3 7" xfId="4692"/>
    <cellStyle name="Moeda 4 3 7 2" xfId="30941"/>
    <cellStyle name="Moeda 4 3 8" xfId="11083"/>
    <cellStyle name="Moeda 4 3 8 2" xfId="37325"/>
    <cellStyle name="Moeda 4 3 9" xfId="30541"/>
    <cellStyle name="Moeda 4 4" xfId="4257"/>
    <cellStyle name="Moeda 4 4 2" xfId="4401"/>
    <cellStyle name="Moeda 4 4 2 2" xfId="7802"/>
    <cellStyle name="Moeda 4 4 2 2 2" xfId="14191"/>
    <cellStyle name="Moeda 4 4 2 2 2 2" xfId="40433"/>
    <cellStyle name="Moeda 4 4 2 2 3" xfId="34047"/>
    <cellStyle name="Moeda 4 4 2 3" xfId="6102"/>
    <cellStyle name="Moeda 4 4 2 3 2" xfId="32347"/>
    <cellStyle name="Moeda 4 4 2 4" xfId="12490"/>
    <cellStyle name="Moeda 4 4 2 4 2" xfId="38732"/>
    <cellStyle name="Moeda 4 4 2 5" xfId="30650"/>
    <cellStyle name="Moeda 4 4 3" xfId="4509"/>
    <cellStyle name="Moeda 4 4 3 2" xfId="7911"/>
    <cellStyle name="Moeda 4 4 3 2 2" xfId="14300"/>
    <cellStyle name="Moeda 4 4 3 2 2 2" xfId="40542"/>
    <cellStyle name="Moeda 4 4 3 2 3" xfId="34156"/>
    <cellStyle name="Moeda 4 4 3 3" xfId="6210"/>
    <cellStyle name="Moeda 4 4 3 3 2" xfId="32455"/>
    <cellStyle name="Moeda 4 4 3 4" xfId="12599"/>
    <cellStyle name="Moeda 4 4 3 4 2" xfId="38841"/>
    <cellStyle name="Moeda 4 4 3 5" xfId="30758"/>
    <cellStyle name="Moeda 4 4 4" xfId="4617"/>
    <cellStyle name="Moeda 4 4 4 2" xfId="8019"/>
    <cellStyle name="Moeda 4 4 4 2 2" xfId="14408"/>
    <cellStyle name="Moeda 4 4 4 2 2 2" xfId="40650"/>
    <cellStyle name="Moeda 4 4 4 2 3" xfId="34264"/>
    <cellStyle name="Moeda 4 4 4 3" xfId="6318"/>
    <cellStyle name="Moeda 4 4 4 3 2" xfId="32563"/>
    <cellStyle name="Moeda 4 4 4 4" xfId="12707"/>
    <cellStyle name="Moeda 4 4 4 4 2" xfId="38949"/>
    <cellStyle name="Moeda 4 4 4 5" xfId="30866"/>
    <cellStyle name="Moeda 4 4 5" xfId="30506"/>
    <cellStyle name="Moeda 4 4 5 2" xfId="7657"/>
    <cellStyle name="Moeda 4 4 5 2 2" xfId="14046"/>
    <cellStyle name="Moeda 4 4 5 2 2 2" xfId="40288"/>
    <cellStyle name="Moeda 4 4 5 2 3" xfId="33902"/>
    <cellStyle name="Moeda 4 4 5 3" xfId="12345"/>
    <cellStyle name="Moeda 4 4 5 3 2" xfId="38587"/>
    <cellStyle name="Moeda 4 4 6" xfId="6427"/>
    <cellStyle name="Moeda 4 4 6 2" xfId="12816"/>
    <cellStyle name="Moeda 4 4 6 2 2" xfId="39058"/>
    <cellStyle name="Moeda 4 4 6 3" xfId="32672"/>
    <cellStyle name="Moeda 4 4 7" xfId="4724"/>
    <cellStyle name="Moeda 4 4 7 2" xfId="30973"/>
    <cellStyle name="Moeda 4 4 8" xfId="11115"/>
    <cellStyle name="Moeda 4 4 8 2" xfId="37357"/>
    <cellStyle name="Moeda 4 5" xfId="4333"/>
    <cellStyle name="Moeda 4 5 2" xfId="7734"/>
    <cellStyle name="Moeda 4 5 2 2" xfId="14123"/>
    <cellStyle name="Moeda 4 5 2 2 2" xfId="40365"/>
    <cellStyle name="Moeda 4 5 2 3" xfId="33979"/>
    <cellStyle name="Moeda 4 5 3" xfId="6034"/>
    <cellStyle name="Moeda 4 5 3 2" xfId="32279"/>
    <cellStyle name="Moeda 4 5 4" xfId="12422"/>
    <cellStyle name="Moeda 4 5 4 2" xfId="38664"/>
    <cellStyle name="Moeda 4 5 5" xfId="30582"/>
    <cellStyle name="Moeda 4 6" xfId="4441"/>
    <cellStyle name="Moeda 4 6 2" xfId="7843"/>
    <cellStyle name="Moeda 4 6 2 2" xfId="14232"/>
    <cellStyle name="Moeda 4 6 2 2 2" xfId="40474"/>
    <cellStyle name="Moeda 4 6 2 3" xfId="34088"/>
    <cellStyle name="Moeda 4 6 3" xfId="6143"/>
    <cellStyle name="Moeda 4 6 3 2" xfId="32388"/>
    <cellStyle name="Moeda 4 6 4" xfId="12531"/>
    <cellStyle name="Moeda 4 6 4 2" xfId="38773"/>
    <cellStyle name="Moeda 4 6 5" xfId="30690"/>
    <cellStyle name="Moeda 4 7" xfId="4549"/>
    <cellStyle name="Moeda 4 7 2" xfId="7951"/>
    <cellStyle name="Moeda 4 7 2 2" xfId="14340"/>
    <cellStyle name="Moeda 4 7 2 2 2" xfId="40582"/>
    <cellStyle name="Moeda 4 7 2 3" xfId="34196"/>
    <cellStyle name="Moeda 4 7 3" xfId="6250"/>
    <cellStyle name="Moeda 4 7 3 2" xfId="32495"/>
    <cellStyle name="Moeda 4 7 4" xfId="12639"/>
    <cellStyle name="Moeda 4 7 4 2" xfId="38881"/>
    <cellStyle name="Moeda 4 7 5" xfId="30798"/>
    <cellStyle name="Moeda 4 8" xfId="4806"/>
    <cellStyle name="Moeda 4 8 2" xfId="6507"/>
    <cellStyle name="Moeda 4 8 2 2" xfId="12896"/>
    <cellStyle name="Moeda 4 8 2 2 2" xfId="39138"/>
    <cellStyle name="Moeda 4 8 2 3" xfId="32752"/>
    <cellStyle name="Moeda 4 8 3" xfId="11195"/>
    <cellStyle name="Moeda 4 8 3 2" xfId="37437"/>
    <cellStyle name="Moeda 4 8 4" xfId="31053"/>
    <cellStyle name="Moeda 4 9" xfId="6359"/>
    <cellStyle name="Moeda 4 9 2" xfId="12748"/>
    <cellStyle name="Moeda 4 9 2 2" xfId="38990"/>
    <cellStyle name="Moeda 4 9 3" xfId="32604"/>
    <cellStyle name="Moeda 5" xfId="29"/>
    <cellStyle name="Moeda 5 10" xfId="8056"/>
    <cellStyle name="Moeda 5 10 2" xfId="14445"/>
    <cellStyle name="Moeda 5 10 2 2" xfId="40687"/>
    <cellStyle name="Moeda 5 10 3" xfId="34301"/>
    <cellStyle name="Moeda 5 11" xfId="4662"/>
    <cellStyle name="Moeda 5 11 2" xfId="30911"/>
    <cellStyle name="Moeda 5 12" xfId="11053"/>
    <cellStyle name="Moeda 5 12 2" xfId="37295"/>
    <cellStyle name="Moeda 5 13" xfId="154"/>
    <cellStyle name="Moeda 5 13 2" xfId="29326"/>
    <cellStyle name="Moeda 5 14" xfId="29275"/>
    <cellStyle name="Moeda 5 2" xfId="51"/>
    <cellStyle name="Moeda 5 2 10" xfId="4677"/>
    <cellStyle name="Moeda 5 2 10 2" xfId="30926"/>
    <cellStyle name="Moeda 5 2 11" xfId="11068"/>
    <cellStyle name="Moeda 5 2 11 2" xfId="37310"/>
    <cellStyle name="Moeda 5 2 12" xfId="343"/>
    <cellStyle name="Moeda 5 2 12 2" xfId="29386"/>
    <cellStyle name="Moeda 5 2 13" xfId="29297"/>
    <cellStyle name="Moeda 5 2 2" xfId="4312"/>
    <cellStyle name="Moeda 5 2 2 2" xfId="4389"/>
    <cellStyle name="Moeda 5 2 2 2 2" xfId="7790"/>
    <cellStyle name="Moeda 5 2 2 2 2 2" xfId="14179"/>
    <cellStyle name="Moeda 5 2 2 2 2 2 2" xfId="40421"/>
    <cellStyle name="Moeda 5 2 2 2 2 3" xfId="34035"/>
    <cellStyle name="Moeda 5 2 2 2 3" xfId="6090"/>
    <cellStyle name="Moeda 5 2 2 2 3 2" xfId="32335"/>
    <cellStyle name="Moeda 5 2 2 2 4" xfId="12478"/>
    <cellStyle name="Moeda 5 2 2 2 4 2" xfId="38720"/>
    <cellStyle name="Moeda 5 2 2 2 5" xfId="30638"/>
    <cellStyle name="Moeda 5 2 2 3" xfId="4497"/>
    <cellStyle name="Moeda 5 2 2 3 2" xfId="7899"/>
    <cellStyle name="Moeda 5 2 2 3 2 2" xfId="14288"/>
    <cellStyle name="Moeda 5 2 2 3 2 2 2" xfId="40530"/>
    <cellStyle name="Moeda 5 2 2 3 2 3" xfId="34144"/>
    <cellStyle name="Moeda 5 2 2 3 3" xfId="6199"/>
    <cellStyle name="Moeda 5 2 2 3 3 2" xfId="32444"/>
    <cellStyle name="Moeda 5 2 2 3 4" xfId="12587"/>
    <cellStyle name="Moeda 5 2 2 3 4 2" xfId="38829"/>
    <cellStyle name="Moeda 5 2 2 3 5" xfId="30746"/>
    <cellStyle name="Moeda 5 2 2 4" xfId="4605"/>
    <cellStyle name="Moeda 5 2 2 4 2" xfId="8007"/>
    <cellStyle name="Moeda 5 2 2 4 2 2" xfId="14396"/>
    <cellStyle name="Moeda 5 2 2 4 2 2 2" xfId="40638"/>
    <cellStyle name="Moeda 5 2 2 4 2 3" xfId="34252"/>
    <cellStyle name="Moeda 5 2 2 4 3" xfId="6306"/>
    <cellStyle name="Moeda 5 2 2 4 3 2" xfId="32551"/>
    <cellStyle name="Moeda 5 2 2 4 4" xfId="12695"/>
    <cellStyle name="Moeda 5 2 2 4 4 2" xfId="38937"/>
    <cellStyle name="Moeda 5 2 2 4 5" xfId="30854"/>
    <cellStyle name="Moeda 5 2 2 5" xfId="6013"/>
    <cellStyle name="Moeda 5 2 2 5 2" xfId="7713"/>
    <cellStyle name="Moeda 5 2 2 5 2 2" xfId="14102"/>
    <cellStyle name="Moeda 5 2 2 5 2 2 2" xfId="40344"/>
    <cellStyle name="Moeda 5 2 2 5 2 3" xfId="33958"/>
    <cellStyle name="Moeda 5 2 2 5 3" xfId="12401"/>
    <cellStyle name="Moeda 5 2 2 5 3 2" xfId="38643"/>
    <cellStyle name="Moeda 5 2 2 5 4" xfId="32258"/>
    <cellStyle name="Moeda 5 2 2 6" xfId="6415"/>
    <cellStyle name="Moeda 5 2 2 6 2" xfId="12804"/>
    <cellStyle name="Moeda 5 2 2 6 2 2" xfId="39046"/>
    <cellStyle name="Moeda 5 2 2 6 3" xfId="32660"/>
    <cellStyle name="Moeda 5 2 2 7" xfId="4712"/>
    <cellStyle name="Moeda 5 2 2 7 2" xfId="30961"/>
    <cellStyle name="Moeda 5 2 2 8" xfId="11103"/>
    <cellStyle name="Moeda 5 2 2 8 2" xfId="37345"/>
    <cellStyle name="Moeda 5 2 2 9" xfId="30561"/>
    <cellStyle name="Moeda 5 2 3" xfId="4277"/>
    <cellStyle name="Moeda 5 2 3 2" xfId="4421"/>
    <cellStyle name="Moeda 5 2 3 2 2" xfId="7823"/>
    <cellStyle name="Moeda 5 2 3 2 2 2" xfId="14212"/>
    <cellStyle name="Moeda 5 2 3 2 2 2 2" xfId="40454"/>
    <cellStyle name="Moeda 5 2 3 2 2 3" xfId="34068"/>
    <cellStyle name="Moeda 5 2 3 2 3" xfId="6123"/>
    <cellStyle name="Moeda 5 2 3 2 3 2" xfId="32368"/>
    <cellStyle name="Moeda 5 2 3 2 4" xfId="12511"/>
    <cellStyle name="Moeda 5 2 3 2 4 2" xfId="38753"/>
    <cellStyle name="Moeda 5 2 3 2 5" xfId="30670"/>
    <cellStyle name="Moeda 5 2 3 3" xfId="4529"/>
    <cellStyle name="Moeda 5 2 3 3 2" xfId="7931"/>
    <cellStyle name="Moeda 5 2 3 3 2 2" xfId="14320"/>
    <cellStyle name="Moeda 5 2 3 3 2 2 2" xfId="40562"/>
    <cellStyle name="Moeda 5 2 3 3 2 3" xfId="34176"/>
    <cellStyle name="Moeda 5 2 3 3 3" xfId="6230"/>
    <cellStyle name="Moeda 5 2 3 3 3 2" xfId="32475"/>
    <cellStyle name="Moeda 5 2 3 3 4" xfId="12619"/>
    <cellStyle name="Moeda 5 2 3 3 4 2" xfId="38861"/>
    <cellStyle name="Moeda 5 2 3 3 5" xfId="30778"/>
    <cellStyle name="Moeda 5 2 3 4" xfId="4637"/>
    <cellStyle name="Moeda 5 2 3 4 2" xfId="8040"/>
    <cellStyle name="Moeda 5 2 3 4 2 2" xfId="14429"/>
    <cellStyle name="Moeda 5 2 3 4 2 2 2" xfId="40671"/>
    <cellStyle name="Moeda 5 2 3 4 2 3" xfId="34285"/>
    <cellStyle name="Moeda 5 2 3 4 3" xfId="6339"/>
    <cellStyle name="Moeda 5 2 3 4 3 2" xfId="32584"/>
    <cellStyle name="Moeda 5 2 3 4 4" xfId="12728"/>
    <cellStyle name="Moeda 5 2 3 4 4 2" xfId="38970"/>
    <cellStyle name="Moeda 5 2 3 4 5" xfId="30886"/>
    <cellStyle name="Moeda 5 2 3 5" xfId="5978"/>
    <cellStyle name="Moeda 5 2 3 5 2" xfId="7678"/>
    <cellStyle name="Moeda 5 2 3 5 2 2" xfId="14067"/>
    <cellStyle name="Moeda 5 2 3 5 2 2 2" xfId="40309"/>
    <cellStyle name="Moeda 5 2 3 5 2 3" xfId="33923"/>
    <cellStyle name="Moeda 5 2 3 5 3" xfId="12366"/>
    <cellStyle name="Moeda 5 2 3 5 3 2" xfId="38608"/>
    <cellStyle name="Moeda 5 2 3 5 4" xfId="32223"/>
    <cellStyle name="Moeda 5 2 3 6" xfId="6448"/>
    <cellStyle name="Moeda 5 2 3 6 2" xfId="12837"/>
    <cellStyle name="Moeda 5 2 3 6 2 2" xfId="39079"/>
    <cellStyle name="Moeda 5 2 3 6 3" xfId="32693"/>
    <cellStyle name="Moeda 5 2 3 7" xfId="4745"/>
    <cellStyle name="Moeda 5 2 3 7 2" xfId="30994"/>
    <cellStyle name="Moeda 5 2 3 8" xfId="11136"/>
    <cellStyle name="Moeda 5 2 3 8 2" xfId="37378"/>
    <cellStyle name="Moeda 5 2 3 9" xfId="30526"/>
    <cellStyle name="Moeda 5 2 4" xfId="4354"/>
    <cellStyle name="Moeda 5 2 4 2" xfId="7755"/>
    <cellStyle name="Moeda 5 2 4 2 2" xfId="14144"/>
    <cellStyle name="Moeda 5 2 4 2 2 2" xfId="40386"/>
    <cellStyle name="Moeda 5 2 4 2 3" xfId="34000"/>
    <cellStyle name="Moeda 5 2 4 3" xfId="6055"/>
    <cellStyle name="Moeda 5 2 4 3 2" xfId="32300"/>
    <cellStyle name="Moeda 5 2 4 4" xfId="12443"/>
    <cellStyle name="Moeda 5 2 4 4 2" xfId="38685"/>
    <cellStyle name="Moeda 5 2 4 5" xfId="30603"/>
    <cellStyle name="Moeda 5 2 5" xfId="4462"/>
    <cellStyle name="Moeda 5 2 5 2" xfId="7864"/>
    <cellStyle name="Moeda 5 2 5 2 2" xfId="14253"/>
    <cellStyle name="Moeda 5 2 5 2 2 2" xfId="40495"/>
    <cellStyle name="Moeda 5 2 5 2 3" xfId="34109"/>
    <cellStyle name="Moeda 5 2 5 3" xfId="6164"/>
    <cellStyle name="Moeda 5 2 5 3 2" xfId="32409"/>
    <cellStyle name="Moeda 5 2 5 4" xfId="12552"/>
    <cellStyle name="Moeda 5 2 5 4 2" xfId="38794"/>
    <cellStyle name="Moeda 5 2 5 5" xfId="30711"/>
    <cellStyle name="Moeda 5 2 6" xfId="4570"/>
    <cellStyle name="Moeda 5 2 6 2" xfId="7972"/>
    <cellStyle name="Moeda 5 2 6 2 2" xfId="14361"/>
    <cellStyle name="Moeda 5 2 6 2 2 2" xfId="40603"/>
    <cellStyle name="Moeda 5 2 6 2 3" xfId="34217"/>
    <cellStyle name="Moeda 5 2 6 3" xfId="6271"/>
    <cellStyle name="Moeda 5 2 6 3 2" xfId="32516"/>
    <cellStyle name="Moeda 5 2 6 4" xfId="12660"/>
    <cellStyle name="Moeda 5 2 6 4 2" xfId="38902"/>
    <cellStyle name="Moeda 5 2 6 5" xfId="30819"/>
    <cellStyle name="Moeda 5 2 7" xfId="4837"/>
    <cellStyle name="Moeda 5 2 7 2" xfId="6538"/>
    <cellStyle name="Moeda 5 2 7 2 2" xfId="12927"/>
    <cellStyle name="Moeda 5 2 7 2 2 2" xfId="39169"/>
    <cellStyle name="Moeda 5 2 7 2 3" xfId="32783"/>
    <cellStyle name="Moeda 5 2 7 3" xfId="11226"/>
    <cellStyle name="Moeda 5 2 7 3 2" xfId="37468"/>
    <cellStyle name="Moeda 5 2 7 4" xfId="31084"/>
    <cellStyle name="Moeda 5 2 8" xfId="6380"/>
    <cellStyle name="Moeda 5 2 8 2" xfId="12769"/>
    <cellStyle name="Moeda 5 2 8 2 2" xfId="39011"/>
    <cellStyle name="Moeda 5 2 8 3" xfId="32625"/>
    <cellStyle name="Moeda 5 2 9" xfId="8072"/>
    <cellStyle name="Moeda 5 2 9 2" xfId="14461"/>
    <cellStyle name="Moeda 5 2 9 2 2" xfId="40703"/>
    <cellStyle name="Moeda 5 2 9 3" xfId="34317"/>
    <cellStyle name="Moeda 5 3" xfId="436"/>
    <cellStyle name="Moeda 5 3 10" xfId="29414"/>
    <cellStyle name="Moeda 5 3 2" xfId="4297"/>
    <cellStyle name="Moeda 5 3 2 2" xfId="7698"/>
    <cellStyle name="Moeda 5 3 2 2 2" xfId="14087"/>
    <cellStyle name="Moeda 5 3 2 2 2 2" xfId="40329"/>
    <cellStyle name="Moeda 5 3 2 2 3" xfId="33943"/>
    <cellStyle name="Moeda 5 3 2 3" xfId="5998"/>
    <cellStyle name="Moeda 5 3 2 3 2" xfId="32243"/>
    <cellStyle name="Moeda 5 3 2 4" xfId="12386"/>
    <cellStyle name="Moeda 5 3 2 4 2" xfId="38628"/>
    <cellStyle name="Moeda 5 3 2 5" xfId="30546"/>
    <cellStyle name="Moeda 5 3 3" xfId="4374"/>
    <cellStyle name="Moeda 5 3 3 2" xfId="7775"/>
    <cellStyle name="Moeda 5 3 3 2 2" xfId="14164"/>
    <cellStyle name="Moeda 5 3 3 2 2 2" xfId="40406"/>
    <cellStyle name="Moeda 5 3 3 2 3" xfId="34020"/>
    <cellStyle name="Moeda 5 3 3 3" xfId="6075"/>
    <cellStyle name="Moeda 5 3 3 3 2" xfId="32320"/>
    <cellStyle name="Moeda 5 3 3 4" xfId="12463"/>
    <cellStyle name="Moeda 5 3 3 4 2" xfId="38705"/>
    <cellStyle name="Moeda 5 3 3 5" xfId="30623"/>
    <cellStyle name="Moeda 5 3 4" xfId="4482"/>
    <cellStyle name="Moeda 5 3 4 2" xfId="7884"/>
    <cellStyle name="Moeda 5 3 4 2 2" xfId="14273"/>
    <cellStyle name="Moeda 5 3 4 2 2 2" xfId="40515"/>
    <cellStyle name="Moeda 5 3 4 2 3" xfId="34129"/>
    <cellStyle name="Moeda 5 3 4 3" xfId="6184"/>
    <cellStyle name="Moeda 5 3 4 3 2" xfId="32429"/>
    <cellStyle name="Moeda 5 3 4 4" xfId="12572"/>
    <cellStyle name="Moeda 5 3 4 4 2" xfId="38814"/>
    <cellStyle name="Moeda 5 3 4 5" xfId="30731"/>
    <cellStyle name="Moeda 5 3 5" xfId="4590"/>
    <cellStyle name="Moeda 5 3 5 2" xfId="7992"/>
    <cellStyle name="Moeda 5 3 5 2 2" xfId="14381"/>
    <cellStyle name="Moeda 5 3 5 2 2 2" xfId="40623"/>
    <cellStyle name="Moeda 5 3 5 2 3" xfId="34237"/>
    <cellStyle name="Moeda 5 3 5 3" xfId="6291"/>
    <cellStyle name="Moeda 5 3 5 3 2" xfId="32536"/>
    <cellStyle name="Moeda 5 3 5 4" xfId="12680"/>
    <cellStyle name="Moeda 5 3 5 4 2" xfId="38922"/>
    <cellStyle name="Moeda 5 3 5 5" xfId="30839"/>
    <cellStyle name="Moeda 5 3 6" xfId="4865"/>
    <cellStyle name="Moeda 5 3 6 2" xfId="6566"/>
    <cellStyle name="Moeda 5 3 6 2 2" xfId="12955"/>
    <cellStyle name="Moeda 5 3 6 2 2 2" xfId="39197"/>
    <cellStyle name="Moeda 5 3 6 2 3" xfId="32811"/>
    <cellStyle name="Moeda 5 3 6 3" xfId="11254"/>
    <cellStyle name="Moeda 5 3 6 3 2" xfId="37496"/>
    <cellStyle name="Moeda 5 3 6 4" xfId="31112"/>
    <cellStyle name="Moeda 5 3 7" xfId="6400"/>
    <cellStyle name="Moeda 5 3 7 2" xfId="12789"/>
    <cellStyle name="Moeda 5 3 7 2 2" xfId="39031"/>
    <cellStyle name="Moeda 5 3 7 3" xfId="32645"/>
    <cellStyle name="Moeda 5 3 8" xfId="4697"/>
    <cellStyle name="Moeda 5 3 8 2" xfId="30946"/>
    <cellStyle name="Moeda 5 3 9" xfId="11088"/>
    <cellStyle name="Moeda 5 3 9 2" xfId="37330"/>
    <cellStyle name="Moeda 5 4" xfId="4262"/>
    <cellStyle name="Moeda 5 4 2" xfId="4406"/>
    <cellStyle name="Moeda 5 4 2 2" xfId="7807"/>
    <cellStyle name="Moeda 5 4 2 2 2" xfId="14196"/>
    <cellStyle name="Moeda 5 4 2 2 2 2" xfId="40438"/>
    <cellStyle name="Moeda 5 4 2 2 3" xfId="34052"/>
    <cellStyle name="Moeda 5 4 2 3" xfId="6107"/>
    <cellStyle name="Moeda 5 4 2 3 2" xfId="32352"/>
    <cellStyle name="Moeda 5 4 2 4" xfId="12495"/>
    <cellStyle name="Moeda 5 4 2 4 2" xfId="38737"/>
    <cellStyle name="Moeda 5 4 2 5" xfId="30655"/>
    <cellStyle name="Moeda 5 4 3" xfId="4514"/>
    <cellStyle name="Moeda 5 4 3 2" xfId="7916"/>
    <cellStyle name="Moeda 5 4 3 2 2" xfId="14305"/>
    <cellStyle name="Moeda 5 4 3 2 2 2" xfId="40547"/>
    <cellStyle name="Moeda 5 4 3 2 3" xfId="34161"/>
    <cellStyle name="Moeda 5 4 3 3" xfId="6215"/>
    <cellStyle name="Moeda 5 4 3 3 2" xfId="32460"/>
    <cellStyle name="Moeda 5 4 3 4" xfId="12604"/>
    <cellStyle name="Moeda 5 4 3 4 2" xfId="38846"/>
    <cellStyle name="Moeda 5 4 3 5" xfId="30763"/>
    <cellStyle name="Moeda 5 4 4" xfId="4622"/>
    <cellStyle name="Moeda 5 4 4 2" xfId="8024"/>
    <cellStyle name="Moeda 5 4 4 2 2" xfId="14413"/>
    <cellStyle name="Moeda 5 4 4 2 2 2" xfId="40655"/>
    <cellStyle name="Moeda 5 4 4 2 3" xfId="34269"/>
    <cellStyle name="Moeda 5 4 4 3" xfId="6323"/>
    <cellStyle name="Moeda 5 4 4 3 2" xfId="32568"/>
    <cellStyle name="Moeda 5 4 4 4" xfId="12712"/>
    <cellStyle name="Moeda 5 4 4 4 2" xfId="38954"/>
    <cellStyle name="Moeda 5 4 4 5" xfId="30871"/>
    <cellStyle name="Moeda 5 4 5" xfId="5962"/>
    <cellStyle name="Moeda 5 4 5 2" xfId="7662"/>
    <cellStyle name="Moeda 5 4 5 2 2" xfId="14051"/>
    <cellStyle name="Moeda 5 4 5 2 2 2" xfId="40293"/>
    <cellStyle name="Moeda 5 4 5 2 3" xfId="33907"/>
    <cellStyle name="Moeda 5 4 5 3" xfId="12350"/>
    <cellStyle name="Moeda 5 4 5 3 2" xfId="38592"/>
    <cellStyle name="Moeda 5 4 5 4" xfId="32207"/>
    <cellStyle name="Moeda 5 4 6" xfId="6432"/>
    <cellStyle name="Moeda 5 4 6 2" xfId="12821"/>
    <cellStyle name="Moeda 5 4 6 2 2" xfId="39063"/>
    <cellStyle name="Moeda 5 4 6 3" xfId="32677"/>
    <cellStyle name="Moeda 5 4 7" xfId="4729"/>
    <cellStyle name="Moeda 5 4 7 2" xfId="30978"/>
    <cellStyle name="Moeda 5 4 8" xfId="11120"/>
    <cellStyle name="Moeda 5 4 8 2" xfId="37362"/>
    <cellStyle name="Moeda 5 4 9" xfId="30511"/>
    <cellStyle name="Moeda 5 5" xfId="4338"/>
    <cellStyle name="Moeda 5 5 2" xfId="7739"/>
    <cellStyle name="Moeda 5 5 2 2" xfId="14128"/>
    <cellStyle name="Moeda 5 5 2 2 2" xfId="40370"/>
    <cellStyle name="Moeda 5 5 2 3" xfId="33984"/>
    <cellStyle name="Moeda 5 5 3" xfId="6039"/>
    <cellStyle name="Moeda 5 5 3 2" xfId="32284"/>
    <cellStyle name="Moeda 5 5 4" xfId="12427"/>
    <cellStyle name="Moeda 5 5 4 2" xfId="38669"/>
    <cellStyle name="Moeda 5 5 5" xfId="30587"/>
    <cellStyle name="Moeda 5 6" xfId="4446"/>
    <cellStyle name="Moeda 5 6 2" xfId="7848"/>
    <cellStyle name="Moeda 5 6 2 2" xfId="14237"/>
    <cellStyle name="Moeda 5 6 2 2 2" xfId="40479"/>
    <cellStyle name="Moeda 5 6 2 3" xfId="34093"/>
    <cellStyle name="Moeda 5 6 3" xfId="6148"/>
    <cellStyle name="Moeda 5 6 3 2" xfId="32393"/>
    <cellStyle name="Moeda 5 6 4" xfId="12536"/>
    <cellStyle name="Moeda 5 6 4 2" xfId="38778"/>
    <cellStyle name="Moeda 5 6 5" xfId="30695"/>
    <cellStyle name="Moeda 5 7" xfId="4554"/>
    <cellStyle name="Moeda 5 7 2" xfId="7956"/>
    <cellStyle name="Moeda 5 7 2 2" xfId="14345"/>
    <cellStyle name="Moeda 5 7 2 2 2" xfId="40587"/>
    <cellStyle name="Moeda 5 7 2 3" xfId="34201"/>
    <cellStyle name="Moeda 5 7 3" xfId="6255"/>
    <cellStyle name="Moeda 5 7 3 2" xfId="32500"/>
    <cellStyle name="Moeda 5 7 4" xfId="12644"/>
    <cellStyle name="Moeda 5 7 4 2" xfId="38886"/>
    <cellStyle name="Moeda 5 7 5" xfId="30803"/>
    <cellStyle name="Moeda 5 8" xfId="4776"/>
    <cellStyle name="Moeda 5 8 2" xfId="6478"/>
    <cellStyle name="Moeda 5 8 2 2" xfId="12867"/>
    <cellStyle name="Moeda 5 8 2 2 2" xfId="39109"/>
    <cellStyle name="Moeda 5 8 2 3" xfId="32723"/>
    <cellStyle name="Moeda 5 8 3" xfId="11166"/>
    <cellStyle name="Moeda 5 8 3 2" xfId="37408"/>
    <cellStyle name="Moeda 5 8 4" xfId="31024"/>
    <cellStyle name="Moeda 5 9" xfId="6364"/>
    <cellStyle name="Moeda 5 9 2" xfId="12753"/>
    <cellStyle name="Moeda 5 9 2 2" xfId="38995"/>
    <cellStyle name="Moeda 5 9 3" xfId="32609"/>
    <cellStyle name="Moeda 6" xfId="34"/>
    <cellStyle name="Moeda 6 10" xfId="4667"/>
    <cellStyle name="Moeda 6 10 2" xfId="30916"/>
    <cellStyle name="Moeda 6 11" xfId="11058"/>
    <cellStyle name="Moeda 6 11 2" xfId="37300"/>
    <cellStyle name="Moeda 6 12" xfId="693"/>
    <cellStyle name="Moeda 6 13" xfId="29280"/>
    <cellStyle name="Moeda 6 2" xfId="4302"/>
    <cellStyle name="Moeda 6 2 2" xfId="4379"/>
    <cellStyle name="Moeda 6 2 2 2" xfId="7780"/>
    <cellStyle name="Moeda 6 2 2 2 2" xfId="14169"/>
    <cellStyle name="Moeda 6 2 2 2 2 2" xfId="40411"/>
    <cellStyle name="Moeda 6 2 2 2 3" xfId="34025"/>
    <cellStyle name="Moeda 6 2 2 3" xfId="6080"/>
    <cellStyle name="Moeda 6 2 2 3 2" xfId="32325"/>
    <cellStyle name="Moeda 6 2 2 4" xfId="12468"/>
    <cellStyle name="Moeda 6 2 2 4 2" xfId="38710"/>
    <cellStyle name="Moeda 6 2 2 5" xfId="30628"/>
    <cellStyle name="Moeda 6 2 3" xfId="4487"/>
    <cellStyle name="Moeda 6 2 3 2" xfId="7889"/>
    <cellStyle name="Moeda 6 2 3 2 2" xfId="14278"/>
    <cellStyle name="Moeda 6 2 3 2 2 2" xfId="40520"/>
    <cellStyle name="Moeda 6 2 3 2 3" xfId="34134"/>
    <cellStyle name="Moeda 6 2 3 3" xfId="6189"/>
    <cellStyle name="Moeda 6 2 3 3 2" xfId="32434"/>
    <cellStyle name="Moeda 6 2 3 4" xfId="12577"/>
    <cellStyle name="Moeda 6 2 3 4 2" xfId="38819"/>
    <cellStyle name="Moeda 6 2 3 5" xfId="30736"/>
    <cellStyle name="Moeda 6 2 4" xfId="4595"/>
    <cellStyle name="Moeda 6 2 4 2" xfId="7997"/>
    <cellStyle name="Moeda 6 2 4 2 2" xfId="14386"/>
    <cellStyle name="Moeda 6 2 4 2 2 2" xfId="40628"/>
    <cellStyle name="Moeda 6 2 4 2 3" xfId="34242"/>
    <cellStyle name="Moeda 6 2 4 3" xfId="6296"/>
    <cellStyle name="Moeda 6 2 4 3 2" xfId="32541"/>
    <cellStyle name="Moeda 6 2 4 4" xfId="12685"/>
    <cellStyle name="Moeda 6 2 4 4 2" xfId="38927"/>
    <cellStyle name="Moeda 6 2 4 5" xfId="30844"/>
    <cellStyle name="Moeda 6 2 5" xfId="6003"/>
    <cellStyle name="Moeda 6 2 5 2" xfId="7703"/>
    <cellStyle name="Moeda 6 2 5 2 2" xfId="14092"/>
    <cellStyle name="Moeda 6 2 5 2 2 2" xfId="40334"/>
    <cellStyle name="Moeda 6 2 5 2 3" xfId="33948"/>
    <cellStyle name="Moeda 6 2 5 3" xfId="12391"/>
    <cellStyle name="Moeda 6 2 5 3 2" xfId="38633"/>
    <cellStyle name="Moeda 6 2 5 4" xfId="32248"/>
    <cellStyle name="Moeda 6 2 6" xfId="6405"/>
    <cellStyle name="Moeda 6 2 6 2" xfId="12794"/>
    <cellStyle name="Moeda 6 2 6 2 2" xfId="39036"/>
    <cellStyle name="Moeda 6 2 6 3" xfId="32650"/>
    <cellStyle name="Moeda 6 2 7" xfId="4702"/>
    <cellStyle name="Moeda 6 2 7 2" xfId="30951"/>
    <cellStyle name="Moeda 6 2 8" xfId="11093"/>
    <cellStyle name="Moeda 6 2 8 2" xfId="37335"/>
    <cellStyle name="Moeda 6 2 9" xfId="30551"/>
    <cellStyle name="Moeda 6 3" xfId="4267"/>
    <cellStyle name="Moeda 6 3 2" xfId="4411"/>
    <cellStyle name="Moeda 6 3 2 2" xfId="7812"/>
    <cellStyle name="Moeda 6 3 2 2 2" xfId="14201"/>
    <cellStyle name="Moeda 6 3 2 2 2 2" xfId="40443"/>
    <cellStyle name="Moeda 6 3 2 2 3" xfId="34057"/>
    <cellStyle name="Moeda 6 3 2 3" xfId="6112"/>
    <cellStyle name="Moeda 6 3 2 3 2" xfId="32357"/>
    <cellStyle name="Moeda 6 3 2 4" xfId="12500"/>
    <cellStyle name="Moeda 6 3 2 4 2" xfId="38742"/>
    <cellStyle name="Moeda 6 3 2 5" xfId="30660"/>
    <cellStyle name="Moeda 6 3 3" xfId="4519"/>
    <cellStyle name="Moeda 6 3 3 2" xfId="7921"/>
    <cellStyle name="Moeda 6 3 3 2 2" xfId="14310"/>
    <cellStyle name="Moeda 6 3 3 2 2 2" xfId="40552"/>
    <cellStyle name="Moeda 6 3 3 2 3" xfId="34166"/>
    <cellStyle name="Moeda 6 3 3 3" xfId="6220"/>
    <cellStyle name="Moeda 6 3 3 3 2" xfId="32465"/>
    <cellStyle name="Moeda 6 3 3 4" xfId="12609"/>
    <cellStyle name="Moeda 6 3 3 4 2" xfId="38851"/>
    <cellStyle name="Moeda 6 3 3 5" xfId="30768"/>
    <cellStyle name="Moeda 6 3 4" xfId="4627"/>
    <cellStyle name="Moeda 6 3 4 2" xfId="8029"/>
    <cellStyle name="Moeda 6 3 4 2 2" xfId="14418"/>
    <cellStyle name="Moeda 6 3 4 2 2 2" xfId="40660"/>
    <cellStyle name="Moeda 6 3 4 2 3" xfId="34274"/>
    <cellStyle name="Moeda 6 3 4 3" xfId="6328"/>
    <cellStyle name="Moeda 6 3 4 3 2" xfId="32573"/>
    <cellStyle name="Moeda 6 3 4 4" xfId="12717"/>
    <cellStyle name="Moeda 6 3 4 4 2" xfId="38959"/>
    <cellStyle name="Moeda 6 3 4 5" xfId="30876"/>
    <cellStyle name="Moeda 6 3 5" xfId="5967"/>
    <cellStyle name="Moeda 6 3 5 2" xfId="7667"/>
    <cellStyle name="Moeda 6 3 5 2 2" xfId="14056"/>
    <cellStyle name="Moeda 6 3 5 2 2 2" xfId="40298"/>
    <cellStyle name="Moeda 6 3 5 2 3" xfId="33912"/>
    <cellStyle name="Moeda 6 3 5 3" xfId="12355"/>
    <cellStyle name="Moeda 6 3 5 3 2" xfId="38597"/>
    <cellStyle name="Moeda 6 3 5 4" xfId="32212"/>
    <cellStyle name="Moeda 6 3 6" xfId="6437"/>
    <cellStyle name="Moeda 6 3 6 2" xfId="12826"/>
    <cellStyle name="Moeda 6 3 6 2 2" xfId="39068"/>
    <cellStyle name="Moeda 6 3 6 3" xfId="32682"/>
    <cellStyle name="Moeda 6 3 7" xfId="4734"/>
    <cellStyle name="Moeda 6 3 7 2" xfId="30983"/>
    <cellStyle name="Moeda 6 3 8" xfId="11125"/>
    <cellStyle name="Moeda 6 3 8 2" xfId="37367"/>
    <cellStyle name="Moeda 6 3 9" xfId="30516"/>
    <cellStyle name="Moeda 6 4" xfId="4343"/>
    <cellStyle name="Moeda 6 4 2" xfId="7744"/>
    <cellStyle name="Moeda 6 4 2 2" xfId="14133"/>
    <cellStyle name="Moeda 6 4 2 2 2" xfId="40375"/>
    <cellStyle name="Moeda 6 4 2 3" xfId="33989"/>
    <cellStyle name="Moeda 6 4 3" xfId="6044"/>
    <cellStyle name="Moeda 6 4 3 2" xfId="32289"/>
    <cellStyle name="Moeda 6 4 4" xfId="12432"/>
    <cellStyle name="Moeda 6 4 4 2" xfId="38674"/>
    <cellStyle name="Moeda 6 4 5" xfId="30592"/>
    <cellStyle name="Moeda 6 5" xfId="4451"/>
    <cellStyle name="Moeda 6 5 2" xfId="7853"/>
    <cellStyle name="Moeda 6 5 2 2" xfId="14242"/>
    <cellStyle name="Moeda 6 5 2 2 2" xfId="40484"/>
    <cellStyle name="Moeda 6 5 2 3" xfId="34098"/>
    <cellStyle name="Moeda 6 5 3" xfId="6153"/>
    <cellStyle name="Moeda 6 5 3 2" xfId="32398"/>
    <cellStyle name="Moeda 6 5 4" xfId="12541"/>
    <cellStyle name="Moeda 6 5 4 2" xfId="38783"/>
    <cellStyle name="Moeda 6 5 5" xfId="30700"/>
    <cellStyle name="Moeda 6 6" xfId="4559"/>
    <cellStyle name="Moeda 6 6 2" xfId="7961"/>
    <cellStyle name="Moeda 6 6 2 2" xfId="14350"/>
    <cellStyle name="Moeda 6 6 2 2 2" xfId="40592"/>
    <cellStyle name="Moeda 6 6 2 3" xfId="34206"/>
    <cellStyle name="Moeda 6 6 3" xfId="6260"/>
    <cellStyle name="Moeda 6 6 3 2" xfId="32505"/>
    <cellStyle name="Moeda 6 6 4" xfId="12649"/>
    <cellStyle name="Moeda 6 6 4 2" xfId="38891"/>
    <cellStyle name="Moeda 6 6 5" xfId="30808"/>
    <cellStyle name="Moeda 6 7" xfId="4930"/>
    <cellStyle name="Moeda 6 7 2" xfId="8307"/>
    <cellStyle name="Moeda 6 7 2 2" xfId="26521"/>
    <cellStyle name="Moeda 6 7 2 3" xfId="20607"/>
    <cellStyle name="Moeda 6 7 3" xfId="23564"/>
    <cellStyle name="Moeda 6 7 4" xfId="17650"/>
    <cellStyle name="Moeda 6 8" xfId="6369"/>
    <cellStyle name="Moeda 6 8 2" xfId="12758"/>
    <cellStyle name="Moeda 6 8 2 2" xfId="39000"/>
    <cellStyle name="Moeda 6 8 3" xfId="32614"/>
    <cellStyle name="Moeda 6 9" xfId="8061"/>
    <cellStyle name="Moeda 6 9 2" xfId="14450"/>
    <cellStyle name="Moeda 6 9 2 2" xfId="40692"/>
    <cellStyle name="Moeda 6 9 3" xfId="34306"/>
    <cellStyle name="Moeda 7" xfId="4250"/>
    <cellStyle name="Moeda 7 2" xfId="4326"/>
    <cellStyle name="Moeda 7 2 2" xfId="7727"/>
    <cellStyle name="Moeda 7 2 2 2" xfId="14116"/>
    <cellStyle name="Moeda 7 2 2 2 2" xfId="40358"/>
    <cellStyle name="Moeda 7 2 2 3" xfId="33972"/>
    <cellStyle name="Moeda 7 2 3" xfId="6027"/>
    <cellStyle name="Moeda 7 2 3 2" xfId="32272"/>
    <cellStyle name="Moeda 7 2 4" xfId="12415"/>
    <cellStyle name="Moeda 7 2 4 2" xfId="38657"/>
    <cellStyle name="Moeda 7 2 5" xfId="30575"/>
    <cellStyle name="Moeda 7 3" xfId="4434"/>
    <cellStyle name="Moeda 7 3 2" xfId="7836"/>
    <cellStyle name="Moeda 7 3 2 2" xfId="14225"/>
    <cellStyle name="Moeda 7 3 2 2 2" xfId="40467"/>
    <cellStyle name="Moeda 7 3 2 3" xfId="34081"/>
    <cellStyle name="Moeda 7 3 3" xfId="6136"/>
    <cellStyle name="Moeda 7 3 3 2" xfId="32381"/>
    <cellStyle name="Moeda 7 3 4" xfId="12524"/>
    <cellStyle name="Moeda 7 3 4 2" xfId="38766"/>
    <cellStyle name="Moeda 7 3 5" xfId="30683"/>
    <cellStyle name="Moeda 7 4" xfId="4542"/>
    <cellStyle name="Moeda 7 4 2" xfId="7944"/>
    <cellStyle name="Moeda 7 4 2 2" xfId="14333"/>
    <cellStyle name="Moeda 7 4 2 2 2" xfId="40575"/>
    <cellStyle name="Moeda 7 4 2 3" xfId="34189"/>
    <cellStyle name="Moeda 7 4 3" xfId="6243"/>
    <cellStyle name="Moeda 7 4 3 2" xfId="32488"/>
    <cellStyle name="Moeda 7 4 4" xfId="12632"/>
    <cellStyle name="Moeda 7 4 4 2" xfId="38874"/>
    <cellStyle name="Moeda 7 4 5" xfId="30791"/>
    <cellStyle name="Moeda 7 5" xfId="5951"/>
    <cellStyle name="Moeda 7 5 2" xfId="7650"/>
    <cellStyle name="Moeda 7 5 2 2" xfId="14039"/>
    <cellStyle name="Moeda 7 5 2 2 2" xfId="40281"/>
    <cellStyle name="Moeda 7 5 2 3" xfId="33895"/>
    <cellStyle name="Moeda 7 5 3" xfId="12338"/>
    <cellStyle name="Moeda 7 5 3 2" xfId="38580"/>
    <cellStyle name="Moeda 7 5 4" xfId="32196"/>
    <cellStyle name="Moeda 7 6" xfId="6352"/>
    <cellStyle name="Moeda 7 6 2" xfId="12741"/>
    <cellStyle name="Moeda 7 6 2 2" xfId="38983"/>
    <cellStyle name="Moeda 7 6 3" xfId="32597"/>
    <cellStyle name="Moeda 7 7" xfId="4650"/>
    <cellStyle name="Moeda 7 7 2" xfId="30899"/>
    <cellStyle name="Moeda 7 8" xfId="11041"/>
    <cellStyle name="Moeda 7 8 2" xfId="37283"/>
    <cellStyle name="Moeda 7 9" xfId="30499"/>
    <cellStyle name="Moeda 8" xfId="4286"/>
    <cellStyle name="Moeda 8 2" xfId="4363"/>
    <cellStyle name="Moeda 8 2 2" xfId="7764"/>
    <cellStyle name="Moeda 8 2 2 2" xfId="14153"/>
    <cellStyle name="Moeda 8 2 2 2 2" xfId="40395"/>
    <cellStyle name="Moeda 8 2 2 3" xfId="34009"/>
    <cellStyle name="Moeda 8 2 3" xfId="6064"/>
    <cellStyle name="Moeda 8 2 3 2" xfId="32309"/>
    <cellStyle name="Moeda 8 2 4" xfId="12452"/>
    <cellStyle name="Moeda 8 2 4 2" xfId="38694"/>
    <cellStyle name="Moeda 8 2 5" xfId="30612"/>
    <cellStyle name="Moeda 8 3" xfId="4471"/>
    <cellStyle name="Moeda 8 3 2" xfId="7873"/>
    <cellStyle name="Moeda 8 3 2 2" xfId="14262"/>
    <cellStyle name="Moeda 8 3 2 2 2" xfId="40504"/>
    <cellStyle name="Moeda 8 3 2 3" xfId="34118"/>
    <cellStyle name="Moeda 8 3 3" xfId="6173"/>
    <cellStyle name="Moeda 8 3 3 2" xfId="32418"/>
    <cellStyle name="Moeda 8 3 4" xfId="12561"/>
    <cellStyle name="Moeda 8 3 4 2" xfId="38803"/>
    <cellStyle name="Moeda 8 3 5" xfId="30720"/>
    <cellStyle name="Moeda 8 4" xfId="4579"/>
    <cellStyle name="Moeda 8 4 2" xfId="7981"/>
    <cellStyle name="Moeda 8 4 2 2" xfId="14370"/>
    <cellStyle name="Moeda 8 4 2 2 2" xfId="40612"/>
    <cellStyle name="Moeda 8 4 2 3" xfId="34226"/>
    <cellStyle name="Moeda 8 4 3" xfId="6280"/>
    <cellStyle name="Moeda 8 4 3 2" xfId="32525"/>
    <cellStyle name="Moeda 8 4 4" xfId="12669"/>
    <cellStyle name="Moeda 8 4 4 2" xfId="38911"/>
    <cellStyle name="Moeda 8 4 5" xfId="30828"/>
    <cellStyle name="Moeda 8 5" xfId="5987"/>
    <cellStyle name="Moeda 8 5 2" xfId="7687"/>
    <cellStyle name="Moeda 8 5 2 2" xfId="14076"/>
    <cellStyle name="Moeda 8 5 2 2 2" xfId="40318"/>
    <cellStyle name="Moeda 8 5 2 3" xfId="33932"/>
    <cellStyle name="Moeda 8 5 3" xfId="12375"/>
    <cellStyle name="Moeda 8 5 3 2" xfId="38617"/>
    <cellStyle name="Moeda 8 5 4" xfId="32232"/>
    <cellStyle name="Moeda 8 6" xfId="6389"/>
    <cellStyle name="Moeda 8 6 2" xfId="12778"/>
    <cellStyle name="Moeda 8 6 2 2" xfId="39020"/>
    <cellStyle name="Moeda 8 6 3" xfId="32634"/>
    <cellStyle name="Moeda 8 7" xfId="4686"/>
    <cellStyle name="Moeda 8 7 2" xfId="30935"/>
    <cellStyle name="Moeda 8 8" xfId="11077"/>
    <cellStyle name="Moeda 8 8 2" xfId="37319"/>
    <cellStyle name="Moeda 8 9" xfId="30535"/>
    <cellStyle name="Moeda 9" xfId="4317"/>
    <cellStyle name="Moeda 9 2" xfId="4394"/>
    <cellStyle name="Moeda 9 2 2" xfId="7795"/>
    <cellStyle name="Moeda 9 2 2 2" xfId="14184"/>
    <cellStyle name="Moeda 9 2 2 2 2" xfId="40426"/>
    <cellStyle name="Moeda 9 2 2 3" xfId="34040"/>
    <cellStyle name="Moeda 9 2 3" xfId="6095"/>
    <cellStyle name="Moeda 9 2 3 2" xfId="32340"/>
    <cellStyle name="Moeda 9 2 4" xfId="12483"/>
    <cellStyle name="Moeda 9 2 4 2" xfId="38725"/>
    <cellStyle name="Moeda 9 2 5" xfId="30643"/>
    <cellStyle name="Moeda 9 3" xfId="4502"/>
    <cellStyle name="Moeda 9 3 2" xfId="7904"/>
    <cellStyle name="Moeda 9 3 2 2" xfId="14293"/>
    <cellStyle name="Moeda 9 3 2 2 2" xfId="40535"/>
    <cellStyle name="Moeda 9 3 2 3" xfId="34149"/>
    <cellStyle name="Moeda 9 3 3" xfId="6203"/>
    <cellStyle name="Moeda 9 3 3 2" xfId="32448"/>
    <cellStyle name="Moeda 9 3 4" xfId="12592"/>
    <cellStyle name="Moeda 9 3 4 2" xfId="38834"/>
    <cellStyle name="Moeda 9 3 5" xfId="30751"/>
    <cellStyle name="Moeda 9 4" xfId="4610"/>
    <cellStyle name="Moeda 9 4 2" xfId="8012"/>
    <cellStyle name="Moeda 9 4 2 2" xfId="14401"/>
    <cellStyle name="Moeda 9 4 2 2 2" xfId="40643"/>
    <cellStyle name="Moeda 9 4 2 3" xfId="34257"/>
    <cellStyle name="Moeda 9 4 3" xfId="6311"/>
    <cellStyle name="Moeda 9 4 3 2" xfId="32556"/>
    <cellStyle name="Moeda 9 4 4" xfId="12700"/>
    <cellStyle name="Moeda 9 4 4 2" xfId="38942"/>
    <cellStyle name="Moeda 9 4 5" xfId="30859"/>
    <cellStyle name="Moeda 9 5" xfId="6018"/>
    <cellStyle name="Moeda 9 5 2" xfId="7718"/>
    <cellStyle name="Moeda 9 5 2 2" xfId="14107"/>
    <cellStyle name="Moeda 9 5 2 2 2" xfId="40349"/>
    <cellStyle name="Moeda 9 5 2 3" xfId="33963"/>
    <cellStyle name="Moeda 9 5 3" xfId="12406"/>
    <cellStyle name="Moeda 9 5 3 2" xfId="38648"/>
    <cellStyle name="Moeda 9 5 4" xfId="32263"/>
    <cellStyle name="Moeda 9 6" xfId="6420"/>
    <cellStyle name="Moeda 9 6 2" xfId="12809"/>
    <cellStyle name="Moeda 9 6 2 2" xfId="39051"/>
    <cellStyle name="Moeda 9 6 3" xfId="32665"/>
    <cellStyle name="Moeda 9 7" xfId="4717"/>
    <cellStyle name="Moeda 9 7 2" xfId="30966"/>
    <cellStyle name="Moeda 9 8" xfId="11108"/>
    <cellStyle name="Moeda 9 8 2" xfId="37350"/>
    <cellStyle name="Moeda 9 9" xfId="30566"/>
    <cellStyle name="Normal" xfId="0" builtinId="0"/>
    <cellStyle name="Normal 2" xfId="55"/>
    <cellStyle name="Normal 2 2" xfId="7"/>
    <cellStyle name="Normal 2 2 2" xfId="61"/>
    <cellStyle name="Normal 2 2 3" xfId="4243"/>
    <cellStyle name="Normal 2 2 4" xfId="4751"/>
    <cellStyle name="Normal 2 2 5" xfId="60"/>
    <cellStyle name="Normal 2 3" xfId="62"/>
    <cellStyle name="Normal 2 4" xfId="157"/>
    <cellStyle name="Normal 2 4 2" xfId="4244"/>
    <cellStyle name="Normal 2 4 3" xfId="4778"/>
    <cellStyle name="Normal 3" xfId="63"/>
    <cellStyle name="Normal 4" xfId="64"/>
    <cellStyle name="Normal 4 10" xfId="122"/>
    <cellStyle name="Normal 4 10 10" xfId="2625"/>
    <cellStyle name="Normal 4 10 11" xfId="3152"/>
    <cellStyle name="Normal 4 10 12" xfId="3679"/>
    <cellStyle name="Normal 4 10 2" xfId="216"/>
    <cellStyle name="Normal 4 10 2 2" xfId="489"/>
    <cellStyle name="Normal 4 10 2 2 2" xfId="2008"/>
    <cellStyle name="Normal 4 10 2 2 3" xfId="2538"/>
    <cellStyle name="Normal 4 10 2 2 4" xfId="3065"/>
    <cellStyle name="Normal 4 10 2 2 5" xfId="3592"/>
    <cellStyle name="Normal 4 10 2 2 6" xfId="4119"/>
    <cellStyle name="Normal 4 10 2 3" xfId="962"/>
    <cellStyle name="Normal 4 10 2 4" xfId="1313"/>
    <cellStyle name="Normal 4 10 2 5" xfId="1748"/>
    <cellStyle name="Normal 4 10 2 6" xfId="2278"/>
    <cellStyle name="Normal 4 10 2 7" xfId="2805"/>
    <cellStyle name="Normal 4 10 2 8" xfId="3332"/>
    <cellStyle name="Normal 4 10 2 9" xfId="3859"/>
    <cellStyle name="Normal 4 10 3" xfId="311"/>
    <cellStyle name="Normal 4 10 3 2" xfId="574"/>
    <cellStyle name="Normal 4 10 3 3" xfId="871"/>
    <cellStyle name="Normal 4 10 3 4" xfId="1222"/>
    <cellStyle name="Normal 4 10 3 5" xfId="1657"/>
    <cellStyle name="Normal 4 10 3 6" xfId="2187"/>
    <cellStyle name="Normal 4 10 3 7" xfId="2714"/>
    <cellStyle name="Normal 4 10 3 8" xfId="3241"/>
    <cellStyle name="Normal 4 10 3 9" xfId="3768"/>
    <cellStyle name="Normal 4 10 4" xfId="404"/>
    <cellStyle name="Normal 4 10 4 2" xfId="1049"/>
    <cellStyle name="Normal 4 10 4 3" xfId="1400"/>
    <cellStyle name="Normal 4 10 4 4" xfId="1835"/>
    <cellStyle name="Normal 4 10 4 5" xfId="2365"/>
    <cellStyle name="Normal 4 10 4 6" xfId="2892"/>
    <cellStyle name="Normal 4 10 4 7" xfId="3419"/>
    <cellStyle name="Normal 4 10 4 8" xfId="3946"/>
    <cellStyle name="Normal 4 10 5" xfId="661"/>
    <cellStyle name="Normal 4 10 5 2" xfId="1484"/>
    <cellStyle name="Normal 4 10 5 3" xfId="1919"/>
    <cellStyle name="Normal 4 10 5 4" xfId="2449"/>
    <cellStyle name="Normal 4 10 5 5" xfId="2976"/>
    <cellStyle name="Normal 4 10 5 6" xfId="3503"/>
    <cellStyle name="Normal 4 10 5 7" xfId="4030"/>
    <cellStyle name="Normal 4 10 6" xfId="782"/>
    <cellStyle name="Normal 4 10 6 2" xfId="4206"/>
    <cellStyle name="Normal 4 10 7" xfId="1133"/>
    <cellStyle name="Normal 4 10 8" xfId="1568"/>
    <cellStyle name="Normal 4 10 9" xfId="2098"/>
    <cellStyle name="Normal 4 11" xfId="130"/>
    <cellStyle name="Normal 4 11 10" xfId="2633"/>
    <cellStyle name="Normal 4 11 11" xfId="3160"/>
    <cellStyle name="Normal 4 11 12" xfId="3687"/>
    <cellStyle name="Normal 4 11 2" xfId="224"/>
    <cellStyle name="Normal 4 11 2 2" xfId="497"/>
    <cellStyle name="Normal 4 11 2 2 2" xfId="2016"/>
    <cellStyle name="Normal 4 11 2 2 3" xfId="2546"/>
    <cellStyle name="Normal 4 11 2 2 4" xfId="3073"/>
    <cellStyle name="Normal 4 11 2 2 5" xfId="3600"/>
    <cellStyle name="Normal 4 11 2 2 6" xfId="4127"/>
    <cellStyle name="Normal 4 11 2 3" xfId="970"/>
    <cellStyle name="Normal 4 11 2 4" xfId="1321"/>
    <cellStyle name="Normal 4 11 2 5" xfId="1756"/>
    <cellStyle name="Normal 4 11 2 6" xfId="2286"/>
    <cellStyle name="Normal 4 11 2 7" xfId="2813"/>
    <cellStyle name="Normal 4 11 2 8" xfId="3340"/>
    <cellStyle name="Normal 4 11 2 9" xfId="3867"/>
    <cellStyle name="Normal 4 11 3" xfId="319"/>
    <cellStyle name="Normal 4 11 3 2" xfId="582"/>
    <cellStyle name="Normal 4 11 3 3" xfId="879"/>
    <cellStyle name="Normal 4 11 3 4" xfId="1230"/>
    <cellStyle name="Normal 4 11 3 5" xfId="1665"/>
    <cellStyle name="Normal 4 11 3 6" xfId="2195"/>
    <cellStyle name="Normal 4 11 3 7" xfId="2722"/>
    <cellStyle name="Normal 4 11 3 8" xfId="3249"/>
    <cellStyle name="Normal 4 11 3 9" xfId="3776"/>
    <cellStyle name="Normal 4 11 4" xfId="412"/>
    <cellStyle name="Normal 4 11 4 2" xfId="1057"/>
    <cellStyle name="Normal 4 11 4 3" xfId="1408"/>
    <cellStyle name="Normal 4 11 4 4" xfId="1843"/>
    <cellStyle name="Normal 4 11 4 5" xfId="2373"/>
    <cellStyle name="Normal 4 11 4 6" xfId="2900"/>
    <cellStyle name="Normal 4 11 4 7" xfId="3427"/>
    <cellStyle name="Normal 4 11 4 8" xfId="3954"/>
    <cellStyle name="Normal 4 11 5" xfId="669"/>
    <cellStyle name="Normal 4 11 5 2" xfId="1492"/>
    <cellStyle name="Normal 4 11 5 3" xfId="1927"/>
    <cellStyle name="Normal 4 11 5 4" xfId="2457"/>
    <cellStyle name="Normal 4 11 5 5" xfId="2984"/>
    <cellStyle name="Normal 4 11 5 6" xfId="3511"/>
    <cellStyle name="Normal 4 11 5 7" xfId="4038"/>
    <cellStyle name="Normal 4 11 6" xfId="790"/>
    <cellStyle name="Normal 4 11 6 2" xfId="4214"/>
    <cellStyle name="Normal 4 11 7" xfId="1141"/>
    <cellStyle name="Normal 4 11 8" xfId="1576"/>
    <cellStyle name="Normal 4 11 9" xfId="2106"/>
    <cellStyle name="Normal 4 12" xfId="138"/>
    <cellStyle name="Normal 4 12 10" xfId="2641"/>
    <cellStyle name="Normal 4 12 11" xfId="3168"/>
    <cellStyle name="Normal 4 12 12" xfId="3695"/>
    <cellStyle name="Normal 4 12 2" xfId="232"/>
    <cellStyle name="Normal 4 12 2 2" xfId="505"/>
    <cellStyle name="Normal 4 12 2 2 2" xfId="2024"/>
    <cellStyle name="Normal 4 12 2 2 3" xfId="2554"/>
    <cellStyle name="Normal 4 12 2 2 4" xfId="3081"/>
    <cellStyle name="Normal 4 12 2 2 5" xfId="3608"/>
    <cellStyle name="Normal 4 12 2 2 6" xfId="4135"/>
    <cellStyle name="Normal 4 12 2 3" xfId="978"/>
    <cellStyle name="Normal 4 12 2 4" xfId="1329"/>
    <cellStyle name="Normal 4 12 2 5" xfId="1764"/>
    <cellStyle name="Normal 4 12 2 6" xfId="2294"/>
    <cellStyle name="Normal 4 12 2 7" xfId="2821"/>
    <cellStyle name="Normal 4 12 2 8" xfId="3348"/>
    <cellStyle name="Normal 4 12 2 9" xfId="3875"/>
    <cellStyle name="Normal 4 12 3" xfId="327"/>
    <cellStyle name="Normal 4 12 3 2" xfId="590"/>
    <cellStyle name="Normal 4 12 3 3" xfId="887"/>
    <cellStyle name="Normal 4 12 3 4" xfId="1238"/>
    <cellStyle name="Normal 4 12 3 5" xfId="1673"/>
    <cellStyle name="Normal 4 12 3 6" xfId="2203"/>
    <cellStyle name="Normal 4 12 3 7" xfId="2730"/>
    <cellStyle name="Normal 4 12 3 8" xfId="3257"/>
    <cellStyle name="Normal 4 12 3 9" xfId="3784"/>
    <cellStyle name="Normal 4 12 4" xfId="420"/>
    <cellStyle name="Normal 4 12 4 2" xfId="1065"/>
    <cellStyle name="Normal 4 12 4 3" xfId="1416"/>
    <cellStyle name="Normal 4 12 4 4" xfId="1851"/>
    <cellStyle name="Normal 4 12 4 5" xfId="2381"/>
    <cellStyle name="Normal 4 12 4 6" xfId="2908"/>
    <cellStyle name="Normal 4 12 4 7" xfId="3435"/>
    <cellStyle name="Normal 4 12 4 8" xfId="3962"/>
    <cellStyle name="Normal 4 12 5" xfId="677"/>
    <cellStyle name="Normal 4 12 5 2" xfId="1500"/>
    <cellStyle name="Normal 4 12 5 3" xfId="1935"/>
    <cellStyle name="Normal 4 12 5 4" xfId="2465"/>
    <cellStyle name="Normal 4 12 5 5" xfId="2992"/>
    <cellStyle name="Normal 4 12 5 6" xfId="3519"/>
    <cellStyle name="Normal 4 12 5 7" xfId="4046"/>
    <cellStyle name="Normal 4 12 6" xfId="798"/>
    <cellStyle name="Normal 4 12 6 2" xfId="4222"/>
    <cellStyle name="Normal 4 12 7" xfId="1149"/>
    <cellStyle name="Normal 4 12 8" xfId="1584"/>
    <cellStyle name="Normal 4 12 9" xfId="2114"/>
    <cellStyle name="Normal 4 13" xfId="146"/>
    <cellStyle name="Normal 4 13 10" xfId="2649"/>
    <cellStyle name="Normal 4 13 11" xfId="3176"/>
    <cellStyle name="Normal 4 13 12" xfId="3703"/>
    <cellStyle name="Normal 4 13 2" xfId="240"/>
    <cellStyle name="Normal 4 13 2 2" xfId="513"/>
    <cellStyle name="Normal 4 13 2 2 2" xfId="2032"/>
    <cellStyle name="Normal 4 13 2 2 3" xfId="2562"/>
    <cellStyle name="Normal 4 13 2 2 4" xfId="3089"/>
    <cellStyle name="Normal 4 13 2 2 5" xfId="3616"/>
    <cellStyle name="Normal 4 13 2 2 6" xfId="4143"/>
    <cellStyle name="Normal 4 13 2 3" xfId="986"/>
    <cellStyle name="Normal 4 13 2 4" xfId="1337"/>
    <cellStyle name="Normal 4 13 2 5" xfId="1772"/>
    <cellStyle name="Normal 4 13 2 6" xfId="2302"/>
    <cellStyle name="Normal 4 13 2 7" xfId="2829"/>
    <cellStyle name="Normal 4 13 2 8" xfId="3356"/>
    <cellStyle name="Normal 4 13 2 9" xfId="3883"/>
    <cellStyle name="Normal 4 13 3" xfId="335"/>
    <cellStyle name="Normal 4 13 3 2" xfId="598"/>
    <cellStyle name="Normal 4 13 3 3" xfId="895"/>
    <cellStyle name="Normal 4 13 3 4" xfId="1246"/>
    <cellStyle name="Normal 4 13 3 5" xfId="1681"/>
    <cellStyle name="Normal 4 13 3 6" xfId="2211"/>
    <cellStyle name="Normal 4 13 3 7" xfId="2738"/>
    <cellStyle name="Normal 4 13 3 8" xfId="3265"/>
    <cellStyle name="Normal 4 13 3 9" xfId="3792"/>
    <cellStyle name="Normal 4 13 4" xfId="428"/>
    <cellStyle name="Normal 4 13 4 2" xfId="1073"/>
    <cellStyle name="Normal 4 13 4 3" xfId="1424"/>
    <cellStyle name="Normal 4 13 4 4" xfId="1859"/>
    <cellStyle name="Normal 4 13 4 5" xfId="2389"/>
    <cellStyle name="Normal 4 13 4 6" xfId="2916"/>
    <cellStyle name="Normal 4 13 4 7" xfId="3443"/>
    <cellStyle name="Normal 4 13 4 8" xfId="3970"/>
    <cellStyle name="Normal 4 13 5" xfId="685"/>
    <cellStyle name="Normal 4 13 5 2" xfId="1508"/>
    <cellStyle name="Normal 4 13 5 3" xfId="1943"/>
    <cellStyle name="Normal 4 13 5 4" xfId="2473"/>
    <cellStyle name="Normal 4 13 5 5" xfId="3000"/>
    <cellStyle name="Normal 4 13 5 6" xfId="3527"/>
    <cellStyle name="Normal 4 13 5 7" xfId="4054"/>
    <cellStyle name="Normal 4 13 6" xfId="806"/>
    <cellStyle name="Normal 4 13 6 2" xfId="4230"/>
    <cellStyle name="Normal 4 13 7" xfId="1157"/>
    <cellStyle name="Normal 4 13 8" xfId="1592"/>
    <cellStyle name="Normal 4 13 9" xfId="2122"/>
    <cellStyle name="Normal 4 14" xfId="78"/>
    <cellStyle name="Normal 4 14 10" xfId="2581"/>
    <cellStyle name="Normal 4 14 11" xfId="3108"/>
    <cellStyle name="Normal 4 14 12" xfId="3635"/>
    <cellStyle name="Normal 4 14 2" xfId="172"/>
    <cellStyle name="Normal 4 14 2 2" xfId="445"/>
    <cellStyle name="Normal 4 14 2 2 2" xfId="1964"/>
    <cellStyle name="Normal 4 14 2 2 3" xfId="2494"/>
    <cellStyle name="Normal 4 14 2 2 4" xfId="3021"/>
    <cellStyle name="Normal 4 14 2 2 5" xfId="3548"/>
    <cellStyle name="Normal 4 14 2 2 6" xfId="4075"/>
    <cellStyle name="Normal 4 14 2 3" xfId="918"/>
    <cellStyle name="Normal 4 14 2 4" xfId="1269"/>
    <cellStyle name="Normal 4 14 2 5" xfId="1704"/>
    <cellStyle name="Normal 4 14 2 6" xfId="2234"/>
    <cellStyle name="Normal 4 14 2 7" xfId="2761"/>
    <cellStyle name="Normal 4 14 2 8" xfId="3288"/>
    <cellStyle name="Normal 4 14 2 9" xfId="3815"/>
    <cellStyle name="Normal 4 14 3" xfId="267"/>
    <cellStyle name="Normal 4 14 3 2" xfId="530"/>
    <cellStyle name="Normal 4 14 3 3" xfId="827"/>
    <cellStyle name="Normal 4 14 3 4" xfId="1178"/>
    <cellStyle name="Normal 4 14 3 5" xfId="1613"/>
    <cellStyle name="Normal 4 14 3 6" xfId="2143"/>
    <cellStyle name="Normal 4 14 3 7" xfId="2670"/>
    <cellStyle name="Normal 4 14 3 8" xfId="3197"/>
    <cellStyle name="Normal 4 14 3 9" xfId="3724"/>
    <cellStyle name="Normal 4 14 4" xfId="360"/>
    <cellStyle name="Normal 4 14 4 2" xfId="1005"/>
    <cellStyle name="Normal 4 14 4 3" xfId="1356"/>
    <cellStyle name="Normal 4 14 4 4" xfId="1791"/>
    <cellStyle name="Normal 4 14 4 5" xfId="2321"/>
    <cellStyle name="Normal 4 14 4 6" xfId="2848"/>
    <cellStyle name="Normal 4 14 4 7" xfId="3375"/>
    <cellStyle name="Normal 4 14 4 8" xfId="3902"/>
    <cellStyle name="Normal 4 14 5" xfId="617"/>
    <cellStyle name="Normal 4 14 5 2" xfId="1440"/>
    <cellStyle name="Normal 4 14 5 3" xfId="1875"/>
    <cellStyle name="Normal 4 14 5 4" xfId="2405"/>
    <cellStyle name="Normal 4 14 5 5" xfId="2932"/>
    <cellStyle name="Normal 4 14 5 6" xfId="3459"/>
    <cellStyle name="Normal 4 14 5 7" xfId="3986"/>
    <cellStyle name="Normal 4 14 6" xfId="738"/>
    <cellStyle name="Normal 4 14 6 2" xfId="4162"/>
    <cellStyle name="Normal 4 14 7" xfId="1089"/>
    <cellStyle name="Normal 4 14 8" xfId="1524"/>
    <cellStyle name="Normal 4 14 9" xfId="2054"/>
    <cellStyle name="Normal 4 15" xfId="150"/>
    <cellStyle name="Normal 4 15 10" xfId="2653"/>
    <cellStyle name="Normal 4 15 11" xfId="3180"/>
    <cellStyle name="Normal 4 15 12" xfId="3707"/>
    <cellStyle name="Normal 4 15 2" xfId="244"/>
    <cellStyle name="Normal 4 15 2 2" xfId="517"/>
    <cellStyle name="Normal 4 15 2 2 2" xfId="2036"/>
    <cellStyle name="Normal 4 15 2 2 3" xfId="2566"/>
    <cellStyle name="Normal 4 15 2 2 4" xfId="3093"/>
    <cellStyle name="Normal 4 15 2 2 5" xfId="3620"/>
    <cellStyle name="Normal 4 15 2 2 6" xfId="4147"/>
    <cellStyle name="Normal 4 15 2 3" xfId="990"/>
    <cellStyle name="Normal 4 15 2 4" xfId="1341"/>
    <cellStyle name="Normal 4 15 2 5" xfId="1776"/>
    <cellStyle name="Normal 4 15 2 6" xfId="2306"/>
    <cellStyle name="Normal 4 15 2 7" xfId="2833"/>
    <cellStyle name="Normal 4 15 2 8" xfId="3360"/>
    <cellStyle name="Normal 4 15 2 9" xfId="3887"/>
    <cellStyle name="Normal 4 15 3" xfId="339"/>
    <cellStyle name="Normal 4 15 3 2" xfId="602"/>
    <cellStyle name="Normal 4 15 3 3" xfId="899"/>
    <cellStyle name="Normal 4 15 3 4" xfId="1250"/>
    <cellStyle name="Normal 4 15 3 5" xfId="1685"/>
    <cellStyle name="Normal 4 15 3 6" xfId="2215"/>
    <cellStyle name="Normal 4 15 3 7" xfId="2742"/>
    <cellStyle name="Normal 4 15 3 8" xfId="3269"/>
    <cellStyle name="Normal 4 15 3 9" xfId="3796"/>
    <cellStyle name="Normal 4 15 4" xfId="432"/>
    <cellStyle name="Normal 4 15 4 2" xfId="1077"/>
    <cellStyle name="Normal 4 15 4 3" xfId="1428"/>
    <cellStyle name="Normal 4 15 4 4" xfId="1863"/>
    <cellStyle name="Normal 4 15 4 5" xfId="2393"/>
    <cellStyle name="Normal 4 15 4 6" xfId="2920"/>
    <cellStyle name="Normal 4 15 4 7" xfId="3447"/>
    <cellStyle name="Normal 4 15 4 8" xfId="3974"/>
    <cellStyle name="Normal 4 15 5" xfId="689"/>
    <cellStyle name="Normal 4 15 5 2" xfId="1512"/>
    <cellStyle name="Normal 4 15 5 3" xfId="1947"/>
    <cellStyle name="Normal 4 15 5 4" xfId="2477"/>
    <cellStyle name="Normal 4 15 5 5" xfId="3004"/>
    <cellStyle name="Normal 4 15 5 6" xfId="3531"/>
    <cellStyle name="Normal 4 15 5 7" xfId="4058"/>
    <cellStyle name="Normal 4 15 6" xfId="810"/>
    <cellStyle name="Normal 4 15 6 2" xfId="4234"/>
    <cellStyle name="Normal 4 15 7" xfId="1161"/>
    <cellStyle name="Normal 4 15 8" xfId="1596"/>
    <cellStyle name="Normal 4 15 9" xfId="2126"/>
    <cellStyle name="Normal 4 16" xfId="161"/>
    <cellStyle name="Normal 4 16 2" xfId="437"/>
    <cellStyle name="Normal 4 16 2 2" xfId="1953"/>
    <cellStyle name="Normal 4 16 2 3" xfId="2483"/>
    <cellStyle name="Normal 4 16 2 4" xfId="3010"/>
    <cellStyle name="Normal 4 16 2 5" xfId="3537"/>
    <cellStyle name="Normal 4 16 2 6" xfId="4064"/>
    <cellStyle name="Normal 4 16 3" xfId="907"/>
    <cellStyle name="Normal 4 16 4" xfId="1258"/>
    <cellStyle name="Normal 4 16 5" xfId="1693"/>
    <cellStyle name="Normal 4 16 6" xfId="2223"/>
    <cellStyle name="Normal 4 16 7" xfId="2750"/>
    <cellStyle name="Normal 4 16 8" xfId="3277"/>
    <cellStyle name="Normal 4 16 9" xfId="3804"/>
    <cellStyle name="Normal 4 17" xfId="256"/>
    <cellStyle name="Normal 4 17 2" xfId="522"/>
    <cellStyle name="Normal 4 17 3" xfId="816"/>
    <cellStyle name="Normal 4 17 4" xfId="1167"/>
    <cellStyle name="Normal 4 17 5" xfId="1602"/>
    <cellStyle name="Normal 4 17 6" xfId="2132"/>
    <cellStyle name="Normal 4 17 7" xfId="2659"/>
    <cellStyle name="Normal 4 17 8" xfId="3186"/>
    <cellStyle name="Normal 4 17 9" xfId="3713"/>
    <cellStyle name="Normal 4 18" xfId="352"/>
    <cellStyle name="Normal 4 18 2" xfId="997"/>
    <cellStyle name="Normal 4 18 3" xfId="1348"/>
    <cellStyle name="Normal 4 18 4" xfId="1783"/>
    <cellStyle name="Normal 4 18 5" xfId="2313"/>
    <cellStyle name="Normal 4 18 6" xfId="2840"/>
    <cellStyle name="Normal 4 18 7" xfId="3367"/>
    <cellStyle name="Normal 4 18 8" xfId="3894"/>
    <cellStyle name="Normal 4 19" xfId="609"/>
    <cellStyle name="Normal 4 19 2" xfId="1432"/>
    <cellStyle name="Normal 4 19 3" xfId="1867"/>
    <cellStyle name="Normal 4 19 4" xfId="2397"/>
    <cellStyle name="Normal 4 19 5" xfId="2924"/>
    <cellStyle name="Normal 4 19 6" xfId="3451"/>
    <cellStyle name="Normal 4 19 7" xfId="3978"/>
    <cellStyle name="Normal 4 2" xfId="74"/>
    <cellStyle name="Normal 4 2 10" xfId="356"/>
    <cellStyle name="Normal 4 2 10 2" xfId="1001"/>
    <cellStyle name="Normal 4 2 10 3" xfId="1352"/>
    <cellStyle name="Normal 4 2 10 4" xfId="1787"/>
    <cellStyle name="Normal 4 2 10 5" xfId="2317"/>
    <cellStyle name="Normal 4 2 10 6" xfId="2844"/>
    <cellStyle name="Normal 4 2 10 7" xfId="3371"/>
    <cellStyle name="Normal 4 2 10 8" xfId="3898"/>
    <cellStyle name="Normal 4 2 11" xfId="613"/>
    <cellStyle name="Normal 4 2 11 2" xfId="1436"/>
    <cellStyle name="Normal 4 2 11 3" xfId="1871"/>
    <cellStyle name="Normal 4 2 11 4" xfId="2401"/>
    <cellStyle name="Normal 4 2 11 5" xfId="2928"/>
    <cellStyle name="Normal 4 2 11 6" xfId="3455"/>
    <cellStyle name="Normal 4 2 11 7" xfId="3982"/>
    <cellStyle name="Normal 4 2 12" xfId="734"/>
    <cellStyle name="Normal 4 2 12 2" xfId="4158"/>
    <cellStyle name="Normal 4 2 13" xfId="1085"/>
    <cellStyle name="Normal 4 2 14" xfId="1520"/>
    <cellStyle name="Normal 4 2 15" xfId="2050"/>
    <cellStyle name="Normal 4 2 16" xfId="2577"/>
    <cellStyle name="Normal 4 2 17" xfId="3104"/>
    <cellStyle name="Normal 4 2 18" xfId="3631"/>
    <cellStyle name="Normal 4 2 2" xfId="110"/>
    <cellStyle name="Normal 4 2 2 10" xfId="2613"/>
    <cellStyle name="Normal 4 2 2 11" xfId="3140"/>
    <cellStyle name="Normal 4 2 2 12" xfId="3667"/>
    <cellStyle name="Normal 4 2 2 2" xfId="204"/>
    <cellStyle name="Normal 4 2 2 2 2" xfId="477"/>
    <cellStyle name="Normal 4 2 2 2 2 2" xfId="1996"/>
    <cellStyle name="Normal 4 2 2 2 2 3" xfId="2526"/>
    <cellStyle name="Normal 4 2 2 2 2 4" xfId="3053"/>
    <cellStyle name="Normal 4 2 2 2 2 5" xfId="3580"/>
    <cellStyle name="Normal 4 2 2 2 2 6" xfId="4107"/>
    <cellStyle name="Normal 4 2 2 2 3" xfId="950"/>
    <cellStyle name="Normal 4 2 2 2 4" xfId="1301"/>
    <cellStyle name="Normal 4 2 2 2 5" xfId="1736"/>
    <cellStyle name="Normal 4 2 2 2 6" xfId="2266"/>
    <cellStyle name="Normal 4 2 2 2 7" xfId="2793"/>
    <cellStyle name="Normal 4 2 2 2 8" xfId="3320"/>
    <cellStyle name="Normal 4 2 2 2 9" xfId="3847"/>
    <cellStyle name="Normal 4 2 2 3" xfId="299"/>
    <cellStyle name="Normal 4 2 2 3 2" xfId="562"/>
    <cellStyle name="Normal 4 2 2 3 3" xfId="859"/>
    <cellStyle name="Normal 4 2 2 3 4" xfId="1210"/>
    <cellStyle name="Normal 4 2 2 3 5" xfId="1645"/>
    <cellStyle name="Normal 4 2 2 3 6" xfId="2175"/>
    <cellStyle name="Normal 4 2 2 3 7" xfId="2702"/>
    <cellStyle name="Normal 4 2 2 3 8" xfId="3229"/>
    <cellStyle name="Normal 4 2 2 3 9" xfId="3756"/>
    <cellStyle name="Normal 4 2 2 4" xfId="392"/>
    <cellStyle name="Normal 4 2 2 4 2" xfId="1037"/>
    <cellStyle name="Normal 4 2 2 4 3" xfId="1388"/>
    <cellStyle name="Normal 4 2 2 4 4" xfId="1823"/>
    <cellStyle name="Normal 4 2 2 4 5" xfId="2353"/>
    <cellStyle name="Normal 4 2 2 4 6" xfId="2880"/>
    <cellStyle name="Normal 4 2 2 4 7" xfId="3407"/>
    <cellStyle name="Normal 4 2 2 4 8" xfId="3934"/>
    <cellStyle name="Normal 4 2 2 5" xfId="649"/>
    <cellStyle name="Normal 4 2 2 5 2" xfId="1472"/>
    <cellStyle name="Normal 4 2 2 5 3" xfId="1907"/>
    <cellStyle name="Normal 4 2 2 5 4" xfId="2437"/>
    <cellStyle name="Normal 4 2 2 5 5" xfId="2964"/>
    <cellStyle name="Normal 4 2 2 5 6" xfId="3491"/>
    <cellStyle name="Normal 4 2 2 5 7" xfId="4018"/>
    <cellStyle name="Normal 4 2 2 6" xfId="770"/>
    <cellStyle name="Normal 4 2 2 6 2" xfId="4194"/>
    <cellStyle name="Normal 4 2 2 7" xfId="1121"/>
    <cellStyle name="Normal 4 2 2 8" xfId="1556"/>
    <cellStyle name="Normal 4 2 2 9" xfId="2086"/>
    <cellStyle name="Normal 4 2 3" xfId="118"/>
    <cellStyle name="Normal 4 2 3 10" xfId="2621"/>
    <cellStyle name="Normal 4 2 3 11" xfId="3148"/>
    <cellStyle name="Normal 4 2 3 12" xfId="3675"/>
    <cellStyle name="Normal 4 2 3 2" xfId="212"/>
    <cellStyle name="Normal 4 2 3 2 2" xfId="485"/>
    <cellStyle name="Normal 4 2 3 2 2 2" xfId="2004"/>
    <cellStyle name="Normal 4 2 3 2 2 3" xfId="2534"/>
    <cellStyle name="Normal 4 2 3 2 2 4" xfId="3061"/>
    <cellStyle name="Normal 4 2 3 2 2 5" xfId="3588"/>
    <cellStyle name="Normal 4 2 3 2 2 6" xfId="4115"/>
    <cellStyle name="Normal 4 2 3 2 3" xfId="958"/>
    <cellStyle name="Normal 4 2 3 2 4" xfId="1309"/>
    <cellStyle name="Normal 4 2 3 2 5" xfId="1744"/>
    <cellStyle name="Normal 4 2 3 2 6" xfId="2274"/>
    <cellStyle name="Normal 4 2 3 2 7" xfId="2801"/>
    <cellStyle name="Normal 4 2 3 2 8" xfId="3328"/>
    <cellStyle name="Normal 4 2 3 2 9" xfId="3855"/>
    <cellStyle name="Normal 4 2 3 3" xfId="307"/>
    <cellStyle name="Normal 4 2 3 3 2" xfId="570"/>
    <cellStyle name="Normal 4 2 3 3 3" xfId="867"/>
    <cellStyle name="Normal 4 2 3 3 4" xfId="1218"/>
    <cellStyle name="Normal 4 2 3 3 5" xfId="1653"/>
    <cellStyle name="Normal 4 2 3 3 6" xfId="2183"/>
    <cellStyle name="Normal 4 2 3 3 7" xfId="2710"/>
    <cellStyle name="Normal 4 2 3 3 8" xfId="3237"/>
    <cellStyle name="Normal 4 2 3 3 9" xfId="3764"/>
    <cellStyle name="Normal 4 2 3 4" xfId="400"/>
    <cellStyle name="Normal 4 2 3 4 2" xfId="1045"/>
    <cellStyle name="Normal 4 2 3 4 3" xfId="1396"/>
    <cellStyle name="Normal 4 2 3 4 4" xfId="1831"/>
    <cellStyle name="Normal 4 2 3 4 5" xfId="2361"/>
    <cellStyle name="Normal 4 2 3 4 6" xfId="2888"/>
    <cellStyle name="Normal 4 2 3 4 7" xfId="3415"/>
    <cellStyle name="Normal 4 2 3 4 8" xfId="3942"/>
    <cellStyle name="Normal 4 2 3 5" xfId="657"/>
    <cellStyle name="Normal 4 2 3 5 2" xfId="1480"/>
    <cellStyle name="Normal 4 2 3 5 3" xfId="1915"/>
    <cellStyle name="Normal 4 2 3 5 4" xfId="2445"/>
    <cellStyle name="Normal 4 2 3 5 5" xfId="2972"/>
    <cellStyle name="Normal 4 2 3 5 6" xfId="3499"/>
    <cellStyle name="Normal 4 2 3 5 7" xfId="4026"/>
    <cellStyle name="Normal 4 2 3 6" xfId="778"/>
    <cellStyle name="Normal 4 2 3 6 2" xfId="4202"/>
    <cellStyle name="Normal 4 2 3 7" xfId="1129"/>
    <cellStyle name="Normal 4 2 3 8" xfId="1564"/>
    <cellStyle name="Normal 4 2 3 9" xfId="2094"/>
    <cellStyle name="Normal 4 2 4" xfId="126"/>
    <cellStyle name="Normal 4 2 4 10" xfId="2629"/>
    <cellStyle name="Normal 4 2 4 11" xfId="3156"/>
    <cellStyle name="Normal 4 2 4 12" xfId="3683"/>
    <cellStyle name="Normal 4 2 4 2" xfId="220"/>
    <cellStyle name="Normal 4 2 4 2 2" xfId="493"/>
    <cellStyle name="Normal 4 2 4 2 2 2" xfId="2012"/>
    <cellStyle name="Normal 4 2 4 2 2 3" xfId="2542"/>
    <cellStyle name="Normal 4 2 4 2 2 4" xfId="3069"/>
    <cellStyle name="Normal 4 2 4 2 2 5" xfId="3596"/>
    <cellStyle name="Normal 4 2 4 2 2 6" xfId="4123"/>
    <cellStyle name="Normal 4 2 4 2 3" xfId="966"/>
    <cellStyle name="Normal 4 2 4 2 4" xfId="1317"/>
    <cellStyle name="Normal 4 2 4 2 5" xfId="1752"/>
    <cellStyle name="Normal 4 2 4 2 6" xfId="2282"/>
    <cellStyle name="Normal 4 2 4 2 7" xfId="2809"/>
    <cellStyle name="Normal 4 2 4 2 8" xfId="3336"/>
    <cellStyle name="Normal 4 2 4 2 9" xfId="3863"/>
    <cellStyle name="Normal 4 2 4 3" xfId="315"/>
    <cellStyle name="Normal 4 2 4 3 2" xfId="578"/>
    <cellStyle name="Normal 4 2 4 3 3" xfId="875"/>
    <cellStyle name="Normal 4 2 4 3 4" xfId="1226"/>
    <cellStyle name="Normal 4 2 4 3 5" xfId="1661"/>
    <cellStyle name="Normal 4 2 4 3 6" xfId="2191"/>
    <cellStyle name="Normal 4 2 4 3 7" xfId="2718"/>
    <cellStyle name="Normal 4 2 4 3 8" xfId="3245"/>
    <cellStyle name="Normal 4 2 4 3 9" xfId="3772"/>
    <cellStyle name="Normal 4 2 4 4" xfId="408"/>
    <cellStyle name="Normal 4 2 4 4 2" xfId="1053"/>
    <cellStyle name="Normal 4 2 4 4 3" xfId="1404"/>
    <cellStyle name="Normal 4 2 4 4 4" xfId="1839"/>
    <cellStyle name="Normal 4 2 4 4 5" xfId="2369"/>
    <cellStyle name="Normal 4 2 4 4 6" xfId="2896"/>
    <cellStyle name="Normal 4 2 4 4 7" xfId="3423"/>
    <cellStyle name="Normal 4 2 4 4 8" xfId="3950"/>
    <cellStyle name="Normal 4 2 4 5" xfId="665"/>
    <cellStyle name="Normal 4 2 4 5 2" xfId="1488"/>
    <cellStyle name="Normal 4 2 4 5 3" xfId="1923"/>
    <cellStyle name="Normal 4 2 4 5 4" xfId="2453"/>
    <cellStyle name="Normal 4 2 4 5 5" xfId="2980"/>
    <cellStyle name="Normal 4 2 4 5 6" xfId="3507"/>
    <cellStyle name="Normal 4 2 4 5 7" xfId="4034"/>
    <cellStyle name="Normal 4 2 4 6" xfId="786"/>
    <cellStyle name="Normal 4 2 4 6 2" xfId="4210"/>
    <cellStyle name="Normal 4 2 4 7" xfId="1137"/>
    <cellStyle name="Normal 4 2 4 8" xfId="1572"/>
    <cellStyle name="Normal 4 2 4 9" xfId="2102"/>
    <cellStyle name="Normal 4 2 5" xfId="134"/>
    <cellStyle name="Normal 4 2 5 10" xfId="2637"/>
    <cellStyle name="Normal 4 2 5 11" xfId="3164"/>
    <cellStyle name="Normal 4 2 5 12" xfId="3691"/>
    <cellStyle name="Normal 4 2 5 2" xfId="228"/>
    <cellStyle name="Normal 4 2 5 2 2" xfId="501"/>
    <cellStyle name="Normal 4 2 5 2 2 2" xfId="2020"/>
    <cellStyle name="Normal 4 2 5 2 2 3" xfId="2550"/>
    <cellStyle name="Normal 4 2 5 2 2 4" xfId="3077"/>
    <cellStyle name="Normal 4 2 5 2 2 5" xfId="3604"/>
    <cellStyle name="Normal 4 2 5 2 2 6" xfId="4131"/>
    <cellStyle name="Normal 4 2 5 2 3" xfId="974"/>
    <cellStyle name="Normal 4 2 5 2 4" xfId="1325"/>
    <cellStyle name="Normal 4 2 5 2 5" xfId="1760"/>
    <cellStyle name="Normal 4 2 5 2 6" xfId="2290"/>
    <cellStyle name="Normal 4 2 5 2 7" xfId="2817"/>
    <cellStyle name="Normal 4 2 5 2 8" xfId="3344"/>
    <cellStyle name="Normal 4 2 5 2 9" xfId="3871"/>
    <cellStyle name="Normal 4 2 5 3" xfId="323"/>
    <cellStyle name="Normal 4 2 5 3 2" xfId="586"/>
    <cellStyle name="Normal 4 2 5 3 3" xfId="883"/>
    <cellStyle name="Normal 4 2 5 3 4" xfId="1234"/>
    <cellStyle name="Normal 4 2 5 3 5" xfId="1669"/>
    <cellStyle name="Normal 4 2 5 3 6" xfId="2199"/>
    <cellStyle name="Normal 4 2 5 3 7" xfId="2726"/>
    <cellStyle name="Normal 4 2 5 3 8" xfId="3253"/>
    <cellStyle name="Normal 4 2 5 3 9" xfId="3780"/>
    <cellStyle name="Normal 4 2 5 4" xfId="416"/>
    <cellStyle name="Normal 4 2 5 4 2" xfId="1061"/>
    <cellStyle name="Normal 4 2 5 4 3" xfId="1412"/>
    <cellStyle name="Normal 4 2 5 4 4" xfId="1847"/>
    <cellStyle name="Normal 4 2 5 4 5" xfId="2377"/>
    <cellStyle name="Normal 4 2 5 4 6" xfId="2904"/>
    <cellStyle name="Normal 4 2 5 4 7" xfId="3431"/>
    <cellStyle name="Normal 4 2 5 4 8" xfId="3958"/>
    <cellStyle name="Normal 4 2 5 5" xfId="673"/>
    <cellStyle name="Normal 4 2 5 5 2" xfId="1496"/>
    <cellStyle name="Normal 4 2 5 5 3" xfId="1931"/>
    <cellStyle name="Normal 4 2 5 5 4" xfId="2461"/>
    <cellStyle name="Normal 4 2 5 5 5" xfId="2988"/>
    <cellStyle name="Normal 4 2 5 5 6" xfId="3515"/>
    <cellStyle name="Normal 4 2 5 5 7" xfId="4042"/>
    <cellStyle name="Normal 4 2 5 6" xfId="794"/>
    <cellStyle name="Normal 4 2 5 6 2" xfId="4218"/>
    <cellStyle name="Normal 4 2 5 7" xfId="1145"/>
    <cellStyle name="Normal 4 2 5 8" xfId="1580"/>
    <cellStyle name="Normal 4 2 5 9" xfId="2110"/>
    <cellStyle name="Normal 4 2 6" xfId="142"/>
    <cellStyle name="Normal 4 2 6 10" xfId="2645"/>
    <cellStyle name="Normal 4 2 6 11" xfId="3172"/>
    <cellStyle name="Normal 4 2 6 12" xfId="3699"/>
    <cellStyle name="Normal 4 2 6 2" xfId="236"/>
    <cellStyle name="Normal 4 2 6 2 2" xfId="509"/>
    <cellStyle name="Normal 4 2 6 2 2 2" xfId="2028"/>
    <cellStyle name="Normal 4 2 6 2 2 3" xfId="2558"/>
    <cellStyle name="Normal 4 2 6 2 2 4" xfId="3085"/>
    <cellStyle name="Normal 4 2 6 2 2 5" xfId="3612"/>
    <cellStyle name="Normal 4 2 6 2 2 6" xfId="4139"/>
    <cellStyle name="Normal 4 2 6 2 3" xfId="982"/>
    <cellStyle name="Normal 4 2 6 2 4" xfId="1333"/>
    <cellStyle name="Normal 4 2 6 2 5" xfId="1768"/>
    <cellStyle name="Normal 4 2 6 2 6" xfId="2298"/>
    <cellStyle name="Normal 4 2 6 2 7" xfId="2825"/>
    <cellStyle name="Normal 4 2 6 2 8" xfId="3352"/>
    <cellStyle name="Normal 4 2 6 2 9" xfId="3879"/>
    <cellStyle name="Normal 4 2 6 3" xfId="331"/>
    <cellStyle name="Normal 4 2 6 3 2" xfId="594"/>
    <cellStyle name="Normal 4 2 6 3 3" xfId="891"/>
    <cellStyle name="Normal 4 2 6 3 4" xfId="1242"/>
    <cellStyle name="Normal 4 2 6 3 5" xfId="1677"/>
    <cellStyle name="Normal 4 2 6 3 6" xfId="2207"/>
    <cellStyle name="Normal 4 2 6 3 7" xfId="2734"/>
    <cellStyle name="Normal 4 2 6 3 8" xfId="3261"/>
    <cellStyle name="Normal 4 2 6 3 9" xfId="3788"/>
    <cellStyle name="Normal 4 2 6 4" xfId="424"/>
    <cellStyle name="Normal 4 2 6 4 2" xfId="1069"/>
    <cellStyle name="Normal 4 2 6 4 3" xfId="1420"/>
    <cellStyle name="Normal 4 2 6 4 4" xfId="1855"/>
    <cellStyle name="Normal 4 2 6 4 5" xfId="2385"/>
    <cellStyle name="Normal 4 2 6 4 6" xfId="2912"/>
    <cellStyle name="Normal 4 2 6 4 7" xfId="3439"/>
    <cellStyle name="Normal 4 2 6 4 8" xfId="3966"/>
    <cellStyle name="Normal 4 2 6 5" xfId="681"/>
    <cellStyle name="Normal 4 2 6 5 2" xfId="1504"/>
    <cellStyle name="Normal 4 2 6 5 3" xfId="1939"/>
    <cellStyle name="Normal 4 2 6 5 4" xfId="2469"/>
    <cellStyle name="Normal 4 2 6 5 5" xfId="2996"/>
    <cellStyle name="Normal 4 2 6 5 6" xfId="3523"/>
    <cellStyle name="Normal 4 2 6 5 7" xfId="4050"/>
    <cellStyle name="Normal 4 2 6 6" xfId="802"/>
    <cellStyle name="Normal 4 2 6 6 2" xfId="4226"/>
    <cellStyle name="Normal 4 2 6 7" xfId="1153"/>
    <cellStyle name="Normal 4 2 6 8" xfId="1588"/>
    <cellStyle name="Normal 4 2 6 9" xfId="2118"/>
    <cellStyle name="Normal 4 2 7" xfId="82"/>
    <cellStyle name="Normal 4 2 7 10" xfId="2585"/>
    <cellStyle name="Normal 4 2 7 11" xfId="3112"/>
    <cellStyle name="Normal 4 2 7 12" xfId="3639"/>
    <cellStyle name="Normal 4 2 7 2" xfId="176"/>
    <cellStyle name="Normal 4 2 7 2 2" xfId="449"/>
    <cellStyle name="Normal 4 2 7 2 2 2" xfId="1968"/>
    <cellStyle name="Normal 4 2 7 2 2 3" xfId="2498"/>
    <cellStyle name="Normal 4 2 7 2 2 4" xfId="3025"/>
    <cellStyle name="Normal 4 2 7 2 2 5" xfId="3552"/>
    <cellStyle name="Normal 4 2 7 2 2 6" xfId="4079"/>
    <cellStyle name="Normal 4 2 7 2 3" xfId="922"/>
    <cellStyle name="Normal 4 2 7 2 4" xfId="1273"/>
    <cellStyle name="Normal 4 2 7 2 5" xfId="1708"/>
    <cellStyle name="Normal 4 2 7 2 6" xfId="2238"/>
    <cellStyle name="Normal 4 2 7 2 7" xfId="2765"/>
    <cellStyle name="Normal 4 2 7 2 8" xfId="3292"/>
    <cellStyle name="Normal 4 2 7 2 9" xfId="3819"/>
    <cellStyle name="Normal 4 2 7 3" xfId="271"/>
    <cellStyle name="Normal 4 2 7 3 2" xfId="534"/>
    <cellStyle name="Normal 4 2 7 3 3" xfId="831"/>
    <cellStyle name="Normal 4 2 7 3 4" xfId="1182"/>
    <cellStyle name="Normal 4 2 7 3 5" xfId="1617"/>
    <cellStyle name="Normal 4 2 7 3 6" xfId="2147"/>
    <cellStyle name="Normal 4 2 7 3 7" xfId="2674"/>
    <cellStyle name="Normal 4 2 7 3 8" xfId="3201"/>
    <cellStyle name="Normal 4 2 7 3 9" xfId="3728"/>
    <cellStyle name="Normal 4 2 7 4" xfId="364"/>
    <cellStyle name="Normal 4 2 7 4 2" xfId="1009"/>
    <cellStyle name="Normal 4 2 7 4 3" xfId="1360"/>
    <cellStyle name="Normal 4 2 7 4 4" xfId="1795"/>
    <cellStyle name="Normal 4 2 7 4 5" xfId="2325"/>
    <cellStyle name="Normal 4 2 7 4 6" xfId="2852"/>
    <cellStyle name="Normal 4 2 7 4 7" xfId="3379"/>
    <cellStyle name="Normal 4 2 7 4 8" xfId="3906"/>
    <cellStyle name="Normal 4 2 7 5" xfId="621"/>
    <cellStyle name="Normal 4 2 7 5 2" xfId="1444"/>
    <cellStyle name="Normal 4 2 7 5 3" xfId="1879"/>
    <cellStyle name="Normal 4 2 7 5 4" xfId="2409"/>
    <cellStyle name="Normal 4 2 7 5 5" xfId="2936"/>
    <cellStyle name="Normal 4 2 7 5 6" xfId="3463"/>
    <cellStyle name="Normal 4 2 7 5 7" xfId="3990"/>
    <cellStyle name="Normal 4 2 7 6" xfId="742"/>
    <cellStyle name="Normal 4 2 7 6 2" xfId="4166"/>
    <cellStyle name="Normal 4 2 7 7" xfId="1093"/>
    <cellStyle name="Normal 4 2 7 8" xfId="1528"/>
    <cellStyle name="Normal 4 2 7 9" xfId="2058"/>
    <cellStyle name="Normal 4 2 8" xfId="168"/>
    <cellStyle name="Normal 4 2 8 2" xfId="441"/>
    <cellStyle name="Normal 4 2 8 2 2" xfId="1960"/>
    <cellStyle name="Normal 4 2 8 2 3" xfId="2490"/>
    <cellStyle name="Normal 4 2 8 2 4" xfId="3017"/>
    <cellStyle name="Normal 4 2 8 2 5" xfId="3544"/>
    <cellStyle name="Normal 4 2 8 2 6" xfId="4071"/>
    <cellStyle name="Normal 4 2 8 3" xfId="914"/>
    <cellStyle name="Normal 4 2 8 4" xfId="1265"/>
    <cellStyle name="Normal 4 2 8 5" xfId="1700"/>
    <cellStyle name="Normal 4 2 8 6" xfId="2230"/>
    <cellStyle name="Normal 4 2 8 7" xfId="2757"/>
    <cellStyle name="Normal 4 2 8 8" xfId="3284"/>
    <cellStyle name="Normal 4 2 8 9" xfId="3811"/>
    <cellStyle name="Normal 4 2 9" xfId="263"/>
    <cellStyle name="Normal 4 2 9 2" xfId="526"/>
    <cellStyle name="Normal 4 2 9 3" xfId="823"/>
    <cellStyle name="Normal 4 2 9 4" xfId="1174"/>
    <cellStyle name="Normal 4 2 9 5" xfId="1609"/>
    <cellStyle name="Normal 4 2 9 6" xfId="2139"/>
    <cellStyle name="Normal 4 2 9 7" xfId="2666"/>
    <cellStyle name="Normal 4 2 9 8" xfId="3193"/>
    <cellStyle name="Normal 4 2 9 9" xfId="3720"/>
    <cellStyle name="Normal 4 20" xfId="730"/>
    <cellStyle name="Normal 4 20 2" xfId="4154"/>
    <cellStyle name="Normal 4 21" xfId="1081"/>
    <cellStyle name="Normal 4 22" xfId="1516"/>
    <cellStyle name="Normal 4 23" xfId="2046"/>
    <cellStyle name="Normal 4 24" xfId="2573"/>
    <cellStyle name="Normal 4 25" xfId="3100"/>
    <cellStyle name="Normal 4 26" xfId="3627"/>
    <cellStyle name="Normal 4 3" xfId="86"/>
    <cellStyle name="Normal 4 3 10" xfId="2589"/>
    <cellStyle name="Normal 4 3 11" xfId="3116"/>
    <cellStyle name="Normal 4 3 12" xfId="3643"/>
    <cellStyle name="Normal 4 3 2" xfId="180"/>
    <cellStyle name="Normal 4 3 2 2" xfId="453"/>
    <cellStyle name="Normal 4 3 2 2 2" xfId="1972"/>
    <cellStyle name="Normal 4 3 2 2 3" xfId="2502"/>
    <cellStyle name="Normal 4 3 2 2 4" xfId="3029"/>
    <cellStyle name="Normal 4 3 2 2 5" xfId="3556"/>
    <cellStyle name="Normal 4 3 2 2 6" xfId="4083"/>
    <cellStyle name="Normal 4 3 2 3" xfId="926"/>
    <cellStyle name="Normal 4 3 2 4" xfId="1277"/>
    <cellStyle name="Normal 4 3 2 5" xfId="1712"/>
    <cellStyle name="Normal 4 3 2 6" xfId="2242"/>
    <cellStyle name="Normal 4 3 2 7" xfId="2769"/>
    <cellStyle name="Normal 4 3 2 8" xfId="3296"/>
    <cellStyle name="Normal 4 3 2 9" xfId="3823"/>
    <cellStyle name="Normal 4 3 3" xfId="275"/>
    <cellStyle name="Normal 4 3 3 2" xfId="538"/>
    <cellStyle name="Normal 4 3 3 3" xfId="835"/>
    <cellStyle name="Normal 4 3 3 4" xfId="1186"/>
    <cellStyle name="Normal 4 3 3 5" xfId="1621"/>
    <cellStyle name="Normal 4 3 3 6" xfId="2151"/>
    <cellStyle name="Normal 4 3 3 7" xfId="2678"/>
    <cellStyle name="Normal 4 3 3 8" xfId="3205"/>
    <cellStyle name="Normal 4 3 3 9" xfId="3732"/>
    <cellStyle name="Normal 4 3 4" xfId="368"/>
    <cellStyle name="Normal 4 3 4 2" xfId="1013"/>
    <cellStyle name="Normal 4 3 4 3" xfId="1364"/>
    <cellStyle name="Normal 4 3 4 4" xfId="1799"/>
    <cellStyle name="Normal 4 3 4 5" xfId="2329"/>
    <cellStyle name="Normal 4 3 4 6" xfId="2856"/>
    <cellStyle name="Normal 4 3 4 7" xfId="3383"/>
    <cellStyle name="Normal 4 3 4 8" xfId="3910"/>
    <cellStyle name="Normal 4 3 5" xfId="625"/>
    <cellStyle name="Normal 4 3 5 2" xfId="1448"/>
    <cellStyle name="Normal 4 3 5 3" xfId="1883"/>
    <cellStyle name="Normal 4 3 5 4" xfId="2413"/>
    <cellStyle name="Normal 4 3 5 5" xfId="2940"/>
    <cellStyle name="Normal 4 3 5 6" xfId="3467"/>
    <cellStyle name="Normal 4 3 5 7" xfId="3994"/>
    <cellStyle name="Normal 4 3 6" xfId="746"/>
    <cellStyle name="Normal 4 3 6 2" xfId="4170"/>
    <cellStyle name="Normal 4 3 7" xfId="1097"/>
    <cellStyle name="Normal 4 3 8" xfId="1532"/>
    <cellStyle name="Normal 4 3 9" xfId="2062"/>
    <cellStyle name="Normal 4 4" xfId="90"/>
    <cellStyle name="Normal 4 4 10" xfId="2593"/>
    <cellStyle name="Normal 4 4 11" xfId="3120"/>
    <cellStyle name="Normal 4 4 12" xfId="3647"/>
    <cellStyle name="Normal 4 4 2" xfId="184"/>
    <cellStyle name="Normal 4 4 2 2" xfId="457"/>
    <cellStyle name="Normal 4 4 2 2 2" xfId="1976"/>
    <cellStyle name="Normal 4 4 2 2 3" xfId="2506"/>
    <cellStyle name="Normal 4 4 2 2 4" xfId="3033"/>
    <cellStyle name="Normal 4 4 2 2 5" xfId="3560"/>
    <cellStyle name="Normal 4 4 2 2 6" xfId="4087"/>
    <cellStyle name="Normal 4 4 2 3" xfId="930"/>
    <cellStyle name="Normal 4 4 2 4" xfId="1281"/>
    <cellStyle name="Normal 4 4 2 5" xfId="1716"/>
    <cellStyle name="Normal 4 4 2 6" xfId="2246"/>
    <cellStyle name="Normal 4 4 2 7" xfId="2773"/>
    <cellStyle name="Normal 4 4 2 8" xfId="3300"/>
    <cellStyle name="Normal 4 4 2 9" xfId="3827"/>
    <cellStyle name="Normal 4 4 3" xfId="279"/>
    <cellStyle name="Normal 4 4 3 2" xfId="542"/>
    <cellStyle name="Normal 4 4 3 3" xfId="839"/>
    <cellStyle name="Normal 4 4 3 4" xfId="1190"/>
    <cellStyle name="Normal 4 4 3 5" xfId="1625"/>
    <cellStyle name="Normal 4 4 3 6" xfId="2155"/>
    <cellStyle name="Normal 4 4 3 7" xfId="2682"/>
    <cellStyle name="Normal 4 4 3 8" xfId="3209"/>
    <cellStyle name="Normal 4 4 3 9" xfId="3736"/>
    <cellStyle name="Normal 4 4 4" xfId="372"/>
    <cellStyle name="Normal 4 4 4 2" xfId="1017"/>
    <cellStyle name="Normal 4 4 4 3" xfId="1368"/>
    <cellStyle name="Normal 4 4 4 4" xfId="1803"/>
    <cellStyle name="Normal 4 4 4 5" xfId="2333"/>
    <cellStyle name="Normal 4 4 4 6" xfId="2860"/>
    <cellStyle name="Normal 4 4 4 7" xfId="3387"/>
    <cellStyle name="Normal 4 4 4 8" xfId="3914"/>
    <cellStyle name="Normal 4 4 5" xfId="629"/>
    <cellStyle name="Normal 4 4 5 2" xfId="1452"/>
    <cellStyle name="Normal 4 4 5 3" xfId="1887"/>
    <cellStyle name="Normal 4 4 5 4" xfId="2417"/>
    <cellStyle name="Normal 4 4 5 5" xfId="2944"/>
    <cellStyle name="Normal 4 4 5 6" xfId="3471"/>
    <cellStyle name="Normal 4 4 5 7" xfId="3998"/>
    <cellStyle name="Normal 4 4 6" xfId="750"/>
    <cellStyle name="Normal 4 4 6 2" xfId="4174"/>
    <cellStyle name="Normal 4 4 7" xfId="1101"/>
    <cellStyle name="Normal 4 4 8" xfId="1536"/>
    <cellStyle name="Normal 4 4 9" xfId="2066"/>
    <cellStyle name="Normal 4 5" xfId="94"/>
    <cellStyle name="Normal 4 5 10" xfId="2597"/>
    <cellStyle name="Normal 4 5 11" xfId="3124"/>
    <cellStyle name="Normal 4 5 12" xfId="3651"/>
    <cellStyle name="Normal 4 5 2" xfId="188"/>
    <cellStyle name="Normal 4 5 2 2" xfId="461"/>
    <cellStyle name="Normal 4 5 2 2 2" xfId="1980"/>
    <cellStyle name="Normal 4 5 2 2 3" xfId="2510"/>
    <cellStyle name="Normal 4 5 2 2 4" xfId="3037"/>
    <cellStyle name="Normal 4 5 2 2 5" xfId="3564"/>
    <cellStyle name="Normal 4 5 2 2 6" xfId="4091"/>
    <cellStyle name="Normal 4 5 2 3" xfId="934"/>
    <cellStyle name="Normal 4 5 2 4" xfId="1285"/>
    <cellStyle name="Normal 4 5 2 5" xfId="1720"/>
    <cellStyle name="Normal 4 5 2 6" xfId="2250"/>
    <cellStyle name="Normal 4 5 2 7" xfId="2777"/>
    <cellStyle name="Normal 4 5 2 8" xfId="3304"/>
    <cellStyle name="Normal 4 5 2 9" xfId="3831"/>
    <cellStyle name="Normal 4 5 3" xfId="283"/>
    <cellStyle name="Normal 4 5 3 2" xfId="546"/>
    <cellStyle name="Normal 4 5 3 3" xfId="843"/>
    <cellStyle name="Normal 4 5 3 4" xfId="1194"/>
    <cellStyle name="Normal 4 5 3 5" xfId="1629"/>
    <cellStyle name="Normal 4 5 3 6" xfId="2159"/>
    <cellStyle name="Normal 4 5 3 7" xfId="2686"/>
    <cellStyle name="Normal 4 5 3 8" xfId="3213"/>
    <cellStyle name="Normal 4 5 3 9" xfId="3740"/>
    <cellStyle name="Normal 4 5 4" xfId="376"/>
    <cellStyle name="Normal 4 5 4 2" xfId="1021"/>
    <cellStyle name="Normal 4 5 4 3" xfId="1372"/>
    <cellStyle name="Normal 4 5 4 4" xfId="1807"/>
    <cellStyle name="Normal 4 5 4 5" xfId="2337"/>
    <cellStyle name="Normal 4 5 4 6" xfId="2864"/>
    <cellStyle name="Normal 4 5 4 7" xfId="3391"/>
    <cellStyle name="Normal 4 5 4 8" xfId="3918"/>
    <cellStyle name="Normal 4 5 5" xfId="633"/>
    <cellStyle name="Normal 4 5 5 2" xfId="1456"/>
    <cellStyle name="Normal 4 5 5 3" xfId="1891"/>
    <cellStyle name="Normal 4 5 5 4" xfId="2421"/>
    <cellStyle name="Normal 4 5 5 5" xfId="2948"/>
    <cellStyle name="Normal 4 5 5 6" xfId="3475"/>
    <cellStyle name="Normal 4 5 5 7" xfId="4002"/>
    <cellStyle name="Normal 4 5 6" xfId="754"/>
    <cellStyle name="Normal 4 5 6 2" xfId="4178"/>
    <cellStyle name="Normal 4 5 7" xfId="1105"/>
    <cellStyle name="Normal 4 5 8" xfId="1540"/>
    <cellStyle name="Normal 4 5 9" xfId="2070"/>
    <cellStyle name="Normal 4 6" xfId="98"/>
    <cellStyle name="Normal 4 6 10" xfId="2601"/>
    <cellStyle name="Normal 4 6 11" xfId="3128"/>
    <cellStyle name="Normal 4 6 12" xfId="3655"/>
    <cellStyle name="Normal 4 6 2" xfId="192"/>
    <cellStyle name="Normal 4 6 2 2" xfId="465"/>
    <cellStyle name="Normal 4 6 2 2 2" xfId="1984"/>
    <cellStyle name="Normal 4 6 2 2 3" xfId="2514"/>
    <cellStyle name="Normal 4 6 2 2 4" xfId="3041"/>
    <cellStyle name="Normal 4 6 2 2 5" xfId="3568"/>
    <cellStyle name="Normal 4 6 2 2 6" xfId="4095"/>
    <cellStyle name="Normal 4 6 2 3" xfId="938"/>
    <cellStyle name="Normal 4 6 2 4" xfId="1289"/>
    <cellStyle name="Normal 4 6 2 5" xfId="1724"/>
    <cellStyle name="Normal 4 6 2 6" xfId="2254"/>
    <cellStyle name="Normal 4 6 2 7" xfId="2781"/>
    <cellStyle name="Normal 4 6 2 8" xfId="3308"/>
    <cellStyle name="Normal 4 6 2 9" xfId="3835"/>
    <cellStyle name="Normal 4 6 3" xfId="287"/>
    <cellStyle name="Normal 4 6 3 2" xfId="550"/>
    <cellStyle name="Normal 4 6 3 3" xfId="847"/>
    <cellStyle name="Normal 4 6 3 4" xfId="1198"/>
    <cellStyle name="Normal 4 6 3 5" xfId="1633"/>
    <cellStyle name="Normal 4 6 3 6" xfId="2163"/>
    <cellStyle name="Normal 4 6 3 7" xfId="2690"/>
    <cellStyle name="Normal 4 6 3 8" xfId="3217"/>
    <cellStyle name="Normal 4 6 3 9" xfId="3744"/>
    <cellStyle name="Normal 4 6 4" xfId="380"/>
    <cellStyle name="Normal 4 6 4 2" xfId="1025"/>
    <cellStyle name="Normal 4 6 4 3" xfId="1376"/>
    <cellStyle name="Normal 4 6 4 4" xfId="1811"/>
    <cellStyle name="Normal 4 6 4 5" xfId="2341"/>
    <cellStyle name="Normal 4 6 4 6" xfId="2868"/>
    <cellStyle name="Normal 4 6 4 7" xfId="3395"/>
    <cellStyle name="Normal 4 6 4 8" xfId="3922"/>
    <cellStyle name="Normal 4 6 5" xfId="637"/>
    <cellStyle name="Normal 4 6 5 2" xfId="1460"/>
    <cellStyle name="Normal 4 6 5 3" xfId="1895"/>
    <cellStyle name="Normal 4 6 5 4" xfId="2425"/>
    <cellStyle name="Normal 4 6 5 5" xfId="2952"/>
    <cellStyle name="Normal 4 6 5 6" xfId="3479"/>
    <cellStyle name="Normal 4 6 5 7" xfId="4006"/>
    <cellStyle name="Normal 4 6 6" xfId="758"/>
    <cellStyle name="Normal 4 6 6 2" xfId="4182"/>
    <cellStyle name="Normal 4 6 7" xfId="1109"/>
    <cellStyle name="Normal 4 6 8" xfId="1544"/>
    <cellStyle name="Normal 4 6 9" xfId="2074"/>
    <cellStyle name="Normal 4 7" xfId="102"/>
    <cellStyle name="Normal 4 7 10" xfId="2605"/>
    <cellStyle name="Normal 4 7 11" xfId="3132"/>
    <cellStyle name="Normal 4 7 12" xfId="3659"/>
    <cellStyle name="Normal 4 7 2" xfId="196"/>
    <cellStyle name="Normal 4 7 2 2" xfId="469"/>
    <cellStyle name="Normal 4 7 2 2 2" xfId="1988"/>
    <cellStyle name="Normal 4 7 2 2 3" xfId="2518"/>
    <cellStyle name="Normal 4 7 2 2 4" xfId="3045"/>
    <cellStyle name="Normal 4 7 2 2 5" xfId="3572"/>
    <cellStyle name="Normal 4 7 2 2 6" xfId="4099"/>
    <cellStyle name="Normal 4 7 2 3" xfId="942"/>
    <cellStyle name="Normal 4 7 2 4" xfId="1293"/>
    <cellStyle name="Normal 4 7 2 5" xfId="1728"/>
    <cellStyle name="Normal 4 7 2 6" xfId="2258"/>
    <cellStyle name="Normal 4 7 2 7" xfId="2785"/>
    <cellStyle name="Normal 4 7 2 8" xfId="3312"/>
    <cellStyle name="Normal 4 7 2 9" xfId="3839"/>
    <cellStyle name="Normal 4 7 3" xfId="291"/>
    <cellStyle name="Normal 4 7 3 2" xfId="554"/>
    <cellStyle name="Normal 4 7 3 3" xfId="851"/>
    <cellStyle name="Normal 4 7 3 4" xfId="1202"/>
    <cellStyle name="Normal 4 7 3 5" xfId="1637"/>
    <cellStyle name="Normal 4 7 3 6" xfId="2167"/>
    <cellStyle name="Normal 4 7 3 7" xfId="2694"/>
    <cellStyle name="Normal 4 7 3 8" xfId="3221"/>
    <cellStyle name="Normal 4 7 3 9" xfId="3748"/>
    <cellStyle name="Normal 4 7 4" xfId="384"/>
    <cellStyle name="Normal 4 7 4 2" xfId="1029"/>
    <cellStyle name="Normal 4 7 4 3" xfId="1380"/>
    <cellStyle name="Normal 4 7 4 4" xfId="1815"/>
    <cellStyle name="Normal 4 7 4 5" xfId="2345"/>
    <cellStyle name="Normal 4 7 4 6" xfId="2872"/>
    <cellStyle name="Normal 4 7 4 7" xfId="3399"/>
    <cellStyle name="Normal 4 7 4 8" xfId="3926"/>
    <cellStyle name="Normal 4 7 5" xfId="641"/>
    <cellStyle name="Normal 4 7 5 2" xfId="1464"/>
    <cellStyle name="Normal 4 7 5 3" xfId="1899"/>
    <cellStyle name="Normal 4 7 5 4" xfId="2429"/>
    <cellStyle name="Normal 4 7 5 5" xfId="2956"/>
    <cellStyle name="Normal 4 7 5 6" xfId="3483"/>
    <cellStyle name="Normal 4 7 5 7" xfId="4010"/>
    <cellStyle name="Normal 4 7 6" xfId="762"/>
    <cellStyle name="Normal 4 7 6 2" xfId="4186"/>
    <cellStyle name="Normal 4 7 7" xfId="1113"/>
    <cellStyle name="Normal 4 7 8" xfId="1548"/>
    <cellStyle name="Normal 4 7 9" xfId="2078"/>
    <cellStyle name="Normal 4 8" xfId="106"/>
    <cellStyle name="Normal 4 8 10" xfId="2609"/>
    <cellStyle name="Normal 4 8 11" xfId="3136"/>
    <cellStyle name="Normal 4 8 12" xfId="3663"/>
    <cellStyle name="Normal 4 8 2" xfId="200"/>
    <cellStyle name="Normal 4 8 2 2" xfId="473"/>
    <cellStyle name="Normal 4 8 2 2 2" xfId="1992"/>
    <cellStyle name="Normal 4 8 2 2 3" xfId="2522"/>
    <cellStyle name="Normal 4 8 2 2 4" xfId="3049"/>
    <cellStyle name="Normal 4 8 2 2 5" xfId="3576"/>
    <cellStyle name="Normal 4 8 2 2 6" xfId="4103"/>
    <cellStyle name="Normal 4 8 2 3" xfId="946"/>
    <cellStyle name="Normal 4 8 2 4" xfId="1297"/>
    <cellStyle name="Normal 4 8 2 5" xfId="1732"/>
    <cellStyle name="Normal 4 8 2 6" xfId="2262"/>
    <cellStyle name="Normal 4 8 2 7" xfId="2789"/>
    <cellStyle name="Normal 4 8 2 8" xfId="3316"/>
    <cellStyle name="Normal 4 8 2 9" xfId="3843"/>
    <cellStyle name="Normal 4 8 3" xfId="295"/>
    <cellStyle name="Normal 4 8 3 2" xfId="558"/>
    <cellStyle name="Normal 4 8 3 3" xfId="855"/>
    <cellStyle name="Normal 4 8 3 4" xfId="1206"/>
    <cellStyle name="Normal 4 8 3 5" xfId="1641"/>
    <cellStyle name="Normal 4 8 3 6" xfId="2171"/>
    <cellStyle name="Normal 4 8 3 7" xfId="2698"/>
    <cellStyle name="Normal 4 8 3 8" xfId="3225"/>
    <cellStyle name="Normal 4 8 3 9" xfId="3752"/>
    <cellStyle name="Normal 4 8 4" xfId="388"/>
    <cellStyle name="Normal 4 8 4 2" xfId="1033"/>
    <cellStyle name="Normal 4 8 4 3" xfId="1384"/>
    <cellStyle name="Normal 4 8 4 4" xfId="1819"/>
    <cellStyle name="Normal 4 8 4 5" xfId="2349"/>
    <cellStyle name="Normal 4 8 4 6" xfId="2876"/>
    <cellStyle name="Normal 4 8 4 7" xfId="3403"/>
    <cellStyle name="Normal 4 8 4 8" xfId="3930"/>
    <cellStyle name="Normal 4 8 5" xfId="645"/>
    <cellStyle name="Normal 4 8 5 2" xfId="1468"/>
    <cellStyle name="Normal 4 8 5 3" xfId="1903"/>
    <cellStyle name="Normal 4 8 5 4" xfId="2433"/>
    <cellStyle name="Normal 4 8 5 5" xfId="2960"/>
    <cellStyle name="Normal 4 8 5 6" xfId="3487"/>
    <cellStyle name="Normal 4 8 5 7" xfId="4014"/>
    <cellStyle name="Normal 4 8 6" xfId="766"/>
    <cellStyle name="Normal 4 8 6 2" xfId="4190"/>
    <cellStyle name="Normal 4 8 7" xfId="1117"/>
    <cellStyle name="Normal 4 8 8" xfId="1552"/>
    <cellStyle name="Normal 4 8 9" xfId="2082"/>
    <cellStyle name="Normal 4 9" xfId="114"/>
    <cellStyle name="Normal 4 9 10" xfId="2617"/>
    <cellStyle name="Normal 4 9 11" xfId="3144"/>
    <cellStyle name="Normal 4 9 12" xfId="3671"/>
    <cellStyle name="Normal 4 9 2" xfId="208"/>
    <cellStyle name="Normal 4 9 2 2" xfId="481"/>
    <cellStyle name="Normal 4 9 2 2 2" xfId="2000"/>
    <cellStyle name="Normal 4 9 2 2 3" xfId="2530"/>
    <cellStyle name="Normal 4 9 2 2 4" xfId="3057"/>
    <cellStyle name="Normal 4 9 2 2 5" xfId="3584"/>
    <cellStyle name="Normal 4 9 2 2 6" xfId="4111"/>
    <cellStyle name="Normal 4 9 2 3" xfId="954"/>
    <cellStyle name="Normal 4 9 2 4" xfId="1305"/>
    <cellStyle name="Normal 4 9 2 5" xfId="1740"/>
    <cellStyle name="Normal 4 9 2 6" xfId="2270"/>
    <cellStyle name="Normal 4 9 2 7" xfId="2797"/>
    <cellStyle name="Normal 4 9 2 8" xfId="3324"/>
    <cellStyle name="Normal 4 9 2 9" xfId="3851"/>
    <cellStyle name="Normal 4 9 3" xfId="303"/>
    <cellStyle name="Normal 4 9 3 2" xfId="566"/>
    <cellStyle name="Normal 4 9 3 3" xfId="863"/>
    <cellStyle name="Normal 4 9 3 4" xfId="1214"/>
    <cellStyle name="Normal 4 9 3 5" xfId="1649"/>
    <cellStyle name="Normal 4 9 3 6" xfId="2179"/>
    <cellStyle name="Normal 4 9 3 7" xfId="2706"/>
    <cellStyle name="Normal 4 9 3 8" xfId="3233"/>
    <cellStyle name="Normal 4 9 3 9" xfId="3760"/>
    <cellStyle name="Normal 4 9 4" xfId="396"/>
    <cellStyle name="Normal 4 9 4 2" xfId="1041"/>
    <cellStyle name="Normal 4 9 4 3" xfId="1392"/>
    <cellStyle name="Normal 4 9 4 4" xfId="1827"/>
    <cellStyle name="Normal 4 9 4 5" xfId="2357"/>
    <cellStyle name="Normal 4 9 4 6" xfId="2884"/>
    <cellStyle name="Normal 4 9 4 7" xfId="3411"/>
    <cellStyle name="Normal 4 9 4 8" xfId="3938"/>
    <cellStyle name="Normal 4 9 5" xfId="653"/>
    <cellStyle name="Normal 4 9 5 2" xfId="1476"/>
    <cellStyle name="Normal 4 9 5 3" xfId="1911"/>
    <cellStyle name="Normal 4 9 5 4" xfId="2441"/>
    <cellStyle name="Normal 4 9 5 5" xfId="2968"/>
    <cellStyle name="Normal 4 9 5 6" xfId="3495"/>
    <cellStyle name="Normal 4 9 5 7" xfId="4022"/>
    <cellStyle name="Normal 4 9 6" xfId="774"/>
    <cellStyle name="Normal 4 9 6 2" xfId="4198"/>
    <cellStyle name="Normal 4 9 7" xfId="1125"/>
    <cellStyle name="Normal 4 9 8" xfId="1560"/>
    <cellStyle name="Normal 4 9 9" xfId="2090"/>
    <cellStyle name="Normal 5" xfId="73"/>
    <cellStyle name="Normal 5 10" xfId="125"/>
    <cellStyle name="Normal 5 10 10" xfId="2628"/>
    <cellStyle name="Normal 5 10 11" xfId="3155"/>
    <cellStyle name="Normal 5 10 12" xfId="3682"/>
    <cellStyle name="Normal 5 10 2" xfId="219"/>
    <cellStyle name="Normal 5 10 2 2" xfId="492"/>
    <cellStyle name="Normal 5 10 2 2 2" xfId="2011"/>
    <cellStyle name="Normal 5 10 2 2 3" xfId="2541"/>
    <cellStyle name="Normal 5 10 2 2 4" xfId="3068"/>
    <cellStyle name="Normal 5 10 2 2 5" xfId="3595"/>
    <cellStyle name="Normal 5 10 2 2 6" xfId="4122"/>
    <cellStyle name="Normal 5 10 2 3" xfId="965"/>
    <cellStyle name="Normal 5 10 2 4" xfId="1316"/>
    <cellStyle name="Normal 5 10 2 5" xfId="1751"/>
    <cellStyle name="Normal 5 10 2 6" xfId="2281"/>
    <cellStyle name="Normal 5 10 2 7" xfId="2808"/>
    <cellStyle name="Normal 5 10 2 8" xfId="3335"/>
    <cellStyle name="Normal 5 10 2 9" xfId="3862"/>
    <cellStyle name="Normal 5 10 3" xfId="314"/>
    <cellStyle name="Normal 5 10 3 2" xfId="577"/>
    <cellStyle name="Normal 5 10 3 3" xfId="874"/>
    <cellStyle name="Normal 5 10 3 4" xfId="1225"/>
    <cellStyle name="Normal 5 10 3 5" xfId="1660"/>
    <cellStyle name="Normal 5 10 3 6" xfId="2190"/>
    <cellStyle name="Normal 5 10 3 7" xfId="2717"/>
    <cellStyle name="Normal 5 10 3 8" xfId="3244"/>
    <cellStyle name="Normal 5 10 3 9" xfId="3771"/>
    <cellStyle name="Normal 5 10 4" xfId="407"/>
    <cellStyle name="Normal 5 10 4 2" xfId="1052"/>
    <cellStyle name="Normal 5 10 4 3" xfId="1403"/>
    <cellStyle name="Normal 5 10 4 4" xfId="1838"/>
    <cellStyle name="Normal 5 10 4 5" xfId="2368"/>
    <cellStyle name="Normal 5 10 4 6" xfId="2895"/>
    <cellStyle name="Normal 5 10 4 7" xfId="3422"/>
    <cellStyle name="Normal 5 10 4 8" xfId="3949"/>
    <cellStyle name="Normal 5 10 5" xfId="664"/>
    <cellStyle name="Normal 5 10 5 2" xfId="1487"/>
    <cellStyle name="Normal 5 10 5 3" xfId="1922"/>
    <cellStyle name="Normal 5 10 5 4" xfId="2452"/>
    <cellStyle name="Normal 5 10 5 5" xfId="2979"/>
    <cellStyle name="Normal 5 10 5 6" xfId="3506"/>
    <cellStyle name="Normal 5 10 5 7" xfId="4033"/>
    <cellStyle name="Normal 5 10 6" xfId="785"/>
    <cellStyle name="Normal 5 10 6 2" xfId="4209"/>
    <cellStyle name="Normal 5 10 7" xfId="1136"/>
    <cellStyle name="Normal 5 10 8" xfId="1571"/>
    <cellStyle name="Normal 5 10 9" xfId="2101"/>
    <cellStyle name="Normal 5 11" xfId="133"/>
    <cellStyle name="Normal 5 11 10" xfId="2636"/>
    <cellStyle name="Normal 5 11 11" xfId="3163"/>
    <cellStyle name="Normal 5 11 12" xfId="3690"/>
    <cellStyle name="Normal 5 11 2" xfId="227"/>
    <cellStyle name="Normal 5 11 2 2" xfId="500"/>
    <cellStyle name="Normal 5 11 2 2 2" xfId="2019"/>
    <cellStyle name="Normal 5 11 2 2 3" xfId="2549"/>
    <cellStyle name="Normal 5 11 2 2 4" xfId="3076"/>
    <cellStyle name="Normal 5 11 2 2 5" xfId="3603"/>
    <cellStyle name="Normal 5 11 2 2 6" xfId="4130"/>
    <cellStyle name="Normal 5 11 2 3" xfId="973"/>
    <cellStyle name="Normal 5 11 2 4" xfId="1324"/>
    <cellStyle name="Normal 5 11 2 5" xfId="1759"/>
    <cellStyle name="Normal 5 11 2 6" xfId="2289"/>
    <cellStyle name="Normal 5 11 2 7" xfId="2816"/>
    <cellStyle name="Normal 5 11 2 8" xfId="3343"/>
    <cellStyle name="Normal 5 11 2 9" xfId="3870"/>
    <cellStyle name="Normal 5 11 3" xfId="322"/>
    <cellStyle name="Normal 5 11 3 2" xfId="585"/>
    <cellStyle name="Normal 5 11 3 3" xfId="882"/>
    <cellStyle name="Normal 5 11 3 4" xfId="1233"/>
    <cellStyle name="Normal 5 11 3 5" xfId="1668"/>
    <cellStyle name="Normal 5 11 3 6" xfId="2198"/>
    <cellStyle name="Normal 5 11 3 7" xfId="2725"/>
    <cellStyle name="Normal 5 11 3 8" xfId="3252"/>
    <cellStyle name="Normal 5 11 3 9" xfId="3779"/>
    <cellStyle name="Normal 5 11 4" xfId="415"/>
    <cellStyle name="Normal 5 11 4 2" xfId="1060"/>
    <cellStyle name="Normal 5 11 4 3" xfId="1411"/>
    <cellStyle name="Normal 5 11 4 4" xfId="1846"/>
    <cellStyle name="Normal 5 11 4 5" xfId="2376"/>
    <cellStyle name="Normal 5 11 4 6" xfId="2903"/>
    <cellStyle name="Normal 5 11 4 7" xfId="3430"/>
    <cellStyle name="Normal 5 11 4 8" xfId="3957"/>
    <cellStyle name="Normal 5 11 5" xfId="672"/>
    <cellStyle name="Normal 5 11 5 2" xfId="1495"/>
    <cellStyle name="Normal 5 11 5 3" xfId="1930"/>
    <cellStyle name="Normal 5 11 5 4" xfId="2460"/>
    <cellStyle name="Normal 5 11 5 5" xfId="2987"/>
    <cellStyle name="Normal 5 11 5 6" xfId="3514"/>
    <cellStyle name="Normal 5 11 5 7" xfId="4041"/>
    <cellStyle name="Normal 5 11 6" xfId="793"/>
    <cellStyle name="Normal 5 11 6 2" xfId="4217"/>
    <cellStyle name="Normal 5 11 7" xfId="1144"/>
    <cellStyle name="Normal 5 11 8" xfId="1579"/>
    <cellStyle name="Normal 5 11 9" xfId="2109"/>
    <cellStyle name="Normal 5 12" xfId="141"/>
    <cellStyle name="Normal 5 12 10" xfId="2644"/>
    <cellStyle name="Normal 5 12 11" xfId="3171"/>
    <cellStyle name="Normal 5 12 12" xfId="3698"/>
    <cellStyle name="Normal 5 12 2" xfId="235"/>
    <cellStyle name="Normal 5 12 2 2" xfId="508"/>
    <cellStyle name="Normal 5 12 2 2 2" xfId="2027"/>
    <cellStyle name="Normal 5 12 2 2 3" xfId="2557"/>
    <cellStyle name="Normal 5 12 2 2 4" xfId="3084"/>
    <cellStyle name="Normal 5 12 2 2 5" xfId="3611"/>
    <cellStyle name="Normal 5 12 2 2 6" xfId="4138"/>
    <cellStyle name="Normal 5 12 2 3" xfId="981"/>
    <cellStyle name="Normal 5 12 2 4" xfId="1332"/>
    <cellStyle name="Normal 5 12 2 5" xfId="1767"/>
    <cellStyle name="Normal 5 12 2 6" xfId="2297"/>
    <cellStyle name="Normal 5 12 2 7" xfId="2824"/>
    <cellStyle name="Normal 5 12 2 8" xfId="3351"/>
    <cellStyle name="Normal 5 12 2 9" xfId="3878"/>
    <cellStyle name="Normal 5 12 3" xfId="330"/>
    <cellStyle name="Normal 5 12 3 2" xfId="593"/>
    <cellStyle name="Normal 5 12 3 3" xfId="890"/>
    <cellStyle name="Normal 5 12 3 4" xfId="1241"/>
    <cellStyle name="Normal 5 12 3 5" xfId="1676"/>
    <cellStyle name="Normal 5 12 3 6" xfId="2206"/>
    <cellStyle name="Normal 5 12 3 7" xfId="2733"/>
    <cellStyle name="Normal 5 12 3 8" xfId="3260"/>
    <cellStyle name="Normal 5 12 3 9" xfId="3787"/>
    <cellStyle name="Normal 5 12 4" xfId="423"/>
    <cellStyle name="Normal 5 12 4 2" xfId="1068"/>
    <cellStyle name="Normal 5 12 4 3" xfId="1419"/>
    <cellStyle name="Normal 5 12 4 4" xfId="1854"/>
    <cellStyle name="Normal 5 12 4 5" xfId="2384"/>
    <cellStyle name="Normal 5 12 4 6" xfId="2911"/>
    <cellStyle name="Normal 5 12 4 7" xfId="3438"/>
    <cellStyle name="Normal 5 12 4 8" xfId="3965"/>
    <cellStyle name="Normal 5 12 5" xfId="680"/>
    <cellStyle name="Normal 5 12 5 2" xfId="1503"/>
    <cellStyle name="Normal 5 12 5 3" xfId="1938"/>
    <cellStyle name="Normal 5 12 5 4" xfId="2468"/>
    <cellStyle name="Normal 5 12 5 5" xfId="2995"/>
    <cellStyle name="Normal 5 12 5 6" xfId="3522"/>
    <cellStyle name="Normal 5 12 5 7" xfId="4049"/>
    <cellStyle name="Normal 5 12 6" xfId="801"/>
    <cellStyle name="Normal 5 12 6 2" xfId="4225"/>
    <cellStyle name="Normal 5 12 7" xfId="1152"/>
    <cellStyle name="Normal 5 12 8" xfId="1587"/>
    <cellStyle name="Normal 5 12 9" xfId="2117"/>
    <cellStyle name="Normal 5 13" xfId="149"/>
    <cellStyle name="Normal 5 13 10" xfId="2652"/>
    <cellStyle name="Normal 5 13 11" xfId="3179"/>
    <cellStyle name="Normal 5 13 12" xfId="3706"/>
    <cellStyle name="Normal 5 13 2" xfId="243"/>
    <cellStyle name="Normal 5 13 2 2" xfId="516"/>
    <cellStyle name="Normal 5 13 2 2 2" xfId="2035"/>
    <cellStyle name="Normal 5 13 2 2 3" xfId="2565"/>
    <cellStyle name="Normal 5 13 2 2 4" xfId="3092"/>
    <cellStyle name="Normal 5 13 2 2 5" xfId="3619"/>
    <cellStyle name="Normal 5 13 2 2 6" xfId="4146"/>
    <cellStyle name="Normal 5 13 2 3" xfId="989"/>
    <cellStyle name="Normal 5 13 2 4" xfId="1340"/>
    <cellStyle name="Normal 5 13 2 5" xfId="1775"/>
    <cellStyle name="Normal 5 13 2 6" xfId="2305"/>
    <cellStyle name="Normal 5 13 2 7" xfId="2832"/>
    <cellStyle name="Normal 5 13 2 8" xfId="3359"/>
    <cellStyle name="Normal 5 13 2 9" xfId="3886"/>
    <cellStyle name="Normal 5 13 3" xfId="338"/>
    <cellStyle name="Normal 5 13 3 2" xfId="601"/>
    <cellStyle name="Normal 5 13 3 3" xfId="898"/>
    <cellStyle name="Normal 5 13 3 4" xfId="1249"/>
    <cellStyle name="Normal 5 13 3 5" xfId="1684"/>
    <cellStyle name="Normal 5 13 3 6" xfId="2214"/>
    <cellStyle name="Normal 5 13 3 7" xfId="2741"/>
    <cellStyle name="Normal 5 13 3 8" xfId="3268"/>
    <cellStyle name="Normal 5 13 3 9" xfId="3795"/>
    <cellStyle name="Normal 5 13 4" xfId="431"/>
    <cellStyle name="Normal 5 13 4 2" xfId="1076"/>
    <cellStyle name="Normal 5 13 4 3" xfId="1427"/>
    <cellStyle name="Normal 5 13 4 4" xfId="1862"/>
    <cellStyle name="Normal 5 13 4 5" xfId="2392"/>
    <cellStyle name="Normal 5 13 4 6" xfId="2919"/>
    <cellStyle name="Normal 5 13 4 7" xfId="3446"/>
    <cellStyle name="Normal 5 13 4 8" xfId="3973"/>
    <cellStyle name="Normal 5 13 5" xfId="688"/>
    <cellStyle name="Normal 5 13 5 2" xfId="1511"/>
    <cellStyle name="Normal 5 13 5 3" xfId="1946"/>
    <cellStyle name="Normal 5 13 5 4" xfId="2476"/>
    <cellStyle name="Normal 5 13 5 5" xfId="3003"/>
    <cellStyle name="Normal 5 13 5 6" xfId="3530"/>
    <cellStyle name="Normal 5 13 5 7" xfId="4057"/>
    <cellStyle name="Normal 5 13 6" xfId="809"/>
    <cellStyle name="Normal 5 13 6 2" xfId="4233"/>
    <cellStyle name="Normal 5 13 7" xfId="1160"/>
    <cellStyle name="Normal 5 13 8" xfId="1595"/>
    <cellStyle name="Normal 5 13 9" xfId="2125"/>
    <cellStyle name="Normal 5 14" xfId="81"/>
    <cellStyle name="Normal 5 14 10" xfId="2584"/>
    <cellStyle name="Normal 5 14 11" xfId="3111"/>
    <cellStyle name="Normal 5 14 12" xfId="3638"/>
    <cellStyle name="Normal 5 14 2" xfId="175"/>
    <cellStyle name="Normal 5 14 2 2" xfId="448"/>
    <cellStyle name="Normal 5 14 2 2 2" xfId="1967"/>
    <cellStyle name="Normal 5 14 2 2 3" xfId="2497"/>
    <cellStyle name="Normal 5 14 2 2 4" xfId="3024"/>
    <cellStyle name="Normal 5 14 2 2 5" xfId="3551"/>
    <cellStyle name="Normal 5 14 2 2 6" xfId="4078"/>
    <cellStyle name="Normal 5 14 2 3" xfId="921"/>
    <cellStyle name="Normal 5 14 2 4" xfId="1272"/>
    <cellStyle name="Normal 5 14 2 5" xfId="1707"/>
    <cellStyle name="Normal 5 14 2 6" xfId="2237"/>
    <cellStyle name="Normal 5 14 2 7" xfId="2764"/>
    <cellStyle name="Normal 5 14 2 8" xfId="3291"/>
    <cellStyle name="Normal 5 14 2 9" xfId="3818"/>
    <cellStyle name="Normal 5 14 3" xfId="270"/>
    <cellStyle name="Normal 5 14 3 2" xfId="533"/>
    <cellStyle name="Normal 5 14 3 3" xfId="830"/>
    <cellStyle name="Normal 5 14 3 4" xfId="1181"/>
    <cellStyle name="Normal 5 14 3 5" xfId="1616"/>
    <cellStyle name="Normal 5 14 3 6" xfId="2146"/>
    <cellStyle name="Normal 5 14 3 7" xfId="2673"/>
    <cellStyle name="Normal 5 14 3 8" xfId="3200"/>
    <cellStyle name="Normal 5 14 3 9" xfId="3727"/>
    <cellStyle name="Normal 5 14 4" xfId="363"/>
    <cellStyle name="Normal 5 14 4 2" xfId="1008"/>
    <cellStyle name="Normal 5 14 4 3" xfId="1359"/>
    <cellStyle name="Normal 5 14 4 4" xfId="1794"/>
    <cellStyle name="Normal 5 14 4 5" xfId="2324"/>
    <cellStyle name="Normal 5 14 4 6" xfId="2851"/>
    <cellStyle name="Normal 5 14 4 7" xfId="3378"/>
    <cellStyle name="Normal 5 14 4 8" xfId="3905"/>
    <cellStyle name="Normal 5 14 5" xfId="620"/>
    <cellStyle name="Normal 5 14 5 2" xfId="1443"/>
    <cellStyle name="Normal 5 14 5 3" xfId="1878"/>
    <cellStyle name="Normal 5 14 5 4" xfId="2408"/>
    <cellStyle name="Normal 5 14 5 5" xfId="2935"/>
    <cellStyle name="Normal 5 14 5 6" xfId="3462"/>
    <cellStyle name="Normal 5 14 5 7" xfId="3989"/>
    <cellStyle name="Normal 5 14 6" xfId="741"/>
    <cellStyle name="Normal 5 14 6 2" xfId="4165"/>
    <cellStyle name="Normal 5 14 7" xfId="1092"/>
    <cellStyle name="Normal 5 14 8" xfId="1527"/>
    <cellStyle name="Normal 5 14 9" xfId="2057"/>
    <cellStyle name="Normal 5 15" xfId="153"/>
    <cellStyle name="Normal 5 15 10" xfId="2656"/>
    <cellStyle name="Normal 5 15 11" xfId="3183"/>
    <cellStyle name="Normal 5 15 12" xfId="3710"/>
    <cellStyle name="Normal 5 15 2" xfId="247"/>
    <cellStyle name="Normal 5 15 2 2" xfId="520"/>
    <cellStyle name="Normal 5 15 2 2 2" xfId="2039"/>
    <cellStyle name="Normal 5 15 2 2 3" xfId="2569"/>
    <cellStyle name="Normal 5 15 2 2 4" xfId="3096"/>
    <cellStyle name="Normal 5 15 2 2 5" xfId="3623"/>
    <cellStyle name="Normal 5 15 2 2 6" xfId="4150"/>
    <cellStyle name="Normal 5 15 2 3" xfId="993"/>
    <cellStyle name="Normal 5 15 2 4" xfId="1344"/>
    <cellStyle name="Normal 5 15 2 5" xfId="1779"/>
    <cellStyle name="Normal 5 15 2 6" xfId="2309"/>
    <cellStyle name="Normal 5 15 2 7" xfId="2836"/>
    <cellStyle name="Normal 5 15 2 8" xfId="3363"/>
    <cellStyle name="Normal 5 15 2 9" xfId="3890"/>
    <cellStyle name="Normal 5 15 3" xfId="342"/>
    <cellStyle name="Normal 5 15 3 2" xfId="605"/>
    <cellStyle name="Normal 5 15 3 3" xfId="902"/>
    <cellStyle name="Normal 5 15 3 4" xfId="1253"/>
    <cellStyle name="Normal 5 15 3 5" xfId="1688"/>
    <cellStyle name="Normal 5 15 3 6" xfId="2218"/>
    <cellStyle name="Normal 5 15 3 7" xfId="2745"/>
    <cellStyle name="Normal 5 15 3 8" xfId="3272"/>
    <cellStyle name="Normal 5 15 3 9" xfId="3799"/>
    <cellStyle name="Normal 5 15 4" xfId="435"/>
    <cellStyle name="Normal 5 15 4 2" xfId="1080"/>
    <cellStyle name="Normal 5 15 4 3" xfId="1431"/>
    <cellStyle name="Normal 5 15 4 4" xfId="1866"/>
    <cellStyle name="Normal 5 15 4 5" xfId="2396"/>
    <cellStyle name="Normal 5 15 4 6" xfId="2923"/>
    <cellStyle name="Normal 5 15 4 7" xfId="3450"/>
    <cellStyle name="Normal 5 15 4 8" xfId="3977"/>
    <cellStyle name="Normal 5 15 5" xfId="692"/>
    <cellStyle name="Normal 5 15 5 2" xfId="1515"/>
    <cellStyle name="Normal 5 15 5 3" xfId="1950"/>
    <cellStyle name="Normal 5 15 5 4" xfId="2480"/>
    <cellStyle name="Normal 5 15 5 5" xfId="3007"/>
    <cellStyle name="Normal 5 15 5 6" xfId="3534"/>
    <cellStyle name="Normal 5 15 5 7" xfId="4061"/>
    <cellStyle name="Normal 5 15 6" xfId="813"/>
    <cellStyle name="Normal 5 15 6 2" xfId="4237"/>
    <cellStyle name="Normal 5 15 7" xfId="1164"/>
    <cellStyle name="Normal 5 15 8" xfId="1599"/>
    <cellStyle name="Normal 5 15 9" xfId="2129"/>
    <cellStyle name="Normal 5 16" xfId="167"/>
    <cellStyle name="Normal 5 16 2" xfId="440"/>
    <cellStyle name="Normal 5 16 2 2" xfId="1959"/>
    <cellStyle name="Normal 5 16 2 3" xfId="2489"/>
    <cellStyle name="Normal 5 16 2 4" xfId="3016"/>
    <cellStyle name="Normal 5 16 2 5" xfId="3543"/>
    <cellStyle name="Normal 5 16 2 6" xfId="4070"/>
    <cellStyle name="Normal 5 16 3" xfId="913"/>
    <cellStyle name="Normal 5 16 4" xfId="1264"/>
    <cellStyle name="Normal 5 16 5" xfId="1699"/>
    <cellStyle name="Normal 5 16 6" xfId="2229"/>
    <cellStyle name="Normal 5 16 7" xfId="2756"/>
    <cellStyle name="Normal 5 16 8" xfId="3283"/>
    <cellStyle name="Normal 5 16 9" xfId="3810"/>
    <cellStyle name="Normal 5 17" xfId="262"/>
    <cellStyle name="Normal 5 17 2" xfId="525"/>
    <cellStyle name="Normal 5 17 3" xfId="822"/>
    <cellStyle name="Normal 5 17 4" xfId="1173"/>
    <cellStyle name="Normal 5 17 5" xfId="1608"/>
    <cellStyle name="Normal 5 17 6" xfId="2138"/>
    <cellStyle name="Normal 5 17 7" xfId="2665"/>
    <cellStyle name="Normal 5 17 8" xfId="3192"/>
    <cellStyle name="Normal 5 17 9" xfId="3719"/>
    <cellStyle name="Normal 5 18" xfId="355"/>
    <cellStyle name="Normal 5 18 2" xfId="1000"/>
    <cellStyle name="Normal 5 18 3" xfId="1351"/>
    <cellStyle name="Normal 5 18 4" xfId="1786"/>
    <cellStyle name="Normal 5 18 5" xfId="2316"/>
    <cellStyle name="Normal 5 18 6" xfId="2843"/>
    <cellStyle name="Normal 5 18 7" xfId="3370"/>
    <cellStyle name="Normal 5 18 8" xfId="3897"/>
    <cellStyle name="Normal 5 19" xfId="612"/>
    <cellStyle name="Normal 5 19 2" xfId="1435"/>
    <cellStyle name="Normal 5 19 3" xfId="1870"/>
    <cellStyle name="Normal 5 19 4" xfId="2400"/>
    <cellStyle name="Normal 5 19 5" xfId="2927"/>
    <cellStyle name="Normal 5 19 6" xfId="3454"/>
    <cellStyle name="Normal 5 19 7" xfId="3981"/>
    <cellStyle name="Normal 5 2" xfId="77"/>
    <cellStyle name="Normal 5 2 10" xfId="359"/>
    <cellStyle name="Normal 5 2 10 2" xfId="1004"/>
    <cellStyle name="Normal 5 2 10 3" xfId="1355"/>
    <cellStyle name="Normal 5 2 10 4" xfId="1790"/>
    <cellStyle name="Normal 5 2 10 5" xfId="2320"/>
    <cellStyle name="Normal 5 2 10 6" xfId="2847"/>
    <cellStyle name="Normal 5 2 10 7" xfId="3374"/>
    <cellStyle name="Normal 5 2 10 8" xfId="3901"/>
    <cellStyle name="Normal 5 2 11" xfId="616"/>
    <cellStyle name="Normal 5 2 11 2" xfId="1439"/>
    <cellStyle name="Normal 5 2 11 3" xfId="1874"/>
    <cellStyle name="Normal 5 2 11 4" xfId="2404"/>
    <cellStyle name="Normal 5 2 11 5" xfId="2931"/>
    <cellStyle name="Normal 5 2 11 6" xfId="3458"/>
    <cellStyle name="Normal 5 2 11 7" xfId="3985"/>
    <cellStyle name="Normal 5 2 12" xfId="737"/>
    <cellStyle name="Normal 5 2 12 2" xfId="4161"/>
    <cellStyle name="Normal 5 2 13" xfId="1088"/>
    <cellStyle name="Normal 5 2 14" xfId="1523"/>
    <cellStyle name="Normal 5 2 15" xfId="2053"/>
    <cellStyle name="Normal 5 2 16" xfId="2580"/>
    <cellStyle name="Normal 5 2 17" xfId="3107"/>
    <cellStyle name="Normal 5 2 18" xfId="3634"/>
    <cellStyle name="Normal 5 2 2" xfId="113"/>
    <cellStyle name="Normal 5 2 2 10" xfId="2616"/>
    <cellStyle name="Normal 5 2 2 11" xfId="3143"/>
    <cellStyle name="Normal 5 2 2 12" xfId="3670"/>
    <cellStyle name="Normal 5 2 2 2" xfId="207"/>
    <cellStyle name="Normal 5 2 2 2 2" xfId="480"/>
    <cellStyle name="Normal 5 2 2 2 2 2" xfId="1999"/>
    <cellStyle name="Normal 5 2 2 2 2 3" xfId="2529"/>
    <cellStyle name="Normal 5 2 2 2 2 4" xfId="3056"/>
    <cellStyle name="Normal 5 2 2 2 2 5" xfId="3583"/>
    <cellStyle name="Normal 5 2 2 2 2 6" xfId="4110"/>
    <cellStyle name="Normal 5 2 2 2 3" xfId="953"/>
    <cellStyle name="Normal 5 2 2 2 4" xfId="1304"/>
    <cellStyle name="Normal 5 2 2 2 5" xfId="1739"/>
    <cellStyle name="Normal 5 2 2 2 6" xfId="2269"/>
    <cellStyle name="Normal 5 2 2 2 7" xfId="2796"/>
    <cellStyle name="Normal 5 2 2 2 8" xfId="3323"/>
    <cellStyle name="Normal 5 2 2 2 9" xfId="3850"/>
    <cellStyle name="Normal 5 2 2 3" xfId="302"/>
    <cellStyle name="Normal 5 2 2 3 2" xfId="565"/>
    <cellStyle name="Normal 5 2 2 3 3" xfId="862"/>
    <cellStyle name="Normal 5 2 2 3 4" xfId="1213"/>
    <cellStyle name="Normal 5 2 2 3 5" xfId="1648"/>
    <cellStyle name="Normal 5 2 2 3 6" xfId="2178"/>
    <cellStyle name="Normal 5 2 2 3 7" xfId="2705"/>
    <cellStyle name="Normal 5 2 2 3 8" xfId="3232"/>
    <cellStyle name="Normal 5 2 2 3 9" xfId="3759"/>
    <cellStyle name="Normal 5 2 2 4" xfId="395"/>
    <cellStyle name="Normal 5 2 2 4 2" xfId="1040"/>
    <cellStyle name="Normal 5 2 2 4 3" xfId="1391"/>
    <cellStyle name="Normal 5 2 2 4 4" xfId="1826"/>
    <cellStyle name="Normal 5 2 2 4 5" xfId="2356"/>
    <cellStyle name="Normal 5 2 2 4 6" xfId="2883"/>
    <cellStyle name="Normal 5 2 2 4 7" xfId="3410"/>
    <cellStyle name="Normal 5 2 2 4 8" xfId="3937"/>
    <cellStyle name="Normal 5 2 2 5" xfId="652"/>
    <cellStyle name="Normal 5 2 2 5 2" xfId="1475"/>
    <cellStyle name="Normal 5 2 2 5 3" xfId="1910"/>
    <cellStyle name="Normal 5 2 2 5 4" xfId="2440"/>
    <cellStyle name="Normal 5 2 2 5 5" xfId="2967"/>
    <cellStyle name="Normal 5 2 2 5 6" xfId="3494"/>
    <cellStyle name="Normal 5 2 2 5 7" xfId="4021"/>
    <cellStyle name="Normal 5 2 2 6" xfId="773"/>
    <cellStyle name="Normal 5 2 2 6 2" xfId="4197"/>
    <cellStyle name="Normal 5 2 2 7" xfId="1124"/>
    <cellStyle name="Normal 5 2 2 8" xfId="1559"/>
    <cellStyle name="Normal 5 2 2 9" xfId="2089"/>
    <cellStyle name="Normal 5 2 3" xfId="121"/>
    <cellStyle name="Normal 5 2 3 10" xfId="2624"/>
    <cellStyle name="Normal 5 2 3 11" xfId="3151"/>
    <cellStyle name="Normal 5 2 3 12" xfId="3678"/>
    <cellStyle name="Normal 5 2 3 2" xfId="215"/>
    <cellStyle name="Normal 5 2 3 2 2" xfId="488"/>
    <cellStyle name="Normal 5 2 3 2 2 2" xfId="2007"/>
    <cellStyle name="Normal 5 2 3 2 2 3" xfId="2537"/>
    <cellStyle name="Normal 5 2 3 2 2 4" xfId="3064"/>
    <cellStyle name="Normal 5 2 3 2 2 5" xfId="3591"/>
    <cellStyle name="Normal 5 2 3 2 2 6" xfId="4118"/>
    <cellStyle name="Normal 5 2 3 2 3" xfId="961"/>
    <cellStyle name="Normal 5 2 3 2 4" xfId="1312"/>
    <cellStyle name="Normal 5 2 3 2 5" xfId="1747"/>
    <cellStyle name="Normal 5 2 3 2 6" xfId="2277"/>
    <cellStyle name="Normal 5 2 3 2 7" xfId="2804"/>
    <cellStyle name="Normal 5 2 3 2 8" xfId="3331"/>
    <cellStyle name="Normal 5 2 3 2 9" xfId="3858"/>
    <cellStyle name="Normal 5 2 3 3" xfId="310"/>
    <cellStyle name="Normal 5 2 3 3 2" xfId="573"/>
    <cellStyle name="Normal 5 2 3 3 3" xfId="870"/>
    <cellStyle name="Normal 5 2 3 3 4" xfId="1221"/>
    <cellStyle name="Normal 5 2 3 3 5" xfId="1656"/>
    <cellStyle name="Normal 5 2 3 3 6" xfId="2186"/>
    <cellStyle name="Normal 5 2 3 3 7" xfId="2713"/>
    <cellStyle name="Normal 5 2 3 3 8" xfId="3240"/>
    <cellStyle name="Normal 5 2 3 3 9" xfId="3767"/>
    <cellStyle name="Normal 5 2 3 4" xfId="403"/>
    <cellStyle name="Normal 5 2 3 4 2" xfId="1048"/>
    <cellStyle name="Normal 5 2 3 4 3" xfId="1399"/>
    <cellStyle name="Normal 5 2 3 4 4" xfId="1834"/>
    <cellStyle name="Normal 5 2 3 4 5" xfId="2364"/>
    <cellStyle name="Normal 5 2 3 4 6" xfId="2891"/>
    <cellStyle name="Normal 5 2 3 4 7" xfId="3418"/>
    <cellStyle name="Normal 5 2 3 4 8" xfId="3945"/>
    <cellStyle name="Normal 5 2 3 5" xfId="660"/>
    <cellStyle name="Normal 5 2 3 5 2" xfId="1483"/>
    <cellStyle name="Normal 5 2 3 5 3" xfId="1918"/>
    <cellStyle name="Normal 5 2 3 5 4" xfId="2448"/>
    <cellStyle name="Normal 5 2 3 5 5" xfId="2975"/>
    <cellStyle name="Normal 5 2 3 5 6" xfId="3502"/>
    <cellStyle name="Normal 5 2 3 5 7" xfId="4029"/>
    <cellStyle name="Normal 5 2 3 6" xfId="781"/>
    <cellStyle name="Normal 5 2 3 6 2" xfId="4205"/>
    <cellStyle name="Normal 5 2 3 7" xfId="1132"/>
    <cellStyle name="Normal 5 2 3 8" xfId="1567"/>
    <cellStyle name="Normal 5 2 3 9" xfId="2097"/>
    <cellStyle name="Normal 5 2 4" xfId="129"/>
    <cellStyle name="Normal 5 2 4 10" xfId="2632"/>
    <cellStyle name="Normal 5 2 4 11" xfId="3159"/>
    <cellStyle name="Normal 5 2 4 12" xfId="3686"/>
    <cellStyle name="Normal 5 2 4 2" xfId="223"/>
    <cellStyle name="Normal 5 2 4 2 2" xfId="496"/>
    <cellStyle name="Normal 5 2 4 2 2 2" xfId="2015"/>
    <cellStyle name="Normal 5 2 4 2 2 3" xfId="2545"/>
    <cellStyle name="Normal 5 2 4 2 2 4" xfId="3072"/>
    <cellStyle name="Normal 5 2 4 2 2 5" xfId="3599"/>
    <cellStyle name="Normal 5 2 4 2 2 6" xfId="4126"/>
    <cellStyle name="Normal 5 2 4 2 3" xfId="969"/>
    <cellStyle name="Normal 5 2 4 2 4" xfId="1320"/>
    <cellStyle name="Normal 5 2 4 2 5" xfId="1755"/>
    <cellStyle name="Normal 5 2 4 2 6" xfId="2285"/>
    <cellStyle name="Normal 5 2 4 2 7" xfId="2812"/>
    <cellStyle name="Normal 5 2 4 2 8" xfId="3339"/>
    <cellStyle name="Normal 5 2 4 2 9" xfId="3866"/>
    <cellStyle name="Normal 5 2 4 3" xfId="318"/>
    <cellStyle name="Normal 5 2 4 3 2" xfId="581"/>
    <cellStyle name="Normal 5 2 4 3 3" xfId="878"/>
    <cellStyle name="Normal 5 2 4 3 4" xfId="1229"/>
    <cellStyle name="Normal 5 2 4 3 5" xfId="1664"/>
    <cellStyle name="Normal 5 2 4 3 6" xfId="2194"/>
    <cellStyle name="Normal 5 2 4 3 7" xfId="2721"/>
    <cellStyle name="Normal 5 2 4 3 8" xfId="3248"/>
    <cellStyle name="Normal 5 2 4 3 9" xfId="3775"/>
    <cellStyle name="Normal 5 2 4 4" xfId="411"/>
    <cellStyle name="Normal 5 2 4 4 2" xfId="1056"/>
    <cellStyle name="Normal 5 2 4 4 3" xfId="1407"/>
    <cellStyle name="Normal 5 2 4 4 4" xfId="1842"/>
    <cellStyle name="Normal 5 2 4 4 5" xfId="2372"/>
    <cellStyle name="Normal 5 2 4 4 6" xfId="2899"/>
    <cellStyle name="Normal 5 2 4 4 7" xfId="3426"/>
    <cellStyle name="Normal 5 2 4 4 8" xfId="3953"/>
    <cellStyle name="Normal 5 2 4 5" xfId="668"/>
    <cellStyle name="Normal 5 2 4 5 2" xfId="1491"/>
    <cellStyle name="Normal 5 2 4 5 3" xfId="1926"/>
    <cellStyle name="Normal 5 2 4 5 4" xfId="2456"/>
    <cellStyle name="Normal 5 2 4 5 5" xfId="2983"/>
    <cellStyle name="Normal 5 2 4 5 6" xfId="3510"/>
    <cellStyle name="Normal 5 2 4 5 7" xfId="4037"/>
    <cellStyle name="Normal 5 2 4 6" xfId="789"/>
    <cellStyle name="Normal 5 2 4 6 2" xfId="4213"/>
    <cellStyle name="Normal 5 2 4 7" xfId="1140"/>
    <cellStyle name="Normal 5 2 4 8" xfId="1575"/>
    <cellStyle name="Normal 5 2 4 9" xfId="2105"/>
    <cellStyle name="Normal 5 2 5" xfId="137"/>
    <cellStyle name="Normal 5 2 5 10" xfId="2640"/>
    <cellStyle name="Normal 5 2 5 11" xfId="3167"/>
    <cellStyle name="Normal 5 2 5 12" xfId="3694"/>
    <cellStyle name="Normal 5 2 5 2" xfId="231"/>
    <cellStyle name="Normal 5 2 5 2 2" xfId="504"/>
    <cellStyle name="Normal 5 2 5 2 2 2" xfId="2023"/>
    <cellStyle name="Normal 5 2 5 2 2 3" xfId="2553"/>
    <cellStyle name="Normal 5 2 5 2 2 4" xfId="3080"/>
    <cellStyle name="Normal 5 2 5 2 2 5" xfId="3607"/>
    <cellStyle name="Normal 5 2 5 2 2 6" xfId="4134"/>
    <cellStyle name="Normal 5 2 5 2 3" xfId="977"/>
    <cellStyle name="Normal 5 2 5 2 4" xfId="1328"/>
    <cellStyle name="Normal 5 2 5 2 5" xfId="1763"/>
    <cellStyle name="Normal 5 2 5 2 6" xfId="2293"/>
    <cellStyle name="Normal 5 2 5 2 7" xfId="2820"/>
    <cellStyle name="Normal 5 2 5 2 8" xfId="3347"/>
    <cellStyle name="Normal 5 2 5 2 9" xfId="3874"/>
    <cellStyle name="Normal 5 2 5 3" xfId="326"/>
    <cellStyle name="Normal 5 2 5 3 2" xfId="589"/>
    <cellStyle name="Normal 5 2 5 3 3" xfId="886"/>
    <cellStyle name="Normal 5 2 5 3 4" xfId="1237"/>
    <cellStyle name="Normal 5 2 5 3 5" xfId="1672"/>
    <cellStyle name="Normal 5 2 5 3 6" xfId="2202"/>
    <cellStyle name="Normal 5 2 5 3 7" xfId="2729"/>
    <cellStyle name="Normal 5 2 5 3 8" xfId="3256"/>
    <cellStyle name="Normal 5 2 5 3 9" xfId="3783"/>
    <cellStyle name="Normal 5 2 5 4" xfId="419"/>
    <cellStyle name="Normal 5 2 5 4 2" xfId="1064"/>
    <cellStyle name="Normal 5 2 5 4 3" xfId="1415"/>
    <cellStyle name="Normal 5 2 5 4 4" xfId="1850"/>
    <cellStyle name="Normal 5 2 5 4 5" xfId="2380"/>
    <cellStyle name="Normal 5 2 5 4 6" xfId="2907"/>
    <cellStyle name="Normal 5 2 5 4 7" xfId="3434"/>
    <cellStyle name="Normal 5 2 5 4 8" xfId="3961"/>
    <cellStyle name="Normal 5 2 5 5" xfId="676"/>
    <cellStyle name="Normal 5 2 5 5 2" xfId="1499"/>
    <cellStyle name="Normal 5 2 5 5 3" xfId="1934"/>
    <cellStyle name="Normal 5 2 5 5 4" xfId="2464"/>
    <cellStyle name="Normal 5 2 5 5 5" xfId="2991"/>
    <cellStyle name="Normal 5 2 5 5 6" xfId="3518"/>
    <cellStyle name="Normal 5 2 5 5 7" xfId="4045"/>
    <cellStyle name="Normal 5 2 5 6" xfId="797"/>
    <cellStyle name="Normal 5 2 5 6 2" xfId="4221"/>
    <cellStyle name="Normal 5 2 5 7" xfId="1148"/>
    <cellStyle name="Normal 5 2 5 8" xfId="1583"/>
    <cellStyle name="Normal 5 2 5 9" xfId="2113"/>
    <cellStyle name="Normal 5 2 6" xfId="145"/>
    <cellStyle name="Normal 5 2 6 10" xfId="2648"/>
    <cellStyle name="Normal 5 2 6 11" xfId="3175"/>
    <cellStyle name="Normal 5 2 6 12" xfId="3702"/>
    <cellStyle name="Normal 5 2 6 2" xfId="239"/>
    <cellStyle name="Normal 5 2 6 2 2" xfId="512"/>
    <cellStyle name="Normal 5 2 6 2 2 2" xfId="2031"/>
    <cellStyle name="Normal 5 2 6 2 2 3" xfId="2561"/>
    <cellStyle name="Normal 5 2 6 2 2 4" xfId="3088"/>
    <cellStyle name="Normal 5 2 6 2 2 5" xfId="3615"/>
    <cellStyle name="Normal 5 2 6 2 2 6" xfId="4142"/>
    <cellStyle name="Normal 5 2 6 2 3" xfId="985"/>
    <cellStyle name="Normal 5 2 6 2 4" xfId="1336"/>
    <cellStyle name="Normal 5 2 6 2 5" xfId="1771"/>
    <cellStyle name="Normal 5 2 6 2 6" xfId="2301"/>
    <cellStyle name="Normal 5 2 6 2 7" xfId="2828"/>
    <cellStyle name="Normal 5 2 6 2 8" xfId="3355"/>
    <cellStyle name="Normal 5 2 6 2 9" xfId="3882"/>
    <cellStyle name="Normal 5 2 6 3" xfId="334"/>
    <cellStyle name="Normal 5 2 6 3 2" xfId="597"/>
    <cellStyle name="Normal 5 2 6 3 3" xfId="894"/>
    <cellStyle name="Normal 5 2 6 3 4" xfId="1245"/>
    <cellStyle name="Normal 5 2 6 3 5" xfId="1680"/>
    <cellStyle name="Normal 5 2 6 3 6" xfId="2210"/>
    <cellStyle name="Normal 5 2 6 3 7" xfId="2737"/>
    <cellStyle name="Normal 5 2 6 3 8" xfId="3264"/>
    <cellStyle name="Normal 5 2 6 3 9" xfId="3791"/>
    <cellStyle name="Normal 5 2 6 4" xfId="427"/>
    <cellStyle name="Normal 5 2 6 4 2" xfId="1072"/>
    <cellStyle name="Normal 5 2 6 4 3" xfId="1423"/>
    <cellStyle name="Normal 5 2 6 4 4" xfId="1858"/>
    <cellStyle name="Normal 5 2 6 4 5" xfId="2388"/>
    <cellStyle name="Normal 5 2 6 4 6" xfId="2915"/>
    <cellStyle name="Normal 5 2 6 4 7" xfId="3442"/>
    <cellStyle name="Normal 5 2 6 4 8" xfId="3969"/>
    <cellStyle name="Normal 5 2 6 5" xfId="684"/>
    <cellStyle name="Normal 5 2 6 5 2" xfId="1507"/>
    <cellStyle name="Normal 5 2 6 5 3" xfId="1942"/>
    <cellStyle name="Normal 5 2 6 5 4" xfId="2472"/>
    <cellStyle name="Normal 5 2 6 5 5" xfId="2999"/>
    <cellStyle name="Normal 5 2 6 5 6" xfId="3526"/>
    <cellStyle name="Normal 5 2 6 5 7" xfId="4053"/>
    <cellStyle name="Normal 5 2 6 6" xfId="805"/>
    <cellStyle name="Normal 5 2 6 6 2" xfId="4229"/>
    <cellStyle name="Normal 5 2 6 7" xfId="1156"/>
    <cellStyle name="Normal 5 2 6 8" xfId="1591"/>
    <cellStyle name="Normal 5 2 6 9" xfId="2121"/>
    <cellStyle name="Normal 5 2 7" xfId="85"/>
    <cellStyle name="Normal 5 2 7 10" xfId="2588"/>
    <cellStyle name="Normal 5 2 7 11" xfId="3115"/>
    <cellStyle name="Normal 5 2 7 12" xfId="3642"/>
    <cellStyle name="Normal 5 2 7 2" xfId="179"/>
    <cellStyle name="Normal 5 2 7 2 2" xfId="452"/>
    <cellStyle name="Normal 5 2 7 2 2 2" xfId="1971"/>
    <cellStyle name="Normal 5 2 7 2 2 3" xfId="2501"/>
    <cellStyle name="Normal 5 2 7 2 2 4" xfId="3028"/>
    <cellStyle name="Normal 5 2 7 2 2 5" xfId="3555"/>
    <cellStyle name="Normal 5 2 7 2 2 6" xfId="4082"/>
    <cellStyle name="Normal 5 2 7 2 3" xfId="925"/>
    <cellStyle name="Normal 5 2 7 2 4" xfId="1276"/>
    <cellStyle name="Normal 5 2 7 2 5" xfId="1711"/>
    <cellStyle name="Normal 5 2 7 2 6" xfId="2241"/>
    <cellStyle name="Normal 5 2 7 2 7" xfId="2768"/>
    <cellStyle name="Normal 5 2 7 2 8" xfId="3295"/>
    <cellStyle name="Normal 5 2 7 2 9" xfId="3822"/>
    <cellStyle name="Normal 5 2 7 3" xfId="274"/>
    <cellStyle name="Normal 5 2 7 3 2" xfId="537"/>
    <cellStyle name="Normal 5 2 7 3 3" xfId="834"/>
    <cellStyle name="Normal 5 2 7 3 4" xfId="1185"/>
    <cellStyle name="Normal 5 2 7 3 5" xfId="1620"/>
    <cellStyle name="Normal 5 2 7 3 6" xfId="2150"/>
    <cellStyle name="Normal 5 2 7 3 7" xfId="2677"/>
    <cellStyle name="Normal 5 2 7 3 8" xfId="3204"/>
    <cellStyle name="Normal 5 2 7 3 9" xfId="3731"/>
    <cellStyle name="Normal 5 2 7 4" xfId="367"/>
    <cellStyle name="Normal 5 2 7 4 2" xfId="1012"/>
    <cellStyle name="Normal 5 2 7 4 3" xfId="1363"/>
    <cellStyle name="Normal 5 2 7 4 4" xfId="1798"/>
    <cellStyle name="Normal 5 2 7 4 5" xfId="2328"/>
    <cellStyle name="Normal 5 2 7 4 6" xfId="2855"/>
    <cellStyle name="Normal 5 2 7 4 7" xfId="3382"/>
    <cellStyle name="Normal 5 2 7 4 8" xfId="3909"/>
    <cellStyle name="Normal 5 2 7 5" xfId="624"/>
    <cellStyle name="Normal 5 2 7 5 2" xfId="1447"/>
    <cellStyle name="Normal 5 2 7 5 3" xfId="1882"/>
    <cellStyle name="Normal 5 2 7 5 4" xfId="2412"/>
    <cellStyle name="Normal 5 2 7 5 5" xfId="2939"/>
    <cellStyle name="Normal 5 2 7 5 6" xfId="3466"/>
    <cellStyle name="Normal 5 2 7 5 7" xfId="3993"/>
    <cellStyle name="Normal 5 2 7 6" xfId="745"/>
    <cellStyle name="Normal 5 2 7 6 2" xfId="4169"/>
    <cellStyle name="Normal 5 2 7 7" xfId="1096"/>
    <cellStyle name="Normal 5 2 7 8" xfId="1531"/>
    <cellStyle name="Normal 5 2 7 9" xfId="2061"/>
    <cellStyle name="Normal 5 2 8" xfId="171"/>
    <cellStyle name="Normal 5 2 8 2" xfId="444"/>
    <cellStyle name="Normal 5 2 8 2 2" xfId="1963"/>
    <cellStyle name="Normal 5 2 8 2 3" xfId="2493"/>
    <cellStyle name="Normal 5 2 8 2 4" xfId="3020"/>
    <cellStyle name="Normal 5 2 8 2 5" xfId="3547"/>
    <cellStyle name="Normal 5 2 8 2 6" xfId="4074"/>
    <cellStyle name="Normal 5 2 8 3" xfId="917"/>
    <cellStyle name="Normal 5 2 8 4" xfId="1268"/>
    <cellStyle name="Normal 5 2 8 5" xfId="1703"/>
    <cellStyle name="Normal 5 2 8 6" xfId="2233"/>
    <cellStyle name="Normal 5 2 8 7" xfId="2760"/>
    <cellStyle name="Normal 5 2 8 8" xfId="3287"/>
    <cellStyle name="Normal 5 2 8 9" xfId="3814"/>
    <cellStyle name="Normal 5 2 9" xfId="266"/>
    <cellStyle name="Normal 5 2 9 2" xfId="529"/>
    <cellStyle name="Normal 5 2 9 3" xfId="826"/>
    <cellStyle name="Normal 5 2 9 4" xfId="1177"/>
    <cellStyle name="Normal 5 2 9 5" xfId="1612"/>
    <cellStyle name="Normal 5 2 9 6" xfId="2142"/>
    <cellStyle name="Normal 5 2 9 7" xfId="2669"/>
    <cellStyle name="Normal 5 2 9 8" xfId="3196"/>
    <cellStyle name="Normal 5 2 9 9" xfId="3723"/>
    <cellStyle name="Normal 5 20" xfId="733"/>
    <cellStyle name="Normal 5 20 2" xfId="4157"/>
    <cellStyle name="Normal 5 21" xfId="1084"/>
    <cellStyle name="Normal 5 22" xfId="1519"/>
    <cellStyle name="Normal 5 23" xfId="2049"/>
    <cellStyle name="Normal 5 24" xfId="2576"/>
    <cellStyle name="Normal 5 25" xfId="3103"/>
    <cellStyle name="Normal 5 26" xfId="3630"/>
    <cellStyle name="Normal 5 3" xfId="89"/>
    <cellStyle name="Normal 5 3 10" xfId="2592"/>
    <cellStyle name="Normal 5 3 11" xfId="3119"/>
    <cellStyle name="Normal 5 3 12" xfId="3646"/>
    <cellStyle name="Normal 5 3 2" xfId="183"/>
    <cellStyle name="Normal 5 3 2 2" xfId="456"/>
    <cellStyle name="Normal 5 3 2 2 2" xfId="1975"/>
    <cellStyle name="Normal 5 3 2 2 3" xfId="2505"/>
    <cellStyle name="Normal 5 3 2 2 4" xfId="3032"/>
    <cellStyle name="Normal 5 3 2 2 5" xfId="3559"/>
    <cellStyle name="Normal 5 3 2 2 6" xfId="4086"/>
    <cellStyle name="Normal 5 3 2 3" xfId="929"/>
    <cellStyle name="Normal 5 3 2 4" xfId="1280"/>
    <cellStyle name="Normal 5 3 2 5" xfId="1715"/>
    <cellStyle name="Normal 5 3 2 6" xfId="2245"/>
    <cellStyle name="Normal 5 3 2 7" xfId="2772"/>
    <cellStyle name="Normal 5 3 2 8" xfId="3299"/>
    <cellStyle name="Normal 5 3 2 9" xfId="3826"/>
    <cellStyle name="Normal 5 3 3" xfId="278"/>
    <cellStyle name="Normal 5 3 3 2" xfId="541"/>
    <cellStyle name="Normal 5 3 3 3" xfId="838"/>
    <cellStyle name="Normal 5 3 3 4" xfId="1189"/>
    <cellStyle name="Normal 5 3 3 5" xfId="1624"/>
    <cellStyle name="Normal 5 3 3 6" xfId="2154"/>
    <cellStyle name="Normal 5 3 3 7" xfId="2681"/>
    <cellStyle name="Normal 5 3 3 8" xfId="3208"/>
    <cellStyle name="Normal 5 3 3 9" xfId="3735"/>
    <cellStyle name="Normal 5 3 4" xfId="371"/>
    <cellStyle name="Normal 5 3 4 2" xfId="1016"/>
    <cellStyle name="Normal 5 3 4 3" xfId="1367"/>
    <cellStyle name="Normal 5 3 4 4" xfId="1802"/>
    <cellStyle name="Normal 5 3 4 5" xfId="2332"/>
    <cellStyle name="Normal 5 3 4 6" xfId="2859"/>
    <cellStyle name="Normal 5 3 4 7" xfId="3386"/>
    <cellStyle name="Normal 5 3 4 8" xfId="3913"/>
    <cellStyle name="Normal 5 3 5" xfId="628"/>
    <cellStyle name="Normal 5 3 5 2" xfId="1451"/>
    <cellStyle name="Normal 5 3 5 3" xfId="1886"/>
    <cellStyle name="Normal 5 3 5 4" xfId="2416"/>
    <cellStyle name="Normal 5 3 5 5" xfId="2943"/>
    <cellStyle name="Normal 5 3 5 6" xfId="3470"/>
    <cellStyle name="Normal 5 3 5 7" xfId="3997"/>
    <cellStyle name="Normal 5 3 6" xfId="749"/>
    <cellStyle name="Normal 5 3 6 2" xfId="4173"/>
    <cellStyle name="Normal 5 3 7" xfId="1100"/>
    <cellStyle name="Normal 5 3 8" xfId="1535"/>
    <cellStyle name="Normal 5 3 9" xfId="2065"/>
    <cellStyle name="Normal 5 4" xfId="93"/>
    <cellStyle name="Normal 5 4 10" xfId="2596"/>
    <cellStyle name="Normal 5 4 11" xfId="3123"/>
    <cellStyle name="Normal 5 4 12" xfId="3650"/>
    <cellStyle name="Normal 5 4 2" xfId="187"/>
    <cellStyle name="Normal 5 4 2 2" xfId="460"/>
    <cellStyle name="Normal 5 4 2 2 2" xfId="1979"/>
    <cellStyle name="Normal 5 4 2 2 3" xfId="2509"/>
    <cellStyle name="Normal 5 4 2 2 4" xfId="3036"/>
    <cellStyle name="Normal 5 4 2 2 5" xfId="3563"/>
    <cellStyle name="Normal 5 4 2 2 6" xfId="4090"/>
    <cellStyle name="Normal 5 4 2 3" xfId="933"/>
    <cellStyle name="Normal 5 4 2 4" xfId="1284"/>
    <cellStyle name="Normal 5 4 2 5" xfId="1719"/>
    <cellStyle name="Normal 5 4 2 6" xfId="2249"/>
    <cellStyle name="Normal 5 4 2 7" xfId="2776"/>
    <cellStyle name="Normal 5 4 2 8" xfId="3303"/>
    <cellStyle name="Normal 5 4 2 9" xfId="3830"/>
    <cellStyle name="Normal 5 4 3" xfId="282"/>
    <cellStyle name="Normal 5 4 3 2" xfId="545"/>
    <cellStyle name="Normal 5 4 3 3" xfId="842"/>
    <cellStyle name="Normal 5 4 3 4" xfId="1193"/>
    <cellStyle name="Normal 5 4 3 5" xfId="1628"/>
    <cellStyle name="Normal 5 4 3 6" xfId="2158"/>
    <cellStyle name="Normal 5 4 3 7" xfId="2685"/>
    <cellStyle name="Normal 5 4 3 8" xfId="3212"/>
    <cellStyle name="Normal 5 4 3 9" xfId="3739"/>
    <cellStyle name="Normal 5 4 4" xfId="375"/>
    <cellStyle name="Normal 5 4 4 2" xfId="1020"/>
    <cellStyle name="Normal 5 4 4 3" xfId="1371"/>
    <cellStyle name="Normal 5 4 4 4" xfId="1806"/>
    <cellStyle name="Normal 5 4 4 5" xfId="2336"/>
    <cellStyle name="Normal 5 4 4 6" xfId="2863"/>
    <cellStyle name="Normal 5 4 4 7" xfId="3390"/>
    <cellStyle name="Normal 5 4 4 8" xfId="3917"/>
    <cellStyle name="Normal 5 4 5" xfId="632"/>
    <cellStyle name="Normal 5 4 5 2" xfId="1455"/>
    <cellStyle name="Normal 5 4 5 3" xfId="1890"/>
    <cellStyle name="Normal 5 4 5 4" xfId="2420"/>
    <cellStyle name="Normal 5 4 5 5" xfId="2947"/>
    <cellStyle name="Normal 5 4 5 6" xfId="3474"/>
    <cellStyle name="Normal 5 4 5 7" xfId="4001"/>
    <cellStyle name="Normal 5 4 6" xfId="753"/>
    <cellStyle name="Normal 5 4 6 2" xfId="4177"/>
    <cellStyle name="Normal 5 4 7" xfId="1104"/>
    <cellStyle name="Normal 5 4 8" xfId="1539"/>
    <cellStyle name="Normal 5 4 9" xfId="2069"/>
    <cellStyle name="Normal 5 5" xfId="97"/>
    <cellStyle name="Normal 5 5 10" xfId="2600"/>
    <cellStyle name="Normal 5 5 11" xfId="3127"/>
    <cellStyle name="Normal 5 5 12" xfId="3654"/>
    <cellStyle name="Normal 5 5 2" xfId="191"/>
    <cellStyle name="Normal 5 5 2 2" xfId="464"/>
    <cellStyle name="Normal 5 5 2 2 2" xfId="1983"/>
    <cellStyle name="Normal 5 5 2 2 3" xfId="2513"/>
    <cellStyle name="Normal 5 5 2 2 4" xfId="3040"/>
    <cellStyle name="Normal 5 5 2 2 5" xfId="3567"/>
    <cellStyle name="Normal 5 5 2 2 6" xfId="4094"/>
    <cellStyle name="Normal 5 5 2 3" xfId="937"/>
    <cellStyle name="Normal 5 5 2 4" xfId="1288"/>
    <cellStyle name="Normal 5 5 2 5" xfId="1723"/>
    <cellStyle name="Normal 5 5 2 6" xfId="2253"/>
    <cellStyle name="Normal 5 5 2 7" xfId="2780"/>
    <cellStyle name="Normal 5 5 2 8" xfId="3307"/>
    <cellStyle name="Normal 5 5 2 9" xfId="3834"/>
    <cellStyle name="Normal 5 5 3" xfId="286"/>
    <cellStyle name="Normal 5 5 3 2" xfId="549"/>
    <cellStyle name="Normal 5 5 3 3" xfId="846"/>
    <cellStyle name="Normal 5 5 3 4" xfId="1197"/>
    <cellStyle name="Normal 5 5 3 5" xfId="1632"/>
    <cellStyle name="Normal 5 5 3 6" xfId="2162"/>
    <cellStyle name="Normal 5 5 3 7" xfId="2689"/>
    <cellStyle name="Normal 5 5 3 8" xfId="3216"/>
    <cellStyle name="Normal 5 5 3 9" xfId="3743"/>
    <cellStyle name="Normal 5 5 4" xfId="379"/>
    <cellStyle name="Normal 5 5 4 2" xfId="1024"/>
    <cellStyle name="Normal 5 5 4 3" xfId="1375"/>
    <cellStyle name="Normal 5 5 4 4" xfId="1810"/>
    <cellStyle name="Normal 5 5 4 5" xfId="2340"/>
    <cellStyle name="Normal 5 5 4 6" xfId="2867"/>
    <cellStyle name="Normal 5 5 4 7" xfId="3394"/>
    <cellStyle name="Normal 5 5 4 8" xfId="3921"/>
    <cellStyle name="Normal 5 5 5" xfId="636"/>
    <cellStyle name="Normal 5 5 5 2" xfId="1459"/>
    <cellStyle name="Normal 5 5 5 3" xfId="1894"/>
    <cellStyle name="Normal 5 5 5 4" xfId="2424"/>
    <cellStyle name="Normal 5 5 5 5" xfId="2951"/>
    <cellStyle name="Normal 5 5 5 6" xfId="3478"/>
    <cellStyle name="Normal 5 5 5 7" xfId="4005"/>
    <cellStyle name="Normal 5 5 6" xfId="757"/>
    <cellStyle name="Normal 5 5 6 2" xfId="4181"/>
    <cellStyle name="Normal 5 5 7" xfId="1108"/>
    <cellStyle name="Normal 5 5 8" xfId="1543"/>
    <cellStyle name="Normal 5 5 9" xfId="2073"/>
    <cellStyle name="Normal 5 6" xfId="101"/>
    <cellStyle name="Normal 5 6 10" xfId="2604"/>
    <cellStyle name="Normal 5 6 11" xfId="3131"/>
    <cellStyle name="Normal 5 6 12" xfId="3658"/>
    <cellStyle name="Normal 5 6 2" xfId="195"/>
    <cellStyle name="Normal 5 6 2 2" xfId="468"/>
    <cellStyle name="Normal 5 6 2 2 2" xfId="1987"/>
    <cellStyle name="Normal 5 6 2 2 3" xfId="2517"/>
    <cellStyle name="Normal 5 6 2 2 4" xfId="3044"/>
    <cellStyle name="Normal 5 6 2 2 5" xfId="3571"/>
    <cellStyle name="Normal 5 6 2 2 6" xfId="4098"/>
    <cellStyle name="Normal 5 6 2 3" xfId="941"/>
    <cellStyle name="Normal 5 6 2 4" xfId="1292"/>
    <cellStyle name="Normal 5 6 2 5" xfId="1727"/>
    <cellStyle name="Normal 5 6 2 6" xfId="2257"/>
    <cellStyle name="Normal 5 6 2 7" xfId="2784"/>
    <cellStyle name="Normal 5 6 2 8" xfId="3311"/>
    <cellStyle name="Normal 5 6 2 9" xfId="3838"/>
    <cellStyle name="Normal 5 6 3" xfId="290"/>
    <cellStyle name="Normal 5 6 3 2" xfId="553"/>
    <cellStyle name="Normal 5 6 3 3" xfId="850"/>
    <cellStyle name="Normal 5 6 3 4" xfId="1201"/>
    <cellStyle name="Normal 5 6 3 5" xfId="1636"/>
    <cellStyle name="Normal 5 6 3 6" xfId="2166"/>
    <cellStyle name="Normal 5 6 3 7" xfId="2693"/>
    <cellStyle name="Normal 5 6 3 8" xfId="3220"/>
    <cellStyle name="Normal 5 6 3 9" xfId="3747"/>
    <cellStyle name="Normal 5 6 4" xfId="383"/>
    <cellStyle name="Normal 5 6 4 2" xfId="1028"/>
    <cellStyle name="Normal 5 6 4 3" xfId="1379"/>
    <cellStyle name="Normal 5 6 4 4" xfId="1814"/>
    <cellStyle name="Normal 5 6 4 5" xfId="2344"/>
    <cellStyle name="Normal 5 6 4 6" xfId="2871"/>
    <cellStyle name="Normal 5 6 4 7" xfId="3398"/>
    <cellStyle name="Normal 5 6 4 8" xfId="3925"/>
    <cellStyle name="Normal 5 6 5" xfId="640"/>
    <cellStyle name="Normal 5 6 5 2" xfId="1463"/>
    <cellStyle name="Normal 5 6 5 3" xfId="1898"/>
    <cellStyle name="Normal 5 6 5 4" xfId="2428"/>
    <cellStyle name="Normal 5 6 5 5" xfId="2955"/>
    <cellStyle name="Normal 5 6 5 6" xfId="3482"/>
    <cellStyle name="Normal 5 6 5 7" xfId="4009"/>
    <cellStyle name="Normal 5 6 6" xfId="761"/>
    <cellStyle name="Normal 5 6 6 2" xfId="4185"/>
    <cellStyle name="Normal 5 6 7" xfId="1112"/>
    <cellStyle name="Normal 5 6 8" xfId="1547"/>
    <cellStyle name="Normal 5 6 9" xfId="2077"/>
    <cellStyle name="Normal 5 7" xfId="105"/>
    <cellStyle name="Normal 5 7 10" xfId="2608"/>
    <cellStyle name="Normal 5 7 11" xfId="3135"/>
    <cellStyle name="Normal 5 7 12" xfId="3662"/>
    <cellStyle name="Normal 5 7 2" xfId="199"/>
    <cellStyle name="Normal 5 7 2 2" xfId="472"/>
    <cellStyle name="Normal 5 7 2 2 2" xfId="1991"/>
    <cellStyle name="Normal 5 7 2 2 3" xfId="2521"/>
    <cellStyle name="Normal 5 7 2 2 4" xfId="3048"/>
    <cellStyle name="Normal 5 7 2 2 5" xfId="3575"/>
    <cellStyle name="Normal 5 7 2 2 6" xfId="4102"/>
    <cellStyle name="Normal 5 7 2 3" xfId="945"/>
    <cellStyle name="Normal 5 7 2 4" xfId="1296"/>
    <cellStyle name="Normal 5 7 2 5" xfId="1731"/>
    <cellStyle name="Normal 5 7 2 6" xfId="2261"/>
    <cellStyle name="Normal 5 7 2 7" xfId="2788"/>
    <cellStyle name="Normal 5 7 2 8" xfId="3315"/>
    <cellStyle name="Normal 5 7 2 9" xfId="3842"/>
    <cellStyle name="Normal 5 7 3" xfId="294"/>
    <cellStyle name="Normal 5 7 3 2" xfId="557"/>
    <cellStyle name="Normal 5 7 3 3" xfId="854"/>
    <cellStyle name="Normal 5 7 3 4" xfId="1205"/>
    <cellStyle name="Normal 5 7 3 5" xfId="1640"/>
    <cellStyle name="Normal 5 7 3 6" xfId="2170"/>
    <cellStyle name="Normal 5 7 3 7" xfId="2697"/>
    <cellStyle name="Normal 5 7 3 8" xfId="3224"/>
    <cellStyle name="Normal 5 7 3 9" xfId="3751"/>
    <cellStyle name="Normal 5 7 4" xfId="387"/>
    <cellStyle name="Normal 5 7 4 2" xfId="1032"/>
    <cellStyle name="Normal 5 7 4 3" xfId="1383"/>
    <cellStyle name="Normal 5 7 4 4" xfId="1818"/>
    <cellStyle name="Normal 5 7 4 5" xfId="2348"/>
    <cellStyle name="Normal 5 7 4 6" xfId="2875"/>
    <cellStyle name="Normal 5 7 4 7" xfId="3402"/>
    <cellStyle name="Normal 5 7 4 8" xfId="3929"/>
    <cellStyle name="Normal 5 7 5" xfId="644"/>
    <cellStyle name="Normal 5 7 5 2" xfId="1467"/>
    <cellStyle name="Normal 5 7 5 3" xfId="1902"/>
    <cellStyle name="Normal 5 7 5 4" xfId="2432"/>
    <cellStyle name="Normal 5 7 5 5" xfId="2959"/>
    <cellStyle name="Normal 5 7 5 6" xfId="3486"/>
    <cellStyle name="Normal 5 7 5 7" xfId="4013"/>
    <cellStyle name="Normal 5 7 6" xfId="765"/>
    <cellStyle name="Normal 5 7 6 2" xfId="4189"/>
    <cellStyle name="Normal 5 7 7" xfId="1116"/>
    <cellStyle name="Normal 5 7 8" xfId="1551"/>
    <cellStyle name="Normal 5 7 9" xfId="2081"/>
    <cellStyle name="Normal 5 8" xfId="109"/>
    <cellStyle name="Normal 5 8 10" xfId="2612"/>
    <cellStyle name="Normal 5 8 11" xfId="3139"/>
    <cellStyle name="Normal 5 8 12" xfId="3666"/>
    <cellStyle name="Normal 5 8 2" xfId="203"/>
    <cellStyle name="Normal 5 8 2 2" xfId="476"/>
    <cellStyle name="Normal 5 8 2 2 2" xfId="1995"/>
    <cellStyle name="Normal 5 8 2 2 3" xfId="2525"/>
    <cellStyle name="Normal 5 8 2 2 4" xfId="3052"/>
    <cellStyle name="Normal 5 8 2 2 5" xfId="3579"/>
    <cellStyle name="Normal 5 8 2 2 6" xfId="4106"/>
    <cellStyle name="Normal 5 8 2 3" xfId="949"/>
    <cellStyle name="Normal 5 8 2 4" xfId="1300"/>
    <cellStyle name="Normal 5 8 2 5" xfId="1735"/>
    <cellStyle name="Normal 5 8 2 6" xfId="2265"/>
    <cellStyle name="Normal 5 8 2 7" xfId="2792"/>
    <cellStyle name="Normal 5 8 2 8" xfId="3319"/>
    <cellStyle name="Normal 5 8 2 9" xfId="3846"/>
    <cellStyle name="Normal 5 8 3" xfId="298"/>
    <cellStyle name="Normal 5 8 3 2" xfId="561"/>
    <cellStyle name="Normal 5 8 3 3" xfId="858"/>
    <cellStyle name="Normal 5 8 3 4" xfId="1209"/>
    <cellStyle name="Normal 5 8 3 5" xfId="1644"/>
    <cellStyle name="Normal 5 8 3 6" xfId="2174"/>
    <cellStyle name="Normal 5 8 3 7" xfId="2701"/>
    <cellStyle name="Normal 5 8 3 8" xfId="3228"/>
    <cellStyle name="Normal 5 8 3 9" xfId="3755"/>
    <cellStyle name="Normal 5 8 4" xfId="391"/>
    <cellStyle name="Normal 5 8 4 2" xfId="1036"/>
    <cellStyle name="Normal 5 8 4 3" xfId="1387"/>
    <cellStyle name="Normal 5 8 4 4" xfId="1822"/>
    <cellStyle name="Normal 5 8 4 5" xfId="2352"/>
    <cellStyle name="Normal 5 8 4 6" xfId="2879"/>
    <cellStyle name="Normal 5 8 4 7" xfId="3406"/>
    <cellStyle name="Normal 5 8 4 8" xfId="3933"/>
    <cellStyle name="Normal 5 8 5" xfId="648"/>
    <cellStyle name="Normal 5 8 5 2" xfId="1471"/>
    <cellStyle name="Normal 5 8 5 3" xfId="1906"/>
    <cellStyle name="Normal 5 8 5 4" xfId="2436"/>
    <cellStyle name="Normal 5 8 5 5" xfId="2963"/>
    <cellStyle name="Normal 5 8 5 6" xfId="3490"/>
    <cellStyle name="Normal 5 8 5 7" xfId="4017"/>
    <cellStyle name="Normal 5 8 6" xfId="769"/>
    <cellStyle name="Normal 5 8 6 2" xfId="4193"/>
    <cellStyle name="Normal 5 8 7" xfId="1120"/>
    <cellStyle name="Normal 5 8 8" xfId="1555"/>
    <cellStyle name="Normal 5 8 9" xfId="2085"/>
    <cellStyle name="Normal 5 9" xfId="117"/>
    <cellStyle name="Normal 5 9 10" xfId="2620"/>
    <cellStyle name="Normal 5 9 11" xfId="3147"/>
    <cellStyle name="Normal 5 9 12" xfId="3674"/>
    <cellStyle name="Normal 5 9 2" xfId="211"/>
    <cellStyle name="Normal 5 9 2 2" xfId="484"/>
    <cellStyle name="Normal 5 9 2 2 2" xfId="2003"/>
    <cellStyle name="Normal 5 9 2 2 3" xfId="2533"/>
    <cellStyle name="Normal 5 9 2 2 4" xfId="3060"/>
    <cellStyle name="Normal 5 9 2 2 5" xfId="3587"/>
    <cellStyle name="Normal 5 9 2 2 6" xfId="4114"/>
    <cellStyle name="Normal 5 9 2 3" xfId="957"/>
    <cellStyle name="Normal 5 9 2 4" xfId="1308"/>
    <cellStyle name="Normal 5 9 2 5" xfId="1743"/>
    <cellStyle name="Normal 5 9 2 6" xfId="2273"/>
    <cellStyle name="Normal 5 9 2 7" xfId="2800"/>
    <cellStyle name="Normal 5 9 2 8" xfId="3327"/>
    <cellStyle name="Normal 5 9 2 9" xfId="3854"/>
    <cellStyle name="Normal 5 9 3" xfId="306"/>
    <cellStyle name="Normal 5 9 3 2" xfId="569"/>
    <cellStyle name="Normal 5 9 3 3" xfId="866"/>
    <cellStyle name="Normal 5 9 3 4" xfId="1217"/>
    <cellStyle name="Normal 5 9 3 5" xfId="1652"/>
    <cellStyle name="Normal 5 9 3 6" xfId="2182"/>
    <cellStyle name="Normal 5 9 3 7" xfId="2709"/>
    <cellStyle name="Normal 5 9 3 8" xfId="3236"/>
    <cellStyle name="Normal 5 9 3 9" xfId="3763"/>
    <cellStyle name="Normal 5 9 4" xfId="399"/>
    <cellStyle name="Normal 5 9 4 2" xfId="1044"/>
    <cellStyle name="Normal 5 9 4 3" xfId="1395"/>
    <cellStyle name="Normal 5 9 4 4" xfId="1830"/>
    <cellStyle name="Normal 5 9 4 5" xfId="2360"/>
    <cellStyle name="Normal 5 9 4 6" xfId="2887"/>
    <cellStyle name="Normal 5 9 4 7" xfId="3414"/>
    <cellStyle name="Normal 5 9 4 8" xfId="3941"/>
    <cellStyle name="Normal 5 9 5" xfId="656"/>
    <cellStyle name="Normal 5 9 5 2" xfId="1479"/>
    <cellStyle name="Normal 5 9 5 3" xfId="1914"/>
    <cellStyle name="Normal 5 9 5 4" xfId="2444"/>
    <cellStyle name="Normal 5 9 5 5" xfId="2971"/>
    <cellStyle name="Normal 5 9 5 6" xfId="3498"/>
    <cellStyle name="Normal 5 9 5 7" xfId="4025"/>
    <cellStyle name="Normal 5 9 6" xfId="777"/>
    <cellStyle name="Normal 5 9 6 2" xfId="4201"/>
    <cellStyle name="Normal 5 9 7" xfId="1128"/>
    <cellStyle name="Normal 5 9 8" xfId="1563"/>
    <cellStyle name="Normal 5 9 9" xfId="2093"/>
    <cellStyle name="Normal 6" xfId="57"/>
    <cellStyle name="Normal 6 2" xfId="254"/>
    <cellStyle name="Normal 6 2 2" xfId="1951"/>
    <cellStyle name="Normal 6 2 3" xfId="2481"/>
    <cellStyle name="Normal 6 2 4" xfId="3008"/>
    <cellStyle name="Normal 6 2 5" xfId="3535"/>
    <cellStyle name="Normal 6 2 6" xfId="4062"/>
    <cellStyle name="Normal 6 3" xfId="350"/>
    <cellStyle name="Normal 7" xfId="253"/>
    <cellStyle name="Normal 7 2" xfId="521"/>
    <cellStyle name="Normal 7 3" xfId="814"/>
    <cellStyle name="Normal 7 4" xfId="1165"/>
    <cellStyle name="Normal 7 5" xfId="1600"/>
    <cellStyle name="Normal 7 6" xfId="2130"/>
    <cellStyle name="Normal 7 7" xfId="2657"/>
    <cellStyle name="Normal 7 8" xfId="3184"/>
    <cellStyle name="Normal 7 9" xfId="3711"/>
    <cellStyle name="Normal 8" xfId="349"/>
    <cellStyle name="Normal 8 2" xfId="606"/>
    <cellStyle name="Normal 9" xfId="29254"/>
    <cellStyle name="Normal_Composições" xfId="2"/>
    <cellStyle name="Porcentagem" xfId="1" builtinId="5"/>
    <cellStyle name="Porcentagem 2" xfId="20"/>
    <cellStyle name="Porcentagem 2 2" xfId="65"/>
    <cellStyle name="Porcentagem 3" xfId="66"/>
    <cellStyle name="Porcentagem 4" xfId="67"/>
    <cellStyle name="Porcentagem 4 10" xfId="123"/>
    <cellStyle name="Porcentagem 4 10 10" xfId="2626"/>
    <cellStyle name="Porcentagem 4 10 11" xfId="3153"/>
    <cellStyle name="Porcentagem 4 10 12" xfId="3680"/>
    <cellStyle name="Porcentagem 4 10 2" xfId="217"/>
    <cellStyle name="Porcentagem 4 10 2 2" xfId="490"/>
    <cellStyle name="Porcentagem 4 10 2 2 2" xfId="2009"/>
    <cellStyle name="Porcentagem 4 10 2 2 3" xfId="2539"/>
    <cellStyle name="Porcentagem 4 10 2 2 4" xfId="3066"/>
    <cellStyle name="Porcentagem 4 10 2 2 5" xfId="3593"/>
    <cellStyle name="Porcentagem 4 10 2 2 6" xfId="4120"/>
    <cellStyle name="Porcentagem 4 10 2 3" xfId="963"/>
    <cellStyle name="Porcentagem 4 10 2 4" xfId="1314"/>
    <cellStyle name="Porcentagem 4 10 2 5" xfId="1749"/>
    <cellStyle name="Porcentagem 4 10 2 6" xfId="2279"/>
    <cellStyle name="Porcentagem 4 10 2 7" xfId="2806"/>
    <cellStyle name="Porcentagem 4 10 2 8" xfId="3333"/>
    <cellStyle name="Porcentagem 4 10 2 9" xfId="3860"/>
    <cellStyle name="Porcentagem 4 10 3" xfId="312"/>
    <cellStyle name="Porcentagem 4 10 3 2" xfId="575"/>
    <cellStyle name="Porcentagem 4 10 3 3" xfId="872"/>
    <cellStyle name="Porcentagem 4 10 3 4" xfId="1223"/>
    <cellStyle name="Porcentagem 4 10 3 5" xfId="1658"/>
    <cellStyle name="Porcentagem 4 10 3 6" xfId="2188"/>
    <cellStyle name="Porcentagem 4 10 3 7" xfId="2715"/>
    <cellStyle name="Porcentagem 4 10 3 8" xfId="3242"/>
    <cellStyle name="Porcentagem 4 10 3 9" xfId="3769"/>
    <cellStyle name="Porcentagem 4 10 4" xfId="405"/>
    <cellStyle name="Porcentagem 4 10 4 2" xfId="1050"/>
    <cellStyle name="Porcentagem 4 10 4 3" xfId="1401"/>
    <cellStyle name="Porcentagem 4 10 4 4" xfId="1836"/>
    <cellStyle name="Porcentagem 4 10 4 5" xfId="2366"/>
    <cellStyle name="Porcentagem 4 10 4 6" xfId="2893"/>
    <cellStyle name="Porcentagem 4 10 4 7" xfId="3420"/>
    <cellStyle name="Porcentagem 4 10 4 8" xfId="3947"/>
    <cellStyle name="Porcentagem 4 10 5" xfId="662"/>
    <cellStyle name="Porcentagem 4 10 5 2" xfId="1485"/>
    <cellStyle name="Porcentagem 4 10 5 3" xfId="1920"/>
    <cellStyle name="Porcentagem 4 10 5 4" xfId="2450"/>
    <cellStyle name="Porcentagem 4 10 5 5" xfId="2977"/>
    <cellStyle name="Porcentagem 4 10 5 6" xfId="3504"/>
    <cellStyle name="Porcentagem 4 10 5 7" xfId="4031"/>
    <cellStyle name="Porcentagem 4 10 6" xfId="783"/>
    <cellStyle name="Porcentagem 4 10 6 2" xfId="4207"/>
    <cellStyle name="Porcentagem 4 10 7" xfId="1134"/>
    <cellStyle name="Porcentagem 4 10 8" xfId="1569"/>
    <cellStyle name="Porcentagem 4 10 9" xfId="2099"/>
    <cellStyle name="Porcentagem 4 11" xfId="131"/>
    <cellStyle name="Porcentagem 4 11 10" xfId="2634"/>
    <cellStyle name="Porcentagem 4 11 11" xfId="3161"/>
    <cellStyle name="Porcentagem 4 11 12" xfId="3688"/>
    <cellStyle name="Porcentagem 4 11 2" xfId="225"/>
    <cellStyle name="Porcentagem 4 11 2 2" xfId="498"/>
    <cellStyle name="Porcentagem 4 11 2 2 2" xfId="2017"/>
    <cellStyle name="Porcentagem 4 11 2 2 3" xfId="2547"/>
    <cellStyle name="Porcentagem 4 11 2 2 4" xfId="3074"/>
    <cellStyle name="Porcentagem 4 11 2 2 5" xfId="3601"/>
    <cellStyle name="Porcentagem 4 11 2 2 6" xfId="4128"/>
    <cellStyle name="Porcentagem 4 11 2 3" xfId="971"/>
    <cellStyle name="Porcentagem 4 11 2 4" xfId="1322"/>
    <cellStyle name="Porcentagem 4 11 2 5" xfId="1757"/>
    <cellStyle name="Porcentagem 4 11 2 6" xfId="2287"/>
    <cellStyle name="Porcentagem 4 11 2 7" xfId="2814"/>
    <cellStyle name="Porcentagem 4 11 2 8" xfId="3341"/>
    <cellStyle name="Porcentagem 4 11 2 9" xfId="3868"/>
    <cellStyle name="Porcentagem 4 11 3" xfId="320"/>
    <cellStyle name="Porcentagem 4 11 3 2" xfId="583"/>
    <cellStyle name="Porcentagem 4 11 3 3" xfId="880"/>
    <cellStyle name="Porcentagem 4 11 3 4" xfId="1231"/>
    <cellStyle name="Porcentagem 4 11 3 5" xfId="1666"/>
    <cellStyle name="Porcentagem 4 11 3 6" xfId="2196"/>
    <cellStyle name="Porcentagem 4 11 3 7" xfId="2723"/>
    <cellStyle name="Porcentagem 4 11 3 8" xfId="3250"/>
    <cellStyle name="Porcentagem 4 11 3 9" xfId="3777"/>
    <cellStyle name="Porcentagem 4 11 4" xfId="413"/>
    <cellStyle name="Porcentagem 4 11 4 2" xfId="1058"/>
    <cellStyle name="Porcentagem 4 11 4 3" xfId="1409"/>
    <cellStyle name="Porcentagem 4 11 4 4" xfId="1844"/>
    <cellStyle name="Porcentagem 4 11 4 5" xfId="2374"/>
    <cellStyle name="Porcentagem 4 11 4 6" xfId="2901"/>
    <cellStyle name="Porcentagem 4 11 4 7" xfId="3428"/>
    <cellStyle name="Porcentagem 4 11 4 8" xfId="3955"/>
    <cellStyle name="Porcentagem 4 11 5" xfId="670"/>
    <cellStyle name="Porcentagem 4 11 5 2" xfId="1493"/>
    <cellStyle name="Porcentagem 4 11 5 3" xfId="1928"/>
    <cellStyle name="Porcentagem 4 11 5 4" xfId="2458"/>
    <cellStyle name="Porcentagem 4 11 5 5" xfId="2985"/>
    <cellStyle name="Porcentagem 4 11 5 6" xfId="3512"/>
    <cellStyle name="Porcentagem 4 11 5 7" xfId="4039"/>
    <cellStyle name="Porcentagem 4 11 6" xfId="791"/>
    <cellStyle name="Porcentagem 4 11 6 2" xfId="4215"/>
    <cellStyle name="Porcentagem 4 11 7" xfId="1142"/>
    <cellStyle name="Porcentagem 4 11 8" xfId="1577"/>
    <cellStyle name="Porcentagem 4 11 9" xfId="2107"/>
    <cellStyle name="Porcentagem 4 12" xfId="139"/>
    <cellStyle name="Porcentagem 4 12 10" xfId="2642"/>
    <cellStyle name="Porcentagem 4 12 11" xfId="3169"/>
    <cellStyle name="Porcentagem 4 12 12" xfId="3696"/>
    <cellStyle name="Porcentagem 4 12 2" xfId="233"/>
    <cellStyle name="Porcentagem 4 12 2 2" xfId="506"/>
    <cellStyle name="Porcentagem 4 12 2 2 2" xfId="2025"/>
    <cellStyle name="Porcentagem 4 12 2 2 3" xfId="2555"/>
    <cellStyle name="Porcentagem 4 12 2 2 4" xfId="3082"/>
    <cellStyle name="Porcentagem 4 12 2 2 5" xfId="3609"/>
    <cellStyle name="Porcentagem 4 12 2 2 6" xfId="4136"/>
    <cellStyle name="Porcentagem 4 12 2 3" xfId="979"/>
    <cellStyle name="Porcentagem 4 12 2 4" xfId="1330"/>
    <cellStyle name="Porcentagem 4 12 2 5" xfId="1765"/>
    <cellStyle name="Porcentagem 4 12 2 6" xfId="2295"/>
    <cellStyle name="Porcentagem 4 12 2 7" xfId="2822"/>
    <cellStyle name="Porcentagem 4 12 2 8" xfId="3349"/>
    <cellStyle name="Porcentagem 4 12 2 9" xfId="3876"/>
    <cellStyle name="Porcentagem 4 12 3" xfId="328"/>
    <cellStyle name="Porcentagem 4 12 3 2" xfId="591"/>
    <cellStyle name="Porcentagem 4 12 3 3" xfId="888"/>
    <cellStyle name="Porcentagem 4 12 3 4" xfId="1239"/>
    <cellStyle name="Porcentagem 4 12 3 5" xfId="1674"/>
    <cellStyle name="Porcentagem 4 12 3 6" xfId="2204"/>
    <cellStyle name="Porcentagem 4 12 3 7" xfId="2731"/>
    <cellStyle name="Porcentagem 4 12 3 8" xfId="3258"/>
    <cellStyle name="Porcentagem 4 12 3 9" xfId="3785"/>
    <cellStyle name="Porcentagem 4 12 4" xfId="421"/>
    <cellStyle name="Porcentagem 4 12 4 2" xfId="1066"/>
    <cellStyle name="Porcentagem 4 12 4 3" xfId="1417"/>
    <cellStyle name="Porcentagem 4 12 4 4" xfId="1852"/>
    <cellStyle name="Porcentagem 4 12 4 5" xfId="2382"/>
    <cellStyle name="Porcentagem 4 12 4 6" xfId="2909"/>
    <cellStyle name="Porcentagem 4 12 4 7" xfId="3436"/>
    <cellStyle name="Porcentagem 4 12 4 8" xfId="3963"/>
    <cellStyle name="Porcentagem 4 12 5" xfId="678"/>
    <cellStyle name="Porcentagem 4 12 5 2" xfId="1501"/>
    <cellStyle name="Porcentagem 4 12 5 3" xfId="1936"/>
    <cellStyle name="Porcentagem 4 12 5 4" xfId="2466"/>
    <cellStyle name="Porcentagem 4 12 5 5" xfId="2993"/>
    <cellStyle name="Porcentagem 4 12 5 6" xfId="3520"/>
    <cellStyle name="Porcentagem 4 12 5 7" xfId="4047"/>
    <cellStyle name="Porcentagem 4 12 6" xfId="799"/>
    <cellStyle name="Porcentagem 4 12 6 2" xfId="4223"/>
    <cellStyle name="Porcentagem 4 12 7" xfId="1150"/>
    <cellStyle name="Porcentagem 4 12 8" xfId="1585"/>
    <cellStyle name="Porcentagem 4 12 9" xfId="2115"/>
    <cellStyle name="Porcentagem 4 13" xfId="147"/>
    <cellStyle name="Porcentagem 4 13 10" xfId="2650"/>
    <cellStyle name="Porcentagem 4 13 11" xfId="3177"/>
    <cellStyle name="Porcentagem 4 13 12" xfId="3704"/>
    <cellStyle name="Porcentagem 4 13 2" xfId="241"/>
    <cellStyle name="Porcentagem 4 13 2 2" xfId="514"/>
    <cellStyle name="Porcentagem 4 13 2 2 2" xfId="2033"/>
    <cellStyle name="Porcentagem 4 13 2 2 3" xfId="2563"/>
    <cellStyle name="Porcentagem 4 13 2 2 4" xfId="3090"/>
    <cellStyle name="Porcentagem 4 13 2 2 5" xfId="3617"/>
    <cellStyle name="Porcentagem 4 13 2 2 6" xfId="4144"/>
    <cellStyle name="Porcentagem 4 13 2 3" xfId="987"/>
    <cellStyle name="Porcentagem 4 13 2 4" xfId="1338"/>
    <cellStyle name="Porcentagem 4 13 2 5" xfId="1773"/>
    <cellStyle name="Porcentagem 4 13 2 6" xfId="2303"/>
    <cellStyle name="Porcentagem 4 13 2 7" xfId="2830"/>
    <cellStyle name="Porcentagem 4 13 2 8" xfId="3357"/>
    <cellStyle name="Porcentagem 4 13 2 9" xfId="3884"/>
    <cellStyle name="Porcentagem 4 13 3" xfId="336"/>
    <cellStyle name="Porcentagem 4 13 3 2" xfId="599"/>
    <cellStyle name="Porcentagem 4 13 3 3" xfId="896"/>
    <cellStyle name="Porcentagem 4 13 3 4" xfId="1247"/>
    <cellStyle name="Porcentagem 4 13 3 5" xfId="1682"/>
    <cellStyle name="Porcentagem 4 13 3 6" xfId="2212"/>
    <cellStyle name="Porcentagem 4 13 3 7" xfId="2739"/>
    <cellStyle name="Porcentagem 4 13 3 8" xfId="3266"/>
    <cellStyle name="Porcentagem 4 13 3 9" xfId="3793"/>
    <cellStyle name="Porcentagem 4 13 4" xfId="429"/>
    <cellStyle name="Porcentagem 4 13 4 2" xfId="1074"/>
    <cellStyle name="Porcentagem 4 13 4 3" xfId="1425"/>
    <cellStyle name="Porcentagem 4 13 4 4" xfId="1860"/>
    <cellStyle name="Porcentagem 4 13 4 5" xfId="2390"/>
    <cellStyle name="Porcentagem 4 13 4 6" xfId="2917"/>
    <cellStyle name="Porcentagem 4 13 4 7" xfId="3444"/>
    <cellStyle name="Porcentagem 4 13 4 8" xfId="3971"/>
    <cellStyle name="Porcentagem 4 13 5" xfId="686"/>
    <cellStyle name="Porcentagem 4 13 5 2" xfId="1509"/>
    <cellStyle name="Porcentagem 4 13 5 3" xfId="1944"/>
    <cellStyle name="Porcentagem 4 13 5 4" xfId="2474"/>
    <cellStyle name="Porcentagem 4 13 5 5" xfId="3001"/>
    <cellStyle name="Porcentagem 4 13 5 6" xfId="3528"/>
    <cellStyle name="Porcentagem 4 13 5 7" xfId="4055"/>
    <cellStyle name="Porcentagem 4 13 6" xfId="807"/>
    <cellStyle name="Porcentagem 4 13 6 2" xfId="4231"/>
    <cellStyle name="Porcentagem 4 13 7" xfId="1158"/>
    <cellStyle name="Porcentagem 4 13 8" xfId="1593"/>
    <cellStyle name="Porcentagem 4 13 9" xfId="2123"/>
    <cellStyle name="Porcentagem 4 14" xfId="79"/>
    <cellStyle name="Porcentagem 4 14 10" xfId="2582"/>
    <cellStyle name="Porcentagem 4 14 11" xfId="3109"/>
    <cellStyle name="Porcentagem 4 14 12" xfId="3636"/>
    <cellStyle name="Porcentagem 4 14 2" xfId="173"/>
    <cellStyle name="Porcentagem 4 14 2 2" xfId="446"/>
    <cellStyle name="Porcentagem 4 14 2 2 2" xfId="1965"/>
    <cellStyle name="Porcentagem 4 14 2 2 3" xfId="2495"/>
    <cellStyle name="Porcentagem 4 14 2 2 4" xfId="3022"/>
    <cellStyle name="Porcentagem 4 14 2 2 5" xfId="3549"/>
    <cellStyle name="Porcentagem 4 14 2 2 6" xfId="4076"/>
    <cellStyle name="Porcentagem 4 14 2 3" xfId="919"/>
    <cellStyle name="Porcentagem 4 14 2 4" xfId="1270"/>
    <cellStyle name="Porcentagem 4 14 2 5" xfId="1705"/>
    <cellStyle name="Porcentagem 4 14 2 6" xfId="2235"/>
    <cellStyle name="Porcentagem 4 14 2 7" xfId="2762"/>
    <cellStyle name="Porcentagem 4 14 2 8" xfId="3289"/>
    <cellStyle name="Porcentagem 4 14 2 9" xfId="3816"/>
    <cellStyle name="Porcentagem 4 14 3" xfId="268"/>
    <cellStyle name="Porcentagem 4 14 3 2" xfId="531"/>
    <cellStyle name="Porcentagem 4 14 3 3" xfId="828"/>
    <cellStyle name="Porcentagem 4 14 3 4" xfId="1179"/>
    <cellStyle name="Porcentagem 4 14 3 5" xfId="1614"/>
    <cellStyle name="Porcentagem 4 14 3 6" xfId="2144"/>
    <cellStyle name="Porcentagem 4 14 3 7" xfId="2671"/>
    <cellStyle name="Porcentagem 4 14 3 8" xfId="3198"/>
    <cellStyle name="Porcentagem 4 14 3 9" xfId="3725"/>
    <cellStyle name="Porcentagem 4 14 4" xfId="361"/>
    <cellStyle name="Porcentagem 4 14 4 2" xfId="1006"/>
    <cellStyle name="Porcentagem 4 14 4 3" xfId="1357"/>
    <cellStyle name="Porcentagem 4 14 4 4" xfId="1792"/>
    <cellStyle name="Porcentagem 4 14 4 5" xfId="2322"/>
    <cellStyle name="Porcentagem 4 14 4 6" xfId="2849"/>
    <cellStyle name="Porcentagem 4 14 4 7" xfId="3376"/>
    <cellStyle name="Porcentagem 4 14 4 8" xfId="3903"/>
    <cellStyle name="Porcentagem 4 14 5" xfId="618"/>
    <cellStyle name="Porcentagem 4 14 5 2" xfId="1441"/>
    <cellStyle name="Porcentagem 4 14 5 3" xfId="1876"/>
    <cellStyle name="Porcentagem 4 14 5 4" xfId="2406"/>
    <cellStyle name="Porcentagem 4 14 5 5" xfId="2933"/>
    <cellStyle name="Porcentagem 4 14 5 6" xfId="3460"/>
    <cellStyle name="Porcentagem 4 14 5 7" xfId="3987"/>
    <cellStyle name="Porcentagem 4 14 6" xfId="739"/>
    <cellStyle name="Porcentagem 4 14 6 2" xfId="4163"/>
    <cellStyle name="Porcentagem 4 14 7" xfId="1090"/>
    <cellStyle name="Porcentagem 4 14 8" xfId="1525"/>
    <cellStyle name="Porcentagem 4 14 9" xfId="2055"/>
    <cellStyle name="Porcentagem 4 15" xfId="151"/>
    <cellStyle name="Porcentagem 4 15 10" xfId="2654"/>
    <cellStyle name="Porcentagem 4 15 11" xfId="3181"/>
    <cellStyle name="Porcentagem 4 15 12" xfId="3708"/>
    <cellStyle name="Porcentagem 4 15 2" xfId="245"/>
    <cellStyle name="Porcentagem 4 15 2 2" xfId="518"/>
    <cellStyle name="Porcentagem 4 15 2 2 2" xfId="2037"/>
    <cellStyle name="Porcentagem 4 15 2 2 3" xfId="2567"/>
    <cellStyle name="Porcentagem 4 15 2 2 4" xfId="3094"/>
    <cellStyle name="Porcentagem 4 15 2 2 5" xfId="3621"/>
    <cellStyle name="Porcentagem 4 15 2 2 6" xfId="4148"/>
    <cellStyle name="Porcentagem 4 15 2 3" xfId="991"/>
    <cellStyle name="Porcentagem 4 15 2 4" xfId="1342"/>
    <cellStyle name="Porcentagem 4 15 2 5" xfId="1777"/>
    <cellStyle name="Porcentagem 4 15 2 6" xfId="2307"/>
    <cellStyle name="Porcentagem 4 15 2 7" xfId="2834"/>
    <cellStyle name="Porcentagem 4 15 2 8" xfId="3361"/>
    <cellStyle name="Porcentagem 4 15 2 9" xfId="3888"/>
    <cellStyle name="Porcentagem 4 15 3" xfId="340"/>
    <cellStyle name="Porcentagem 4 15 3 2" xfId="603"/>
    <cellStyle name="Porcentagem 4 15 3 3" xfId="900"/>
    <cellStyle name="Porcentagem 4 15 3 4" xfId="1251"/>
    <cellStyle name="Porcentagem 4 15 3 5" xfId="1686"/>
    <cellStyle name="Porcentagem 4 15 3 6" xfId="2216"/>
    <cellStyle name="Porcentagem 4 15 3 7" xfId="2743"/>
    <cellStyle name="Porcentagem 4 15 3 8" xfId="3270"/>
    <cellStyle name="Porcentagem 4 15 3 9" xfId="3797"/>
    <cellStyle name="Porcentagem 4 15 4" xfId="433"/>
    <cellStyle name="Porcentagem 4 15 4 2" xfId="1078"/>
    <cellStyle name="Porcentagem 4 15 4 3" xfId="1429"/>
    <cellStyle name="Porcentagem 4 15 4 4" xfId="1864"/>
    <cellStyle name="Porcentagem 4 15 4 5" xfId="2394"/>
    <cellStyle name="Porcentagem 4 15 4 6" xfId="2921"/>
    <cellStyle name="Porcentagem 4 15 4 7" xfId="3448"/>
    <cellStyle name="Porcentagem 4 15 4 8" xfId="3975"/>
    <cellStyle name="Porcentagem 4 15 5" xfId="690"/>
    <cellStyle name="Porcentagem 4 15 5 2" xfId="1513"/>
    <cellStyle name="Porcentagem 4 15 5 3" xfId="1948"/>
    <cellStyle name="Porcentagem 4 15 5 4" xfId="2478"/>
    <cellStyle name="Porcentagem 4 15 5 5" xfId="3005"/>
    <cellStyle name="Porcentagem 4 15 5 6" xfId="3532"/>
    <cellStyle name="Porcentagem 4 15 5 7" xfId="4059"/>
    <cellStyle name="Porcentagem 4 15 6" xfId="811"/>
    <cellStyle name="Porcentagem 4 15 6 2" xfId="4235"/>
    <cellStyle name="Porcentagem 4 15 7" xfId="1162"/>
    <cellStyle name="Porcentagem 4 15 8" xfId="1597"/>
    <cellStyle name="Porcentagem 4 15 9" xfId="2127"/>
    <cellStyle name="Porcentagem 4 16" xfId="162"/>
    <cellStyle name="Porcentagem 4 16 2" xfId="438"/>
    <cellStyle name="Porcentagem 4 16 2 2" xfId="1954"/>
    <cellStyle name="Porcentagem 4 16 2 3" xfId="2484"/>
    <cellStyle name="Porcentagem 4 16 2 4" xfId="3011"/>
    <cellStyle name="Porcentagem 4 16 2 5" xfId="3538"/>
    <cellStyle name="Porcentagem 4 16 2 6" xfId="4065"/>
    <cellStyle name="Porcentagem 4 16 3" xfId="908"/>
    <cellStyle name="Porcentagem 4 16 4" xfId="1259"/>
    <cellStyle name="Porcentagem 4 16 5" xfId="1694"/>
    <cellStyle name="Porcentagem 4 16 6" xfId="2224"/>
    <cellStyle name="Porcentagem 4 16 7" xfId="2751"/>
    <cellStyle name="Porcentagem 4 16 8" xfId="3278"/>
    <cellStyle name="Porcentagem 4 16 9" xfId="3805"/>
    <cellStyle name="Porcentagem 4 17" xfId="257"/>
    <cellStyle name="Porcentagem 4 17 2" xfId="523"/>
    <cellStyle name="Porcentagem 4 17 3" xfId="817"/>
    <cellStyle name="Porcentagem 4 17 4" xfId="1168"/>
    <cellStyle name="Porcentagem 4 17 5" xfId="1603"/>
    <cellStyle name="Porcentagem 4 17 6" xfId="2133"/>
    <cellStyle name="Porcentagem 4 17 7" xfId="2660"/>
    <cellStyle name="Porcentagem 4 17 8" xfId="3187"/>
    <cellStyle name="Porcentagem 4 17 9" xfId="3714"/>
    <cellStyle name="Porcentagem 4 18" xfId="353"/>
    <cellStyle name="Porcentagem 4 18 2" xfId="998"/>
    <cellStyle name="Porcentagem 4 18 3" xfId="1349"/>
    <cellStyle name="Porcentagem 4 18 4" xfId="1784"/>
    <cellStyle name="Porcentagem 4 18 5" xfId="2314"/>
    <cellStyle name="Porcentagem 4 18 6" xfId="2841"/>
    <cellStyle name="Porcentagem 4 18 7" xfId="3368"/>
    <cellStyle name="Porcentagem 4 18 8" xfId="3895"/>
    <cellStyle name="Porcentagem 4 19" xfId="610"/>
    <cellStyle name="Porcentagem 4 19 2" xfId="1433"/>
    <cellStyle name="Porcentagem 4 19 3" xfId="1868"/>
    <cellStyle name="Porcentagem 4 19 4" xfId="2398"/>
    <cellStyle name="Porcentagem 4 19 5" xfId="2925"/>
    <cellStyle name="Porcentagem 4 19 6" xfId="3452"/>
    <cellStyle name="Porcentagem 4 19 7" xfId="3979"/>
    <cellStyle name="Porcentagem 4 2" xfId="75"/>
    <cellStyle name="Porcentagem 4 2 10" xfId="357"/>
    <cellStyle name="Porcentagem 4 2 10 2" xfId="1002"/>
    <cellStyle name="Porcentagem 4 2 10 3" xfId="1353"/>
    <cellStyle name="Porcentagem 4 2 10 4" xfId="1788"/>
    <cellStyle name="Porcentagem 4 2 10 5" xfId="2318"/>
    <cellStyle name="Porcentagem 4 2 10 6" xfId="2845"/>
    <cellStyle name="Porcentagem 4 2 10 7" xfId="3372"/>
    <cellStyle name="Porcentagem 4 2 10 8" xfId="3899"/>
    <cellStyle name="Porcentagem 4 2 11" xfId="614"/>
    <cellStyle name="Porcentagem 4 2 11 2" xfId="1437"/>
    <cellStyle name="Porcentagem 4 2 11 3" xfId="1872"/>
    <cellStyle name="Porcentagem 4 2 11 4" xfId="2402"/>
    <cellStyle name="Porcentagem 4 2 11 5" xfId="2929"/>
    <cellStyle name="Porcentagem 4 2 11 6" xfId="3456"/>
    <cellStyle name="Porcentagem 4 2 11 7" xfId="3983"/>
    <cellStyle name="Porcentagem 4 2 12" xfId="735"/>
    <cellStyle name="Porcentagem 4 2 12 2" xfId="4159"/>
    <cellStyle name="Porcentagem 4 2 13" xfId="1086"/>
    <cellStyle name="Porcentagem 4 2 14" xfId="1521"/>
    <cellStyle name="Porcentagem 4 2 15" xfId="2051"/>
    <cellStyle name="Porcentagem 4 2 16" xfId="2578"/>
    <cellStyle name="Porcentagem 4 2 17" xfId="3105"/>
    <cellStyle name="Porcentagem 4 2 18" xfId="3632"/>
    <cellStyle name="Porcentagem 4 2 2" xfId="111"/>
    <cellStyle name="Porcentagem 4 2 2 10" xfId="2614"/>
    <cellStyle name="Porcentagem 4 2 2 11" xfId="3141"/>
    <cellStyle name="Porcentagem 4 2 2 12" xfId="3668"/>
    <cellStyle name="Porcentagem 4 2 2 2" xfId="205"/>
    <cellStyle name="Porcentagem 4 2 2 2 2" xfId="478"/>
    <cellStyle name="Porcentagem 4 2 2 2 2 2" xfId="1997"/>
    <cellStyle name="Porcentagem 4 2 2 2 2 3" xfId="2527"/>
    <cellStyle name="Porcentagem 4 2 2 2 2 4" xfId="3054"/>
    <cellStyle name="Porcentagem 4 2 2 2 2 5" xfId="3581"/>
    <cellStyle name="Porcentagem 4 2 2 2 2 6" xfId="4108"/>
    <cellStyle name="Porcentagem 4 2 2 2 3" xfId="951"/>
    <cellStyle name="Porcentagem 4 2 2 2 4" xfId="1302"/>
    <cellStyle name="Porcentagem 4 2 2 2 5" xfId="1737"/>
    <cellStyle name="Porcentagem 4 2 2 2 6" xfId="2267"/>
    <cellStyle name="Porcentagem 4 2 2 2 7" xfId="2794"/>
    <cellStyle name="Porcentagem 4 2 2 2 8" xfId="3321"/>
    <cellStyle name="Porcentagem 4 2 2 2 9" xfId="3848"/>
    <cellStyle name="Porcentagem 4 2 2 3" xfId="300"/>
    <cellStyle name="Porcentagem 4 2 2 3 2" xfId="563"/>
    <cellStyle name="Porcentagem 4 2 2 3 3" xfId="860"/>
    <cellStyle name="Porcentagem 4 2 2 3 4" xfId="1211"/>
    <cellStyle name="Porcentagem 4 2 2 3 5" xfId="1646"/>
    <cellStyle name="Porcentagem 4 2 2 3 6" xfId="2176"/>
    <cellStyle name="Porcentagem 4 2 2 3 7" xfId="2703"/>
    <cellStyle name="Porcentagem 4 2 2 3 8" xfId="3230"/>
    <cellStyle name="Porcentagem 4 2 2 3 9" xfId="3757"/>
    <cellStyle name="Porcentagem 4 2 2 4" xfId="393"/>
    <cellStyle name="Porcentagem 4 2 2 4 2" xfId="1038"/>
    <cellStyle name="Porcentagem 4 2 2 4 3" xfId="1389"/>
    <cellStyle name="Porcentagem 4 2 2 4 4" xfId="1824"/>
    <cellStyle name="Porcentagem 4 2 2 4 5" xfId="2354"/>
    <cellStyle name="Porcentagem 4 2 2 4 6" xfId="2881"/>
    <cellStyle name="Porcentagem 4 2 2 4 7" xfId="3408"/>
    <cellStyle name="Porcentagem 4 2 2 4 8" xfId="3935"/>
    <cellStyle name="Porcentagem 4 2 2 5" xfId="650"/>
    <cellStyle name="Porcentagem 4 2 2 5 2" xfId="1473"/>
    <cellStyle name="Porcentagem 4 2 2 5 3" xfId="1908"/>
    <cellStyle name="Porcentagem 4 2 2 5 4" xfId="2438"/>
    <cellStyle name="Porcentagem 4 2 2 5 5" xfId="2965"/>
    <cellStyle name="Porcentagem 4 2 2 5 6" xfId="3492"/>
    <cellStyle name="Porcentagem 4 2 2 5 7" xfId="4019"/>
    <cellStyle name="Porcentagem 4 2 2 6" xfId="771"/>
    <cellStyle name="Porcentagem 4 2 2 6 2" xfId="4195"/>
    <cellStyle name="Porcentagem 4 2 2 7" xfId="1122"/>
    <cellStyle name="Porcentagem 4 2 2 8" xfId="1557"/>
    <cellStyle name="Porcentagem 4 2 2 9" xfId="2087"/>
    <cellStyle name="Porcentagem 4 2 3" xfId="119"/>
    <cellStyle name="Porcentagem 4 2 3 10" xfId="2622"/>
    <cellStyle name="Porcentagem 4 2 3 11" xfId="3149"/>
    <cellStyle name="Porcentagem 4 2 3 12" xfId="3676"/>
    <cellStyle name="Porcentagem 4 2 3 2" xfId="213"/>
    <cellStyle name="Porcentagem 4 2 3 2 2" xfId="486"/>
    <cellStyle name="Porcentagem 4 2 3 2 2 2" xfId="2005"/>
    <cellStyle name="Porcentagem 4 2 3 2 2 3" xfId="2535"/>
    <cellStyle name="Porcentagem 4 2 3 2 2 4" xfId="3062"/>
    <cellStyle name="Porcentagem 4 2 3 2 2 5" xfId="3589"/>
    <cellStyle name="Porcentagem 4 2 3 2 2 6" xfId="4116"/>
    <cellStyle name="Porcentagem 4 2 3 2 3" xfId="959"/>
    <cellStyle name="Porcentagem 4 2 3 2 4" xfId="1310"/>
    <cellStyle name="Porcentagem 4 2 3 2 5" xfId="1745"/>
    <cellStyle name="Porcentagem 4 2 3 2 6" xfId="2275"/>
    <cellStyle name="Porcentagem 4 2 3 2 7" xfId="2802"/>
    <cellStyle name="Porcentagem 4 2 3 2 8" xfId="3329"/>
    <cellStyle name="Porcentagem 4 2 3 2 9" xfId="3856"/>
    <cellStyle name="Porcentagem 4 2 3 3" xfId="308"/>
    <cellStyle name="Porcentagem 4 2 3 3 2" xfId="571"/>
    <cellStyle name="Porcentagem 4 2 3 3 3" xfId="868"/>
    <cellStyle name="Porcentagem 4 2 3 3 4" xfId="1219"/>
    <cellStyle name="Porcentagem 4 2 3 3 5" xfId="1654"/>
    <cellStyle name="Porcentagem 4 2 3 3 6" xfId="2184"/>
    <cellStyle name="Porcentagem 4 2 3 3 7" xfId="2711"/>
    <cellStyle name="Porcentagem 4 2 3 3 8" xfId="3238"/>
    <cellStyle name="Porcentagem 4 2 3 3 9" xfId="3765"/>
    <cellStyle name="Porcentagem 4 2 3 4" xfId="401"/>
    <cellStyle name="Porcentagem 4 2 3 4 2" xfId="1046"/>
    <cellStyle name="Porcentagem 4 2 3 4 3" xfId="1397"/>
    <cellStyle name="Porcentagem 4 2 3 4 4" xfId="1832"/>
    <cellStyle name="Porcentagem 4 2 3 4 5" xfId="2362"/>
    <cellStyle name="Porcentagem 4 2 3 4 6" xfId="2889"/>
    <cellStyle name="Porcentagem 4 2 3 4 7" xfId="3416"/>
    <cellStyle name="Porcentagem 4 2 3 4 8" xfId="3943"/>
    <cellStyle name="Porcentagem 4 2 3 5" xfId="658"/>
    <cellStyle name="Porcentagem 4 2 3 5 2" xfId="1481"/>
    <cellStyle name="Porcentagem 4 2 3 5 3" xfId="1916"/>
    <cellStyle name="Porcentagem 4 2 3 5 4" xfId="2446"/>
    <cellStyle name="Porcentagem 4 2 3 5 5" xfId="2973"/>
    <cellStyle name="Porcentagem 4 2 3 5 6" xfId="3500"/>
    <cellStyle name="Porcentagem 4 2 3 5 7" xfId="4027"/>
    <cellStyle name="Porcentagem 4 2 3 6" xfId="779"/>
    <cellStyle name="Porcentagem 4 2 3 6 2" xfId="4203"/>
    <cellStyle name="Porcentagem 4 2 3 7" xfId="1130"/>
    <cellStyle name="Porcentagem 4 2 3 8" xfId="1565"/>
    <cellStyle name="Porcentagem 4 2 3 9" xfId="2095"/>
    <cellStyle name="Porcentagem 4 2 4" xfId="127"/>
    <cellStyle name="Porcentagem 4 2 4 10" xfId="2630"/>
    <cellStyle name="Porcentagem 4 2 4 11" xfId="3157"/>
    <cellStyle name="Porcentagem 4 2 4 12" xfId="3684"/>
    <cellStyle name="Porcentagem 4 2 4 2" xfId="221"/>
    <cellStyle name="Porcentagem 4 2 4 2 2" xfId="494"/>
    <cellStyle name="Porcentagem 4 2 4 2 2 2" xfId="2013"/>
    <cellStyle name="Porcentagem 4 2 4 2 2 3" xfId="2543"/>
    <cellStyle name="Porcentagem 4 2 4 2 2 4" xfId="3070"/>
    <cellStyle name="Porcentagem 4 2 4 2 2 5" xfId="3597"/>
    <cellStyle name="Porcentagem 4 2 4 2 2 6" xfId="4124"/>
    <cellStyle name="Porcentagem 4 2 4 2 3" xfId="967"/>
    <cellStyle name="Porcentagem 4 2 4 2 4" xfId="1318"/>
    <cellStyle name="Porcentagem 4 2 4 2 5" xfId="1753"/>
    <cellStyle name="Porcentagem 4 2 4 2 6" xfId="2283"/>
    <cellStyle name="Porcentagem 4 2 4 2 7" xfId="2810"/>
    <cellStyle name="Porcentagem 4 2 4 2 8" xfId="3337"/>
    <cellStyle name="Porcentagem 4 2 4 2 9" xfId="3864"/>
    <cellStyle name="Porcentagem 4 2 4 3" xfId="316"/>
    <cellStyle name="Porcentagem 4 2 4 3 2" xfId="579"/>
    <cellStyle name="Porcentagem 4 2 4 3 3" xfId="876"/>
    <cellStyle name="Porcentagem 4 2 4 3 4" xfId="1227"/>
    <cellStyle name="Porcentagem 4 2 4 3 5" xfId="1662"/>
    <cellStyle name="Porcentagem 4 2 4 3 6" xfId="2192"/>
    <cellStyle name="Porcentagem 4 2 4 3 7" xfId="2719"/>
    <cellStyle name="Porcentagem 4 2 4 3 8" xfId="3246"/>
    <cellStyle name="Porcentagem 4 2 4 3 9" xfId="3773"/>
    <cellStyle name="Porcentagem 4 2 4 4" xfId="409"/>
    <cellStyle name="Porcentagem 4 2 4 4 2" xfId="1054"/>
    <cellStyle name="Porcentagem 4 2 4 4 3" xfId="1405"/>
    <cellStyle name="Porcentagem 4 2 4 4 4" xfId="1840"/>
    <cellStyle name="Porcentagem 4 2 4 4 5" xfId="2370"/>
    <cellStyle name="Porcentagem 4 2 4 4 6" xfId="2897"/>
    <cellStyle name="Porcentagem 4 2 4 4 7" xfId="3424"/>
    <cellStyle name="Porcentagem 4 2 4 4 8" xfId="3951"/>
    <cellStyle name="Porcentagem 4 2 4 5" xfId="666"/>
    <cellStyle name="Porcentagem 4 2 4 5 2" xfId="1489"/>
    <cellStyle name="Porcentagem 4 2 4 5 3" xfId="1924"/>
    <cellStyle name="Porcentagem 4 2 4 5 4" xfId="2454"/>
    <cellStyle name="Porcentagem 4 2 4 5 5" xfId="2981"/>
    <cellStyle name="Porcentagem 4 2 4 5 6" xfId="3508"/>
    <cellStyle name="Porcentagem 4 2 4 5 7" xfId="4035"/>
    <cellStyle name="Porcentagem 4 2 4 6" xfId="787"/>
    <cellStyle name="Porcentagem 4 2 4 6 2" xfId="4211"/>
    <cellStyle name="Porcentagem 4 2 4 7" xfId="1138"/>
    <cellStyle name="Porcentagem 4 2 4 8" xfId="1573"/>
    <cellStyle name="Porcentagem 4 2 4 9" xfId="2103"/>
    <cellStyle name="Porcentagem 4 2 5" xfId="135"/>
    <cellStyle name="Porcentagem 4 2 5 10" xfId="2638"/>
    <cellStyle name="Porcentagem 4 2 5 11" xfId="3165"/>
    <cellStyle name="Porcentagem 4 2 5 12" xfId="3692"/>
    <cellStyle name="Porcentagem 4 2 5 2" xfId="229"/>
    <cellStyle name="Porcentagem 4 2 5 2 2" xfId="502"/>
    <cellStyle name="Porcentagem 4 2 5 2 2 2" xfId="2021"/>
    <cellStyle name="Porcentagem 4 2 5 2 2 3" xfId="2551"/>
    <cellStyle name="Porcentagem 4 2 5 2 2 4" xfId="3078"/>
    <cellStyle name="Porcentagem 4 2 5 2 2 5" xfId="3605"/>
    <cellStyle name="Porcentagem 4 2 5 2 2 6" xfId="4132"/>
    <cellStyle name="Porcentagem 4 2 5 2 3" xfId="975"/>
    <cellStyle name="Porcentagem 4 2 5 2 4" xfId="1326"/>
    <cellStyle name="Porcentagem 4 2 5 2 5" xfId="1761"/>
    <cellStyle name="Porcentagem 4 2 5 2 6" xfId="2291"/>
    <cellStyle name="Porcentagem 4 2 5 2 7" xfId="2818"/>
    <cellStyle name="Porcentagem 4 2 5 2 8" xfId="3345"/>
    <cellStyle name="Porcentagem 4 2 5 2 9" xfId="3872"/>
    <cellStyle name="Porcentagem 4 2 5 3" xfId="324"/>
    <cellStyle name="Porcentagem 4 2 5 3 2" xfId="587"/>
    <cellStyle name="Porcentagem 4 2 5 3 3" xfId="884"/>
    <cellStyle name="Porcentagem 4 2 5 3 4" xfId="1235"/>
    <cellStyle name="Porcentagem 4 2 5 3 5" xfId="1670"/>
    <cellStyle name="Porcentagem 4 2 5 3 6" xfId="2200"/>
    <cellStyle name="Porcentagem 4 2 5 3 7" xfId="2727"/>
    <cellStyle name="Porcentagem 4 2 5 3 8" xfId="3254"/>
    <cellStyle name="Porcentagem 4 2 5 3 9" xfId="3781"/>
    <cellStyle name="Porcentagem 4 2 5 4" xfId="417"/>
    <cellStyle name="Porcentagem 4 2 5 4 2" xfId="1062"/>
    <cellStyle name="Porcentagem 4 2 5 4 3" xfId="1413"/>
    <cellStyle name="Porcentagem 4 2 5 4 4" xfId="1848"/>
    <cellStyle name="Porcentagem 4 2 5 4 5" xfId="2378"/>
    <cellStyle name="Porcentagem 4 2 5 4 6" xfId="2905"/>
    <cellStyle name="Porcentagem 4 2 5 4 7" xfId="3432"/>
    <cellStyle name="Porcentagem 4 2 5 4 8" xfId="3959"/>
    <cellStyle name="Porcentagem 4 2 5 5" xfId="674"/>
    <cellStyle name="Porcentagem 4 2 5 5 2" xfId="1497"/>
    <cellStyle name="Porcentagem 4 2 5 5 3" xfId="1932"/>
    <cellStyle name="Porcentagem 4 2 5 5 4" xfId="2462"/>
    <cellStyle name="Porcentagem 4 2 5 5 5" xfId="2989"/>
    <cellStyle name="Porcentagem 4 2 5 5 6" xfId="3516"/>
    <cellStyle name="Porcentagem 4 2 5 5 7" xfId="4043"/>
    <cellStyle name="Porcentagem 4 2 5 6" xfId="795"/>
    <cellStyle name="Porcentagem 4 2 5 6 2" xfId="4219"/>
    <cellStyle name="Porcentagem 4 2 5 7" xfId="1146"/>
    <cellStyle name="Porcentagem 4 2 5 8" xfId="1581"/>
    <cellStyle name="Porcentagem 4 2 5 9" xfId="2111"/>
    <cellStyle name="Porcentagem 4 2 6" xfId="143"/>
    <cellStyle name="Porcentagem 4 2 6 10" xfId="2646"/>
    <cellStyle name="Porcentagem 4 2 6 11" xfId="3173"/>
    <cellStyle name="Porcentagem 4 2 6 12" xfId="3700"/>
    <cellStyle name="Porcentagem 4 2 6 2" xfId="237"/>
    <cellStyle name="Porcentagem 4 2 6 2 2" xfId="510"/>
    <cellStyle name="Porcentagem 4 2 6 2 2 2" xfId="2029"/>
    <cellStyle name="Porcentagem 4 2 6 2 2 3" xfId="2559"/>
    <cellStyle name="Porcentagem 4 2 6 2 2 4" xfId="3086"/>
    <cellStyle name="Porcentagem 4 2 6 2 2 5" xfId="3613"/>
    <cellStyle name="Porcentagem 4 2 6 2 2 6" xfId="4140"/>
    <cellStyle name="Porcentagem 4 2 6 2 3" xfId="983"/>
    <cellStyle name="Porcentagem 4 2 6 2 4" xfId="1334"/>
    <cellStyle name="Porcentagem 4 2 6 2 5" xfId="1769"/>
    <cellStyle name="Porcentagem 4 2 6 2 6" xfId="2299"/>
    <cellStyle name="Porcentagem 4 2 6 2 7" xfId="2826"/>
    <cellStyle name="Porcentagem 4 2 6 2 8" xfId="3353"/>
    <cellStyle name="Porcentagem 4 2 6 2 9" xfId="3880"/>
    <cellStyle name="Porcentagem 4 2 6 3" xfId="332"/>
    <cellStyle name="Porcentagem 4 2 6 3 2" xfId="595"/>
    <cellStyle name="Porcentagem 4 2 6 3 3" xfId="892"/>
    <cellStyle name="Porcentagem 4 2 6 3 4" xfId="1243"/>
    <cellStyle name="Porcentagem 4 2 6 3 5" xfId="1678"/>
    <cellStyle name="Porcentagem 4 2 6 3 6" xfId="2208"/>
    <cellStyle name="Porcentagem 4 2 6 3 7" xfId="2735"/>
    <cellStyle name="Porcentagem 4 2 6 3 8" xfId="3262"/>
    <cellStyle name="Porcentagem 4 2 6 3 9" xfId="3789"/>
    <cellStyle name="Porcentagem 4 2 6 4" xfId="425"/>
    <cellStyle name="Porcentagem 4 2 6 4 2" xfId="1070"/>
    <cellStyle name="Porcentagem 4 2 6 4 3" xfId="1421"/>
    <cellStyle name="Porcentagem 4 2 6 4 4" xfId="1856"/>
    <cellStyle name="Porcentagem 4 2 6 4 5" xfId="2386"/>
    <cellStyle name="Porcentagem 4 2 6 4 6" xfId="2913"/>
    <cellStyle name="Porcentagem 4 2 6 4 7" xfId="3440"/>
    <cellStyle name="Porcentagem 4 2 6 4 8" xfId="3967"/>
    <cellStyle name="Porcentagem 4 2 6 5" xfId="682"/>
    <cellStyle name="Porcentagem 4 2 6 5 2" xfId="1505"/>
    <cellStyle name="Porcentagem 4 2 6 5 3" xfId="1940"/>
    <cellStyle name="Porcentagem 4 2 6 5 4" xfId="2470"/>
    <cellStyle name="Porcentagem 4 2 6 5 5" xfId="2997"/>
    <cellStyle name="Porcentagem 4 2 6 5 6" xfId="3524"/>
    <cellStyle name="Porcentagem 4 2 6 5 7" xfId="4051"/>
    <cellStyle name="Porcentagem 4 2 6 6" xfId="803"/>
    <cellStyle name="Porcentagem 4 2 6 6 2" xfId="4227"/>
    <cellStyle name="Porcentagem 4 2 6 7" xfId="1154"/>
    <cellStyle name="Porcentagem 4 2 6 8" xfId="1589"/>
    <cellStyle name="Porcentagem 4 2 6 9" xfId="2119"/>
    <cellStyle name="Porcentagem 4 2 7" xfId="83"/>
    <cellStyle name="Porcentagem 4 2 7 10" xfId="2586"/>
    <cellStyle name="Porcentagem 4 2 7 11" xfId="3113"/>
    <cellStyle name="Porcentagem 4 2 7 12" xfId="3640"/>
    <cellStyle name="Porcentagem 4 2 7 2" xfId="177"/>
    <cellStyle name="Porcentagem 4 2 7 2 2" xfId="450"/>
    <cellStyle name="Porcentagem 4 2 7 2 2 2" xfId="1969"/>
    <cellStyle name="Porcentagem 4 2 7 2 2 3" xfId="2499"/>
    <cellStyle name="Porcentagem 4 2 7 2 2 4" xfId="3026"/>
    <cellStyle name="Porcentagem 4 2 7 2 2 5" xfId="3553"/>
    <cellStyle name="Porcentagem 4 2 7 2 2 6" xfId="4080"/>
    <cellStyle name="Porcentagem 4 2 7 2 3" xfId="923"/>
    <cellStyle name="Porcentagem 4 2 7 2 4" xfId="1274"/>
    <cellStyle name="Porcentagem 4 2 7 2 5" xfId="1709"/>
    <cellStyle name="Porcentagem 4 2 7 2 6" xfId="2239"/>
    <cellStyle name="Porcentagem 4 2 7 2 7" xfId="2766"/>
    <cellStyle name="Porcentagem 4 2 7 2 8" xfId="3293"/>
    <cellStyle name="Porcentagem 4 2 7 2 9" xfId="3820"/>
    <cellStyle name="Porcentagem 4 2 7 3" xfId="272"/>
    <cellStyle name="Porcentagem 4 2 7 3 2" xfId="535"/>
    <cellStyle name="Porcentagem 4 2 7 3 3" xfId="832"/>
    <cellStyle name="Porcentagem 4 2 7 3 4" xfId="1183"/>
    <cellStyle name="Porcentagem 4 2 7 3 5" xfId="1618"/>
    <cellStyle name="Porcentagem 4 2 7 3 6" xfId="2148"/>
    <cellStyle name="Porcentagem 4 2 7 3 7" xfId="2675"/>
    <cellStyle name="Porcentagem 4 2 7 3 8" xfId="3202"/>
    <cellStyle name="Porcentagem 4 2 7 3 9" xfId="3729"/>
    <cellStyle name="Porcentagem 4 2 7 4" xfId="365"/>
    <cellStyle name="Porcentagem 4 2 7 4 2" xfId="1010"/>
    <cellStyle name="Porcentagem 4 2 7 4 3" xfId="1361"/>
    <cellStyle name="Porcentagem 4 2 7 4 4" xfId="1796"/>
    <cellStyle name="Porcentagem 4 2 7 4 5" xfId="2326"/>
    <cellStyle name="Porcentagem 4 2 7 4 6" xfId="2853"/>
    <cellStyle name="Porcentagem 4 2 7 4 7" xfId="3380"/>
    <cellStyle name="Porcentagem 4 2 7 4 8" xfId="3907"/>
    <cellStyle name="Porcentagem 4 2 7 5" xfId="622"/>
    <cellStyle name="Porcentagem 4 2 7 5 2" xfId="1445"/>
    <cellStyle name="Porcentagem 4 2 7 5 3" xfId="1880"/>
    <cellStyle name="Porcentagem 4 2 7 5 4" xfId="2410"/>
    <cellStyle name="Porcentagem 4 2 7 5 5" xfId="2937"/>
    <cellStyle name="Porcentagem 4 2 7 5 6" xfId="3464"/>
    <cellStyle name="Porcentagem 4 2 7 5 7" xfId="3991"/>
    <cellStyle name="Porcentagem 4 2 7 6" xfId="743"/>
    <cellStyle name="Porcentagem 4 2 7 6 2" xfId="4167"/>
    <cellStyle name="Porcentagem 4 2 7 7" xfId="1094"/>
    <cellStyle name="Porcentagem 4 2 7 8" xfId="1529"/>
    <cellStyle name="Porcentagem 4 2 7 9" xfId="2059"/>
    <cellStyle name="Porcentagem 4 2 8" xfId="169"/>
    <cellStyle name="Porcentagem 4 2 8 2" xfId="442"/>
    <cellStyle name="Porcentagem 4 2 8 2 2" xfId="1961"/>
    <cellStyle name="Porcentagem 4 2 8 2 3" xfId="2491"/>
    <cellStyle name="Porcentagem 4 2 8 2 4" xfId="3018"/>
    <cellStyle name="Porcentagem 4 2 8 2 5" xfId="3545"/>
    <cellStyle name="Porcentagem 4 2 8 2 6" xfId="4072"/>
    <cellStyle name="Porcentagem 4 2 8 3" xfId="915"/>
    <cellStyle name="Porcentagem 4 2 8 4" xfId="1266"/>
    <cellStyle name="Porcentagem 4 2 8 5" xfId="1701"/>
    <cellStyle name="Porcentagem 4 2 8 6" xfId="2231"/>
    <cellStyle name="Porcentagem 4 2 8 7" xfId="2758"/>
    <cellStyle name="Porcentagem 4 2 8 8" xfId="3285"/>
    <cellStyle name="Porcentagem 4 2 8 9" xfId="3812"/>
    <cellStyle name="Porcentagem 4 2 9" xfId="264"/>
    <cellStyle name="Porcentagem 4 2 9 2" xfId="527"/>
    <cellStyle name="Porcentagem 4 2 9 3" xfId="824"/>
    <cellStyle name="Porcentagem 4 2 9 4" xfId="1175"/>
    <cellStyle name="Porcentagem 4 2 9 5" xfId="1610"/>
    <cellStyle name="Porcentagem 4 2 9 6" xfId="2140"/>
    <cellStyle name="Porcentagem 4 2 9 7" xfId="2667"/>
    <cellStyle name="Porcentagem 4 2 9 8" xfId="3194"/>
    <cellStyle name="Porcentagem 4 2 9 9" xfId="3721"/>
    <cellStyle name="Porcentagem 4 20" xfId="731"/>
    <cellStyle name="Porcentagem 4 20 2" xfId="4155"/>
    <cellStyle name="Porcentagem 4 21" xfId="1082"/>
    <cellStyle name="Porcentagem 4 22" xfId="1517"/>
    <cellStyle name="Porcentagem 4 23" xfId="2047"/>
    <cellStyle name="Porcentagem 4 24" xfId="2574"/>
    <cellStyle name="Porcentagem 4 25" xfId="3101"/>
    <cellStyle name="Porcentagem 4 26" xfId="3628"/>
    <cellStyle name="Porcentagem 4 3" xfId="87"/>
    <cellStyle name="Porcentagem 4 3 10" xfId="2590"/>
    <cellStyle name="Porcentagem 4 3 11" xfId="3117"/>
    <cellStyle name="Porcentagem 4 3 12" xfId="3644"/>
    <cellStyle name="Porcentagem 4 3 2" xfId="181"/>
    <cellStyle name="Porcentagem 4 3 2 2" xfId="454"/>
    <cellStyle name="Porcentagem 4 3 2 2 2" xfId="1973"/>
    <cellStyle name="Porcentagem 4 3 2 2 3" xfId="2503"/>
    <cellStyle name="Porcentagem 4 3 2 2 4" xfId="3030"/>
    <cellStyle name="Porcentagem 4 3 2 2 5" xfId="3557"/>
    <cellStyle name="Porcentagem 4 3 2 2 6" xfId="4084"/>
    <cellStyle name="Porcentagem 4 3 2 3" xfId="927"/>
    <cellStyle name="Porcentagem 4 3 2 4" xfId="1278"/>
    <cellStyle name="Porcentagem 4 3 2 5" xfId="1713"/>
    <cellStyle name="Porcentagem 4 3 2 6" xfId="2243"/>
    <cellStyle name="Porcentagem 4 3 2 7" xfId="2770"/>
    <cellStyle name="Porcentagem 4 3 2 8" xfId="3297"/>
    <cellStyle name="Porcentagem 4 3 2 9" xfId="3824"/>
    <cellStyle name="Porcentagem 4 3 3" xfId="276"/>
    <cellStyle name="Porcentagem 4 3 3 2" xfId="539"/>
    <cellStyle name="Porcentagem 4 3 3 3" xfId="836"/>
    <cellStyle name="Porcentagem 4 3 3 4" xfId="1187"/>
    <cellStyle name="Porcentagem 4 3 3 5" xfId="1622"/>
    <cellStyle name="Porcentagem 4 3 3 6" xfId="2152"/>
    <cellStyle name="Porcentagem 4 3 3 7" xfId="2679"/>
    <cellStyle name="Porcentagem 4 3 3 8" xfId="3206"/>
    <cellStyle name="Porcentagem 4 3 3 9" xfId="3733"/>
    <cellStyle name="Porcentagem 4 3 4" xfId="369"/>
    <cellStyle name="Porcentagem 4 3 4 2" xfId="1014"/>
    <cellStyle name="Porcentagem 4 3 4 3" xfId="1365"/>
    <cellStyle name="Porcentagem 4 3 4 4" xfId="1800"/>
    <cellStyle name="Porcentagem 4 3 4 5" xfId="2330"/>
    <cellStyle name="Porcentagem 4 3 4 6" xfId="2857"/>
    <cellStyle name="Porcentagem 4 3 4 7" xfId="3384"/>
    <cellStyle name="Porcentagem 4 3 4 8" xfId="3911"/>
    <cellStyle name="Porcentagem 4 3 5" xfId="626"/>
    <cellStyle name="Porcentagem 4 3 5 2" xfId="1449"/>
    <cellStyle name="Porcentagem 4 3 5 3" xfId="1884"/>
    <cellStyle name="Porcentagem 4 3 5 4" xfId="2414"/>
    <cellStyle name="Porcentagem 4 3 5 5" xfId="2941"/>
    <cellStyle name="Porcentagem 4 3 5 6" xfId="3468"/>
    <cellStyle name="Porcentagem 4 3 5 7" xfId="3995"/>
    <cellStyle name="Porcentagem 4 3 6" xfId="747"/>
    <cellStyle name="Porcentagem 4 3 6 2" xfId="4171"/>
    <cellStyle name="Porcentagem 4 3 7" xfId="1098"/>
    <cellStyle name="Porcentagem 4 3 8" xfId="1533"/>
    <cellStyle name="Porcentagem 4 3 9" xfId="2063"/>
    <cellStyle name="Porcentagem 4 4" xfId="91"/>
    <cellStyle name="Porcentagem 4 4 10" xfId="2594"/>
    <cellStyle name="Porcentagem 4 4 11" xfId="3121"/>
    <cellStyle name="Porcentagem 4 4 12" xfId="3648"/>
    <cellStyle name="Porcentagem 4 4 2" xfId="185"/>
    <cellStyle name="Porcentagem 4 4 2 2" xfId="458"/>
    <cellStyle name="Porcentagem 4 4 2 2 2" xfId="1977"/>
    <cellStyle name="Porcentagem 4 4 2 2 3" xfId="2507"/>
    <cellStyle name="Porcentagem 4 4 2 2 4" xfId="3034"/>
    <cellStyle name="Porcentagem 4 4 2 2 5" xfId="3561"/>
    <cellStyle name="Porcentagem 4 4 2 2 6" xfId="4088"/>
    <cellStyle name="Porcentagem 4 4 2 3" xfId="931"/>
    <cellStyle name="Porcentagem 4 4 2 4" xfId="1282"/>
    <cellStyle name="Porcentagem 4 4 2 5" xfId="1717"/>
    <cellStyle name="Porcentagem 4 4 2 6" xfId="2247"/>
    <cellStyle name="Porcentagem 4 4 2 7" xfId="2774"/>
    <cellStyle name="Porcentagem 4 4 2 8" xfId="3301"/>
    <cellStyle name="Porcentagem 4 4 2 9" xfId="3828"/>
    <cellStyle name="Porcentagem 4 4 3" xfId="280"/>
    <cellStyle name="Porcentagem 4 4 3 2" xfId="543"/>
    <cellStyle name="Porcentagem 4 4 3 3" xfId="840"/>
    <cellStyle name="Porcentagem 4 4 3 4" xfId="1191"/>
    <cellStyle name="Porcentagem 4 4 3 5" xfId="1626"/>
    <cellStyle name="Porcentagem 4 4 3 6" xfId="2156"/>
    <cellStyle name="Porcentagem 4 4 3 7" xfId="2683"/>
    <cellStyle name="Porcentagem 4 4 3 8" xfId="3210"/>
    <cellStyle name="Porcentagem 4 4 3 9" xfId="3737"/>
    <cellStyle name="Porcentagem 4 4 4" xfId="373"/>
    <cellStyle name="Porcentagem 4 4 4 2" xfId="1018"/>
    <cellStyle name="Porcentagem 4 4 4 3" xfId="1369"/>
    <cellStyle name="Porcentagem 4 4 4 4" xfId="1804"/>
    <cellStyle name="Porcentagem 4 4 4 5" xfId="2334"/>
    <cellStyle name="Porcentagem 4 4 4 6" xfId="2861"/>
    <cellStyle name="Porcentagem 4 4 4 7" xfId="3388"/>
    <cellStyle name="Porcentagem 4 4 4 8" xfId="3915"/>
    <cellStyle name="Porcentagem 4 4 5" xfId="630"/>
    <cellStyle name="Porcentagem 4 4 5 2" xfId="1453"/>
    <cellStyle name="Porcentagem 4 4 5 3" xfId="1888"/>
    <cellStyle name="Porcentagem 4 4 5 4" xfId="2418"/>
    <cellStyle name="Porcentagem 4 4 5 5" xfId="2945"/>
    <cellStyle name="Porcentagem 4 4 5 6" xfId="3472"/>
    <cellStyle name="Porcentagem 4 4 5 7" xfId="3999"/>
    <cellStyle name="Porcentagem 4 4 6" xfId="751"/>
    <cellStyle name="Porcentagem 4 4 6 2" xfId="4175"/>
    <cellStyle name="Porcentagem 4 4 7" xfId="1102"/>
    <cellStyle name="Porcentagem 4 4 8" xfId="1537"/>
    <cellStyle name="Porcentagem 4 4 9" xfId="2067"/>
    <cellStyle name="Porcentagem 4 5" xfId="95"/>
    <cellStyle name="Porcentagem 4 5 10" xfId="2598"/>
    <cellStyle name="Porcentagem 4 5 11" xfId="3125"/>
    <cellStyle name="Porcentagem 4 5 12" xfId="3652"/>
    <cellStyle name="Porcentagem 4 5 2" xfId="189"/>
    <cellStyle name="Porcentagem 4 5 2 2" xfId="462"/>
    <cellStyle name="Porcentagem 4 5 2 2 2" xfId="1981"/>
    <cellStyle name="Porcentagem 4 5 2 2 3" xfId="2511"/>
    <cellStyle name="Porcentagem 4 5 2 2 4" xfId="3038"/>
    <cellStyle name="Porcentagem 4 5 2 2 5" xfId="3565"/>
    <cellStyle name="Porcentagem 4 5 2 2 6" xfId="4092"/>
    <cellStyle name="Porcentagem 4 5 2 3" xfId="935"/>
    <cellStyle name="Porcentagem 4 5 2 4" xfId="1286"/>
    <cellStyle name="Porcentagem 4 5 2 5" xfId="1721"/>
    <cellStyle name="Porcentagem 4 5 2 6" xfId="2251"/>
    <cellStyle name="Porcentagem 4 5 2 7" xfId="2778"/>
    <cellStyle name="Porcentagem 4 5 2 8" xfId="3305"/>
    <cellStyle name="Porcentagem 4 5 2 9" xfId="3832"/>
    <cellStyle name="Porcentagem 4 5 3" xfId="284"/>
    <cellStyle name="Porcentagem 4 5 3 2" xfId="547"/>
    <cellStyle name="Porcentagem 4 5 3 3" xfId="844"/>
    <cellStyle name="Porcentagem 4 5 3 4" xfId="1195"/>
    <cellStyle name="Porcentagem 4 5 3 5" xfId="1630"/>
    <cellStyle name="Porcentagem 4 5 3 6" xfId="2160"/>
    <cellStyle name="Porcentagem 4 5 3 7" xfId="2687"/>
    <cellStyle name="Porcentagem 4 5 3 8" xfId="3214"/>
    <cellStyle name="Porcentagem 4 5 3 9" xfId="3741"/>
    <cellStyle name="Porcentagem 4 5 4" xfId="377"/>
    <cellStyle name="Porcentagem 4 5 4 2" xfId="1022"/>
    <cellStyle name="Porcentagem 4 5 4 3" xfId="1373"/>
    <cellStyle name="Porcentagem 4 5 4 4" xfId="1808"/>
    <cellStyle name="Porcentagem 4 5 4 5" xfId="2338"/>
    <cellStyle name="Porcentagem 4 5 4 6" xfId="2865"/>
    <cellStyle name="Porcentagem 4 5 4 7" xfId="3392"/>
    <cellStyle name="Porcentagem 4 5 4 8" xfId="3919"/>
    <cellStyle name="Porcentagem 4 5 5" xfId="634"/>
    <cellStyle name="Porcentagem 4 5 5 2" xfId="1457"/>
    <cellStyle name="Porcentagem 4 5 5 3" xfId="1892"/>
    <cellStyle name="Porcentagem 4 5 5 4" xfId="2422"/>
    <cellStyle name="Porcentagem 4 5 5 5" xfId="2949"/>
    <cellStyle name="Porcentagem 4 5 5 6" xfId="3476"/>
    <cellStyle name="Porcentagem 4 5 5 7" xfId="4003"/>
    <cellStyle name="Porcentagem 4 5 6" xfId="755"/>
    <cellStyle name="Porcentagem 4 5 6 2" xfId="4179"/>
    <cellStyle name="Porcentagem 4 5 7" xfId="1106"/>
    <cellStyle name="Porcentagem 4 5 8" xfId="1541"/>
    <cellStyle name="Porcentagem 4 5 9" xfId="2071"/>
    <cellStyle name="Porcentagem 4 6" xfId="99"/>
    <cellStyle name="Porcentagem 4 6 10" xfId="2602"/>
    <cellStyle name="Porcentagem 4 6 11" xfId="3129"/>
    <cellStyle name="Porcentagem 4 6 12" xfId="3656"/>
    <cellStyle name="Porcentagem 4 6 2" xfId="193"/>
    <cellStyle name="Porcentagem 4 6 2 2" xfId="466"/>
    <cellStyle name="Porcentagem 4 6 2 2 2" xfId="1985"/>
    <cellStyle name="Porcentagem 4 6 2 2 3" xfId="2515"/>
    <cellStyle name="Porcentagem 4 6 2 2 4" xfId="3042"/>
    <cellStyle name="Porcentagem 4 6 2 2 5" xfId="3569"/>
    <cellStyle name="Porcentagem 4 6 2 2 6" xfId="4096"/>
    <cellStyle name="Porcentagem 4 6 2 3" xfId="939"/>
    <cellStyle name="Porcentagem 4 6 2 4" xfId="1290"/>
    <cellStyle name="Porcentagem 4 6 2 5" xfId="1725"/>
    <cellStyle name="Porcentagem 4 6 2 6" xfId="2255"/>
    <cellStyle name="Porcentagem 4 6 2 7" xfId="2782"/>
    <cellStyle name="Porcentagem 4 6 2 8" xfId="3309"/>
    <cellStyle name="Porcentagem 4 6 2 9" xfId="3836"/>
    <cellStyle name="Porcentagem 4 6 3" xfId="288"/>
    <cellStyle name="Porcentagem 4 6 3 2" xfId="551"/>
    <cellStyle name="Porcentagem 4 6 3 3" xfId="848"/>
    <cellStyle name="Porcentagem 4 6 3 4" xfId="1199"/>
    <cellStyle name="Porcentagem 4 6 3 5" xfId="1634"/>
    <cellStyle name="Porcentagem 4 6 3 6" xfId="2164"/>
    <cellStyle name="Porcentagem 4 6 3 7" xfId="2691"/>
    <cellStyle name="Porcentagem 4 6 3 8" xfId="3218"/>
    <cellStyle name="Porcentagem 4 6 3 9" xfId="3745"/>
    <cellStyle name="Porcentagem 4 6 4" xfId="381"/>
    <cellStyle name="Porcentagem 4 6 4 2" xfId="1026"/>
    <cellStyle name="Porcentagem 4 6 4 3" xfId="1377"/>
    <cellStyle name="Porcentagem 4 6 4 4" xfId="1812"/>
    <cellStyle name="Porcentagem 4 6 4 5" xfId="2342"/>
    <cellStyle name="Porcentagem 4 6 4 6" xfId="2869"/>
    <cellStyle name="Porcentagem 4 6 4 7" xfId="3396"/>
    <cellStyle name="Porcentagem 4 6 4 8" xfId="3923"/>
    <cellStyle name="Porcentagem 4 6 5" xfId="638"/>
    <cellStyle name="Porcentagem 4 6 5 2" xfId="1461"/>
    <cellStyle name="Porcentagem 4 6 5 3" xfId="1896"/>
    <cellStyle name="Porcentagem 4 6 5 4" xfId="2426"/>
    <cellStyle name="Porcentagem 4 6 5 5" xfId="2953"/>
    <cellStyle name="Porcentagem 4 6 5 6" xfId="3480"/>
    <cellStyle name="Porcentagem 4 6 5 7" xfId="4007"/>
    <cellStyle name="Porcentagem 4 6 6" xfId="759"/>
    <cellStyle name="Porcentagem 4 6 6 2" xfId="4183"/>
    <cellStyle name="Porcentagem 4 6 7" xfId="1110"/>
    <cellStyle name="Porcentagem 4 6 8" xfId="1545"/>
    <cellStyle name="Porcentagem 4 6 9" xfId="2075"/>
    <cellStyle name="Porcentagem 4 7" xfId="103"/>
    <cellStyle name="Porcentagem 4 7 10" xfId="2606"/>
    <cellStyle name="Porcentagem 4 7 11" xfId="3133"/>
    <cellStyle name="Porcentagem 4 7 12" xfId="3660"/>
    <cellStyle name="Porcentagem 4 7 2" xfId="197"/>
    <cellStyle name="Porcentagem 4 7 2 2" xfId="470"/>
    <cellStyle name="Porcentagem 4 7 2 2 2" xfId="1989"/>
    <cellStyle name="Porcentagem 4 7 2 2 3" xfId="2519"/>
    <cellStyle name="Porcentagem 4 7 2 2 4" xfId="3046"/>
    <cellStyle name="Porcentagem 4 7 2 2 5" xfId="3573"/>
    <cellStyle name="Porcentagem 4 7 2 2 6" xfId="4100"/>
    <cellStyle name="Porcentagem 4 7 2 3" xfId="943"/>
    <cellStyle name="Porcentagem 4 7 2 4" xfId="1294"/>
    <cellStyle name="Porcentagem 4 7 2 5" xfId="1729"/>
    <cellStyle name="Porcentagem 4 7 2 6" xfId="2259"/>
    <cellStyle name="Porcentagem 4 7 2 7" xfId="2786"/>
    <cellStyle name="Porcentagem 4 7 2 8" xfId="3313"/>
    <cellStyle name="Porcentagem 4 7 2 9" xfId="3840"/>
    <cellStyle name="Porcentagem 4 7 3" xfId="292"/>
    <cellStyle name="Porcentagem 4 7 3 2" xfId="555"/>
    <cellStyle name="Porcentagem 4 7 3 3" xfId="852"/>
    <cellStyle name="Porcentagem 4 7 3 4" xfId="1203"/>
    <cellStyle name="Porcentagem 4 7 3 5" xfId="1638"/>
    <cellStyle name="Porcentagem 4 7 3 6" xfId="2168"/>
    <cellStyle name="Porcentagem 4 7 3 7" xfId="2695"/>
    <cellStyle name="Porcentagem 4 7 3 8" xfId="3222"/>
    <cellStyle name="Porcentagem 4 7 3 9" xfId="3749"/>
    <cellStyle name="Porcentagem 4 7 4" xfId="385"/>
    <cellStyle name="Porcentagem 4 7 4 2" xfId="1030"/>
    <cellStyle name="Porcentagem 4 7 4 3" xfId="1381"/>
    <cellStyle name="Porcentagem 4 7 4 4" xfId="1816"/>
    <cellStyle name="Porcentagem 4 7 4 5" xfId="2346"/>
    <cellStyle name="Porcentagem 4 7 4 6" xfId="2873"/>
    <cellStyle name="Porcentagem 4 7 4 7" xfId="3400"/>
    <cellStyle name="Porcentagem 4 7 4 8" xfId="3927"/>
    <cellStyle name="Porcentagem 4 7 5" xfId="642"/>
    <cellStyle name="Porcentagem 4 7 5 2" xfId="1465"/>
    <cellStyle name="Porcentagem 4 7 5 3" xfId="1900"/>
    <cellStyle name="Porcentagem 4 7 5 4" xfId="2430"/>
    <cellStyle name="Porcentagem 4 7 5 5" xfId="2957"/>
    <cellStyle name="Porcentagem 4 7 5 6" xfId="3484"/>
    <cellStyle name="Porcentagem 4 7 5 7" xfId="4011"/>
    <cellStyle name="Porcentagem 4 7 6" xfId="763"/>
    <cellStyle name="Porcentagem 4 7 6 2" xfId="4187"/>
    <cellStyle name="Porcentagem 4 7 7" xfId="1114"/>
    <cellStyle name="Porcentagem 4 7 8" xfId="1549"/>
    <cellStyle name="Porcentagem 4 7 9" xfId="2079"/>
    <cellStyle name="Porcentagem 4 8" xfId="107"/>
    <cellStyle name="Porcentagem 4 8 10" xfId="2610"/>
    <cellStyle name="Porcentagem 4 8 11" xfId="3137"/>
    <cellStyle name="Porcentagem 4 8 12" xfId="3664"/>
    <cellStyle name="Porcentagem 4 8 2" xfId="201"/>
    <cellStyle name="Porcentagem 4 8 2 2" xfId="474"/>
    <cellStyle name="Porcentagem 4 8 2 2 2" xfId="1993"/>
    <cellStyle name="Porcentagem 4 8 2 2 3" xfId="2523"/>
    <cellStyle name="Porcentagem 4 8 2 2 4" xfId="3050"/>
    <cellStyle name="Porcentagem 4 8 2 2 5" xfId="3577"/>
    <cellStyle name="Porcentagem 4 8 2 2 6" xfId="4104"/>
    <cellStyle name="Porcentagem 4 8 2 3" xfId="947"/>
    <cellStyle name="Porcentagem 4 8 2 4" xfId="1298"/>
    <cellStyle name="Porcentagem 4 8 2 5" xfId="1733"/>
    <cellStyle name="Porcentagem 4 8 2 6" xfId="2263"/>
    <cellStyle name="Porcentagem 4 8 2 7" xfId="2790"/>
    <cellStyle name="Porcentagem 4 8 2 8" xfId="3317"/>
    <cellStyle name="Porcentagem 4 8 2 9" xfId="3844"/>
    <cellStyle name="Porcentagem 4 8 3" xfId="296"/>
    <cellStyle name="Porcentagem 4 8 3 2" xfId="559"/>
    <cellStyle name="Porcentagem 4 8 3 3" xfId="856"/>
    <cellStyle name="Porcentagem 4 8 3 4" xfId="1207"/>
    <cellStyle name="Porcentagem 4 8 3 5" xfId="1642"/>
    <cellStyle name="Porcentagem 4 8 3 6" xfId="2172"/>
    <cellStyle name="Porcentagem 4 8 3 7" xfId="2699"/>
    <cellStyle name="Porcentagem 4 8 3 8" xfId="3226"/>
    <cellStyle name="Porcentagem 4 8 3 9" xfId="3753"/>
    <cellStyle name="Porcentagem 4 8 4" xfId="389"/>
    <cellStyle name="Porcentagem 4 8 4 2" xfId="1034"/>
    <cellStyle name="Porcentagem 4 8 4 3" xfId="1385"/>
    <cellStyle name="Porcentagem 4 8 4 4" xfId="1820"/>
    <cellStyle name="Porcentagem 4 8 4 5" xfId="2350"/>
    <cellStyle name="Porcentagem 4 8 4 6" xfId="2877"/>
    <cellStyle name="Porcentagem 4 8 4 7" xfId="3404"/>
    <cellStyle name="Porcentagem 4 8 4 8" xfId="3931"/>
    <cellStyle name="Porcentagem 4 8 5" xfId="646"/>
    <cellStyle name="Porcentagem 4 8 5 2" xfId="1469"/>
    <cellStyle name="Porcentagem 4 8 5 3" xfId="1904"/>
    <cellStyle name="Porcentagem 4 8 5 4" xfId="2434"/>
    <cellStyle name="Porcentagem 4 8 5 5" xfId="2961"/>
    <cellStyle name="Porcentagem 4 8 5 6" xfId="3488"/>
    <cellStyle name="Porcentagem 4 8 5 7" xfId="4015"/>
    <cellStyle name="Porcentagem 4 8 6" xfId="767"/>
    <cellStyle name="Porcentagem 4 8 6 2" xfId="4191"/>
    <cellStyle name="Porcentagem 4 8 7" xfId="1118"/>
    <cellStyle name="Porcentagem 4 8 8" xfId="1553"/>
    <cellStyle name="Porcentagem 4 8 9" xfId="2083"/>
    <cellStyle name="Porcentagem 4 9" xfId="115"/>
    <cellStyle name="Porcentagem 4 9 10" xfId="2618"/>
    <cellStyle name="Porcentagem 4 9 11" xfId="3145"/>
    <cellStyle name="Porcentagem 4 9 12" xfId="3672"/>
    <cellStyle name="Porcentagem 4 9 2" xfId="209"/>
    <cellStyle name="Porcentagem 4 9 2 2" xfId="482"/>
    <cellStyle name="Porcentagem 4 9 2 2 2" xfId="2001"/>
    <cellStyle name="Porcentagem 4 9 2 2 3" xfId="2531"/>
    <cellStyle name="Porcentagem 4 9 2 2 4" xfId="3058"/>
    <cellStyle name="Porcentagem 4 9 2 2 5" xfId="3585"/>
    <cellStyle name="Porcentagem 4 9 2 2 6" xfId="4112"/>
    <cellStyle name="Porcentagem 4 9 2 3" xfId="955"/>
    <cellStyle name="Porcentagem 4 9 2 4" xfId="1306"/>
    <cellStyle name="Porcentagem 4 9 2 5" xfId="1741"/>
    <cellStyle name="Porcentagem 4 9 2 6" xfId="2271"/>
    <cellStyle name="Porcentagem 4 9 2 7" xfId="2798"/>
    <cellStyle name="Porcentagem 4 9 2 8" xfId="3325"/>
    <cellStyle name="Porcentagem 4 9 2 9" xfId="3852"/>
    <cellStyle name="Porcentagem 4 9 3" xfId="304"/>
    <cellStyle name="Porcentagem 4 9 3 2" xfId="567"/>
    <cellStyle name="Porcentagem 4 9 3 3" xfId="864"/>
    <cellStyle name="Porcentagem 4 9 3 4" xfId="1215"/>
    <cellStyle name="Porcentagem 4 9 3 5" xfId="1650"/>
    <cellStyle name="Porcentagem 4 9 3 6" xfId="2180"/>
    <cellStyle name="Porcentagem 4 9 3 7" xfId="2707"/>
    <cellStyle name="Porcentagem 4 9 3 8" xfId="3234"/>
    <cellStyle name="Porcentagem 4 9 3 9" xfId="3761"/>
    <cellStyle name="Porcentagem 4 9 4" xfId="397"/>
    <cellStyle name="Porcentagem 4 9 4 2" xfId="1042"/>
    <cellStyle name="Porcentagem 4 9 4 3" xfId="1393"/>
    <cellStyle name="Porcentagem 4 9 4 4" xfId="1828"/>
    <cellStyle name="Porcentagem 4 9 4 5" xfId="2358"/>
    <cellStyle name="Porcentagem 4 9 4 6" xfId="2885"/>
    <cellStyle name="Porcentagem 4 9 4 7" xfId="3412"/>
    <cellStyle name="Porcentagem 4 9 4 8" xfId="3939"/>
    <cellStyle name="Porcentagem 4 9 5" xfId="654"/>
    <cellStyle name="Porcentagem 4 9 5 2" xfId="1477"/>
    <cellStyle name="Porcentagem 4 9 5 3" xfId="1912"/>
    <cellStyle name="Porcentagem 4 9 5 4" xfId="2442"/>
    <cellStyle name="Porcentagem 4 9 5 5" xfId="2969"/>
    <cellStyle name="Porcentagem 4 9 5 6" xfId="3496"/>
    <cellStyle name="Porcentagem 4 9 5 7" xfId="4023"/>
    <cellStyle name="Porcentagem 4 9 6" xfId="775"/>
    <cellStyle name="Porcentagem 4 9 6 2" xfId="4199"/>
    <cellStyle name="Porcentagem 4 9 7" xfId="1126"/>
    <cellStyle name="Porcentagem 4 9 8" xfId="1561"/>
    <cellStyle name="Porcentagem 4 9 9" xfId="2091"/>
    <cellStyle name="Porcentagem 5" xfId="59"/>
    <cellStyle name="Porcentagem 6" xfId="608"/>
    <cellStyle name="Porcentagem 7" xfId="29257"/>
    <cellStyle name="Separador de milhares 2" xfId="68"/>
    <cellStyle name="Separador de milhares 2 10" xfId="11142"/>
    <cellStyle name="Separador de milhares 2 10 2" xfId="37384"/>
    <cellStyle name="Separador de milhares 2 11" xfId="29302"/>
    <cellStyle name="Separador de milhares 2 2" xfId="69"/>
    <cellStyle name="Separador de milhares 2 2 10" xfId="29303"/>
    <cellStyle name="Separador de milhares 2 2 2" xfId="70"/>
    <cellStyle name="Separador de milhares 2 2 2 2" xfId="165"/>
    <cellStyle name="Separador de milhares 2 2 2 2 10" xfId="6485"/>
    <cellStyle name="Separador de milhares 2 2 2 2 10 2" xfId="9639"/>
    <cellStyle name="Separador de milhares 2 2 2 2 10 2 2" xfId="27853"/>
    <cellStyle name="Separador de milhares 2 2 2 2 10 2 2 2" xfId="54083"/>
    <cellStyle name="Separador de milhares 2 2 2 2 10 2 3" xfId="21939"/>
    <cellStyle name="Separador de milhares 2 2 2 2 10 2 3 2" xfId="48175"/>
    <cellStyle name="Separador de milhares 2 2 2 2 10 2 4" xfId="16025"/>
    <cellStyle name="Separador de milhares 2 2 2 2 10 2 4 2" xfId="42267"/>
    <cellStyle name="Separador de milhares 2 2 2 2 10 2 5" xfId="35881"/>
    <cellStyle name="Separador de milhares 2 2 2 2 10 3" xfId="24896"/>
    <cellStyle name="Separador de milhares 2 2 2 2 10 3 2" xfId="51129"/>
    <cellStyle name="Separador de milhares 2 2 2 2 10 4" xfId="18982"/>
    <cellStyle name="Separador de milhares 2 2 2 2 10 4 2" xfId="45221"/>
    <cellStyle name="Separador de milhares 2 2 2 2 10 5" xfId="12874"/>
    <cellStyle name="Separador de milhares 2 2 2 2 10 5 2" xfId="39116"/>
    <cellStyle name="Separador de milhares 2 2 2 2 10 6" xfId="32730"/>
    <cellStyle name="Separador de milhares 2 2 2 2 11" xfId="8168"/>
    <cellStyle name="Separador de milhares 2 2 2 2 11 2" xfId="26382"/>
    <cellStyle name="Separador de milhares 2 2 2 2 11 2 2" xfId="52615"/>
    <cellStyle name="Separador de milhares 2 2 2 2 11 3" xfId="20468"/>
    <cellStyle name="Separador de milhares 2 2 2 2 11 3 2" xfId="46707"/>
    <cellStyle name="Separador de milhares 2 2 2 2 11 4" xfId="14557"/>
    <cellStyle name="Separador de milhares 2 2 2 2 11 4 2" xfId="40799"/>
    <cellStyle name="Separador de milhares 2 2 2 2 11 5" xfId="34413"/>
    <cellStyle name="Separador de milhares 2 2 2 2 12" xfId="4784"/>
    <cellStyle name="Separador de milhares 2 2 2 2 12 2" xfId="23425"/>
    <cellStyle name="Separador de milhares 2 2 2 2 12 2 2" xfId="49661"/>
    <cellStyle name="Separador de milhares 2 2 2 2 12 3" xfId="31031"/>
    <cellStyle name="Separador de milhares 2 2 2 2 13" xfId="17511"/>
    <cellStyle name="Separador de milhares 2 2 2 2 13 2" xfId="43753"/>
    <cellStyle name="Separador de milhares 2 2 2 2 14" xfId="11173"/>
    <cellStyle name="Separador de milhares 2 2 2 2 14 2" xfId="37415"/>
    <cellStyle name="Separador de milhares 2 2 2 2 15" xfId="29334"/>
    <cellStyle name="Separador de milhares 2 2 2 2 2" xfId="705"/>
    <cellStyle name="Separador de milhares 2 2 2 2 2 10" xfId="17662"/>
    <cellStyle name="Separador de milhares 2 2 2 2 2 10 2" xfId="43901"/>
    <cellStyle name="Separador de milhares 2 2 2 2 2 11" xfId="11328"/>
    <cellStyle name="Separador de milhares 2 2 2 2 2 11 2" xfId="37570"/>
    <cellStyle name="Separador de milhares 2 2 2 2 2 12" xfId="29488"/>
    <cellStyle name="Separador de milhares 2 2 2 2 2 2" xfId="1957"/>
    <cellStyle name="Separador de milhares 2 2 2 2 2 2 2" xfId="7004"/>
    <cellStyle name="Separador de milhares 2 2 2 2 2 2 2 2" xfId="10151"/>
    <cellStyle name="Separador de milhares 2 2 2 2 2 2 2 2 2" xfId="28365"/>
    <cellStyle name="Separador de milhares 2 2 2 2 2 2 2 2 2 2" xfId="54595"/>
    <cellStyle name="Separador de milhares 2 2 2 2 2 2 2 2 3" xfId="22451"/>
    <cellStyle name="Separador de milhares 2 2 2 2 2 2 2 2 3 2" xfId="48687"/>
    <cellStyle name="Separador de milhares 2 2 2 2 2 2 2 2 4" xfId="16537"/>
    <cellStyle name="Separador de milhares 2 2 2 2 2 2 2 2 4 2" xfId="42779"/>
    <cellStyle name="Separador de milhares 2 2 2 2 2 2 2 2 5" xfId="36393"/>
    <cellStyle name="Separador de milhares 2 2 2 2 2 2 2 3" xfId="25408"/>
    <cellStyle name="Separador de milhares 2 2 2 2 2 2 2 3 2" xfId="51641"/>
    <cellStyle name="Separador de milhares 2 2 2 2 2 2 2 4" xfId="19494"/>
    <cellStyle name="Separador de milhares 2 2 2 2 2 2 2 4 2" xfId="45733"/>
    <cellStyle name="Separador de milhares 2 2 2 2 2 2 2 5" xfId="13393"/>
    <cellStyle name="Separador de milhares 2 2 2 2 2 2 2 5 2" xfId="39635"/>
    <cellStyle name="Separador de milhares 2 2 2 2 2 2 2 6" xfId="33249"/>
    <cellStyle name="Separador de milhares 2 2 2 2 2 2 3" xfId="8683"/>
    <cellStyle name="Separador de milhares 2 2 2 2 2 2 3 2" xfId="26897"/>
    <cellStyle name="Separador de milhares 2 2 2 2 2 2 3 2 2" xfId="53127"/>
    <cellStyle name="Separador de milhares 2 2 2 2 2 2 3 3" xfId="20983"/>
    <cellStyle name="Separador de milhares 2 2 2 2 2 2 3 3 2" xfId="47219"/>
    <cellStyle name="Separador de milhares 2 2 2 2 2 2 3 4" xfId="15069"/>
    <cellStyle name="Separador de milhares 2 2 2 2 2 2 3 4 2" xfId="41311"/>
    <cellStyle name="Separador de milhares 2 2 2 2 2 2 3 5" xfId="34925"/>
    <cellStyle name="Separador de milhares 2 2 2 2 2 2 4" xfId="5305"/>
    <cellStyle name="Separador de milhares 2 2 2 2 2 2 4 2" xfId="23940"/>
    <cellStyle name="Separador de milhares 2 2 2 2 2 2 4 2 2" xfId="50173"/>
    <cellStyle name="Separador de milhares 2 2 2 2 2 2 4 3" xfId="31550"/>
    <cellStyle name="Separador de milhares 2 2 2 2 2 2 5" xfId="18026"/>
    <cellStyle name="Separador de milhares 2 2 2 2 2 2 5 2" xfId="44265"/>
    <cellStyle name="Separador de milhares 2 2 2 2 2 2 6" xfId="11692"/>
    <cellStyle name="Separador de milhares 2 2 2 2 2 2 6 2" xfId="37934"/>
    <cellStyle name="Separador de milhares 2 2 2 2 2 2 7" xfId="29852"/>
    <cellStyle name="Separador de milhares 2 2 2 2 2 3" xfId="2487"/>
    <cellStyle name="Separador de milhares 2 2 2 2 2 3 2" xfId="7154"/>
    <cellStyle name="Separador de milhares 2 2 2 2 2 3 2 2" xfId="10298"/>
    <cellStyle name="Separador de milhares 2 2 2 2 2 3 2 2 2" xfId="28512"/>
    <cellStyle name="Separador de milhares 2 2 2 2 2 3 2 2 2 2" xfId="54742"/>
    <cellStyle name="Separador de milhares 2 2 2 2 2 3 2 2 3" xfId="22598"/>
    <cellStyle name="Separador de milhares 2 2 2 2 2 3 2 2 3 2" xfId="48834"/>
    <cellStyle name="Separador de milhares 2 2 2 2 2 3 2 2 4" xfId="16684"/>
    <cellStyle name="Separador de milhares 2 2 2 2 2 3 2 2 4 2" xfId="42926"/>
    <cellStyle name="Separador de milhares 2 2 2 2 2 3 2 2 5" xfId="36540"/>
    <cellStyle name="Separador de milhares 2 2 2 2 2 3 2 3" xfId="25555"/>
    <cellStyle name="Separador de milhares 2 2 2 2 2 3 2 3 2" xfId="51788"/>
    <cellStyle name="Separador de milhares 2 2 2 2 2 3 2 4" xfId="19641"/>
    <cellStyle name="Separador de milhares 2 2 2 2 2 3 2 4 2" xfId="45880"/>
    <cellStyle name="Separador de milhares 2 2 2 2 2 3 2 5" xfId="13543"/>
    <cellStyle name="Separador de milhares 2 2 2 2 2 3 2 5 2" xfId="39785"/>
    <cellStyle name="Separador de milhares 2 2 2 2 2 3 2 6" xfId="33399"/>
    <cellStyle name="Separador de milhares 2 2 2 2 2 3 3" xfId="8830"/>
    <cellStyle name="Separador de milhares 2 2 2 2 2 3 3 2" xfId="27044"/>
    <cellStyle name="Separador de milhares 2 2 2 2 2 3 3 2 2" xfId="53274"/>
    <cellStyle name="Separador de milhares 2 2 2 2 2 3 3 3" xfId="21130"/>
    <cellStyle name="Separador de milhares 2 2 2 2 2 3 3 3 2" xfId="47366"/>
    <cellStyle name="Separador de milhares 2 2 2 2 2 3 3 4" xfId="15216"/>
    <cellStyle name="Separador de milhares 2 2 2 2 2 3 3 4 2" xfId="41458"/>
    <cellStyle name="Separador de milhares 2 2 2 2 2 3 3 5" xfId="35072"/>
    <cellStyle name="Separador de milhares 2 2 2 2 2 3 4" xfId="5455"/>
    <cellStyle name="Separador de milhares 2 2 2 2 2 3 4 2" xfId="24087"/>
    <cellStyle name="Separador de milhares 2 2 2 2 2 3 4 2 2" xfId="50320"/>
    <cellStyle name="Separador de milhares 2 2 2 2 2 3 4 3" xfId="31700"/>
    <cellStyle name="Separador de milhares 2 2 2 2 2 3 5" xfId="18173"/>
    <cellStyle name="Separador de milhares 2 2 2 2 2 3 5 2" xfId="44412"/>
    <cellStyle name="Separador de milhares 2 2 2 2 2 3 6" xfId="11842"/>
    <cellStyle name="Separador de milhares 2 2 2 2 2 3 6 2" xfId="38084"/>
    <cellStyle name="Separador de milhares 2 2 2 2 2 3 7" xfId="30002"/>
    <cellStyle name="Separador de milhares 2 2 2 2 2 4" xfId="3014"/>
    <cellStyle name="Separador de milhares 2 2 2 2 2 4 2" xfId="7301"/>
    <cellStyle name="Separador de milhares 2 2 2 2 2 4 2 2" xfId="10445"/>
    <cellStyle name="Separador de milhares 2 2 2 2 2 4 2 2 2" xfId="28659"/>
    <cellStyle name="Separador de milhares 2 2 2 2 2 4 2 2 2 2" xfId="54889"/>
    <cellStyle name="Separador de milhares 2 2 2 2 2 4 2 2 3" xfId="22745"/>
    <cellStyle name="Separador de milhares 2 2 2 2 2 4 2 2 3 2" xfId="48981"/>
    <cellStyle name="Separador de milhares 2 2 2 2 2 4 2 2 4" xfId="16831"/>
    <cellStyle name="Separador de milhares 2 2 2 2 2 4 2 2 4 2" xfId="43073"/>
    <cellStyle name="Separador de milhares 2 2 2 2 2 4 2 2 5" xfId="36687"/>
    <cellStyle name="Separador de milhares 2 2 2 2 2 4 2 3" xfId="25702"/>
    <cellStyle name="Separador de milhares 2 2 2 2 2 4 2 3 2" xfId="51935"/>
    <cellStyle name="Separador de milhares 2 2 2 2 2 4 2 4" xfId="19788"/>
    <cellStyle name="Separador de milhares 2 2 2 2 2 4 2 4 2" xfId="46027"/>
    <cellStyle name="Separador de milhares 2 2 2 2 2 4 2 5" xfId="13690"/>
    <cellStyle name="Separador de milhares 2 2 2 2 2 4 2 5 2" xfId="39932"/>
    <cellStyle name="Separador de milhares 2 2 2 2 2 4 2 6" xfId="33546"/>
    <cellStyle name="Separador de milhares 2 2 2 2 2 4 3" xfId="8977"/>
    <cellStyle name="Separador de milhares 2 2 2 2 2 4 3 2" xfId="27191"/>
    <cellStyle name="Separador de milhares 2 2 2 2 2 4 3 2 2" xfId="53421"/>
    <cellStyle name="Separador de milhares 2 2 2 2 2 4 3 3" xfId="21277"/>
    <cellStyle name="Separador de milhares 2 2 2 2 2 4 3 3 2" xfId="47513"/>
    <cellStyle name="Separador de milhares 2 2 2 2 2 4 3 4" xfId="15363"/>
    <cellStyle name="Separador de milhares 2 2 2 2 2 4 3 4 2" xfId="41605"/>
    <cellStyle name="Separador de milhares 2 2 2 2 2 4 3 5" xfId="35219"/>
    <cellStyle name="Separador de milhares 2 2 2 2 2 4 4" xfId="5602"/>
    <cellStyle name="Separador de milhares 2 2 2 2 2 4 4 2" xfId="24234"/>
    <cellStyle name="Separador de milhares 2 2 2 2 2 4 4 2 2" xfId="50467"/>
    <cellStyle name="Separador de milhares 2 2 2 2 2 4 4 3" xfId="31847"/>
    <cellStyle name="Separador de milhares 2 2 2 2 2 4 5" xfId="18320"/>
    <cellStyle name="Separador de milhares 2 2 2 2 2 4 5 2" xfId="44559"/>
    <cellStyle name="Separador de milhares 2 2 2 2 2 4 6" xfId="11989"/>
    <cellStyle name="Separador de milhares 2 2 2 2 2 4 6 2" xfId="38231"/>
    <cellStyle name="Separador de milhares 2 2 2 2 2 4 7" xfId="30149"/>
    <cellStyle name="Separador de milhares 2 2 2 2 2 5" xfId="3541"/>
    <cellStyle name="Separador de milhares 2 2 2 2 2 5 2" xfId="7448"/>
    <cellStyle name="Separador de milhares 2 2 2 2 2 5 2 2" xfId="10592"/>
    <cellStyle name="Separador de milhares 2 2 2 2 2 5 2 2 2" xfId="28806"/>
    <cellStyle name="Separador de milhares 2 2 2 2 2 5 2 2 2 2" xfId="55036"/>
    <cellStyle name="Separador de milhares 2 2 2 2 2 5 2 2 3" xfId="22892"/>
    <cellStyle name="Separador de milhares 2 2 2 2 2 5 2 2 3 2" xfId="49128"/>
    <cellStyle name="Separador de milhares 2 2 2 2 2 5 2 2 4" xfId="16978"/>
    <cellStyle name="Separador de milhares 2 2 2 2 2 5 2 2 4 2" xfId="43220"/>
    <cellStyle name="Separador de milhares 2 2 2 2 2 5 2 2 5" xfId="36834"/>
    <cellStyle name="Separador de milhares 2 2 2 2 2 5 2 3" xfId="25849"/>
    <cellStyle name="Separador de milhares 2 2 2 2 2 5 2 3 2" xfId="52082"/>
    <cellStyle name="Separador de milhares 2 2 2 2 2 5 2 4" xfId="19935"/>
    <cellStyle name="Separador de milhares 2 2 2 2 2 5 2 4 2" xfId="46174"/>
    <cellStyle name="Separador de milhares 2 2 2 2 2 5 2 5" xfId="13837"/>
    <cellStyle name="Separador de milhares 2 2 2 2 2 5 2 5 2" xfId="40079"/>
    <cellStyle name="Separador de milhares 2 2 2 2 2 5 2 6" xfId="33693"/>
    <cellStyle name="Separador de milhares 2 2 2 2 2 5 3" xfId="9124"/>
    <cellStyle name="Separador de milhares 2 2 2 2 2 5 3 2" xfId="27338"/>
    <cellStyle name="Separador de milhares 2 2 2 2 2 5 3 2 2" xfId="53568"/>
    <cellStyle name="Separador de milhares 2 2 2 2 2 5 3 3" xfId="21424"/>
    <cellStyle name="Separador de milhares 2 2 2 2 2 5 3 3 2" xfId="47660"/>
    <cellStyle name="Separador de milhares 2 2 2 2 2 5 3 4" xfId="15510"/>
    <cellStyle name="Separador de milhares 2 2 2 2 2 5 3 4 2" xfId="41752"/>
    <cellStyle name="Separador de milhares 2 2 2 2 2 5 3 5" xfId="35366"/>
    <cellStyle name="Separador de milhares 2 2 2 2 2 5 4" xfId="5749"/>
    <cellStyle name="Separador de milhares 2 2 2 2 2 5 4 2" xfId="24381"/>
    <cellStyle name="Separador de milhares 2 2 2 2 2 5 4 2 2" xfId="50614"/>
    <cellStyle name="Separador de milhares 2 2 2 2 2 5 4 3" xfId="31994"/>
    <cellStyle name="Separador de milhares 2 2 2 2 2 5 5" xfId="18467"/>
    <cellStyle name="Separador de milhares 2 2 2 2 2 5 5 2" xfId="44706"/>
    <cellStyle name="Separador de milhares 2 2 2 2 2 5 6" xfId="12136"/>
    <cellStyle name="Separador de milhares 2 2 2 2 2 5 6 2" xfId="38378"/>
    <cellStyle name="Separador de milhares 2 2 2 2 2 5 7" xfId="30296"/>
    <cellStyle name="Separador de milhares 2 2 2 2 2 6" xfId="4068"/>
    <cellStyle name="Separador de milhares 2 2 2 2 2 6 2" xfId="7595"/>
    <cellStyle name="Separador de milhares 2 2 2 2 2 6 2 2" xfId="10739"/>
    <cellStyle name="Separador de milhares 2 2 2 2 2 6 2 2 2" xfId="28953"/>
    <cellStyle name="Separador de milhares 2 2 2 2 2 6 2 2 2 2" xfId="55183"/>
    <cellStyle name="Separador de milhares 2 2 2 2 2 6 2 2 3" xfId="23039"/>
    <cellStyle name="Separador de milhares 2 2 2 2 2 6 2 2 3 2" xfId="49275"/>
    <cellStyle name="Separador de milhares 2 2 2 2 2 6 2 2 4" xfId="17125"/>
    <cellStyle name="Separador de milhares 2 2 2 2 2 6 2 2 4 2" xfId="43367"/>
    <cellStyle name="Separador de milhares 2 2 2 2 2 6 2 2 5" xfId="36981"/>
    <cellStyle name="Separador de milhares 2 2 2 2 2 6 2 3" xfId="25996"/>
    <cellStyle name="Separador de milhares 2 2 2 2 2 6 2 3 2" xfId="52229"/>
    <cellStyle name="Separador de milhares 2 2 2 2 2 6 2 4" xfId="20082"/>
    <cellStyle name="Separador de milhares 2 2 2 2 2 6 2 4 2" xfId="46321"/>
    <cellStyle name="Separador de milhares 2 2 2 2 2 6 2 5" xfId="13984"/>
    <cellStyle name="Separador de milhares 2 2 2 2 2 6 2 5 2" xfId="40226"/>
    <cellStyle name="Separador de milhares 2 2 2 2 2 6 2 6" xfId="33840"/>
    <cellStyle name="Separador de milhares 2 2 2 2 2 6 3" xfId="9271"/>
    <cellStyle name="Separador de milhares 2 2 2 2 2 6 3 2" xfId="27485"/>
    <cellStyle name="Separador de milhares 2 2 2 2 2 6 3 2 2" xfId="53715"/>
    <cellStyle name="Separador de milhares 2 2 2 2 2 6 3 3" xfId="21571"/>
    <cellStyle name="Separador de milhares 2 2 2 2 2 6 3 3 2" xfId="47807"/>
    <cellStyle name="Separador de milhares 2 2 2 2 2 6 3 4" xfId="15657"/>
    <cellStyle name="Separador de milhares 2 2 2 2 2 6 3 4 2" xfId="41899"/>
    <cellStyle name="Separador de milhares 2 2 2 2 2 6 3 5" xfId="35513"/>
    <cellStyle name="Separador de milhares 2 2 2 2 2 6 4" xfId="5896"/>
    <cellStyle name="Separador de milhares 2 2 2 2 2 6 4 2" xfId="24528"/>
    <cellStyle name="Separador de milhares 2 2 2 2 2 6 4 2 2" xfId="50761"/>
    <cellStyle name="Separador de milhares 2 2 2 2 2 6 4 3" xfId="32141"/>
    <cellStyle name="Separador de milhares 2 2 2 2 2 6 5" xfId="18614"/>
    <cellStyle name="Separador de milhares 2 2 2 2 2 6 5 2" xfId="44853"/>
    <cellStyle name="Separador de milhares 2 2 2 2 2 6 6" xfId="12283"/>
    <cellStyle name="Separador de milhares 2 2 2 2 2 6 6 2" xfId="38525"/>
    <cellStyle name="Separador de milhares 2 2 2 2 2 6 7" xfId="30443"/>
    <cellStyle name="Separador de milhares 2 2 2 2 2 7" xfId="6640"/>
    <cellStyle name="Separador de milhares 2 2 2 2 2 7 2" xfId="9787"/>
    <cellStyle name="Separador de milhares 2 2 2 2 2 7 2 2" xfId="28001"/>
    <cellStyle name="Separador de milhares 2 2 2 2 2 7 2 2 2" xfId="54231"/>
    <cellStyle name="Separador de milhares 2 2 2 2 2 7 2 3" xfId="22087"/>
    <cellStyle name="Separador de milhares 2 2 2 2 2 7 2 3 2" xfId="48323"/>
    <cellStyle name="Separador de milhares 2 2 2 2 2 7 2 4" xfId="16173"/>
    <cellStyle name="Separador de milhares 2 2 2 2 2 7 2 4 2" xfId="42415"/>
    <cellStyle name="Separador de milhares 2 2 2 2 2 7 2 5" xfId="36029"/>
    <cellStyle name="Separador de milhares 2 2 2 2 2 7 3" xfId="25044"/>
    <cellStyle name="Separador de milhares 2 2 2 2 2 7 3 2" xfId="51277"/>
    <cellStyle name="Separador de milhares 2 2 2 2 2 7 4" xfId="19130"/>
    <cellStyle name="Separador de milhares 2 2 2 2 2 7 4 2" xfId="45369"/>
    <cellStyle name="Separador de milhares 2 2 2 2 2 7 5" xfId="13029"/>
    <cellStyle name="Separador de milhares 2 2 2 2 2 7 5 2" xfId="39271"/>
    <cellStyle name="Separador de milhares 2 2 2 2 2 7 6" xfId="32885"/>
    <cellStyle name="Separador de milhares 2 2 2 2 2 8" xfId="8319"/>
    <cellStyle name="Separador de milhares 2 2 2 2 2 8 2" xfId="26533"/>
    <cellStyle name="Separador de milhares 2 2 2 2 2 8 2 2" xfId="52763"/>
    <cellStyle name="Separador de milhares 2 2 2 2 2 8 3" xfId="20619"/>
    <cellStyle name="Separador de milhares 2 2 2 2 2 8 3 2" xfId="46855"/>
    <cellStyle name="Separador de milhares 2 2 2 2 2 8 4" xfId="14705"/>
    <cellStyle name="Separador de milhares 2 2 2 2 2 8 4 2" xfId="40947"/>
    <cellStyle name="Separador de milhares 2 2 2 2 2 8 5" xfId="34561"/>
    <cellStyle name="Separador de milhares 2 2 2 2 2 9" xfId="4941"/>
    <cellStyle name="Separador de milhares 2 2 2 2 2 9 2" xfId="23576"/>
    <cellStyle name="Separador de milhares 2 2 2 2 2 9 2 2" xfId="49809"/>
    <cellStyle name="Separador de milhares 2 2 2 2 2 9 3" xfId="31186"/>
    <cellStyle name="Separador de milhares 2 2 2 2 3" xfId="911"/>
    <cellStyle name="Separador de milhares 2 2 2 2 3 2" xfId="6717"/>
    <cellStyle name="Separador de milhares 2 2 2 2 3 2 2" xfId="9864"/>
    <cellStyle name="Separador de milhares 2 2 2 2 3 2 2 2" xfId="28078"/>
    <cellStyle name="Separador de milhares 2 2 2 2 3 2 2 2 2" xfId="54308"/>
    <cellStyle name="Separador de milhares 2 2 2 2 3 2 2 3" xfId="22164"/>
    <cellStyle name="Separador de milhares 2 2 2 2 3 2 2 3 2" xfId="48400"/>
    <cellStyle name="Separador de milhares 2 2 2 2 3 2 2 4" xfId="16250"/>
    <cellStyle name="Separador de milhares 2 2 2 2 3 2 2 4 2" xfId="42492"/>
    <cellStyle name="Separador de milhares 2 2 2 2 3 2 2 5" xfId="36106"/>
    <cellStyle name="Separador de milhares 2 2 2 2 3 2 3" xfId="25121"/>
    <cellStyle name="Separador de milhares 2 2 2 2 3 2 3 2" xfId="51354"/>
    <cellStyle name="Separador de milhares 2 2 2 2 3 2 4" xfId="19207"/>
    <cellStyle name="Separador de milhares 2 2 2 2 3 2 4 2" xfId="45446"/>
    <cellStyle name="Separador de milhares 2 2 2 2 3 2 5" xfId="13106"/>
    <cellStyle name="Separador de milhares 2 2 2 2 3 2 5 2" xfId="39348"/>
    <cellStyle name="Separador de milhares 2 2 2 2 3 2 6" xfId="32962"/>
    <cellStyle name="Separador de milhares 2 2 2 2 3 3" xfId="8396"/>
    <cellStyle name="Separador de milhares 2 2 2 2 3 3 2" xfId="26610"/>
    <cellStyle name="Separador de milhares 2 2 2 2 3 3 2 2" xfId="52840"/>
    <cellStyle name="Separador de milhares 2 2 2 2 3 3 3" xfId="20696"/>
    <cellStyle name="Separador de milhares 2 2 2 2 3 3 3 2" xfId="46932"/>
    <cellStyle name="Separador de milhares 2 2 2 2 3 3 4" xfId="14782"/>
    <cellStyle name="Separador de milhares 2 2 2 2 3 3 4 2" xfId="41024"/>
    <cellStyle name="Separador de milhares 2 2 2 2 3 3 5" xfId="34638"/>
    <cellStyle name="Separador de milhares 2 2 2 2 3 4" xfId="5018"/>
    <cellStyle name="Separador de milhares 2 2 2 2 3 4 2" xfId="23653"/>
    <cellStyle name="Separador de milhares 2 2 2 2 3 4 2 2" xfId="49886"/>
    <cellStyle name="Separador de milhares 2 2 2 2 3 4 3" xfId="31263"/>
    <cellStyle name="Separador de milhares 2 2 2 2 3 5" xfId="17739"/>
    <cellStyle name="Separador de milhares 2 2 2 2 3 5 2" xfId="43978"/>
    <cellStyle name="Separador de milhares 2 2 2 2 3 6" xfId="11405"/>
    <cellStyle name="Separador de milhares 2 2 2 2 3 6 2" xfId="37647"/>
    <cellStyle name="Separador de milhares 2 2 2 2 3 7" xfId="29565"/>
    <cellStyle name="Separador de milhares 2 2 2 2 4" xfId="1262"/>
    <cellStyle name="Separador de milhares 2 2 2 2 4 2" xfId="6815"/>
    <cellStyle name="Separador de milhares 2 2 2 2 4 2 2" xfId="9962"/>
    <cellStyle name="Separador de milhares 2 2 2 2 4 2 2 2" xfId="28176"/>
    <cellStyle name="Separador de milhares 2 2 2 2 4 2 2 2 2" xfId="54406"/>
    <cellStyle name="Separador de milhares 2 2 2 2 4 2 2 3" xfId="22262"/>
    <cellStyle name="Separador de milhares 2 2 2 2 4 2 2 3 2" xfId="48498"/>
    <cellStyle name="Separador de milhares 2 2 2 2 4 2 2 4" xfId="16348"/>
    <cellStyle name="Separador de milhares 2 2 2 2 4 2 2 4 2" xfId="42590"/>
    <cellStyle name="Separador de milhares 2 2 2 2 4 2 2 5" xfId="36204"/>
    <cellStyle name="Separador de milhares 2 2 2 2 4 2 3" xfId="25219"/>
    <cellStyle name="Separador de milhares 2 2 2 2 4 2 3 2" xfId="51452"/>
    <cellStyle name="Separador de milhares 2 2 2 2 4 2 4" xfId="19305"/>
    <cellStyle name="Separador de milhares 2 2 2 2 4 2 4 2" xfId="45544"/>
    <cellStyle name="Separador de milhares 2 2 2 2 4 2 5" xfId="13204"/>
    <cellStyle name="Separador de milhares 2 2 2 2 4 2 5 2" xfId="39446"/>
    <cellStyle name="Separador de milhares 2 2 2 2 4 2 6" xfId="33060"/>
    <cellStyle name="Separador de milhares 2 2 2 2 4 3" xfId="8494"/>
    <cellStyle name="Separador de milhares 2 2 2 2 4 3 2" xfId="26708"/>
    <cellStyle name="Separador de milhares 2 2 2 2 4 3 2 2" xfId="52938"/>
    <cellStyle name="Separador de milhares 2 2 2 2 4 3 3" xfId="20794"/>
    <cellStyle name="Separador de milhares 2 2 2 2 4 3 3 2" xfId="47030"/>
    <cellStyle name="Separador de milhares 2 2 2 2 4 3 4" xfId="14880"/>
    <cellStyle name="Separador de milhares 2 2 2 2 4 3 4 2" xfId="41122"/>
    <cellStyle name="Separador de milhares 2 2 2 2 4 3 5" xfId="34736"/>
    <cellStyle name="Separador de milhares 2 2 2 2 4 4" xfId="5116"/>
    <cellStyle name="Separador de milhares 2 2 2 2 4 4 2" xfId="23751"/>
    <cellStyle name="Separador de milhares 2 2 2 2 4 4 2 2" xfId="49984"/>
    <cellStyle name="Separador de milhares 2 2 2 2 4 4 3" xfId="31361"/>
    <cellStyle name="Separador de milhares 2 2 2 2 4 5" xfId="17837"/>
    <cellStyle name="Separador de milhares 2 2 2 2 4 5 2" xfId="44076"/>
    <cellStyle name="Separador de milhares 2 2 2 2 4 6" xfId="11503"/>
    <cellStyle name="Separador de milhares 2 2 2 2 4 6 2" xfId="37745"/>
    <cellStyle name="Separador de milhares 2 2 2 2 4 7" xfId="29663"/>
    <cellStyle name="Separador de milhares 2 2 2 2 5" xfId="1697"/>
    <cellStyle name="Separador de milhares 2 2 2 2 5 2" xfId="6934"/>
    <cellStyle name="Separador de milhares 2 2 2 2 5 2 2" xfId="10081"/>
    <cellStyle name="Separador de milhares 2 2 2 2 5 2 2 2" xfId="28295"/>
    <cellStyle name="Separador de milhares 2 2 2 2 5 2 2 2 2" xfId="54525"/>
    <cellStyle name="Separador de milhares 2 2 2 2 5 2 2 3" xfId="22381"/>
    <cellStyle name="Separador de milhares 2 2 2 2 5 2 2 3 2" xfId="48617"/>
    <cellStyle name="Separador de milhares 2 2 2 2 5 2 2 4" xfId="16467"/>
    <cellStyle name="Separador de milhares 2 2 2 2 5 2 2 4 2" xfId="42709"/>
    <cellStyle name="Separador de milhares 2 2 2 2 5 2 2 5" xfId="36323"/>
    <cellStyle name="Separador de milhares 2 2 2 2 5 2 3" xfId="25338"/>
    <cellStyle name="Separador de milhares 2 2 2 2 5 2 3 2" xfId="51571"/>
    <cellStyle name="Separador de milhares 2 2 2 2 5 2 4" xfId="19424"/>
    <cellStyle name="Separador de milhares 2 2 2 2 5 2 4 2" xfId="45663"/>
    <cellStyle name="Separador de milhares 2 2 2 2 5 2 5" xfId="13323"/>
    <cellStyle name="Separador de milhares 2 2 2 2 5 2 5 2" xfId="39565"/>
    <cellStyle name="Separador de milhares 2 2 2 2 5 2 6" xfId="33179"/>
    <cellStyle name="Separador de milhares 2 2 2 2 5 3" xfId="8613"/>
    <cellStyle name="Separador de milhares 2 2 2 2 5 3 2" xfId="26827"/>
    <cellStyle name="Separador de milhares 2 2 2 2 5 3 2 2" xfId="53057"/>
    <cellStyle name="Separador de milhares 2 2 2 2 5 3 3" xfId="20913"/>
    <cellStyle name="Separador de milhares 2 2 2 2 5 3 3 2" xfId="47149"/>
    <cellStyle name="Separador de milhares 2 2 2 2 5 3 4" xfId="14999"/>
    <cellStyle name="Separador de milhares 2 2 2 2 5 3 4 2" xfId="41241"/>
    <cellStyle name="Separador de milhares 2 2 2 2 5 3 5" xfId="34855"/>
    <cellStyle name="Separador de milhares 2 2 2 2 5 4" xfId="5235"/>
    <cellStyle name="Separador de milhares 2 2 2 2 5 4 2" xfId="23870"/>
    <cellStyle name="Separador de milhares 2 2 2 2 5 4 2 2" xfId="50103"/>
    <cellStyle name="Separador de milhares 2 2 2 2 5 4 3" xfId="31480"/>
    <cellStyle name="Separador de milhares 2 2 2 2 5 5" xfId="17956"/>
    <cellStyle name="Separador de milhares 2 2 2 2 5 5 2" xfId="44195"/>
    <cellStyle name="Separador de milhares 2 2 2 2 5 6" xfId="11622"/>
    <cellStyle name="Separador de milhares 2 2 2 2 5 6 2" xfId="37864"/>
    <cellStyle name="Separador de milhares 2 2 2 2 5 7" xfId="29782"/>
    <cellStyle name="Separador de milhares 2 2 2 2 6" xfId="2227"/>
    <cellStyle name="Separador de milhares 2 2 2 2 6 2" xfId="7084"/>
    <cellStyle name="Separador de milhares 2 2 2 2 6 2 2" xfId="10228"/>
    <cellStyle name="Separador de milhares 2 2 2 2 6 2 2 2" xfId="28442"/>
    <cellStyle name="Separador de milhares 2 2 2 2 6 2 2 2 2" xfId="54672"/>
    <cellStyle name="Separador de milhares 2 2 2 2 6 2 2 3" xfId="22528"/>
    <cellStyle name="Separador de milhares 2 2 2 2 6 2 2 3 2" xfId="48764"/>
    <cellStyle name="Separador de milhares 2 2 2 2 6 2 2 4" xfId="16614"/>
    <cellStyle name="Separador de milhares 2 2 2 2 6 2 2 4 2" xfId="42856"/>
    <cellStyle name="Separador de milhares 2 2 2 2 6 2 2 5" xfId="36470"/>
    <cellStyle name="Separador de milhares 2 2 2 2 6 2 3" xfId="25485"/>
    <cellStyle name="Separador de milhares 2 2 2 2 6 2 3 2" xfId="51718"/>
    <cellStyle name="Separador de milhares 2 2 2 2 6 2 4" xfId="19571"/>
    <cellStyle name="Separador de milhares 2 2 2 2 6 2 4 2" xfId="45810"/>
    <cellStyle name="Separador de milhares 2 2 2 2 6 2 5" xfId="13473"/>
    <cellStyle name="Separador de milhares 2 2 2 2 6 2 5 2" xfId="39715"/>
    <cellStyle name="Separador de milhares 2 2 2 2 6 2 6" xfId="33329"/>
    <cellStyle name="Separador de milhares 2 2 2 2 6 3" xfId="8760"/>
    <cellStyle name="Separador de milhares 2 2 2 2 6 3 2" xfId="26974"/>
    <cellStyle name="Separador de milhares 2 2 2 2 6 3 2 2" xfId="53204"/>
    <cellStyle name="Separador de milhares 2 2 2 2 6 3 3" xfId="21060"/>
    <cellStyle name="Separador de milhares 2 2 2 2 6 3 3 2" xfId="47296"/>
    <cellStyle name="Separador de milhares 2 2 2 2 6 3 4" xfId="15146"/>
    <cellStyle name="Separador de milhares 2 2 2 2 6 3 4 2" xfId="41388"/>
    <cellStyle name="Separador de milhares 2 2 2 2 6 3 5" xfId="35002"/>
    <cellStyle name="Separador de milhares 2 2 2 2 6 4" xfId="5385"/>
    <cellStyle name="Separador de milhares 2 2 2 2 6 4 2" xfId="24017"/>
    <cellStyle name="Separador de milhares 2 2 2 2 6 4 2 2" xfId="50250"/>
    <cellStyle name="Separador de milhares 2 2 2 2 6 4 3" xfId="31630"/>
    <cellStyle name="Separador de milhares 2 2 2 2 6 5" xfId="18103"/>
    <cellStyle name="Separador de milhares 2 2 2 2 6 5 2" xfId="44342"/>
    <cellStyle name="Separador de milhares 2 2 2 2 6 6" xfId="11772"/>
    <cellStyle name="Separador de milhares 2 2 2 2 6 6 2" xfId="38014"/>
    <cellStyle name="Separador de milhares 2 2 2 2 6 7" xfId="29932"/>
    <cellStyle name="Separador de milhares 2 2 2 2 7" xfId="2754"/>
    <cellStyle name="Separador de milhares 2 2 2 2 7 2" xfId="7231"/>
    <cellStyle name="Separador de milhares 2 2 2 2 7 2 2" xfId="10375"/>
    <cellStyle name="Separador de milhares 2 2 2 2 7 2 2 2" xfId="28589"/>
    <cellStyle name="Separador de milhares 2 2 2 2 7 2 2 2 2" xfId="54819"/>
    <cellStyle name="Separador de milhares 2 2 2 2 7 2 2 3" xfId="22675"/>
    <cellStyle name="Separador de milhares 2 2 2 2 7 2 2 3 2" xfId="48911"/>
    <cellStyle name="Separador de milhares 2 2 2 2 7 2 2 4" xfId="16761"/>
    <cellStyle name="Separador de milhares 2 2 2 2 7 2 2 4 2" xfId="43003"/>
    <cellStyle name="Separador de milhares 2 2 2 2 7 2 2 5" xfId="36617"/>
    <cellStyle name="Separador de milhares 2 2 2 2 7 2 3" xfId="25632"/>
    <cellStyle name="Separador de milhares 2 2 2 2 7 2 3 2" xfId="51865"/>
    <cellStyle name="Separador de milhares 2 2 2 2 7 2 4" xfId="19718"/>
    <cellStyle name="Separador de milhares 2 2 2 2 7 2 4 2" xfId="45957"/>
    <cellStyle name="Separador de milhares 2 2 2 2 7 2 5" xfId="13620"/>
    <cellStyle name="Separador de milhares 2 2 2 2 7 2 5 2" xfId="39862"/>
    <cellStyle name="Separador de milhares 2 2 2 2 7 2 6" xfId="33476"/>
    <cellStyle name="Separador de milhares 2 2 2 2 7 3" xfId="8907"/>
    <cellStyle name="Separador de milhares 2 2 2 2 7 3 2" xfId="27121"/>
    <cellStyle name="Separador de milhares 2 2 2 2 7 3 2 2" xfId="53351"/>
    <cellStyle name="Separador de milhares 2 2 2 2 7 3 3" xfId="21207"/>
    <cellStyle name="Separador de milhares 2 2 2 2 7 3 3 2" xfId="47443"/>
    <cellStyle name="Separador de milhares 2 2 2 2 7 3 4" xfId="15293"/>
    <cellStyle name="Separador de milhares 2 2 2 2 7 3 4 2" xfId="41535"/>
    <cellStyle name="Separador de milhares 2 2 2 2 7 3 5" xfId="35149"/>
    <cellStyle name="Separador de milhares 2 2 2 2 7 4" xfId="5532"/>
    <cellStyle name="Separador de milhares 2 2 2 2 7 4 2" xfId="24164"/>
    <cellStyle name="Separador de milhares 2 2 2 2 7 4 2 2" xfId="50397"/>
    <cellStyle name="Separador de milhares 2 2 2 2 7 4 3" xfId="31777"/>
    <cellStyle name="Separador de milhares 2 2 2 2 7 5" xfId="18250"/>
    <cellStyle name="Separador de milhares 2 2 2 2 7 5 2" xfId="44489"/>
    <cellStyle name="Separador de milhares 2 2 2 2 7 6" xfId="11919"/>
    <cellStyle name="Separador de milhares 2 2 2 2 7 6 2" xfId="38161"/>
    <cellStyle name="Separador de milhares 2 2 2 2 7 7" xfId="30079"/>
    <cellStyle name="Separador de milhares 2 2 2 2 8" xfId="3281"/>
    <cellStyle name="Separador de milhares 2 2 2 2 8 2" xfId="7378"/>
    <cellStyle name="Separador de milhares 2 2 2 2 8 2 2" xfId="10522"/>
    <cellStyle name="Separador de milhares 2 2 2 2 8 2 2 2" xfId="28736"/>
    <cellStyle name="Separador de milhares 2 2 2 2 8 2 2 2 2" xfId="54966"/>
    <cellStyle name="Separador de milhares 2 2 2 2 8 2 2 3" xfId="22822"/>
    <cellStyle name="Separador de milhares 2 2 2 2 8 2 2 3 2" xfId="49058"/>
    <cellStyle name="Separador de milhares 2 2 2 2 8 2 2 4" xfId="16908"/>
    <cellStyle name="Separador de milhares 2 2 2 2 8 2 2 4 2" xfId="43150"/>
    <cellStyle name="Separador de milhares 2 2 2 2 8 2 2 5" xfId="36764"/>
    <cellStyle name="Separador de milhares 2 2 2 2 8 2 3" xfId="25779"/>
    <cellStyle name="Separador de milhares 2 2 2 2 8 2 3 2" xfId="52012"/>
    <cellStyle name="Separador de milhares 2 2 2 2 8 2 4" xfId="19865"/>
    <cellStyle name="Separador de milhares 2 2 2 2 8 2 4 2" xfId="46104"/>
    <cellStyle name="Separador de milhares 2 2 2 2 8 2 5" xfId="13767"/>
    <cellStyle name="Separador de milhares 2 2 2 2 8 2 5 2" xfId="40009"/>
    <cellStyle name="Separador de milhares 2 2 2 2 8 2 6" xfId="33623"/>
    <cellStyle name="Separador de milhares 2 2 2 2 8 3" xfId="9054"/>
    <cellStyle name="Separador de milhares 2 2 2 2 8 3 2" xfId="27268"/>
    <cellStyle name="Separador de milhares 2 2 2 2 8 3 2 2" xfId="53498"/>
    <cellStyle name="Separador de milhares 2 2 2 2 8 3 3" xfId="21354"/>
    <cellStyle name="Separador de milhares 2 2 2 2 8 3 3 2" xfId="47590"/>
    <cellStyle name="Separador de milhares 2 2 2 2 8 3 4" xfId="15440"/>
    <cellStyle name="Separador de milhares 2 2 2 2 8 3 4 2" xfId="41682"/>
    <cellStyle name="Separador de milhares 2 2 2 2 8 3 5" xfId="35296"/>
    <cellStyle name="Separador de milhares 2 2 2 2 8 4" xfId="5679"/>
    <cellStyle name="Separador de milhares 2 2 2 2 8 4 2" xfId="24311"/>
    <cellStyle name="Separador de milhares 2 2 2 2 8 4 2 2" xfId="50544"/>
    <cellStyle name="Separador de milhares 2 2 2 2 8 4 3" xfId="31924"/>
    <cellStyle name="Separador de milhares 2 2 2 2 8 5" xfId="18397"/>
    <cellStyle name="Separador de milhares 2 2 2 2 8 5 2" xfId="44636"/>
    <cellStyle name="Separador de milhares 2 2 2 2 8 6" xfId="12066"/>
    <cellStyle name="Separador de milhares 2 2 2 2 8 6 2" xfId="38308"/>
    <cellStyle name="Separador de milhares 2 2 2 2 8 7" xfId="30226"/>
    <cellStyle name="Separador de milhares 2 2 2 2 9" xfId="3808"/>
    <cellStyle name="Separador de milhares 2 2 2 2 9 2" xfId="7525"/>
    <cellStyle name="Separador de milhares 2 2 2 2 9 2 2" xfId="10669"/>
    <cellStyle name="Separador de milhares 2 2 2 2 9 2 2 2" xfId="28883"/>
    <cellStyle name="Separador de milhares 2 2 2 2 9 2 2 2 2" xfId="55113"/>
    <cellStyle name="Separador de milhares 2 2 2 2 9 2 2 3" xfId="22969"/>
    <cellStyle name="Separador de milhares 2 2 2 2 9 2 2 3 2" xfId="49205"/>
    <cellStyle name="Separador de milhares 2 2 2 2 9 2 2 4" xfId="17055"/>
    <cellStyle name="Separador de milhares 2 2 2 2 9 2 2 4 2" xfId="43297"/>
    <cellStyle name="Separador de milhares 2 2 2 2 9 2 2 5" xfId="36911"/>
    <cellStyle name="Separador de milhares 2 2 2 2 9 2 3" xfId="25926"/>
    <cellStyle name="Separador de milhares 2 2 2 2 9 2 3 2" xfId="52159"/>
    <cellStyle name="Separador de milhares 2 2 2 2 9 2 4" xfId="20012"/>
    <cellStyle name="Separador de milhares 2 2 2 2 9 2 4 2" xfId="46251"/>
    <cellStyle name="Separador de milhares 2 2 2 2 9 2 5" xfId="13914"/>
    <cellStyle name="Separador de milhares 2 2 2 2 9 2 5 2" xfId="40156"/>
    <cellStyle name="Separador de milhares 2 2 2 2 9 2 6" xfId="33770"/>
    <cellStyle name="Separador de milhares 2 2 2 2 9 3" xfId="9201"/>
    <cellStyle name="Separador de milhares 2 2 2 2 9 3 2" xfId="27415"/>
    <cellStyle name="Separador de milhares 2 2 2 2 9 3 2 2" xfId="53645"/>
    <cellStyle name="Separador de milhares 2 2 2 2 9 3 3" xfId="21501"/>
    <cellStyle name="Separador de milhares 2 2 2 2 9 3 3 2" xfId="47737"/>
    <cellStyle name="Separador de milhares 2 2 2 2 9 3 4" xfId="15587"/>
    <cellStyle name="Separador de milhares 2 2 2 2 9 3 4 2" xfId="41829"/>
    <cellStyle name="Separador de milhares 2 2 2 2 9 3 5" xfId="35443"/>
    <cellStyle name="Separador de milhares 2 2 2 2 9 4" xfId="5826"/>
    <cellStyle name="Separador de milhares 2 2 2 2 9 4 2" xfId="24458"/>
    <cellStyle name="Separador de milhares 2 2 2 2 9 4 2 2" xfId="50691"/>
    <cellStyle name="Separador de milhares 2 2 2 2 9 4 3" xfId="32071"/>
    <cellStyle name="Separador de milhares 2 2 2 2 9 5" xfId="18544"/>
    <cellStyle name="Separador de milhares 2 2 2 2 9 5 2" xfId="44783"/>
    <cellStyle name="Separador de milhares 2 2 2 2 9 6" xfId="12213"/>
    <cellStyle name="Separador de milhares 2 2 2 2 9 6 2" xfId="38455"/>
    <cellStyle name="Separador de milhares 2 2 2 2 9 7" xfId="30373"/>
    <cellStyle name="Separador de milhares 2 2 2 3" xfId="260"/>
    <cellStyle name="Separador de milhares 2 2 2 3 10" xfId="6516"/>
    <cellStyle name="Separador de milhares 2 2 2 3 10 2" xfId="9667"/>
    <cellStyle name="Separador de milhares 2 2 2 3 10 2 2" xfId="27881"/>
    <cellStyle name="Separador de milhares 2 2 2 3 10 2 2 2" xfId="54111"/>
    <cellStyle name="Separador de milhares 2 2 2 3 10 2 3" xfId="21967"/>
    <cellStyle name="Separador de milhares 2 2 2 3 10 2 3 2" xfId="48203"/>
    <cellStyle name="Separador de milhares 2 2 2 3 10 2 4" xfId="16053"/>
    <cellStyle name="Separador de milhares 2 2 2 3 10 2 4 2" xfId="42295"/>
    <cellStyle name="Separador de milhares 2 2 2 3 10 2 5" xfId="35909"/>
    <cellStyle name="Separador de milhares 2 2 2 3 10 3" xfId="24924"/>
    <cellStyle name="Separador de milhares 2 2 2 3 10 3 2" xfId="51157"/>
    <cellStyle name="Separador de milhares 2 2 2 3 10 4" xfId="19010"/>
    <cellStyle name="Separador de milhares 2 2 2 3 10 4 2" xfId="45249"/>
    <cellStyle name="Separador de milhares 2 2 2 3 10 5" xfId="12905"/>
    <cellStyle name="Separador de milhares 2 2 2 3 10 5 2" xfId="39147"/>
    <cellStyle name="Separador de milhares 2 2 2 3 10 6" xfId="32761"/>
    <cellStyle name="Separador de milhares 2 2 2 3 11" xfId="8196"/>
    <cellStyle name="Separador de milhares 2 2 2 3 11 2" xfId="26410"/>
    <cellStyle name="Separador de milhares 2 2 2 3 11 2 2" xfId="52643"/>
    <cellStyle name="Separador de milhares 2 2 2 3 11 3" xfId="20496"/>
    <cellStyle name="Separador de milhares 2 2 2 3 11 3 2" xfId="46735"/>
    <cellStyle name="Separador de milhares 2 2 2 3 11 4" xfId="14585"/>
    <cellStyle name="Separador de milhares 2 2 2 3 11 4 2" xfId="40827"/>
    <cellStyle name="Separador de milhares 2 2 2 3 11 5" xfId="34441"/>
    <cellStyle name="Separador de milhares 2 2 2 3 12" xfId="4815"/>
    <cellStyle name="Separador de milhares 2 2 2 3 12 2" xfId="23453"/>
    <cellStyle name="Separador de milhares 2 2 2 3 12 2 2" xfId="49689"/>
    <cellStyle name="Separador de milhares 2 2 2 3 12 3" xfId="31062"/>
    <cellStyle name="Separador de milhares 2 2 2 3 13" xfId="17539"/>
    <cellStyle name="Separador de milhares 2 2 2 3 13 2" xfId="43781"/>
    <cellStyle name="Separador de milhares 2 2 2 3 14" xfId="11204"/>
    <cellStyle name="Separador de milhares 2 2 2 3 14 2" xfId="37446"/>
    <cellStyle name="Separador de milhares 2 2 2 3 15" xfId="29364"/>
    <cellStyle name="Separador de milhares 2 2 2 3 2" xfId="698"/>
    <cellStyle name="Separador de milhares 2 2 2 3 2 2" xfId="6633"/>
    <cellStyle name="Separador de milhares 2 2 2 3 2 2 2" xfId="9780"/>
    <cellStyle name="Separador de milhares 2 2 2 3 2 2 2 2" xfId="27994"/>
    <cellStyle name="Separador de milhares 2 2 2 3 2 2 2 2 2" xfId="54224"/>
    <cellStyle name="Separador de milhares 2 2 2 3 2 2 2 3" xfId="22080"/>
    <cellStyle name="Separador de milhares 2 2 2 3 2 2 2 3 2" xfId="48316"/>
    <cellStyle name="Separador de milhares 2 2 2 3 2 2 2 4" xfId="16166"/>
    <cellStyle name="Separador de milhares 2 2 2 3 2 2 2 4 2" xfId="42408"/>
    <cellStyle name="Separador de milhares 2 2 2 3 2 2 2 5" xfId="36022"/>
    <cellStyle name="Separador de milhares 2 2 2 3 2 2 3" xfId="25037"/>
    <cellStyle name="Separador de milhares 2 2 2 3 2 2 3 2" xfId="51270"/>
    <cellStyle name="Separador de milhares 2 2 2 3 2 2 4" xfId="19123"/>
    <cellStyle name="Separador de milhares 2 2 2 3 2 2 4 2" xfId="45362"/>
    <cellStyle name="Separador de milhares 2 2 2 3 2 2 5" xfId="13022"/>
    <cellStyle name="Separador de milhares 2 2 2 3 2 2 5 2" xfId="39264"/>
    <cellStyle name="Separador de milhares 2 2 2 3 2 2 6" xfId="32878"/>
    <cellStyle name="Separador de milhares 2 2 2 3 2 3" xfId="8312"/>
    <cellStyle name="Separador de milhares 2 2 2 3 2 3 2" xfId="26526"/>
    <cellStyle name="Separador de milhares 2 2 2 3 2 3 2 2" xfId="52756"/>
    <cellStyle name="Separador de milhares 2 2 2 3 2 3 3" xfId="20612"/>
    <cellStyle name="Separador de milhares 2 2 2 3 2 3 3 2" xfId="46848"/>
    <cellStyle name="Separador de milhares 2 2 2 3 2 3 4" xfId="14698"/>
    <cellStyle name="Separador de milhares 2 2 2 3 2 3 4 2" xfId="40940"/>
    <cellStyle name="Separador de milhares 2 2 2 3 2 3 5" xfId="34554"/>
    <cellStyle name="Separador de milhares 2 2 2 3 2 4" xfId="4934"/>
    <cellStyle name="Separador de milhares 2 2 2 3 2 4 2" xfId="23569"/>
    <cellStyle name="Separador de milhares 2 2 2 3 2 4 2 2" xfId="49802"/>
    <cellStyle name="Separador de milhares 2 2 2 3 2 4 3" xfId="31179"/>
    <cellStyle name="Separador de milhares 2 2 2 3 2 5" xfId="17655"/>
    <cellStyle name="Separador de milhares 2 2 2 3 2 5 2" xfId="43894"/>
    <cellStyle name="Separador de milhares 2 2 2 3 2 6" xfId="11321"/>
    <cellStyle name="Separador de milhares 2 2 2 3 2 6 2" xfId="37563"/>
    <cellStyle name="Separador de milhares 2 2 2 3 2 7" xfId="29481"/>
    <cellStyle name="Separador de milhares 2 2 2 3 3" xfId="820"/>
    <cellStyle name="Separador de milhares 2 2 2 3 3 2" xfId="6689"/>
    <cellStyle name="Separador de milhares 2 2 2 3 3 2 2" xfId="9836"/>
    <cellStyle name="Separador de milhares 2 2 2 3 3 2 2 2" xfId="28050"/>
    <cellStyle name="Separador de milhares 2 2 2 3 3 2 2 2 2" xfId="54280"/>
    <cellStyle name="Separador de milhares 2 2 2 3 3 2 2 3" xfId="22136"/>
    <cellStyle name="Separador de milhares 2 2 2 3 3 2 2 3 2" xfId="48372"/>
    <cellStyle name="Separador de milhares 2 2 2 3 3 2 2 4" xfId="16222"/>
    <cellStyle name="Separador de milhares 2 2 2 3 3 2 2 4 2" xfId="42464"/>
    <cellStyle name="Separador de milhares 2 2 2 3 3 2 2 5" xfId="36078"/>
    <cellStyle name="Separador de milhares 2 2 2 3 3 2 3" xfId="25093"/>
    <cellStyle name="Separador de milhares 2 2 2 3 3 2 3 2" xfId="51326"/>
    <cellStyle name="Separador de milhares 2 2 2 3 3 2 4" xfId="19179"/>
    <cellStyle name="Separador de milhares 2 2 2 3 3 2 4 2" xfId="45418"/>
    <cellStyle name="Separador de milhares 2 2 2 3 3 2 5" xfId="13078"/>
    <cellStyle name="Separador de milhares 2 2 2 3 3 2 5 2" xfId="39320"/>
    <cellStyle name="Separador de milhares 2 2 2 3 3 2 6" xfId="32934"/>
    <cellStyle name="Separador de milhares 2 2 2 3 3 3" xfId="8368"/>
    <cellStyle name="Separador de milhares 2 2 2 3 3 3 2" xfId="26582"/>
    <cellStyle name="Separador de milhares 2 2 2 3 3 3 2 2" xfId="52812"/>
    <cellStyle name="Separador de milhares 2 2 2 3 3 3 3" xfId="20668"/>
    <cellStyle name="Separador de milhares 2 2 2 3 3 3 3 2" xfId="46904"/>
    <cellStyle name="Separador de milhares 2 2 2 3 3 3 4" xfId="14754"/>
    <cellStyle name="Separador de milhares 2 2 2 3 3 3 4 2" xfId="40996"/>
    <cellStyle name="Separador de milhares 2 2 2 3 3 3 5" xfId="34610"/>
    <cellStyle name="Separador de milhares 2 2 2 3 3 4" xfId="4990"/>
    <cellStyle name="Separador de milhares 2 2 2 3 3 4 2" xfId="23625"/>
    <cellStyle name="Separador de milhares 2 2 2 3 3 4 2 2" xfId="49858"/>
    <cellStyle name="Separador de milhares 2 2 2 3 3 4 3" xfId="31235"/>
    <cellStyle name="Separador de milhares 2 2 2 3 3 5" xfId="17711"/>
    <cellStyle name="Separador de milhares 2 2 2 3 3 5 2" xfId="43950"/>
    <cellStyle name="Separador de milhares 2 2 2 3 3 6" xfId="11377"/>
    <cellStyle name="Separador de milhares 2 2 2 3 3 6 2" xfId="37619"/>
    <cellStyle name="Separador de milhares 2 2 2 3 3 7" xfId="29537"/>
    <cellStyle name="Separador de milhares 2 2 2 3 4" xfId="1171"/>
    <cellStyle name="Separador de milhares 2 2 2 3 4 2" xfId="6787"/>
    <cellStyle name="Separador de milhares 2 2 2 3 4 2 2" xfId="9934"/>
    <cellStyle name="Separador de milhares 2 2 2 3 4 2 2 2" xfId="28148"/>
    <cellStyle name="Separador de milhares 2 2 2 3 4 2 2 2 2" xfId="54378"/>
    <cellStyle name="Separador de milhares 2 2 2 3 4 2 2 3" xfId="22234"/>
    <cellStyle name="Separador de milhares 2 2 2 3 4 2 2 3 2" xfId="48470"/>
    <cellStyle name="Separador de milhares 2 2 2 3 4 2 2 4" xfId="16320"/>
    <cellStyle name="Separador de milhares 2 2 2 3 4 2 2 4 2" xfId="42562"/>
    <cellStyle name="Separador de milhares 2 2 2 3 4 2 2 5" xfId="36176"/>
    <cellStyle name="Separador de milhares 2 2 2 3 4 2 3" xfId="25191"/>
    <cellStyle name="Separador de milhares 2 2 2 3 4 2 3 2" xfId="51424"/>
    <cellStyle name="Separador de milhares 2 2 2 3 4 2 4" xfId="19277"/>
    <cellStyle name="Separador de milhares 2 2 2 3 4 2 4 2" xfId="45516"/>
    <cellStyle name="Separador de milhares 2 2 2 3 4 2 5" xfId="13176"/>
    <cellStyle name="Separador de milhares 2 2 2 3 4 2 5 2" xfId="39418"/>
    <cellStyle name="Separador de milhares 2 2 2 3 4 2 6" xfId="33032"/>
    <cellStyle name="Separador de milhares 2 2 2 3 4 3" xfId="8466"/>
    <cellStyle name="Separador de milhares 2 2 2 3 4 3 2" xfId="26680"/>
    <cellStyle name="Separador de milhares 2 2 2 3 4 3 2 2" xfId="52910"/>
    <cellStyle name="Separador de milhares 2 2 2 3 4 3 3" xfId="20766"/>
    <cellStyle name="Separador de milhares 2 2 2 3 4 3 3 2" xfId="47002"/>
    <cellStyle name="Separador de milhares 2 2 2 3 4 3 4" xfId="14852"/>
    <cellStyle name="Separador de milhares 2 2 2 3 4 3 4 2" xfId="41094"/>
    <cellStyle name="Separador de milhares 2 2 2 3 4 3 5" xfId="34708"/>
    <cellStyle name="Separador de milhares 2 2 2 3 4 4" xfId="5088"/>
    <cellStyle name="Separador de milhares 2 2 2 3 4 4 2" xfId="23723"/>
    <cellStyle name="Separador de milhares 2 2 2 3 4 4 2 2" xfId="49956"/>
    <cellStyle name="Separador de milhares 2 2 2 3 4 4 3" xfId="31333"/>
    <cellStyle name="Separador de milhares 2 2 2 3 4 5" xfId="17809"/>
    <cellStyle name="Separador de milhares 2 2 2 3 4 5 2" xfId="44048"/>
    <cellStyle name="Separador de milhares 2 2 2 3 4 6" xfId="11475"/>
    <cellStyle name="Separador de milhares 2 2 2 3 4 6 2" xfId="37717"/>
    <cellStyle name="Separador de milhares 2 2 2 3 4 7" xfId="29635"/>
    <cellStyle name="Separador de milhares 2 2 2 3 5" xfId="1606"/>
    <cellStyle name="Separador de milhares 2 2 2 3 5 2" xfId="6906"/>
    <cellStyle name="Separador de milhares 2 2 2 3 5 2 2" xfId="10053"/>
    <cellStyle name="Separador de milhares 2 2 2 3 5 2 2 2" xfId="28267"/>
    <cellStyle name="Separador de milhares 2 2 2 3 5 2 2 2 2" xfId="54497"/>
    <cellStyle name="Separador de milhares 2 2 2 3 5 2 2 3" xfId="22353"/>
    <cellStyle name="Separador de milhares 2 2 2 3 5 2 2 3 2" xfId="48589"/>
    <cellStyle name="Separador de milhares 2 2 2 3 5 2 2 4" xfId="16439"/>
    <cellStyle name="Separador de milhares 2 2 2 3 5 2 2 4 2" xfId="42681"/>
    <cellStyle name="Separador de milhares 2 2 2 3 5 2 2 5" xfId="36295"/>
    <cellStyle name="Separador de milhares 2 2 2 3 5 2 3" xfId="25310"/>
    <cellStyle name="Separador de milhares 2 2 2 3 5 2 3 2" xfId="51543"/>
    <cellStyle name="Separador de milhares 2 2 2 3 5 2 4" xfId="19396"/>
    <cellStyle name="Separador de milhares 2 2 2 3 5 2 4 2" xfId="45635"/>
    <cellStyle name="Separador de milhares 2 2 2 3 5 2 5" xfId="13295"/>
    <cellStyle name="Separador de milhares 2 2 2 3 5 2 5 2" xfId="39537"/>
    <cellStyle name="Separador de milhares 2 2 2 3 5 2 6" xfId="33151"/>
    <cellStyle name="Separador de milhares 2 2 2 3 5 3" xfId="8585"/>
    <cellStyle name="Separador de milhares 2 2 2 3 5 3 2" xfId="26799"/>
    <cellStyle name="Separador de milhares 2 2 2 3 5 3 2 2" xfId="53029"/>
    <cellStyle name="Separador de milhares 2 2 2 3 5 3 3" xfId="20885"/>
    <cellStyle name="Separador de milhares 2 2 2 3 5 3 3 2" xfId="47121"/>
    <cellStyle name="Separador de milhares 2 2 2 3 5 3 4" xfId="14971"/>
    <cellStyle name="Separador de milhares 2 2 2 3 5 3 4 2" xfId="41213"/>
    <cellStyle name="Separador de milhares 2 2 2 3 5 3 5" xfId="34827"/>
    <cellStyle name="Separador de milhares 2 2 2 3 5 4" xfId="5207"/>
    <cellStyle name="Separador de milhares 2 2 2 3 5 4 2" xfId="23842"/>
    <cellStyle name="Separador de milhares 2 2 2 3 5 4 2 2" xfId="50075"/>
    <cellStyle name="Separador de milhares 2 2 2 3 5 4 3" xfId="31452"/>
    <cellStyle name="Separador de milhares 2 2 2 3 5 5" xfId="17928"/>
    <cellStyle name="Separador de milhares 2 2 2 3 5 5 2" xfId="44167"/>
    <cellStyle name="Separador de milhares 2 2 2 3 5 6" xfId="11594"/>
    <cellStyle name="Separador de milhares 2 2 2 3 5 6 2" xfId="37836"/>
    <cellStyle name="Separador de milhares 2 2 2 3 5 7" xfId="29754"/>
    <cellStyle name="Separador de milhares 2 2 2 3 6" xfId="2136"/>
    <cellStyle name="Separador de milhares 2 2 2 3 6 2" xfId="7056"/>
    <cellStyle name="Separador de milhares 2 2 2 3 6 2 2" xfId="10200"/>
    <cellStyle name="Separador de milhares 2 2 2 3 6 2 2 2" xfId="28414"/>
    <cellStyle name="Separador de milhares 2 2 2 3 6 2 2 2 2" xfId="54644"/>
    <cellStyle name="Separador de milhares 2 2 2 3 6 2 2 3" xfId="22500"/>
    <cellStyle name="Separador de milhares 2 2 2 3 6 2 2 3 2" xfId="48736"/>
    <cellStyle name="Separador de milhares 2 2 2 3 6 2 2 4" xfId="16586"/>
    <cellStyle name="Separador de milhares 2 2 2 3 6 2 2 4 2" xfId="42828"/>
    <cellStyle name="Separador de milhares 2 2 2 3 6 2 2 5" xfId="36442"/>
    <cellStyle name="Separador de milhares 2 2 2 3 6 2 3" xfId="25457"/>
    <cellStyle name="Separador de milhares 2 2 2 3 6 2 3 2" xfId="51690"/>
    <cellStyle name="Separador de milhares 2 2 2 3 6 2 4" xfId="19543"/>
    <cellStyle name="Separador de milhares 2 2 2 3 6 2 4 2" xfId="45782"/>
    <cellStyle name="Separador de milhares 2 2 2 3 6 2 5" xfId="13445"/>
    <cellStyle name="Separador de milhares 2 2 2 3 6 2 5 2" xfId="39687"/>
    <cellStyle name="Separador de milhares 2 2 2 3 6 2 6" xfId="33301"/>
    <cellStyle name="Separador de milhares 2 2 2 3 6 3" xfId="8732"/>
    <cellStyle name="Separador de milhares 2 2 2 3 6 3 2" xfId="26946"/>
    <cellStyle name="Separador de milhares 2 2 2 3 6 3 2 2" xfId="53176"/>
    <cellStyle name="Separador de milhares 2 2 2 3 6 3 3" xfId="21032"/>
    <cellStyle name="Separador de milhares 2 2 2 3 6 3 3 2" xfId="47268"/>
    <cellStyle name="Separador de milhares 2 2 2 3 6 3 4" xfId="15118"/>
    <cellStyle name="Separador de milhares 2 2 2 3 6 3 4 2" xfId="41360"/>
    <cellStyle name="Separador de milhares 2 2 2 3 6 3 5" xfId="34974"/>
    <cellStyle name="Separador de milhares 2 2 2 3 6 4" xfId="5357"/>
    <cellStyle name="Separador de milhares 2 2 2 3 6 4 2" xfId="23989"/>
    <cellStyle name="Separador de milhares 2 2 2 3 6 4 2 2" xfId="50222"/>
    <cellStyle name="Separador de milhares 2 2 2 3 6 4 3" xfId="31602"/>
    <cellStyle name="Separador de milhares 2 2 2 3 6 5" xfId="18075"/>
    <cellStyle name="Separador de milhares 2 2 2 3 6 5 2" xfId="44314"/>
    <cellStyle name="Separador de milhares 2 2 2 3 6 6" xfId="11744"/>
    <cellStyle name="Separador de milhares 2 2 2 3 6 6 2" xfId="37986"/>
    <cellStyle name="Separador de milhares 2 2 2 3 6 7" xfId="29904"/>
    <cellStyle name="Separador de milhares 2 2 2 3 7" xfId="2663"/>
    <cellStyle name="Separador de milhares 2 2 2 3 7 2" xfId="7203"/>
    <cellStyle name="Separador de milhares 2 2 2 3 7 2 2" xfId="10347"/>
    <cellStyle name="Separador de milhares 2 2 2 3 7 2 2 2" xfId="28561"/>
    <cellStyle name="Separador de milhares 2 2 2 3 7 2 2 2 2" xfId="54791"/>
    <cellStyle name="Separador de milhares 2 2 2 3 7 2 2 3" xfId="22647"/>
    <cellStyle name="Separador de milhares 2 2 2 3 7 2 2 3 2" xfId="48883"/>
    <cellStyle name="Separador de milhares 2 2 2 3 7 2 2 4" xfId="16733"/>
    <cellStyle name="Separador de milhares 2 2 2 3 7 2 2 4 2" xfId="42975"/>
    <cellStyle name="Separador de milhares 2 2 2 3 7 2 2 5" xfId="36589"/>
    <cellStyle name="Separador de milhares 2 2 2 3 7 2 3" xfId="25604"/>
    <cellStyle name="Separador de milhares 2 2 2 3 7 2 3 2" xfId="51837"/>
    <cellStyle name="Separador de milhares 2 2 2 3 7 2 4" xfId="19690"/>
    <cellStyle name="Separador de milhares 2 2 2 3 7 2 4 2" xfId="45929"/>
    <cellStyle name="Separador de milhares 2 2 2 3 7 2 5" xfId="13592"/>
    <cellStyle name="Separador de milhares 2 2 2 3 7 2 5 2" xfId="39834"/>
    <cellStyle name="Separador de milhares 2 2 2 3 7 2 6" xfId="33448"/>
    <cellStyle name="Separador de milhares 2 2 2 3 7 3" xfId="8879"/>
    <cellStyle name="Separador de milhares 2 2 2 3 7 3 2" xfId="27093"/>
    <cellStyle name="Separador de milhares 2 2 2 3 7 3 2 2" xfId="53323"/>
    <cellStyle name="Separador de milhares 2 2 2 3 7 3 3" xfId="21179"/>
    <cellStyle name="Separador de milhares 2 2 2 3 7 3 3 2" xfId="47415"/>
    <cellStyle name="Separador de milhares 2 2 2 3 7 3 4" xfId="15265"/>
    <cellStyle name="Separador de milhares 2 2 2 3 7 3 4 2" xfId="41507"/>
    <cellStyle name="Separador de milhares 2 2 2 3 7 3 5" xfId="35121"/>
    <cellStyle name="Separador de milhares 2 2 2 3 7 4" xfId="5504"/>
    <cellStyle name="Separador de milhares 2 2 2 3 7 4 2" xfId="24136"/>
    <cellStyle name="Separador de milhares 2 2 2 3 7 4 2 2" xfId="50369"/>
    <cellStyle name="Separador de milhares 2 2 2 3 7 4 3" xfId="31749"/>
    <cellStyle name="Separador de milhares 2 2 2 3 7 5" xfId="18222"/>
    <cellStyle name="Separador de milhares 2 2 2 3 7 5 2" xfId="44461"/>
    <cellStyle name="Separador de milhares 2 2 2 3 7 6" xfId="11891"/>
    <cellStyle name="Separador de milhares 2 2 2 3 7 6 2" xfId="38133"/>
    <cellStyle name="Separador de milhares 2 2 2 3 7 7" xfId="30051"/>
    <cellStyle name="Separador de milhares 2 2 2 3 8" xfId="3190"/>
    <cellStyle name="Separador de milhares 2 2 2 3 8 2" xfId="7350"/>
    <cellStyle name="Separador de milhares 2 2 2 3 8 2 2" xfId="10494"/>
    <cellStyle name="Separador de milhares 2 2 2 3 8 2 2 2" xfId="28708"/>
    <cellStyle name="Separador de milhares 2 2 2 3 8 2 2 2 2" xfId="54938"/>
    <cellStyle name="Separador de milhares 2 2 2 3 8 2 2 3" xfId="22794"/>
    <cellStyle name="Separador de milhares 2 2 2 3 8 2 2 3 2" xfId="49030"/>
    <cellStyle name="Separador de milhares 2 2 2 3 8 2 2 4" xfId="16880"/>
    <cellStyle name="Separador de milhares 2 2 2 3 8 2 2 4 2" xfId="43122"/>
    <cellStyle name="Separador de milhares 2 2 2 3 8 2 2 5" xfId="36736"/>
    <cellStyle name="Separador de milhares 2 2 2 3 8 2 3" xfId="25751"/>
    <cellStyle name="Separador de milhares 2 2 2 3 8 2 3 2" xfId="51984"/>
    <cellStyle name="Separador de milhares 2 2 2 3 8 2 4" xfId="19837"/>
    <cellStyle name="Separador de milhares 2 2 2 3 8 2 4 2" xfId="46076"/>
    <cellStyle name="Separador de milhares 2 2 2 3 8 2 5" xfId="13739"/>
    <cellStyle name="Separador de milhares 2 2 2 3 8 2 5 2" xfId="39981"/>
    <cellStyle name="Separador de milhares 2 2 2 3 8 2 6" xfId="33595"/>
    <cellStyle name="Separador de milhares 2 2 2 3 8 3" xfId="9026"/>
    <cellStyle name="Separador de milhares 2 2 2 3 8 3 2" xfId="27240"/>
    <cellStyle name="Separador de milhares 2 2 2 3 8 3 2 2" xfId="53470"/>
    <cellStyle name="Separador de milhares 2 2 2 3 8 3 3" xfId="21326"/>
    <cellStyle name="Separador de milhares 2 2 2 3 8 3 3 2" xfId="47562"/>
    <cellStyle name="Separador de milhares 2 2 2 3 8 3 4" xfId="15412"/>
    <cellStyle name="Separador de milhares 2 2 2 3 8 3 4 2" xfId="41654"/>
    <cellStyle name="Separador de milhares 2 2 2 3 8 3 5" xfId="35268"/>
    <cellStyle name="Separador de milhares 2 2 2 3 8 4" xfId="5651"/>
    <cellStyle name="Separador de milhares 2 2 2 3 8 4 2" xfId="24283"/>
    <cellStyle name="Separador de milhares 2 2 2 3 8 4 2 2" xfId="50516"/>
    <cellStyle name="Separador de milhares 2 2 2 3 8 4 3" xfId="31896"/>
    <cellStyle name="Separador de milhares 2 2 2 3 8 5" xfId="18369"/>
    <cellStyle name="Separador de milhares 2 2 2 3 8 5 2" xfId="44608"/>
    <cellStyle name="Separador de milhares 2 2 2 3 8 6" xfId="12038"/>
    <cellStyle name="Separador de milhares 2 2 2 3 8 6 2" xfId="38280"/>
    <cellStyle name="Separador de milhares 2 2 2 3 8 7" xfId="30198"/>
    <cellStyle name="Separador de milhares 2 2 2 3 9" xfId="3717"/>
    <cellStyle name="Separador de milhares 2 2 2 3 9 2" xfId="7497"/>
    <cellStyle name="Separador de milhares 2 2 2 3 9 2 2" xfId="10641"/>
    <cellStyle name="Separador de milhares 2 2 2 3 9 2 2 2" xfId="28855"/>
    <cellStyle name="Separador de milhares 2 2 2 3 9 2 2 2 2" xfId="55085"/>
    <cellStyle name="Separador de milhares 2 2 2 3 9 2 2 3" xfId="22941"/>
    <cellStyle name="Separador de milhares 2 2 2 3 9 2 2 3 2" xfId="49177"/>
    <cellStyle name="Separador de milhares 2 2 2 3 9 2 2 4" xfId="17027"/>
    <cellStyle name="Separador de milhares 2 2 2 3 9 2 2 4 2" xfId="43269"/>
    <cellStyle name="Separador de milhares 2 2 2 3 9 2 2 5" xfId="36883"/>
    <cellStyle name="Separador de milhares 2 2 2 3 9 2 3" xfId="25898"/>
    <cellStyle name="Separador de milhares 2 2 2 3 9 2 3 2" xfId="52131"/>
    <cellStyle name="Separador de milhares 2 2 2 3 9 2 4" xfId="19984"/>
    <cellStyle name="Separador de milhares 2 2 2 3 9 2 4 2" xfId="46223"/>
    <cellStyle name="Separador de milhares 2 2 2 3 9 2 5" xfId="13886"/>
    <cellStyle name="Separador de milhares 2 2 2 3 9 2 5 2" xfId="40128"/>
    <cellStyle name="Separador de milhares 2 2 2 3 9 2 6" xfId="33742"/>
    <cellStyle name="Separador de milhares 2 2 2 3 9 3" xfId="9173"/>
    <cellStyle name="Separador de milhares 2 2 2 3 9 3 2" xfId="27387"/>
    <cellStyle name="Separador de milhares 2 2 2 3 9 3 2 2" xfId="53617"/>
    <cellStyle name="Separador de milhares 2 2 2 3 9 3 3" xfId="21473"/>
    <cellStyle name="Separador de milhares 2 2 2 3 9 3 3 2" xfId="47709"/>
    <cellStyle name="Separador de milhares 2 2 2 3 9 3 4" xfId="15559"/>
    <cellStyle name="Separador de milhares 2 2 2 3 9 3 4 2" xfId="41801"/>
    <cellStyle name="Separador de milhares 2 2 2 3 9 3 5" xfId="35415"/>
    <cellStyle name="Separador de milhares 2 2 2 3 9 4" xfId="5798"/>
    <cellStyle name="Separador de milhares 2 2 2 3 9 4 2" xfId="24430"/>
    <cellStyle name="Separador de milhares 2 2 2 3 9 4 2 2" xfId="50663"/>
    <cellStyle name="Separador de milhares 2 2 2 3 9 4 3" xfId="32043"/>
    <cellStyle name="Separador de milhares 2 2 2 3 9 5" xfId="18516"/>
    <cellStyle name="Separador de milhares 2 2 2 3 9 5 2" xfId="44755"/>
    <cellStyle name="Separador de milhares 2 2 2 3 9 6" xfId="12185"/>
    <cellStyle name="Separador de milhares 2 2 2 3 9 6 2" xfId="38427"/>
    <cellStyle name="Separador de milhares 2 2 2 3 9 7" xfId="30345"/>
    <cellStyle name="Separador de milhares 2 2 2 4" xfId="6456"/>
    <cellStyle name="Separador de milhares 2 2 2 4 2" xfId="9612"/>
    <cellStyle name="Separador de milhares 2 2 2 4 2 2" xfId="27826"/>
    <cellStyle name="Separador de milhares 2 2 2 4 2 2 2" xfId="54056"/>
    <cellStyle name="Separador de milhares 2 2 2 4 2 3" xfId="21912"/>
    <cellStyle name="Separador de milhares 2 2 2 4 2 3 2" xfId="48148"/>
    <cellStyle name="Separador de milhares 2 2 2 4 2 4" xfId="15998"/>
    <cellStyle name="Separador de milhares 2 2 2 4 2 4 2" xfId="42240"/>
    <cellStyle name="Separador de milhares 2 2 2 4 2 5" xfId="35854"/>
    <cellStyle name="Separador de milhares 2 2 2 4 3" xfId="24869"/>
    <cellStyle name="Separador de milhares 2 2 2 4 3 2" xfId="51102"/>
    <cellStyle name="Separador de milhares 2 2 2 4 4" xfId="18955"/>
    <cellStyle name="Separador de milhares 2 2 2 4 4 2" xfId="45194"/>
    <cellStyle name="Separador de milhares 2 2 2 4 5" xfId="12845"/>
    <cellStyle name="Separador de milhares 2 2 2 4 5 2" xfId="39087"/>
    <cellStyle name="Separador de milhares 2 2 2 4 6" xfId="32701"/>
    <cellStyle name="Separador de milhares 2 2 2 5" xfId="8141"/>
    <cellStyle name="Separador de milhares 2 2 2 5 2" xfId="26355"/>
    <cellStyle name="Separador de milhares 2 2 2 5 2 2" xfId="52588"/>
    <cellStyle name="Separador de milhares 2 2 2 5 3" xfId="20441"/>
    <cellStyle name="Separador de milhares 2 2 2 5 3 2" xfId="46680"/>
    <cellStyle name="Separador de milhares 2 2 2 5 4" xfId="14530"/>
    <cellStyle name="Separador de milhares 2 2 2 5 4 2" xfId="40772"/>
    <cellStyle name="Separador de milhares 2 2 2 5 5" xfId="34386"/>
    <cellStyle name="Separador de milhares 2 2 2 6" xfId="4754"/>
    <cellStyle name="Separador de milhares 2 2 2 6 2" xfId="23398"/>
    <cellStyle name="Separador de milhares 2 2 2 6 2 2" xfId="49634"/>
    <cellStyle name="Separador de milhares 2 2 2 6 3" xfId="31002"/>
    <cellStyle name="Separador de milhares 2 2 2 7" xfId="17484"/>
    <cellStyle name="Separador de milhares 2 2 2 7 2" xfId="43726"/>
    <cellStyle name="Separador de milhares 2 2 2 8" xfId="11144"/>
    <cellStyle name="Separador de milhares 2 2 2 8 2" xfId="37386"/>
    <cellStyle name="Separador de milhares 2 2 2 9" xfId="29304"/>
    <cellStyle name="Separador de milhares 2 2 3" xfId="164"/>
    <cellStyle name="Separador de milhares 2 2 3 10" xfId="6484"/>
    <cellStyle name="Separador de milhares 2 2 3 10 2" xfId="9638"/>
    <cellStyle name="Separador de milhares 2 2 3 10 2 2" xfId="27852"/>
    <cellStyle name="Separador de milhares 2 2 3 10 2 2 2" xfId="54082"/>
    <cellStyle name="Separador de milhares 2 2 3 10 2 3" xfId="21938"/>
    <cellStyle name="Separador de milhares 2 2 3 10 2 3 2" xfId="48174"/>
    <cellStyle name="Separador de milhares 2 2 3 10 2 4" xfId="16024"/>
    <cellStyle name="Separador de milhares 2 2 3 10 2 4 2" xfId="42266"/>
    <cellStyle name="Separador de milhares 2 2 3 10 2 5" xfId="35880"/>
    <cellStyle name="Separador de milhares 2 2 3 10 3" xfId="24895"/>
    <cellStyle name="Separador de milhares 2 2 3 10 3 2" xfId="51128"/>
    <cellStyle name="Separador de milhares 2 2 3 10 4" xfId="18981"/>
    <cellStyle name="Separador de milhares 2 2 3 10 4 2" xfId="45220"/>
    <cellStyle name="Separador de milhares 2 2 3 10 5" xfId="12873"/>
    <cellStyle name="Separador de milhares 2 2 3 10 5 2" xfId="39115"/>
    <cellStyle name="Separador de milhares 2 2 3 10 6" xfId="32729"/>
    <cellStyle name="Separador de milhares 2 2 3 11" xfId="8167"/>
    <cellStyle name="Separador de milhares 2 2 3 11 2" xfId="26381"/>
    <cellStyle name="Separador de milhares 2 2 3 11 2 2" xfId="52614"/>
    <cellStyle name="Separador de milhares 2 2 3 11 3" xfId="20467"/>
    <cellStyle name="Separador de milhares 2 2 3 11 3 2" xfId="46706"/>
    <cellStyle name="Separador de milhares 2 2 3 11 4" xfId="14556"/>
    <cellStyle name="Separador de milhares 2 2 3 11 4 2" xfId="40798"/>
    <cellStyle name="Separador de milhares 2 2 3 11 5" xfId="34412"/>
    <cellStyle name="Separador de milhares 2 2 3 12" xfId="4783"/>
    <cellStyle name="Separador de milhares 2 2 3 12 2" xfId="23424"/>
    <cellStyle name="Separador de milhares 2 2 3 12 2 2" xfId="49660"/>
    <cellStyle name="Separador de milhares 2 2 3 12 3" xfId="31030"/>
    <cellStyle name="Separador de milhares 2 2 3 13" xfId="17510"/>
    <cellStyle name="Separador de milhares 2 2 3 13 2" xfId="43752"/>
    <cellStyle name="Separador de milhares 2 2 3 14" xfId="11172"/>
    <cellStyle name="Separador de milhares 2 2 3 14 2" xfId="37414"/>
    <cellStyle name="Separador de milhares 2 2 3 15" xfId="29333"/>
    <cellStyle name="Separador de milhares 2 2 3 2" xfId="704"/>
    <cellStyle name="Separador de milhares 2 2 3 2 10" xfId="17661"/>
    <cellStyle name="Separador de milhares 2 2 3 2 10 2" xfId="43900"/>
    <cellStyle name="Separador de milhares 2 2 3 2 11" xfId="11327"/>
    <cellStyle name="Separador de milhares 2 2 3 2 11 2" xfId="37569"/>
    <cellStyle name="Separador de milhares 2 2 3 2 12" xfId="29487"/>
    <cellStyle name="Separador de milhares 2 2 3 2 2" xfId="1956"/>
    <cellStyle name="Separador de milhares 2 2 3 2 2 2" xfId="7003"/>
    <cellStyle name="Separador de milhares 2 2 3 2 2 2 2" xfId="10150"/>
    <cellStyle name="Separador de milhares 2 2 3 2 2 2 2 2" xfId="28364"/>
    <cellStyle name="Separador de milhares 2 2 3 2 2 2 2 2 2" xfId="54594"/>
    <cellStyle name="Separador de milhares 2 2 3 2 2 2 2 3" xfId="22450"/>
    <cellStyle name="Separador de milhares 2 2 3 2 2 2 2 3 2" xfId="48686"/>
    <cellStyle name="Separador de milhares 2 2 3 2 2 2 2 4" xfId="16536"/>
    <cellStyle name="Separador de milhares 2 2 3 2 2 2 2 4 2" xfId="42778"/>
    <cellStyle name="Separador de milhares 2 2 3 2 2 2 2 5" xfId="36392"/>
    <cellStyle name="Separador de milhares 2 2 3 2 2 2 3" xfId="25407"/>
    <cellStyle name="Separador de milhares 2 2 3 2 2 2 3 2" xfId="51640"/>
    <cellStyle name="Separador de milhares 2 2 3 2 2 2 4" xfId="19493"/>
    <cellStyle name="Separador de milhares 2 2 3 2 2 2 4 2" xfId="45732"/>
    <cellStyle name="Separador de milhares 2 2 3 2 2 2 5" xfId="13392"/>
    <cellStyle name="Separador de milhares 2 2 3 2 2 2 5 2" xfId="39634"/>
    <cellStyle name="Separador de milhares 2 2 3 2 2 2 6" xfId="33248"/>
    <cellStyle name="Separador de milhares 2 2 3 2 2 3" xfId="8682"/>
    <cellStyle name="Separador de milhares 2 2 3 2 2 3 2" xfId="26896"/>
    <cellStyle name="Separador de milhares 2 2 3 2 2 3 2 2" xfId="53126"/>
    <cellStyle name="Separador de milhares 2 2 3 2 2 3 3" xfId="20982"/>
    <cellStyle name="Separador de milhares 2 2 3 2 2 3 3 2" xfId="47218"/>
    <cellStyle name="Separador de milhares 2 2 3 2 2 3 4" xfId="15068"/>
    <cellStyle name="Separador de milhares 2 2 3 2 2 3 4 2" xfId="41310"/>
    <cellStyle name="Separador de milhares 2 2 3 2 2 3 5" xfId="34924"/>
    <cellStyle name="Separador de milhares 2 2 3 2 2 4" xfId="5304"/>
    <cellStyle name="Separador de milhares 2 2 3 2 2 4 2" xfId="23939"/>
    <cellStyle name="Separador de milhares 2 2 3 2 2 4 2 2" xfId="50172"/>
    <cellStyle name="Separador de milhares 2 2 3 2 2 4 3" xfId="31549"/>
    <cellStyle name="Separador de milhares 2 2 3 2 2 5" xfId="18025"/>
    <cellStyle name="Separador de milhares 2 2 3 2 2 5 2" xfId="44264"/>
    <cellStyle name="Separador de milhares 2 2 3 2 2 6" xfId="11691"/>
    <cellStyle name="Separador de milhares 2 2 3 2 2 6 2" xfId="37933"/>
    <cellStyle name="Separador de milhares 2 2 3 2 2 7" xfId="29851"/>
    <cellStyle name="Separador de milhares 2 2 3 2 3" xfId="2486"/>
    <cellStyle name="Separador de milhares 2 2 3 2 3 2" xfId="7153"/>
    <cellStyle name="Separador de milhares 2 2 3 2 3 2 2" xfId="10297"/>
    <cellStyle name="Separador de milhares 2 2 3 2 3 2 2 2" xfId="28511"/>
    <cellStyle name="Separador de milhares 2 2 3 2 3 2 2 2 2" xfId="54741"/>
    <cellStyle name="Separador de milhares 2 2 3 2 3 2 2 3" xfId="22597"/>
    <cellStyle name="Separador de milhares 2 2 3 2 3 2 2 3 2" xfId="48833"/>
    <cellStyle name="Separador de milhares 2 2 3 2 3 2 2 4" xfId="16683"/>
    <cellStyle name="Separador de milhares 2 2 3 2 3 2 2 4 2" xfId="42925"/>
    <cellStyle name="Separador de milhares 2 2 3 2 3 2 2 5" xfId="36539"/>
    <cellStyle name="Separador de milhares 2 2 3 2 3 2 3" xfId="25554"/>
    <cellStyle name="Separador de milhares 2 2 3 2 3 2 3 2" xfId="51787"/>
    <cellStyle name="Separador de milhares 2 2 3 2 3 2 4" xfId="19640"/>
    <cellStyle name="Separador de milhares 2 2 3 2 3 2 4 2" xfId="45879"/>
    <cellStyle name="Separador de milhares 2 2 3 2 3 2 5" xfId="13542"/>
    <cellStyle name="Separador de milhares 2 2 3 2 3 2 5 2" xfId="39784"/>
    <cellStyle name="Separador de milhares 2 2 3 2 3 2 6" xfId="33398"/>
    <cellStyle name="Separador de milhares 2 2 3 2 3 3" xfId="8829"/>
    <cellStyle name="Separador de milhares 2 2 3 2 3 3 2" xfId="27043"/>
    <cellStyle name="Separador de milhares 2 2 3 2 3 3 2 2" xfId="53273"/>
    <cellStyle name="Separador de milhares 2 2 3 2 3 3 3" xfId="21129"/>
    <cellStyle name="Separador de milhares 2 2 3 2 3 3 3 2" xfId="47365"/>
    <cellStyle name="Separador de milhares 2 2 3 2 3 3 4" xfId="15215"/>
    <cellStyle name="Separador de milhares 2 2 3 2 3 3 4 2" xfId="41457"/>
    <cellStyle name="Separador de milhares 2 2 3 2 3 3 5" xfId="35071"/>
    <cellStyle name="Separador de milhares 2 2 3 2 3 4" xfId="5454"/>
    <cellStyle name="Separador de milhares 2 2 3 2 3 4 2" xfId="24086"/>
    <cellStyle name="Separador de milhares 2 2 3 2 3 4 2 2" xfId="50319"/>
    <cellStyle name="Separador de milhares 2 2 3 2 3 4 3" xfId="31699"/>
    <cellStyle name="Separador de milhares 2 2 3 2 3 5" xfId="18172"/>
    <cellStyle name="Separador de milhares 2 2 3 2 3 5 2" xfId="44411"/>
    <cellStyle name="Separador de milhares 2 2 3 2 3 6" xfId="11841"/>
    <cellStyle name="Separador de milhares 2 2 3 2 3 6 2" xfId="38083"/>
    <cellStyle name="Separador de milhares 2 2 3 2 3 7" xfId="30001"/>
    <cellStyle name="Separador de milhares 2 2 3 2 4" xfId="3013"/>
    <cellStyle name="Separador de milhares 2 2 3 2 4 2" xfId="7300"/>
    <cellStyle name="Separador de milhares 2 2 3 2 4 2 2" xfId="10444"/>
    <cellStyle name="Separador de milhares 2 2 3 2 4 2 2 2" xfId="28658"/>
    <cellStyle name="Separador de milhares 2 2 3 2 4 2 2 2 2" xfId="54888"/>
    <cellStyle name="Separador de milhares 2 2 3 2 4 2 2 3" xfId="22744"/>
    <cellStyle name="Separador de milhares 2 2 3 2 4 2 2 3 2" xfId="48980"/>
    <cellStyle name="Separador de milhares 2 2 3 2 4 2 2 4" xfId="16830"/>
    <cellStyle name="Separador de milhares 2 2 3 2 4 2 2 4 2" xfId="43072"/>
    <cellStyle name="Separador de milhares 2 2 3 2 4 2 2 5" xfId="36686"/>
    <cellStyle name="Separador de milhares 2 2 3 2 4 2 3" xfId="25701"/>
    <cellStyle name="Separador de milhares 2 2 3 2 4 2 3 2" xfId="51934"/>
    <cellStyle name="Separador de milhares 2 2 3 2 4 2 4" xfId="19787"/>
    <cellStyle name="Separador de milhares 2 2 3 2 4 2 4 2" xfId="46026"/>
    <cellStyle name="Separador de milhares 2 2 3 2 4 2 5" xfId="13689"/>
    <cellStyle name="Separador de milhares 2 2 3 2 4 2 5 2" xfId="39931"/>
    <cellStyle name="Separador de milhares 2 2 3 2 4 2 6" xfId="33545"/>
    <cellStyle name="Separador de milhares 2 2 3 2 4 3" xfId="8976"/>
    <cellStyle name="Separador de milhares 2 2 3 2 4 3 2" xfId="27190"/>
    <cellStyle name="Separador de milhares 2 2 3 2 4 3 2 2" xfId="53420"/>
    <cellStyle name="Separador de milhares 2 2 3 2 4 3 3" xfId="21276"/>
    <cellStyle name="Separador de milhares 2 2 3 2 4 3 3 2" xfId="47512"/>
    <cellStyle name="Separador de milhares 2 2 3 2 4 3 4" xfId="15362"/>
    <cellStyle name="Separador de milhares 2 2 3 2 4 3 4 2" xfId="41604"/>
    <cellStyle name="Separador de milhares 2 2 3 2 4 3 5" xfId="35218"/>
    <cellStyle name="Separador de milhares 2 2 3 2 4 4" xfId="5601"/>
    <cellStyle name="Separador de milhares 2 2 3 2 4 4 2" xfId="24233"/>
    <cellStyle name="Separador de milhares 2 2 3 2 4 4 2 2" xfId="50466"/>
    <cellStyle name="Separador de milhares 2 2 3 2 4 4 3" xfId="31846"/>
    <cellStyle name="Separador de milhares 2 2 3 2 4 5" xfId="18319"/>
    <cellStyle name="Separador de milhares 2 2 3 2 4 5 2" xfId="44558"/>
    <cellStyle name="Separador de milhares 2 2 3 2 4 6" xfId="11988"/>
    <cellStyle name="Separador de milhares 2 2 3 2 4 6 2" xfId="38230"/>
    <cellStyle name="Separador de milhares 2 2 3 2 4 7" xfId="30148"/>
    <cellStyle name="Separador de milhares 2 2 3 2 5" xfId="3540"/>
    <cellStyle name="Separador de milhares 2 2 3 2 5 2" xfId="7447"/>
    <cellStyle name="Separador de milhares 2 2 3 2 5 2 2" xfId="10591"/>
    <cellStyle name="Separador de milhares 2 2 3 2 5 2 2 2" xfId="28805"/>
    <cellStyle name="Separador de milhares 2 2 3 2 5 2 2 2 2" xfId="55035"/>
    <cellStyle name="Separador de milhares 2 2 3 2 5 2 2 3" xfId="22891"/>
    <cellStyle name="Separador de milhares 2 2 3 2 5 2 2 3 2" xfId="49127"/>
    <cellStyle name="Separador de milhares 2 2 3 2 5 2 2 4" xfId="16977"/>
    <cellStyle name="Separador de milhares 2 2 3 2 5 2 2 4 2" xfId="43219"/>
    <cellStyle name="Separador de milhares 2 2 3 2 5 2 2 5" xfId="36833"/>
    <cellStyle name="Separador de milhares 2 2 3 2 5 2 3" xfId="25848"/>
    <cellStyle name="Separador de milhares 2 2 3 2 5 2 3 2" xfId="52081"/>
    <cellStyle name="Separador de milhares 2 2 3 2 5 2 4" xfId="19934"/>
    <cellStyle name="Separador de milhares 2 2 3 2 5 2 4 2" xfId="46173"/>
    <cellStyle name="Separador de milhares 2 2 3 2 5 2 5" xfId="13836"/>
    <cellStyle name="Separador de milhares 2 2 3 2 5 2 5 2" xfId="40078"/>
    <cellStyle name="Separador de milhares 2 2 3 2 5 2 6" xfId="33692"/>
    <cellStyle name="Separador de milhares 2 2 3 2 5 3" xfId="9123"/>
    <cellStyle name="Separador de milhares 2 2 3 2 5 3 2" xfId="27337"/>
    <cellStyle name="Separador de milhares 2 2 3 2 5 3 2 2" xfId="53567"/>
    <cellStyle name="Separador de milhares 2 2 3 2 5 3 3" xfId="21423"/>
    <cellStyle name="Separador de milhares 2 2 3 2 5 3 3 2" xfId="47659"/>
    <cellStyle name="Separador de milhares 2 2 3 2 5 3 4" xfId="15509"/>
    <cellStyle name="Separador de milhares 2 2 3 2 5 3 4 2" xfId="41751"/>
    <cellStyle name="Separador de milhares 2 2 3 2 5 3 5" xfId="35365"/>
    <cellStyle name="Separador de milhares 2 2 3 2 5 4" xfId="5748"/>
    <cellStyle name="Separador de milhares 2 2 3 2 5 4 2" xfId="24380"/>
    <cellStyle name="Separador de milhares 2 2 3 2 5 4 2 2" xfId="50613"/>
    <cellStyle name="Separador de milhares 2 2 3 2 5 4 3" xfId="31993"/>
    <cellStyle name="Separador de milhares 2 2 3 2 5 5" xfId="18466"/>
    <cellStyle name="Separador de milhares 2 2 3 2 5 5 2" xfId="44705"/>
    <cellStyle name="Separador de milhares 2 2 3 2 5 6" xfId="12135"/>
    <cellStyle name="Separador de milhares 2 2 3 2 5 6 2" xfId="38377"/>
    <cellStyle name="Separador de milhares 2 2 3 2 5 7" xfId="30295"/>
    <cellStyle name="Separador de milhares 2 2 3 2 6" xfId="4067"/>
    <cellStyle name="Separador de milhares 2 2 3 2 6 2" xfId="7594"/>
    <cellStyle name="Separador de milhares 2 2 3 2 6 2 2" xfId="10738"/>
    <cellStyle name="Separador de milhares 2 2 3 2 6 2 2 2" xfId="28952"/>
    <cellStyle name="Separador de milhares 2 2 3 2 6 2 2 2 2" xfId="55182"/>
    <cellStyle name="Separador de milhares 2 2 3 2 6 2 2 3" xfId="23038"/>
    <cellStyle name="Separador de milhares 2 2 3 2 6 2 2 3 2" xfId="49274"/>
    <cellStyle name="Separador de milhares 2 2 3 2 6 2 2 4" xfId="17124"/>
    <cellStyle name="Separador de milhares 2 2 3 2 6 2 2 4 2" xfId="43366"/>
    <cellStyle name="Separador de milhares 2 2 3 2 6 2 2 5" xfId="36980"/>
    <cellStyle name="Separador de milhares 2 2 3 2 6 2 3" xfId="25995"/>
    <cellStyle name="Separador de milhares 2 2 3 2 6 2 3 2" xfId="52228"/>
    <cellStyle name="Separador de milhares 2 2 3 2 6 2 4" xfId="20081"/>
    <cellStyle name="Separador de milhares 2 2 3 2 6 2 4 2" xfId="46320"/>
    <cellStyle name="Separador de milhares 2 2 3 2 6 2 5" xfId="13983"/>
    <cellStyle name="Separador de milhares 2 2 3 2 6 2 5 2" xfId="40225"/>
    <cellStyle name="Separador de milhares 2 2 3 2 6 2 6" xfId="33839"/>
    <cellStyle name="Separador de milhares 2 2 3 2 6 3" xfId="9270"/>
    <cellStyle name="Separador de milhares 2 2 3 2 6 3 2" xfId="27484"/>
    <cellStyle name="Separador de milhares 2 2 3 2 6 3 2 2" xfId="53714"/>
    <cellStyle name="Separador de milhares 2 2 3 2 6 3 3" xfId="21570"/>
    <cellStyle name="Separador de milhares 2 2 3 2 6 3 3 2" xfId="47806"/>
    <cellStyle name="Separador de milhares 2 2 3 2 6 3 4" xfId="15656"/>
    <cellStyle name="Separador de milhares 2 2 3 2 6 3 4 2" xfId="41898"/>
    <cellStyle name="Separador de milhares 2 2 3 2 6 3 5" xfId="35512"/>
    <cellStyle name="Separador de milhares 2 2 3 2 6 4" xfId="5895"/>
    <cellStyle name="Separador de milhares 2 2 3 2 6 4 2" xfId="24527"/>
    <cellStyle name="Separador de milhares 2 2 3 2 6 4 2 2" xfId="50760"/>
    <cellStyle name="Separador de milhares 2 2 3 2 6 4 3" xfId="32140"/>
    <cellStyle name="Separador de milhares 2 2 3 2 6 5" xfId="18613"/>
    <cellStyle name="Separador de milhares 2 2 3 2 6 5 2" xfId="44852"/>
    <cellStyle name="Separador de milhares 2 2 3 2 6 6" xfId="12282"/>
    <cellStyle name="Separador de milhares 2 2 3 2 6 6 2" xfId="38524"/>
    <cellStyle name="Separador de milhares 2 2 3 2 6 7" xfId="30442"/>
    <cellStyle name="Separador de milhares 2 2 3 2 7" xfId="6639"/>
    <cellStyle name="Separador de milhares 2 2 3 2 7 2" xfId="9786"/>
    <cellStyle name="Separador de milhares 2 2 3 2 7 2 2" xfId="28000"/>
    <cellStyle name="Separador de milhares 2 2 3 2 7 2 2 2" xfId="54230"/>
    <cellStyle name="Separador de milhares 2 2 3 2 7 2 3" xfId="22086"/>
    <cellStyle name="Separador de milhares 2 2 3 2 7 2 3 2" xfId="48322"/>
    <cellStyle name="Separador de milhares 2 2 3 2 7 2 4" xfId="16172"/>
    <cellStyle name="Separador de milhares 2 2 3 2 7 2 4 2" xfId="42414"/>
    <cellStyle name="Separador de milhares 2 2 3 2 7 2 5" xfId="36028"/>
    <cellStyle name="Separador de milhares 2 2 3 2 7 3" xfId="25043"/>
    <cellStyle name="Separador de milhares 2 2 3 2 7 3 2" xfId="51276"/>
    <cellStyle name="Separador de milhares 2 2 3 2 7 4" xfId="19129"/>
    <cellStyle name="Separador de milhares 2 2 3 2 7 4 2" xfId="45368"/>
    <cellStyle name="Separador de milhares 2 2 3 2 7 5" xfId="13028"/>
    <cellStyle name="Separador de milhares 2 2 3 2 7 5 2" xfId="39270"/>
    <cellStyle name="Separador de milhares 2 2 3 2 7 6" xfId="32884"/>
    <cellStyle name="Separador de milhares 2 2 3 2 8" xfId="8318"/>
    <cellStyle name="Separador de milhares 2 2 3 2 8 2" xfId="26532"/>
    <cellStyle name="Separador de milhares 2 2 3 2 8 2 2" xfId="52762"/>
    <cellStyle name="Separador de milhares 2 2 3 2 8 3" xfId="20618"/>
    <cellStyle name="Separador de milhares 2 2 3 2 8 3 2" xfId="46854"/>
    <cellStyle name="Separador de milhares 2 2 3 2 8 4" xfId="14704"/>
    <cellStyle name="Separador de milhares 2 2 3 2 8 4 2" xfId="40946"/>
    <cellStyle name="Separador de milhares 2 2 3 2 8 5" xfId="34560"/>
    <cellStyle name="Separador de milhares 2 2 3 2 9" xfId="4940"/>
    <cellStyle name="Separador de milhares 2 2 3 2 9 2" xfId="23575"/>
    <cellStyle name="Separador de milhares 2 2 3 2 9 2 2" xfId="49808"/>
    <cellStyle name="Separador de milhares 2 2 3 2 9 3" xfId="31185"/>
    <cellStyle name="Separador de milhares 2 2 3 3" xfId="910"/>
    <cellStyle name="Separador de milhares 2 2 3 3 2" xfId="6716"/>
    <cellStyle name="Separador de milhares 2 2 3 3 2 2" xfId="9863"/>
    <cellStyle name="Separador de milhares 2 2 3 3 2 2 2" xfId="28077"/>
    <cellStyle name="Separador de milhares 2 2 3 3 2 2 2 2" xfId="54307"/>
    <cellStyle name="Separador de milhares 2 2 3 3 2 2 3" xfId="22163"/>
    <cellStyle name="Separador de milhares 2 2 3 3 2 2 3 2" xfId="48399"/>
    <cellStyle name="Separador de milhares 2 2 3 3 2 2 4" xfId="16249"/>
    <cellStyle name="Separador de milhares 2 2 3 3 2 2 4 2" xfId="42491"/>
    <cellStyle name="Separador de milhares 2 2 3 3 2 2 5" xfId="36105"/>
    <cellStyle name="Separador de milhares 2 2 3 3 2 3" xfId="25120"/>
    <cellStyle name="Separador de milhares 2 2 3 3 2 3 2" xfId="51353"/>
    <cellStyle name="Separador de milhares 2 2 3 3 2 4" xfId="19206"/>
    <cellStyle name="Separador de milhares 2 2 3 3 2 4 2" xfId="45445"/>
    <cellStyle name="Separador de milhares 2 2 3 3 2 5" xfId="13105"/>
    <cellStyle name="Separador de milhares 2 2 3 3 2 5 2" xfId="39347"/>
    <cellStyle name="Separador de milhares 2 2 3 3 2 6" xfId="32961"/>
    <cellStyle name="Separador de milhares 2 2 3 3 3" xfId="8395"/>
    <cellStyle name="Separador de milhares 2 2 3 3 3 2" xfId="26609"/>
    <cellStyle name="Separador de milhares 2 2 3 3 3 2 2" xfId="52839"/>
    <cellStyle name="Separador de milhares 2 2 3 3 3 3" xfId="20695"/>
    <cellStyle name="Separador de milhares 2 2 3 3 3 3 2" xfId="46931"/>
    <cellStyle name="Separador de milhares 2 2 3 3 3 4" xfId="14781"/>
    <cellStyle name="Separador de milhares 2 2 3 3 3 4 2" xfId="41023"/>
    <cellStyle name="Separador de milhares 2 2 3 3 3 5" xfId="34637"/>
    <cellStyle name="Separador de milhares 2 2 3 3 4" xfId="5017"/>
    <cellStyle name="Separador de milhares 2 2 3 3 4 2" xfId="23652"/>
    <cellStyle name="Separador de milhares 2 2 3 3 4 2 2" xfId="49885"/>
    <cellStyle name="Separador de milhares 2 2 3 3 4 3" xfId="31262"/>
    <cellStyle name="Separador de milhares 2 2 3 3 5" xfId="17738"/>
    <cellStyle name="Separador de milhares 2 2 3 3 5 2" xfId="43977"/>
    <cellStyle name="Separador de milhares 2 2 3 3 6" xfId="11404"/>
    <cellStyle name="Separador de milhares 2 2 3 3 6 2" xfId="37646"/>
    <cellStyle name="Separador de milhares 2 2 3 3 7" xfId="29564"/>
    <cellStyle name="Separador de milhares 2 2 3 4" xfId="1261"/>
    <cellStyle name="Separador de milhares 2 2 3 4 2" xfId="6814"/>
    <cellStyle name="Separador de milhares 2 2 3 4 2 2" xfId="9961"/>
    <cellStyle name="Separador de milhares 2 2 3 4 2 2 2" xfId="28175"/>
    <cellStyle name="Separador de milhares 2 2 3 4 2 2 2 2" xfId="54405"/>
    <cellStyle name="Separador de milhares 2 2 3 4 2 2 3" xfId="22261"/>
    <cellStyle name="Separador de milhares 2 2 3 4 2 2 3 2" xfId="48497"/>
    <cellStyle name="Separador de milhares 2 2 3 4 2 2 4" xfId="16347"/>
    <cellStyle name="Separador de milhares 2 2 3 4 2 2 4 2" xfId="42589"/>
    <cellStyle name="Separador de milhares 2 2 3 4 2 2 5" xfId="36203"/>
    <cellStyle name="Separador de milhares 2 2 3 4 2 3" xfId="25218"/>
    <cellStyle name="Separador de milhares 2 2 3 4 2 3 2" xfId="51451"/>
    <cellStyle name="Separador de milhares 2 2 3 4 2 4" xfId="19304"/>
    <cellStyle name="Separador de milhares 2 2 3 4 2 4 2" xfId="45543"/>
    <cellStyle name="Separador de milhares 2 2 3 4 2 5" xfId="13203"/>
    <cellStyle name="Separador de milhares 2 2 3 4 2 5 2" xfId="39445"/>
    <cellStyle name="Separador de milhares 2 2 3 4 2 6" xfId="33059"/>
    <cellStyle name="Separador de milhares 2 2 3 4 3" xfId="8493"/>
    <cellStyle name="Separador de milhares 2 2 3 4 3 2" xfId="26707"/>
    <cellStyle name="Separador de milhares 2 2 3 4 3 2 2" xfId="52937"/>
    <cellStyle name="Separador de milhares 2 2 3 4 3 3" xfId="20793"/>
    <cellStyle name="Separador de milhares 2 2 3 4 3 3 2" xfId="47029"/>
    <cellStyle name="Separador de milhares 2 2 3 4 3 4" xfId="14879"/>
    <cellStyle name="Separador de milhares 2 2 3 4 3 4 2" xfId="41121"/>
    <cellStyle name="Separador de milhares 2 2 3 4 3 5" xfId="34735"/>
    <cellStyle name="Separador de milhares 2 2 3 4 4" xfId="5115"/>
    <cellStyle name="Separador de milhares 2 2 3 4 4 2" xfId="23750"/>
    <cellStyle name="Separador de milhares 2 2 3 4 4 2 2" xfId="49983"/>
    <cellStyle name="Separador de milhares 2 2 3 4 4 3" xfId="31360"/>
    <cellStyle name="Separador de milhares 2 2 3 4 5" xfId="17836"/>
    <cellStyle name="Separador de milhares 2 2 3 4 5 2" xfId="44075"/>
    <cellStyle name="Separador de milhares 2 2 3 4 6" xfId="11502"/>
    <cellStyle name="Separador de milhares 2 2 3 4 6 2" xfId="37744"/>
    <cellStyle name="Separador de milhares 2 2 3 4 7" xfId="29662"/>
    <cellStyle name="Separador de milhares 2 2 3 5" xfId="1696"/>
    <cellStyle name="Separador de milhares 2 2 3 5 2" xfId="6933"/>
    <cellStyle name="Separador de milhares 2 2 3 5 2 2" xfId="10080"/>
    <cellStyle name="Separador de milhares 2 2 3 5 2 2 2" xfId="28294"/>
    <cellStyle name="Separador de milhares 2 2 3 5 2 2 2 2" xfId="54524"/>
    <cellStyle name="Separador de milhares 2 2 3 5 2 2 3" xfId="22380"/>
    <cellStyle name="Separador de milhares 2 2 3 5 2 2 3 2" xfId="48616"/>
    <cellStyle name="Separador de milhares 2 2 3 5 2 2 4" xfId="16466"/>
    <cellStyle name="Separador de milhares 2 2 3 5 2 2 4 2" xfId="42708"/>
    <cellStyle name="Separador de milhares 2 2 3 5 2 2 5" xfId="36322"/>
    <cellStyle name="Separador de milhares 2 2 3 5 2 3" xfId="25337"/>
    <cellStyle name="Separador de milhares 2 2 3 5 2 3 2" xfId="51570"/>
    <cellStyle name="Separador de milhares 2 2 3 5 2 4" xfId="19423"/>
    <cellStyle name="Separador de milhares 2 2 3 5 2 4 2" xfId="45662"/>
    <cellStyle name="Separador de milhares 2 2 3 5 2 5" xfId="13322"/>
    <cellStyle name="Separador de milhares 2 2 3 5 2 5 2" xfId="39564"/>
    <cellStyle name="Separador de milhares 2 2 3 5 2 6" xfId="33178"/>
    <cellStyle name="Separador de milhares 2 2 3 5 3" xfId="8612"/>
    <cellStyle name="Separador de milhares 2 2 3 5 3 2" xfId="26826"/>
    <cellStyle name="Separador de milhares 2 2 3 5 3 2 2" xfId="53056"/>
    <cellStyle name="Separador de milhares 2 2 3 5 3 3" xfId="20912"/>
    <cellStyle name="Separador de milhares 2 2 3 5 3 3 2" xfId="47148"/>
    <cellStyle name="Separador de milhares 2 2 3 5 3 4" xfId="14998"/>
    <cellStyle name="Separador de milhares 2 2 3 5 3 4 2" xfId="41240"/>
    <cellStyle name="Separador de milhares 2 2 3 5 3 5" xfId="34854"/>
    <cellStyle name="Separador de milhares 2 2 3 5 4" xfId="5234"/>
    <cellStyle name="Separador de milhares 2 2 3 5 4 2" xfId="23869"/>
    <cellStyle name="Separador de milhares 2 2 3 5 4 2 2" xfId="50102"/>
    <cellStyle name="Separador de milhares 2 2 3 5 4 3" xfId="31479"/>
    <cellStyle name="Separador de milhares 2 2 3 5 5" xfId="17955"/>
    <cellStyle name="Separador de milhares 2 2 3 5 5 2" xfId="44194"/>
    <cellStyle name="Separador de milhares 2 2 3 5 6" xfId="11621"/>
    <cellStyle name="Separador de milhares 2 2 3 5 6 2" xfId="37863"/>
    <cellStyle name="Separador de milhares 2 2 3 5 7" xfId="29781"/>
    <cellStyle name="Separador de milhares 2 2 3 6" xfId="2226"/>
    <cellStyle name="Separador de milhares 2 2 3 6 2" xfId="7083"/>
    <cellStyle name="Separador de milhares 2 2 3 6 2 2" xfId="10227"/>
    <cellStyle name="Separador de milhares 2 2 3 6 2 2 2" xfId="28441"/>
    <cellStyle name="Separador de milhares 2 2 3 6 2 2 2 2" xfId="54671"/>
    <cellStyle name="Separador de milhares 2 2 3 6 2 2 3" xfId="22527"/>
    <cellStyle name="Separador de milhares 2 2 3 6 2 2 3 2" xfId="48763"/>
    <cellStyle name="Separador de milhares 2 2 3 6 2 2 4" xfId="16613"/>
    <cellStyle name="Separador de milhares 2 2 3 6 2 2 4 2" xfId="42855"/>
    <cellStyle name="Separador de milhares 2 2 3 6 2 2 5" xfId="36469"/>
    <cellStyle name="Separador de milhares 2 2 3 6 2 3" xfId="25484"/>
    <cellStyle name="Separador de milhares 2 2 3 6 2 3 2" xfId="51717"/>
    <cellStyle name="Separador de milhares 2 2 3 6 2 4" xfId="19570"/>
    <cellStyle name="Separador de milhares 2 2 3 6 2 4 2" xfId="45809"/>
    <cellStyle name="Separador de milhares 2 2 3 6 2 5" xfId="13472"/>
    <cellStyle name="Separador de milhares 2 2 3 6 2 5 2" xfId="39714"/>
    <cellStyle name="Separador de milhares 2 2 3 6 2 6" xfId="33328"/>
    <cellStyle name="Separador de milhares 2 2 3 6 3" xfId="8759"/>
    <cellStyle name="Separador de milhares 2 2 3 6 3 2" xfId="26973"/>
    <cellStyle name="Separador de milhares 2 2 3 6 3 2 2" xfId="53203"/>
    <cellStyle name="Separador de milhares 2 2 3 6 3 3" xfId="21059"/>
    <cellStyle name="Separador de milhares 2 2 3 6 3 3 2" xfId="47295"/>
    <cellStyle name="Separador de milhares 2 2 3 6 3 4" xfId="15145"/>
    <cellStyle name="Separador de milhares 2 2 3 6 3 4 2" xfId="41387"/>
    <cellStyle name="Separador de milhares 2 2 3 6 3 5" xfId="35001"/>
    <cellStyle name="Separador de milhares 2 2 3 6 4" xfId="5384"/>
    <cellStyle name="Separador de milhares 2 2 3 6 4 2" xfId="24016"/>
    <cellStyle name="Separador de milhares 2 2 3 6 4 2 2" xfId="50249"/>
    <cellStyle name="Separador de milhares 2 2 3 6 4 3" xfId="31629"/>
    <cellStyle name="Separador de milhares 2 2 3 6 5" xfId="18102"/>
    <cellStyle name="Separador de milhares 2 2 3 6 5 2" xfId="44341"/>
    <cellStyle name="Separador de milhares 2 2 3 6 6" xfId="11771"/>
    <cellStyle name="Separador de milhares 2 2 3 6 6 2" xfId="38013"/>
    <cellStyle name="Separador de milhares 2 2 3 6 7" xfId="29931"/>
    <cellStyle name="Separador de milhares 2 2 3 7" xfId="2753"/>
    <cellStyle name="Separador de milhares 2 2 3 7 2" xfId="7230"/>
    <cellStyle name="Separador de milhares 2 2 3 7 2 2" xfId="10374"/>
    <cellStyle name="Separador de milhares 2 2 3 7 2 2 2" xfId="28588"/>
    <cellStyle name="Separador de milhares 2 2 3 7 2 2 2 2" xfId="54818"/>
    <cellStyle name="Separador de milhares 2 2 3 7 2 2 3" xfId="22674"/>
    <cellStyle name="Separador de milhares 2 2 3 7 2 2 3 2" xfId="48910"/>
    <cellStyle name="Separador de milhares 2 2 3 7 2 2 4" xfId="16760"/>
    <cellStyle name="Separador de milhares 2 2 3 7 2 2 4 2" xfId="43002"/>
    <cellStyle name="Separador de milhares 2 2 3 7 2 2 5" xfId="36616"/>
    <cellStyle name="Separador de milhares 2 2 3 7 2 3" xfId="25631"/>
    <cellStyle name="Separador de milhares 2 2 3 7 2 3 2" xfId="51864"/>
    <cellStyle name="Separador de milhares 2 2 3 7 2 4" xfId="19717"/>
    <cellStyle name="Separador de milhares 2 2 3 7 2 4 2" xfId="45956"/>
    <cellStyle name="Separador de milhares 2 2 3 7 2 5" xfId="13619"/>
    <cellStyle name="Separador de milhares 2 2 3 7 2 5 2" xfId="39861"/>
    <cellStyle name="Separador de milhares 2 2 3 7 2 6" xfId="33475"/>
    <cellStyle name="Separador de milhares 2 2 3 7 3" xfId="8906"/>
    <cellStyle name="Separador de milhares 2 2 3 7 3 2" xfId="27120"/>
    <cellStyle name="Separador de milhares 2 2 3 7 3 2 2" xfId="53350"/>
    <cellStyle name="Separador de milhares 2 2 3 7 3 3" xfId="21206"/>
    <cellStyle name="Separador de milhares 2 2 3 7 3 3 2" xfId="47442"/>
    <cellStyle name="Separador de milhares 2 2 3 7 3 4" xfId="15292"/>
    <cellStyle name="Separador de milhares 2 2 3 7 3 4 2" xfId="41534"/>
    <cellStyle name="Separador de milhares 2 2 3 7 3 5" xfId="35148"/>
    <cellStyle name="Separador de milhares 2 2 3 7 4" xfId="5531"/>
    <cellStyle name="Separador de milhares 2 2 3 7 4 2" xfId="24163"/>
    <cellStyle name="Separador de milhares 2 2 3 7 4 2 2" xfId="50396"/>
    <cellStyle name="Separador de milhares 2 2 3 7 4 3" xfId="31776"/>
    <cellStyle name="Separador de milhares 2 2 3 7 5" xfId="18249"/>
    <cellStyle name="Separador de milhares 2 2 3 7 5 2" xfId="44488"/>
    <cellStyle name="Separador de milhares 2 2 3 7 6" xfId="11918"/>
    <cellStyle name="Separador de milhares 2 2 3 7 6 2" xfId="38160"/>
    <cellStyle name="Separador de milhares 2 2 3 7 7" xfId="30078"/>
    <cellStyle name="Separador de milhares 2 2 3 8" xfId="3280"/>
    <cellStyle name="Separador de milhares 2 2 3 8 2" xfId="7377"/>
    <cellStyle name="Separador de milhares 2 2 3 8 2 2" xfId="10521"/>
    <cellStyle name="Separador de milhares 2 2 3 8 2 2 2" xfId="28735"/>
    <cellStyle name="Separador de milhares 2 2 3 8 2 2 2 2" xfId="54965"/>
    <cellStyle name="Separador de milhares 2 2 3 8 2 2 3" xfId="22821"/>
    <cellStyle name="Separador de milhares 2 2 3 8 2 2 3 2" xfId="49057"/>
    <cellStyle name="Separador de milhares 2 2 3 8 2 2 4" xfId="16907"/>
    <cellStyle name="Separador de milhares 2 2 3 8 2 2 4 2" xfId="43149"/>
    <cellStyle name="Separador de milhares 2 2 3 8 2 2 5" xfId="36763"/>
    <cellStyle name="Separador de milhares 2 2 3 8 2 3" xfId="25778"/>
    <cellStyle name="Separador de milhares 2 2 3 8 2 3 2" xfId="52011"/>
    <cellStyle name="Separador de milhares 2 2 3 8 2 4" xfId="19864"/>
    <cellStyle name="Separador de milhares 2 2 3 8 2 4 2" xfId="46103"/>
    <cellStyle name="Separador de milhares 2 2 3 8 2 5" xfId="13766"/>
    <cellStyle name="Separador de milhares 2 2 3 8 2 5 2" xfId="40008"/>
    <cellStyle name="Separador de milhares 2 2 3 8 2 6" xfId="33622"/>
    <cellStyle name="Separador de milhares 2 2 3 8 3" xfId="9053"/>
    <cellStyle name="Separador de milhares 2 2 3 8 3 2" xfId="27267"/>
    <cellStyle name="Separador de milhares 2 2 3 8 3 2 2" xfId="53497"/>
    <cellStyle name="Separador de milhares 2 2 3 8 3 3" xfId="21353"/>
    <cellStyle name="Separador de milhares 2 2 3 8 3 3 2" xfId="47589"/>
    <cellStyle name="Separador de milhares 2 2 3 8 3 4" xfId="15439"/>
    <cellStyle name="Separador de milhares 2 2 3 8 3 4 2" xfId="41681"/>
    <cellStyle name="Separador de milhares 2 2 3 8 3 5" xfId="35295"/>
    <cellStyle name="Separador de milhares 2 2 3 8 4" xfId="5678"/>
    <cellStyle name="Separador de milhares 2 2 3 8 4 2" xfId="24310"/>
    <cellStyle name="Separador de milhares 2 2 3 8 4 2 2" xfId="50543"/>
    <cellStyle name="Separador de milhares 2 2 3 8 4 3" xfId="31923"/>
    <cellStyle name="Separador de milhares 2 2 3 8 5" xfId="18396"/>
    <cellStyle name="Separador de milhares 2 2 3 8 5 2" xfId="44635"/>
    <cellStyle name="Separador de milhares 2 2 3 8 6" xfId="12065"/>
    <cellStyle name="Separador de milhares 2 2 3 8 6 2" xfId="38307"/>
    <cellStyle name="Separador de milhares 2 2 3 8 7" xfId="30225"/>
    <cellStyle name="Separador de milhares 2 2 3 9" xfId="3807"/>
    <cellStyle name="Separador de milhares 2 2 3 9 2" xfId="7524"/>
    <cellStyle name="Separador de milhares 2 2 3 9 2 2" xfId="10668"/>
    <cellStyle name="Separador de milhares 2 2 3 9 2 2 2" xfId="28882"/>
    <cellStyle name="Separador de milhares 2 2 3 9 2 2 2 2" xfId="55112"/>
    <cellStyle name="Separador de milhares 2 2 3 9 2 2 3" xfId="22968"/>
    <cellStyle name="Separador de milhares 2 2 3 9 2 2 3 2" xfId="49204"/>
    <cellStyle name="Separador de milhares 2 2 3 9 2 2 4" xfId="17054"/>
    <cellStyle name="Separador de milhares 2 2 3 9 2 2 4 2" xfId="43296"/>
    <cellStyle name="Separador de milhares 2 2 3 9 2 2 5" xfId="36910"/>
    <cellStyle name="Separador de milhares 2 2 3 9 2 3" xfId="25925"/>
    <cellStyle name="Separador de milhares 2 2 3 9 2 3 2" xfId="52158"/>
    <cellStyle name="Separador de milhares 2 2 3 9 2 4" xfId="20011"/>
    <cellStyle name="Separador de milhares 2 2 3 9 2 4 2" xfId="46250"/>
    <cellStyle name="Separador de milhares 2 2 3 9 2 5" xfId="13913"/>
    <cellStyle name="Separador de milhares 2 2 3 9 2 5 2" xfId="40155"/>
    <cellStyle name="Separador de milhares 2 2 3 9 2 6" xfId="33769"/>
    <cellStyle name="Separador de milhares 2 2 3 9 3" xfId="9200"/>
    <cellStyle name="Separador de milhares 2 2 3 9 3 2" xfId="27414"/>
    <cellStyle name="Separador de milhares 2 2 3 9 3 2 2" xfId="53644"/>
    <cellStyle name="Separador de milhares 2 2 3 9 3 3" xfId="21500"/>
    <cellStyle name="Separador de milhares 2 2 3 9 3 3 2" xfId="47736"/>
    <cellStyle name="Separador de milhares 2 2 3 9 3 4" xfId="15586"/>
    <cellStyle name="Separador de milhares 2 2 3 9 3 4 2" xfId="41828"/>
    <cellStyle name="Separador de milhares 2 2 3 9 3 5" xfId="35442"/>
    <cellStyle name="Separador de milhares 2 2 3 9 4" xfId="5825"/>
    <cellStyle name="Separador de milhares 2 2 3 9 4 2" xfId="24457"/>
    <cellStyle name="Separador de milhares 2 2 3 9 4 2 2" xfId="50690"/>
    <cellStyle name="Separador de milhares 2 2 3 9 4 3" xfId="32070"/>
    <cellStyle name="Separador de milhares 2 2 3 9 5" xfId="18543"/>
    <cellStyle name="Separador de milhares 2 2 3 9 5 2" xfId="44782"/>
    <cellStyle name="Separador de milhares 2 2 3 9 6" xfId="12212"/>
    <cellStyle name="Separador de milhares 2 2 3 9 6 2" xfId="38454"/>
    <cellStyle name="Separador de milhares 2 2 3 9 7" xfId="30372"/>
    <cellStyle name="Separador de milhares 2 2 4" xfId="259"/>
    <cellStyle name="Separador de milhares 2 2 4 10" xfId="6515"/>
    <cellStyle name="Separador de milhares 2 2 4 10 2" xfId="9666"/>
    <cellStyle name="Separador de milhares 2 2 4 10 2 2" xfId="27880"/>
    <cellStyle name="Separador de milhares 2 2 4 10 2 2 2" xfId="54110"/>
    <cellStyle name="Separador de milhares 2 2 4 10 2 3" xfId="21966"/>
    <cellStyle name="Separador de milhares 2 2 4 10 2 3 2" xfId="48202"/>
    <cellStyle name="Separador de milhares 2 2 4 10 2 4" xfId="16052"/>
    <cellStyle name="Separador de milhares 2 2 4 10 2 4 2" xfId="42294"/>
    <cellStyle name="Separador de milhares 2 2 4 10 2 5" xfId="35908"/>
    <cellStyle name="Separador de milhares 2 2 4 10 3" xfId="24923"/>
    <cellStyle name="Separador de milhares 2 2 4 10 3 2" xfId="51156"/>
    <cellStyle name="Separador de milhares 2 2 4 10 4" xfId="19009"/>
    <cellStyle name="Separador de milhares 2 2 4 10 4 2" xfId="45248"/>
    <cellStyle name="Separador de milhares 2 2 4 10 5" xfId="12904"/>
    <cellStyle name="Separador de milhares 2 2 4 10 5 2" xfId="39146"/>
    <cellStyle name="Separador de milhares 2 2 4 10 6" xfId="32760"/>
    <cellStyle name="Separador de milhares 2 2 4 11" xfId="8195"/>
    <cellStyle name="Separador de milhares 2 2 4 11 2" xfId="26409"/>
    <cellStyle name="Separador de milhares 2 2 4 11 2 2" xfId="52642"/>
    <cellStyle name="Separador de milhares 2 2 4 11 3" xfId="20495"/>
    <cellStyle name="Separador de milhares 2 2 4 11 3 2" xfId="46734"/>
    <cellStyle name="Separador de milhares 2 2 4 11 4" xfId="14584"/>
    <cellStyle name="Separador de milhares 2 2 4 11 4 2" xfId="40826"/>
    <cellStyle name="Separador de milhares 2 2 4 11 5" xfId="34440"/>
    <cellStyle name="Separador de milhares 2 2 4 12" xfId="4814"/>
    <cellStyle name="Separador de milhares 2 2 4 12 2" xfId="23452"/>
    <cellStyle name="Separador de milhares 2 2 4 12 2 2" xfId="49688"/>
    <cellStyle name="Separador de milhares 2 2 4 12 3" xfId="31061"/>
    <cellStyle name="Separador de milhares 2 2 4 13" xfId="17538"/>
    <cellStyle name="Separador de milhares 2 2 4 13 2" xfId="43780"/>
    <cellStyle name="Separador de milhares 2 2 4 14" xfId="11203"/>
    <cellStyle name="Separador de milhares 2 2 4 14 2" xfId="37445"/>
    <cellStyle name="Separador de milhares 2 2 4 15" xfId="29363"/>
    <cellStyle name="Separador de milhares 2 2 4 2" xfId="697"/>
    <cellStyle name="Separador de milhares 2 2 4 2 2" xfId="6632"/>
    <cellStyle name="Separador de milhares 2 2 4 2 2 2" xfId="9779"/>
    <cellStyle name="Separador de milhares 2 2 4 2 2 2 2" xfId="27993"/>
    <cellStyle name="Separador de milhares 2 2 4 2 2 2 2 2" xfId="54223"/>
    <cellStyle name="Separador de milhares 2 2 4 2 2 2 3" xfId="22079"/>
    <cellStyle name="Separador de milhares 2 2 4 2 2 2 3 2" xfId="48315"/>
    <cellStyle name="Separador de milhares 2 2 4 2 2 2 4" xfId="16165"/>
    <cellStyle name="Separador de milhares 2 2 4 2 2 2 4 2" xfId="42407"/>
    <cellStyle name="Separador de milhares 2 2 4 2 2 2 5" xfId="36021"/>
    <cellStyle name="Separador de milhares 2 2 4 2 2 3" xfId="25036"/>
    <cellStyle name="Separador de milhares 2 2 4 2 2 3 2" xfId="51269"/>
    <cellStyle name="Separador de milhares 2 2 4 2 2 4" xfId="19122"/>
    <cellStyle name="Separador de milhares 2 2 4 2 2 4 2" xfId="45361"/>
    <cellStyle name="Separador de milhares 2 2 4 2 2 5" xfId="13021"/>
    <cellStyle name="Separador de milhares 2 2 4 2 2 5 2" xfId="39263"/>
    <cellStyle name="Separador de milhares 2 2 4 2 2 6" xfId="32877"/>
    <cellStyle name="Separador de milhares 2 2 4 2 3" xfId="8311"/>
    <cellStyle name="Separador de milhares 2 2 4 2 3 2" xfId="26525"/>
    <cellStyle name="Separador de milhares 2 2 4 2 3 2 2" xfId="52755"/>
    <cellStyle name="Separador de milhares 2 2 4 2 3 3" xfId="20611"/>
    <cellStyle name="Separador de milhares 2 2 4 2 3 3 2" xfId="46847"/>
    <cellStyle name="Separador de milhares 2 2 4 2 3 4" xfId="14697"/>
    <cellStyle name="Separador de milhares 2 2 4 2 3 4 2" xfId="40939"/>
    <cellStyle name="Separador de milhares 2 2 4 2 3 5" xfId="34553"/>
    <cellStyle name="Separador de milhares 2 2 4 2 4" xfId="4933"/>
    <cellStyle name="Separador de milhares 2 2 4 2 4 2" xfId="23568"/>
    <cellStyle name="Separador de milhares 2 2 4 2 4 2 2" xfId="49801"/>
    <cellStyle name="Separador de milhares 2 2 4 2 4 3" xfId="31178"/>
    <cellStyle name="Separador de milhares 2 2 4 2 5" xfId="17654"/>
    <cellStyle name="Separador de milhares 2 2 4 2 5 2" xfId="43893"/>
    <cellStyle name="Separador de milhares 2 2 4 2 6" xfId="11320"/>
    <cellStyle name="Separador de milhares 2 2 4 2 6 2" xfId="37562"/>
    <cellStyle name="Separador de milhares 2 2 4 2 7" xfId="29480"/>
    <cellStyle name="Separador de milhares 2 2 4 3" xfId="819"/>
    <cellStyle name="Separador de milhares 2 2 4 3 2" xfId="6688"/>
    <cellStyle name="Separador de milhares 2 2 4 3 2 2" xfId="9835"/>
    <cellStyle name="Separador de milhares 2 2 4 3 2 2 2" xfId="28049"/>
    <cellStyle name="Separador de milhares 2 2 4 3 2 2 2 2" xfId="54279"/>
    <cellStyle name="Separador de milhares 2 2 4 3 2 2 3" xfId="22135"/>
    <cellStyle name="Separador de milhares 2 2 4 3 2 2 3 2" xfId="48371"/>
    <cellStyle name="Separador de milhares 2 2 4 3 2 2 4" xfId="16221"/>
    <cellStyle name="Separador de milhares 2 2 4 3 2 2 4 2" xfId="42463"/>
    <cellStyle name="Separador de milhares 2 2 4 3 2 2 5" xfId="36077"/>
    <cellStyle name="Separador de milhares 2 2 4 3 2 3" xfId="25092"/>
    <cellStyle name="Separador de milhares 2 2 4 3 2 3 2" xfId="51325"/>
    <cellStyle name="Separador de milhares 2 2 4 3 2 4" xfId="19178"/>
    <cellStyle name="Separador de milhares 2 2 4 3 2 4 2" xfId="45417"/>
    <cellStyle name="Separador de milhares 2 2 4 3 2 5" xfId="13077"/>
    <cellStyle name="Separador de milhares 2 2 4 3 2 5 2" xfId="39319"/>
    <cellStyle name="Separador de milhares 2 2 4 3 2 6" xfId="32933"/>
    <cellStyle name="Separador de milhares 2 2 4 3 3" xfId="8367"/>
    <cellStyle name="Separador de milhares 2 2 4 3 3 2" xfId="26581"/>
    <cellStyle name="Separador de milhares 2 2 4 3 3 2 2" xfId="52811"/>
    <cellStyle name="Separador de milhares 2 2 4 3 3 3" xfId="20667"/>
    <cellStyle name="Separador de milhares 2 2 4 3 3 3 2" xfId="46903"/>
    <cellStyle name="Separador de milhares 2 2 4 3 3 4" xfId="14753"/>
    <cellStyle name="Separador de milhares 2 2 4 3 3 4 2" xfId="40995"/>
    <cellStyle name="Separador de milhares 2 2 4 3 3 5" xfId="34609"/>
    <cellStyle name="Separador de milhares 2 2 4 3 4" xfId="4989"/>
    <cellStyle name="Separador de milhares 2 2 4 3 4 2" xfId="23624"/>
    <cellStyle name="Separador de milhares 2 2 4 3 4 2 2" xfId="49857"/>
    <cellStyle name="Separador de milhares 2 2 4 3 4 3" xfId="31234"/>
    <cellStyle name="Separador de milhares 2 2 4 3 5" xfId="17710"/>
    <cellStyle name="Separador de milhares 2 2 4 3 5 2" xfId="43949"/>
    <cellStyle name="Separador de milhares 2 2 4 3 6" xfId="11376"/>
    <cellStyle name="Separador de milhares 2 2 4 3 6 2" xfId="37618"/>
    <cellStyle name="Separador de milhares 2 2 4 3 7" xfId="29536"/>
    <cellStyle name="Separador de milhares 2 2 4 4" xfId="1170"/>
    <cellStyle name="Separador de milhares 2 2 4 4 2" xfId="6786"/>
    <cellStyle name="Separador de milhares 2 2 4 4 2 2" xfId="9933"/>
    <cellStyle name="Separador de milhares 2 2 4 4 2 2 2" xfId="28147"/>
    <cellStyle name="Separador de milhares 2 2 4 4 2 2 2 2" xfId="54377"/>
    <cellStyle name="Separador de milhares 2 2 4 4 2 2 3" xfId="22233"/>
    <cellStyle name="Separador de milhares 2 2 4 4 2 2 3 2" xfId="48469"/>
    <cellStyle name="Separador de milhares 2 2 4 4 2 2 4" xfId="16319"/>
    <cellStyle name="Separador de milhares 2 2 4 4 2 2 4 2" xfId="42561"/>
    <cellStyle name="Separador de milhares 2 2 4 4 2 2 5" xfId="36175"/>
    <cellStyle name="Separador de milhares 2 2 4 4 2 3" xfId="25190"/>
    <cellStyle name="Separador de milhares 2 2 4 4 2 3 2" xfId="51423"/>
    <cellStyle name="Separador de milhares 2 2 4 4 2 4" xfId="19276"/>
    <cellStyle name="Separador de milhares 2 2 4 4 2 4 2" xfId="45515"/>
    <cellStyle name="Separador de milhares 2 2 4 4 2 5" xfId="13175"/>
    <cellStyle name="Separador de milhares 2 2 4 4 2 5 2" xfId="39417"/>
    <cellStyle name="Separador de milhares 2 2 4 4 2 6" xfId="33031"/>
    <cellStyle name="Separador de milhares 2 2 4 4 3" xfId="8465"/>
    <cellStyle name="Separador de milhares 2 2 4 4 3 2" xfId="26679"/>
    <cellStyle name="Separador de milhares 2 2 4 4 3 2 2" xfId="52909"/>
    <cellStyle name="Separador de milhares 2 2 4 4 3 3" xfId="20765"/>
    <cellStyle name="Separador de milhares 2 2 4 4 3 3 2" xfId="47001"/>
    <cellStyle name="Separador de milhares 2 2 4 4 3 4" xfId="14851"/>
    <cellStyle name="Separador de milhares 2 2 4 4 3 4 2" xfId="41093"/>
    <cellStyle name="Separador de milhares 2 2 4 4 3 5" xfId="34707"/>
    <cellStyle name="Separador de milhares 2 2 4 4 4" xfId="5087"/>
    <cellStyle name="Separador de milhares 2 2 4 4 4 2" xfId="23722"/>
    <cellStyle name="Separador de milhares 2 2 4 4 4 2 2" xfId="49955"/>
    <cellStyle name="Separador de milhares 2 2 4 4 4 3" xfId="31332"/>
    <cellStyle name="Separador de milhares 2 2 4 4 5" xfId="17808"/>
    <cellStyle name="Separador de milhares 2 2 4 4 5 2" xfId="44047"/>
    <cellStyle name="Separador de milhares 2 2 4 4 6" xfId="11474"/>
    <cellStyle name="Separador de milhares 2 2 4 4 6 2" xfId="37716"/>
    <cellStyle name="Separador de milhares 2 2 4 4 7" xfId="29634"/>
    <cellStyle name="Separador de milhares 2 2 4 5" xfId="1605"/>
    <cellStyle name="Separador de milhares 2 2 4 5 2" xfId="6905"/>
    <cellStyle name="Separador de milhares 2 2 4 5 2 2" xfId="10052"/>
    <cellStyle name="Separador de milhares 2 2 4 5 2 2 2" xfId="28266"/>
    <cellStyle name="Separador de milhares 2 2 4 5 2 2 2 2" xfId="54496"/>
    <cellStyle name="Separador de milhares 2 2 4 5 2 2 3" xfId="22352"/>
    <cellStyle name="Separador de milhares 2 2 4 5 2 2 3 2" xfId="48588"/>
    <cellStyle name="Separador de milhares 2 2 4 5 2 2 4" xfId="16438"/>
    <cellStyle name="Separador de milhares 2 2 4 5 2 2 4 2" xfId="42680"/>
    <cellStyle name="Separador de milhares 2 2 4 5 2 2 5" xfId="36294"/>
    <cellStyle name="Separador de milhares 2 2 4 5 2 3" xfId="25309"/>
    <cellStyle name="Separador de milhares 2 2 4 5 2 3 2" xfId="51542"/>
    <cellStyle name="Separador de milhares 2 2 4 5 2 4" xfId="19395"/>
    <cellStyle name="Separador de milhares 2 2 4 5 2 4 2" xfId="45634"/>
    <cellStyle name="Separador de milhares 2 2 4 5 2 5" xfId="13294"/>
    <cellStyle name="Separador de milhares 2 2 4 5 2 5 2" xfId="39536"/>
    <cellStyle name="Separador de milhares 2 2 4 5 2 6" xfId="33150"/>
    <cellStyle name="Separador de milhares 2 2 4 5 3" xfId="8584"/>
    <cellStyle name="Separador de milhares 2 2 4 5 3 2" xfId="26798"/>
    <cellStyle name="Separador de milhares 2 2 4 5 3 2 2" xfId="53028"/>
    <cellStyle name="Separador de milhares 2 2 4 5 3 3" xfId="20884"/>
    <cellStyle name="Separador de milhares 2 2 4 5 3 3 2" xfId="47120"/>
    <cellStyle name="Separador de milhares 2 2 4 5 3 4" xfId="14970"/>
    <cellStyle name="Separador de milhares 2 2 4 5 3 4 2" xfId="41212"/>
    <cellStyle name="Separador de milhares 2 2 4 5 3 5" xfId="34826"/>
    <cellStyle name="Separador de milhares 2 2 4 5 4" xfId="5206"/>
    <cellStyle name="Separador de milhares 2 2 4 5 4 2" xfId="23841"/>
    <cellStyle name="Separador de milhares 2 2 4 5 4 2 2" xfId="50074"/>
    <cellStyle name="Separador de milhares 2 2 4 5 4 3" xfId="31451"/>
    <cellStyle name="Separador de milhares 2 2 4 5 5" xfId="17927"/>
    <cellStyle name="Separador de milhares 2 2 4 5 5 2" xfId="44166"/>
    <cellStyle name="Separador de milhares 2 2 4 5 6" xfId="11593"/>
    <cellStyle name="Separador de milhares 2 2 4 5 6 2" xfId="37835"/>
    <cellStyle name="Separador de milhares 2 2 4 5 7" xfId="29753"/>
    <cellStyle name="Separador de milhares 2 2 4 6" xfId="2135"/>
    <cellStyle name="Separador de milhares 2 2 4 6 2" xfId="7055"/>
    <cellStyle name="Separador de milhares 2 2 4 6 2 2" xfId="10199"/>
    <cellStyle name="Separador de milhares 2 2 4 6 2 2 2" xfId="28413"/>
    <cellStyle name="Separador de milhares 2 2 4 6 2 2 2 2" xfId="54643"/>
    <cellStyle name="Separador de milhares 2 2 4 6 2 2 3" xfId="22499"/>
    <cellStyle name="Separador de milhares 2 2 4 6 2 2 3 2" xfId="48735"/>
    <cellStyle name="Separador de milhares 2 2 4 6 2 2 4" xfId="16585"/>
    <cellStyle name="Separador de milhares 2 2 4 6 2 2 4 2" xfId="42827"/>
    <cellStyle name="Separador de milhares 2 2 4 6 2 2 5" xfId="36441"/>
    <cellStyle name="Separador de milhares 2 2 4 6 2 3" xfId="25456"/>
    <cellStyle name="Separador de milhares 2 2 4 6 2 3 2" xfId="51689"/>
    <cellStyle name="Separador de milhares 2 2 4 6 2 4" xfId="19542"/>
    <cellStyle name="Separador de milhares 2 2 4 6 2 4 2" xfId="45781"/>
    <cellStyle name="Separador de milhares 2 2 4 6 2 5" xfId="13444"/>
    <cellStyle name="Separador de milhares 2 2 4 6 2 5 2" xfId="39686"/>
    <cellStyle name="Separador de milhares 2 2 4 6 2 6" xfId="33300"/>
    <cellStyle name="Separador de milhares 2 2 4 6 3" xfId="8731"/>
    <cellStyle name="Separador de milhares 2 2 4 6 3 2" xfId="26945"/>
    <cellStyle name="Separador de milhares 2 2 4 6 3 2 2" xfId="53175"/>
    <cellStyle name="Separador de milhares 2 2 4 6 3 3" xfId="21031"/>
    <cellStyle name="Separador de milhares 2 2 4 6 3 3 2" xfId="47267"/>
    <cellStyle name="Separador de milhares 2 2 4 6 3 4" xfId="15117"/>
    <cellStyle name="Separador de milhares 2 2 4 6 3 4 2" xfId="41359"/>
    <cellStyle name="Separador de milhares 2 2 4 6 3 5" xfId="34973"/>
    <cellStyle name="Separador de milhares 2 2 4 6 4" xfId="5356"/>
    <cellStyle name="Separador de milhares 2 2 4 6 4 2" xfId="23988"/>
    <cellStyle name="Separador de milhares 2 2 4 6 4 2 2" xfId="50221"/>
    <cellStyle name="Separador de milhares 2 2 4 6 4 3" xfId="31601"/>
    <cellStyle name="Separador de milhares 2 2 4 6 5" xfId="18074"/>
    <cellStyle name="Separador de milhares 2 2 4 6 5 2" xfId="44313"/>
    <cellStyle name="Separador de milhares 2 2 4 6 6" xfId="11743"/>
    <cellStyle name="Separador de milhares 2 2 4 6 6 2" xfId="37985"/>
    <cellStyle name="Separador de milhares 2 2 4 6 7" xfId="29903"/>
    <cellStyle name="Separador de milhares 2 2 4 7" xfId="2662"/>
    <cellStyle name="Separador de milhares 2 2 4 7 2" xfId="7202"/>
    <cellStyle name="Separador de milhares 2 2 4 7 2 2" xfId="10346"/>
    <cellStyle name="Separador de milhares 2 2 4 7 2 2 2" xfId="28560"/>
    <cellStyle name="Separador de milhares 2 2 4 7 2 2 2 2" xfId="54790"/>
    <cellStyle name="Separador de milhares 2 2 4 7 2 2 3" xfId="22646"/>
    <cellStyle name="Separador de milhares 2 2 4 7 2 2 3 2" xfId="48882"/>
    <cellStyle name="Separador de milhares 2 2 4 7 2 2 4" xfId="16732"/>
    <cellStyle name="Separador de milhares 2 2 4 7 2 2 4 2" xfId="42974"/>
    <cellStyle name="Separador de milhares 2 2 4 7 2 2 5" xfId="36588"/>
    <cellStyle name="Separador de milhares 2 2 4 7 2 3" xfId="25603"/>
    <cellStyle name="Separador de milhares 2 2 4 7 2 3 2" xfId="51836"/>
    <cellStyle name="Separador de milhares 2 2 4 7 2 4" xfId="19689"/>
    <cellStyle name="Separador de milhares 2 2 4 7 2 4 2" xfId="45928"/>
    <cellStyle name="Separador de milhares 2 2 4 7 2 5" xfId="13591"/>
    <cellStyle name="Separador de milhares 2 2 4 7 2 5 2" xfId="39833"/>
    <cellStyle name="Separador de milhares 2 2 4 7 2 6" xfId="33447"/>
    <cellStyle name="Separador de milhares 2 2 4 7 3" xfId="8878"/>
    <cellStyle name="Separador de milhares 2 2 4 7 3 2" xfId="27092"/>
    <cellStyle name="Separador de milhares 2 2 4 7 3 2 2" xfId="53322"/>
    <cellStyle name="Separador de milhares 2 2 4 7 3 3" xfId="21178"/>
    <cellStyle name="Separador de milhares 2 2 4 7 3 3 2" xfId="47414"/>
    <cellStyle name="Separador de milhares 2 2 4 7 3 4" xfId="15264"/>
    <cellStyle name="Separador de milhares 2 2 4 7 3 4 2" xfId="41506"/>
    <cellStyle name="Separador de milhares 2 2 4 7 3 5" xfId="35120"/>
    <cellStyle name="Separador de milhares 2 2 4 7 4" xfId="5503"/>
    <cellStyle name="Separador de milhares 2 2 4 7 4 2" xfId="24135"/>
    <cellStyle name="Separador de milhares 2 2 4 7 4 2 2" xfId="50368"/>
    <cellStyle name="Separador de milhares 2 2 4 7 4 3" xfId="31748"/>
    <cellStyle name="Separador de milhares 2 2 4 7 5" xfId="18221"/>
    <cellStyle name="Separador de milhares 2 2 4 7 5 2" xfId="44460"/>
    <cellStyle name="Separador de milhares 2 2 4 7 6" xfId="11890"/>
    <cellStyle name="Separador de milhares 2 2 4 7 6 2" xfId="38132"/>
    <cellStyle name="Separador de milhares 2 2 4 7 7" xfId="30050"/>
    <cellStyle name="Separador de milhares 2 2 4 8" xfId="3189"/>
    <cellStyle name="Separador de milhares 2 2 4 8 2" xfId="7349"/>
    <cellStyle name="Separador de milhares 2 2 4 8 2 2" xfId="10493"/>
    <cellStyle name="Separador de milhares 2 2 4 8 2 2 2" xfId="28707"/>
    <cellStyle name="Separador de milhares 2 2 4 8 2 2 2 2" xfId="54937"/>
    <cellStyle name="Separador de milhares 2 2 4 8 2 2 3" xfId="22793"/>
    <cellStyle name="Separador de milhares 2 2 4 8 2 2 3 2" xfId="49029"/>
    <cellStyle name="Separador de milhares 2 2 4 8 2 2 4" xfId="16879"/>
    <cellStyle name="Separador de milhares 2 2 4 8 2 2 4 2" xfId="43121"/>
    <cellStyle name="Separador de milhares 2 2 4 8 2 2 5" xfId="36735"/>
    <cellStyle name="Separador de milhares 2 2 4 8 2 3" xfId="25750"/>
    <cellStyle name="Separador de milhares 2 2 4 8 2 3 2" xfId="51983"/>
    <cellStyle name="Separador de milhares 2 2 4 8 2 4" xfId="19836"/>
    <cellStyle name="Separador de milhares 2 2 4 8 2 4 2" xfId="46075"/>
    <cellStyle name="Separador de milhares 2 2 4 8 2 5" xfId="13738"/>
    <cellStyle name="Separador de milhares 2 2 4 8 2 5 2" xfId="39980"/>
    <cellStyle name="Separador de milhares 2 2 4 8 2 6" xfId="33594"/>
    <cellStyle name="Separador de milhares 2 2 4 8 3" xfId="9025"/>
    <cellStyle name="Separador de milhares 2 2 4 8 3 2" xfId="27239"/>
    <cellStyle name="Separador de milhares 2 2 4 8 3 2 2" xfId="53469"/>
    <cellStyle name="Separador de milhares 2 2 4 8 3 3" xfId="21325"/>
    <cellStyle name="Separador de milhares 2 2 4 8 3 3 2" xfId="47561"/>
    <cellStyle name="Separador de milhares 2 2 4 8 3 4" xfId="15411"/>
    <cellStyle name="Separador de milhares 2 2 4 8 3 4 2" xfId="41653"/>
    <cellStyle name="Separador de milhares 2 2 4 8 3 5" xfId="35267"/>
    <cellStyle name="Separador de milhares 2 2 4 8 4" xfId="5650"/>
    <cellStyle name="Separador de milhares 2 2 4 8 4 2" xfId="24282"/>
    <cellStyle name="Separador de milhares 2 2 4 8 4 2 2" xfId="50515"/>
    <cellStyle name="Separador de milhares 2 2 4 8 4 3" xfId="31895"/>
    <cellStyle name="Separador de milhares 2 2 4 8 5" xfId="18368"/>
    <cellStyle name="Separador de milhares 2 2 4 8 5 2" xfId="44607"/>
    <cellStyle name="Separador de milhares 2 2 4 8 6" xfId="12037"/>
    <cellStyle name="Separador de milhares 2 2 4 8 6 2" xfId="38279"/>
    <cellStyle name="Separador de milhares 2 2 4 8 7" xfId="30197"/>
    <cellStyle name="Separador de milhares 2 2 4 9" xfId="3716"/>
    <cellStyle name="Separador de milhares 2 2 4 9 2" xfId="7496"/>
    <cellStyle name="Separador de milhares 2 2 4 9 2 2" xfId="10640"/>
    <cellStyle name="Separador de milhares 2 2 4 9 2 2 2" xfId="28854"/>
    <cellStyle name="Separador de milhares 2 2 4 9 2 2 2 2" xfId="55084"/>
    <cellStyle name="Separador de milhares 2 2 4 9 2 2 3" xfId="22940"/>
    <cellStyle name="Separador de milhares 2 2 4 9 2 2 3 2" xfId="49176"/>
    <cellStyle name="Separador de milhares 2 2 4 9 2 2 4" xfId="17026"/>
    <cellStyle name="Separador de milhares 2 2 4 9 2 2 4 2" xfId="43268"/>
    <cellStyle name="Separador de milhares 2 2 4 9 2 2 5" xfId="36882"/>
    <cellStyle name="Separador de milhares 2 2 4 9 2 3" xfId="25897"/>
    <cellStyle name="Separador de milhares 2 2 4 9 2 3 2" xfId="52130"/>
    <cellStyle name="Separador de milhares 2 2 4 9 2 4" xfId="19983"/>
    <cellStyle name="Separador de milhares 2 2 4 9 2 4 2" xfId="46222"/>
    <cellStyle name="Separador de milhares 2 2 4 9 2 5" xfId="13885"/>
    <cellStyle name="Separador de milhares 2 2 4 9 2 5 2" xfId="40127"/>
    <cellStyle name="Separador de milhares 2 2 4 9 2 6" xfId="33741"/>
    <cellStyle name="Separador de milhares 2 2 4 9 3" xfId="9172"/>
    <cellStyle name="Separador de milhares 2 2 4 9 3 2" xfId="27386"/>
    <cellStyle name="Separador de milhares 2 2 4 9 3 2 2" xfId="53616"/>
    <cellStyle name="Separador de milhares 2 2 4 9 3 3" xfId="21472"/>
    <cellStyle name="Separador de milhares 2 2 4 9 3 3 2" xfId="47708"/>
    <cellStyle name="Separador de milhares 2 2 4 9 3 4" xfId="15558"/>
    <cellStyle name="Separador de milhares 2 2 4 9 3 4 2" xfId="41800"/>
    <cellStyle name="Separador de milhares 2 2 4 9 3 5" xfId="35414"/>
    <cellStyle name="Separador de milhares 2 2 4 9 4" xfId="5797"/>
    <cellStyle name="Separador de milhares 2 2 4 9 4 2" xfId="24429"/>
    <cellStyle name="Separador de milhares 2 2 4 9 4 2 2" xfId="50662"/>
    <cellStyle name="Separador de milhares 2 2 4 9 4 3" xfId="32042"/>
    <cellStyle name="Separador de milhares 2 2 4 9 5" xfId="18515"/>
    <cellStyle name="Separador de milhares 2 2 4 9 5 2" xfId="44754"/>
    <cellStyle name="Separador de milhares 2 2 4 9 6" xfId="12184"/>
    <cellStyle name="Separador de milhares 2 2 4 9 6 2" xfId="38426"/>
    <cellStyle name="Separador de milhares 2 2 4 9 7" xfId="30344"/>
    <cellStyle name="Separador de milhares 2 2 5" xfId="6455"/>
    <cellStyle name="Separador de milhares 2 2 5 2" xfId="9611"/>
    <cellStyle name="Separador de milhares 2 2 5 2 2" xfId="27825"/>
    <cellStyle name="Separador de milhares 2 2 5 2 2 2" xfId="54055"/>
    <cellStyle name="Separador de milhares 2 2 5 2 3" xfId="21911"/>
    <cellStyle name="Separador de milhares 2 2 5 2 3 2" xfId="48147"/>
    <cellStyle name="Separador de milhares 2 2 5 2 4" xfId="15997"/>
    <cellStyle name="Separador de milhares 2 2 5 2 4 2" xfId="42239"/>
    <cellStyle name="Separador de milhares 2 2 5 2 5" xfId="35853"/>
    <cellStyle name="Separador de milhares 2 2 5 3" xfId="24868"/>
    <cellStyle name="Separador de milhares 2 2 5 3 2" xfId="51101"/>
    <cellStyle name="Separador de milhares 2 2 5 4" xfId="18954"/>
    <cellStyle name="Separador de milhares 2 2 5 4 2" xfId="45193"/>
    <cellStyle name="Separador de milhares 2 2 5 5" xfId="12844"/>
    <cellStyle name="Separador de milhares 2 2 5 5 2" xfId="39086"/>
    <cellStyle name="Separador de milhares 2 2 5 6" xfId="32700"/>
    <cellStyle name="Separador de milhares 2 2 6" xfId="8140"/>
    <cellStyle name="Separador de milhares 2 2 6 2" xfId="26354"/>
    <cellStyle name="Separador de milhares 2 2 6 2 2" xfId="52587"/>
    <cellStyle name="Separador de milhares 2 2 6 3" xfId="20440"/>
    <cellStyle name="Separador de milhares 2 2 6 3 2" xfId="46679"/>
    <cellStyle name="Separador de milhares 2 2 6 4" xfId="14529"/>
    <cellStyle name="Separador de milhares 2 2 6 4 2" xfId="40771"/>
    <cellStyle name="Separador de milhares 2 2 6 5" xfId="34385"/>
    <cellStyle name="Separador de milhares 2 2 7" xfId="4753"/>
    <cellStyle name="Separador de milhares 2 2 7 2" xfId="23397"/>
    <cellStyle name="Separador de milhares 2 2 7 2 2" xfId="49633"/>
    <cellStyle name="Separador de milhares 2 2 7 3" xfId="31001"/>
    <cellStyle name="Separador de milhares 2 2 8" xfId="17483"/>
    <cellStyle name="Separador de milhares 2 2 8 2" xfId="43725"/>
    <cellStyle name="Separador de milhares 2 2 9" xfId="11143"/>
    <cellStyle name="Separador de milhares 2 2 9 2" xfId="37385"/>
    <cellStyle name="Separador de milhares 2 3" xfId="156"/>
    <cellStyle name="Separador de milhares 2 3 2" xfId="250"/>
    <cellStyle name="Separador de milhares 2 3 2 10" xfId="6509"/>
    <cellStyle name="Separador de milhares 2 3 2 10 2" xfId="9662"/>
    <cellStyle name="Separador de milhares 2 3 2 10 2 2" xfId="27876"/>
    <cellStyle name="Separador de milhares 2 3 2 10 2 2 2" xfId="54106"/>
    <cellStyle name="Separador de milhares 2 3 2 10 2 3" xfId="21962"/>
    <cellStyle name="Separador de milhares 2 3 2 10 2 3 2" xfId="48198"/>
    <cellStyle name="Separador de milhares 2 3 2 10 2 4" xfId="16048"/>
    <cellStyle name="Separador de milhares 2 3 2 10 2 4 2" xfId="42290"/>
    <cellStyle name="Separador de milhares 2 3 2 10 2 5" xfId="35904"/>
    <cellStyle name="Separador de milhares 2 3 2 10 3" xfId="24919"/>
    <cellStyle name="Separador de milhares 2 3 2 10 3 2" xfId="51152"/>
    <cellStyle name="Separador de milhares 2 3 2 10 4" xfId="19005"/>
    <cellStyle name="Separador de milhares 2 3 2 10 4 2" xfId="45244"/>
    <cellStyle name="Separador de milhares 2 3 2 10 5" xfId="12898"/>
    <cellStyle name="Separador de milhares 2 3 2 10 5 2" xfId="39140"/>
    <cellStyle name="Separador de milhares 2 3 2 10 6" xfId="32754"/>
    <cellStyle name="Separador de milhares 2 3 2 11" xfId="8191"/>
    <cellStyle name="Separador de milhares 2 3 2 11 2" xfId="26405"/>
    <cellStyle name="Separador de milhares 2 3 2 11 2 2" xfId="52638"/>
    <cellStyle name="Separador de milhares 2 3 2 11 3" xfId="20491"/>
    <cellStyle name="Separador de milhares 2 3 2 11 3 2" xfId="46730"/>
    <cellStyle name="Separador de milhares 2 3 2 11 4" xfId="14580"/>
    <cellStyle name="Separador de milhares 2 3 2 11 4 2" xfId="40822"/>
    <cellStyle name="Separador de milhares 2 3 2 11 5" xfId="34436"/>
    <cellStyle name="Separador de milhares 2 3 2 12" xfId="4808"/>
    <cellStyle name="Separador de milhares 2 3 2 12 2" xfId="23448"/>
    <cellStyle name="Separador de milhares 2 3 2 12 2 2" xfId="49684"/>
    <cellStyle name="Separador de milhares 2 3 2 12 3" xfId="31055"/>
    <cellStyle name="Separador de milhares 2 3 2 13" xfId="17534"/>
    <cellStyle name="Separador de milhares 2 3 2 13 2" xfId="43776"/>
    <cellStyle name="Separador de milhares 2 3 2 14" xfId="11197"/>
    <cellStyle name="Separador de milhares 2 3 2 14 2" xfId="37439"/>
    <cellStyle name="Separador de milhares 2 3 2 15" xfId="29358"/>
    <cellStyle name="Separador de milhares 2 3 2 2" xfId="707"/>
    <cellStyle name="Separador de milhares 2 3 2 2 10" xfId="17664"/>
    <cellStyle name="Separador de milhares 2 3 2 2 10 2" xfId="43903"/>
    <cellStyle name="Separador de milhares 2 3 2 2 11" xfId="11330"/>
    <cellStyle name="Separador de milhares 2 3 2 2 11 2" xfId="37572"/>
    <cellStyle name="Separador de milhares 2 3 2 2 12" xfId="29490"/>
    <cellStyle name="Separador de milhares 2 3 2 2 2" xfId="2042"/>
    <cellStyle name="Separador de milhares 2 3 2 2 2 2" xfId="7028"/>
    <cellStyle name="Separador de milhares 2 3 2 2 2 2 2" xfId="10174"/>
    <cellStyle name="Separador de milhares 2 3 2 2 2 2 2 2" xfId="28388"/>
    <cellStyle name="Separador de milhares 2 3 2 2 2 2 2 2 2" xfId="54618"/>
    <cellStyle name="Separador de milhares 2 3 2 2 2 2 2 3" xfId="22474"/>
    <cellStyle name="Separador de milhares 2 3 2 2 2 2 2 3 2" xfId="48710"/>
    <cellStyle name="Separador de milhares 2 3 2 2 2 2 2 4" xfId="16560"/>
    <cellStyle name="Separador de milhares 2 3 2 2 2 2 2 4 2" xfId="42802"/>
    <cellStyle name="Separador de milhares 2 3 2 2 2 2 2 5" xfId="36416"/>
    <cellStyle name="Separador de milhares 2 3 2 2 2 2 3" xfId="25431"/>
    <cellStyle name="Separador de milhares 2 3 2 2 2 2 3 2" xfId="51664"/>
    <cellStyle name="Separador de milhares 2 3 2 2 2 2 4" xfId="19517"/>
    <cellStyle name="Separador de milhares 2 3 2 2 2 2 4 2" xfId="45756"/>
    <cellStyle name="Separador de milhares 2 3 2 2 2 2 5" xfId="13417"/>
    <cellStyle name="Separador de milhares 2 3 2 2 2 2 5 2" xfId="39659"/>
    <cellStyle name="Separador de milhares 2 3 2 2 2 2 6" xfId="33273"/>
    <cellStyle name="Separador de milhares 2 3 2 2 2 3" xfId="8706"/>
    <cellStyle name="Separador de milhares 2 3 2 2 2 3 2" xfId="26920"/>
    <cellStyle name="Separador de milhares 2 3 2 2 2 3 2 2" xfId="53150"/>
    <cellStyle name="Separador de milhares 2 3 2 2 2 3 3" xfId="21006"/>
    <cellStyle name="Separador de milhares 2 3 2 2 2 3 3 2" xfId="47242"/>
    <cellStyle name="Separador de milhares 2 3 2 2 2 3 4" xfId="15092"/>
    <cellStyle name="Separador de milhares 2 3 2 2 2 3 4 2" xfId="41334"/>
    <cellStyle name="Separador de milhares 2 3 2 2 2 3 5" xfId="34948"/>
    <cellStyle name="Separador de milhares 2 3 2 2 2 4" xfId="5329"/>
    <cellStyle name="Separador de milhares 2 3 2 2 2 4 2" xfId="23963"/>
    <cellStyle name="Separador de milhares 2 3 2 2 2 4 2 2" xfId="50196"/>
    <cellStyle name="Separador de milhares 2 3 2 2 2 4 3" xfId="31574"/>
    <cellStyle name="Separador de milhares 2 3 2 2 2 5" xfId="18049"/>
    <cellStyle name="Separador de milhares 2 3 2 2 2 5 2" xfId="44288"/>
    <cellStyle name="Separador de milhares 2 3 2 2 2 6" xfId="11716"/>
    <cellStyle name="Separador de milhares 2 3 2 2 2 6 2" xfId="37958"/>
    <cellStyle name="Separador de milhares 2 3 2 2 2 7" xfId="29876"/>
    <cellStyle name="Separador de milhares 2 3 2 2 3" xfId="2571"/>
    <cellStyle name="Separador de milhares 2 3 2 2 3 2" xfId="7177"/>
    <cellStyle name="Separador de milhares 2 3 2 2 3 2 2" xfId="10321"/>
    <cellStyle name="Separador de milhares 2 3 2 2 3 2 2 2" xfId="28535"/>
    <cellStyle name="Separador de milhares 2 3 2 2 3 2 2 2 2" xfId="54765"/>
    <cellStyle name="Separador de milhares 2 3 2 2 3 2 2 3" xfId="22621"/>
    <cellStyle name="Separador de milhares 2 3 2 2 3 2 2 3 2" xfId="48857"/>
    <cellStyle name="Separador de milhares 2 3 2 2 3 2 2 4" xfId="16707"/>
    <cellStyle name="Separador de milhares 2 3 2 2 3 2 2 4 2" xfId="42949"/>
    <cellStyle name="Separador de milhares 2 3 2 2 3 2 2 5" xfId="36563"/>
    <cellStyle name="Separador de milhares 2 3 2 2 3 2 3" xfId="25578"/>
    <cellStyle name="Separador de milhares 2 3 2 2 3 2 3 2" xfId="51811"/>
    <cellStyle name="Separador de milhares 2 3 2 2 3 2 4" xfId="19664"/>
    <cellStyle name="Separador de milhares 2 3 2 2 3 2 4 2" xfId="45903"/>
    <cellStyle name="Separador de milhares 2 3 2 2 3 2 5" xfId="13566"/>
    <cellStyle name="Separador de milhares 2 3 2 2 3 2 5 2" xfId="39808"/>
    <cellStyle name="Separador de milhares 2 3 2 2 3 2 6" xfId="33422"/>
    <cellStyle name="Separador de milhares 2 3 2 2 3 3" xfId="8853"/>
    <cellStyle name="Separador de milhares 2 3 2 2 3 3 2" xfId="27067"/>
    <cellStyle name="Separador de milhares 2 3 2 2 3 3 2 2" xfId="53297"/>
    <cellStyle name="Separador de milhares 2 3 2 2 3 3 3" xfId="21153"/>
    <cellStyle name="Separador de milhares 2 3 2 2 3 3 3 2" xfId="47389"/>
    <cellStyle name="Separador de milhares 2 3 2 2 3 3 4" xfId="15239"/>
    <cellStyle name="Separador de milhares 2 3 2 2 3 3 4 2" xfId="41481"/>
    <cellStyle name="Separador de milhares 2 3 2 2 3 3 5" xfId="35095"/>
    <cellStyle name="Separador de milhares 2 3 2 2 3 4" xfId="5478"/>
    <cellStyle name="Separador de milhares 2 3 2 2 3 4 2" xfId="24110"/>
    <cellStyle name="Separador de milhares 2 3 2 2 3 4 2 2" xfId="50343"/>
    <cellStyle name="Separador de milhares 2 3 2 2 3 4 3" xfId="31723"/>
    <cellStyle name="Separador de milhares 2 3 2 2 3 5" xfId="18196"/>
    <cellStyle name="Separador de milhares 2 3 2 2 3 5 2" xfId="44435"/>
    <cellStyle name="Separador de milhares 2 3 2 2 3 6" xfId="11865"/>
    <cellStyle name="Separador de milhares 2 3 2 2 3 6 2" xfId="38107"/>
    <cellStyle name="Separador de milhares 2 3 2 2 3 7" xfId="30025"/>
    <cellStyle name="Separador de milhares 2 3 2 2 4" xfId="3098"/>
    <cellStyle name="Separador de milhares 2 3 2 2 4 2" xfId="7324"/>
    <cellStyle name="Separador de milhares 2 3 2 2 4 2 2" xfId="10468"/>
    <cellStyle name="Separador de milhares 2 3 2 2 4 2 2 2" xfId="28682"/>
    <cellStyle name="Separador de milhares 2 3 2 2 4 2 2 2 2" xfId="54912"/>
    <cellStyle name="Separador de milhares 2 3 2 2 4 2 2 3" xfId="22768"/>
    <cellStyle name="Separador de milhares 2 3 2 2 4 2 2 3 2" xfId="49004"/>
    <cellStyle name="Separador de milhares 2 3 2 2 4 2 2 4" xfId="16854"/>
    <cellStyle name="Separador de milhares 2 3 2 2 4 2 2 4 2" xfId="43096"/>
    <cellStyle name="Separador de milhares 2 3 2 2 4 2 2 5" xfId="36710"/>
    <cellStyle name="Separador de milhares 2 3 2 2 4 2 3" xfId="25725"/>
    <cellStyle name="Separador de milhares 2 3 2 2 4 2 3 2" xfId="51958"/>
    <cellStyle name="Separador de milhares 2 3 2 2 4 2 4" xfId="19811"/>
    <cellStyle name="Separador de milhares 2 3 2 2 4 2 4 2" xfId="46050"/>
    <cellStyle name="Separador de milhares 2 3 2 2 4 2 5" xfId="13713"/>
    <cellStyle name="Separador de milhares 2 3 2 2 4 2 5 2" xfId="39955"/>
    <cellStyle name="Separador de milhares 2 3 2 2 4 2 6" xfId="33569"/>
    <cellStyle name="Separador de milhares 2 3 2 2 4 3" xfId="9000"/>
    <cellStyle name="Separador de milhares 2 3 2 2 4 3 2" xfId="27214"/>
    <cellStyle name="Separador de milhares 2 3 2 2 4 3 2 2" xfId="53444"/>
    <cellStyle name="Separador de milhares 2 3 2 2 4 3 3" xfId="21300"/>
    <cellStyle name="Separador de milhares 2 3 2 2 4 3 3 2" xfId="47536"/>
    <cellStyle name="Separador de milhares 2 3 2 2 4 3 4" xfId="15386"/>
    <cellStyle name="Separador de milhares 2 3 2 2 4 3 4 2" xfId="41628"/>
    <cellStyle name="Separador de milhares 2 3 2 2 4 3 5" xfId="35242"/>
    <cellStyle name="Separador de milhares 2 3 2 2 4 4" xfId="5625"/>
    <cellStyle name="Separador de milhares 2 3 2 2 4 4 2" xfId="24257"/>
    <cellStyle name="Separador de milhares 2 3 2 2 4 4 2 2" xfId="50490"/>
    <cellStyle name="Separador de milhares 2 3 2 2 4 4 3" xfId="31870"/>
    <cellStyle name="Separador de milhares 2 3 2 2 4 5" xfId="18343"/>
    <cellStyle name="Separador de milhares 2 3 2 2 4 5 2" xfId="44582"/>
    <cellStyle name="Separador de milhares 2 3 2 2 4 6" xfId="12012"/>
    <cellStyle name="Separador de milhares 2 3 2 2 4 6 2" xfId="38254"/>
    <cellStyle name="Separador de milhares 2 3 2 2 4 7" xfId="30172"/>
    <cellStyle name="Separador de milhares 2 3 2 2 5" xfId="3625"/>
    <cellStyle name="Separador de milhares 2 3 2 2 5 2" xfId="7471"/>
    <cellStyle name="Separador de milhares 2 3 2 2 5 2 2" xfId="10615"/>
    <cellStyle name="Separador de milhares 2 3 2 2 5 2 2 2" xfId="28829"/>
    <cellStyle name="Separador de milhares 2 3 2 2 5 2 2 2 2" xfId="55059"/>
    <cellStyle name="Separador de milhares 2 3 2 2 5 2 2 3" xfId="22915"/>
    <cellStyle name="Separador de milhares 2 3 2 2 5 2 2 3 2" xfId="49151"/>
    <cellStyle name="Separador de milhares 2 3 2 2 5 2 2 4" xfId="17001"/>
    <cellStyle name="Separador de milhares 2 3 2 2 5 2 2 4 2" xfId="43243"/>
    <cellStyle name="Separador de milhares 2 3 2 2 5 2 2 5" xfId="36857"/>
    <cellStyle name="Separador de milhares 2 3 2 2 5 2 3" xfId="25872"/>
    <cellStyle name="Separador de milhares 2 3 2 2 5 2 3 2" xfId="52105"/>
    <cellStyle name="Separador de milhares 2 3 2 2 5 2 4" xfId="19958"/>
    <cellStyle name="Separador de milhares 2 3 2 2 5 2 4 2" xfId="46197"/>
    <cellStyle name="Separador de milhares 2 3 2 2 5 2 5" xfId="13860"/>
    <cellStyle name="Separador de milhares 2 3 2 2 5 2 5 2" xfId="40102"/>
    <cellStyle name="Separador de milhares 2 3 2 2 5 2 6" xfId="33716"/>
    <cellStyle name="Separador de milhares 2 3 2 2 5 3" xfId="9147"/>
    <cellStyle name="Separador de milhares 2 3 2 2 5 3 2" xfId="27361"/>
    <cellStyle name="Separador de milhares 2 3 2 2 5 3 2 2" xfId="53591"/>
    <cellStyle name="Separador de milhares 2 3 2 2 5 3 3" xfId="21447"/>
    <cellStyle name="Separador de milhares 2 3 2 2 5 3 3 2" xfId="47683"/>
    <cellStyle name="Separador de milhares 2 3 2 2 5 3 4" xfId="15533"/>
    <cellStyle name="Separador de milhares 2 3 2 2 5 3 4 2" xfId="41775"/>
    <cellStyle name="Separador de milhares 2 3 2 2 5 3 5" xfId="35389"/>
    <cellStyle name="Separador de milhares 2 3 2 2 5 4" xfId="5772"/>
    <cellStyle name="Separador de milhares 2 3 2 2 5 4 2" xfId="24404"/>
    <cellStyle name="Separador de milhares 2 3 2 2 5 4 2 2" xfId="50637"/>
    <cellStyle name="Separador de milhares 2 3 2 2 5 4 3" xfId="32017"/>
    <cellStyle name="Separador de milhares 2 3 2 2 5 5" xfId="18490"/>
    <cellStyle name="Separador de milhares 2 3 2 2 5 5 2" xfId="44729"/>
    <cellStyle name="Separador de milhares 2 3 2 2 5 6" xfId="12159"/>
    <cellStyle name="Separador de milhares 2 3 2 2 5 6 2" xfId="38401"/>
    <cellStyle name="Separador de milhares 2 3 2 2 5 7" xfId="30319"/>
    <cellStyle name="Separador de milhares 2 3 2 2 6" xfId="4152"/>
    <cellStyle name="Separador de milhares 2 3 2 2 6 2" xfId="7618"/>
    <cellStyle name="Separador de milhares 2 3 2 2 6 2 2" xfId="10762"/>
    <cellStyle name="Separador de milhares 2 3 2 2 6 2 2 2" xfId="28976"/>
    <cellStyle name="Separador de milhares 2 3 2 2 6 2 2 2 2" xfId="55206"/>
    <cellStyle name="Separador de milhares 2 3 2 2 6 2 2 3" xfId="23062"/>
    <cellStyle name="Separador de milhares 2 3 2 2 6 2 2 3 2" xfId="49298"/>
    <cellStyle name="Separador de milhares 2 3 2 2 6 2 2 4" xfId="17148"/>
    <cellStyle name="Separador de milhares 2 3 2 2 6 2 2 4 2" xfId="43390"/>
    <cellStyle name="Separador de milhares 2 3 2 2 6 2 2 5" xfId="37004"/>
    <cellStyle name="Separador de milhares 2 3 2 2 6 2 3" xfId="26019"/>
    <cellStyle name="Separador de milhares 2 3 2 2 6 2 3 2" xfId="52252"/>
    <cellStyle name="Separador de milhares 2 3 2 2 6 2 4" xfId="20105"/>
    <cellStyle name="Separador de milhares 2 3 2 2 6 2 4 2" xfId="46344"/>
    <cellStyle name="Separador de milhares 2 3 2 2 6 2 5" xfId="14007"/>
    <cellStyle name="Separador de milhares 2 3 2 2 6 2 5 2" xfId="40249"/>
    <cellStyle name="Separador de milhares 2 3 2 2 6 2 6" xfId="33863"/>
    <cellStyle name="Separador de milhares 2 3 2 2 6 3" xfId="9294"/>
    <cellStyle name="Separador de milhares 2 3 2 2 6 3 2" xfId="27508"/>
    <cellStyle name="Separador de milhares 2 3 2 2 6 3 2 2" xfId="53738"/>
    <cellStyle name="Separador de milhares 2 3 2 2 6 3 3" xfId="21594"/>
    <cellStyle name="Separador de milhares 2 3 2 2 6 3 3 2" xfId="47830"/>
    <cellStyle name="Separador de milhares 2 3 2 2 6 3 4" xfId="15680"/>
    <cellStyle name="Separador de milhares 2 3 2 2 6 3 4 2" xfId="41922"/>
    <cellStyle name="Separador de milhares 2 3 2 2 6 3 5" xfId="35536"/>
    <cellStyle name="Separador de milhares 2 3 2 2 6 4" xfId="5919"/>
    <cellStyle name="Separador de milhares 2 3 2 2 6 4 2" xfId="24551"/>
    <cellStyle name="Separador de milhares 2 3 2 2 6 4 2 2" xfId="50784"/>
    <cellStyle name="Separador de milhares 2 3 2 2 6 4 3" xfId="32164"/>
    <cellStyle name="Separador de milhares 2 3 2 2 6 5" xfId="18637"/>
    <cellStyle name="Separador de milhares 2 3 2 2 6 5 2" xfId="44876"/>
    <cellStyle name="Separador de milhares 2 3 2 2 6 6" xfId="12306"/>
    <cellStyle name="Separador de milhares 2 3 2 2 6 6 2" xfId="38548"/>
    <cellStyle name="Separador de milhares 2 3 2 2 6 7" xfId="30466"/>
    <cellStyle name="Separador de milhares 2 3 2 2 7" xfId="6642"/>
    <cellStyle name="Separador de milhares 2 3 2 2 7 2" xfId="9789"/>
    <cellStyle name="Separador de milhares 2 3 2 2 7 2 2" xfId="28003"/>
    <cellStyle name="Separador de milhares 2 3 2 2 7 2 2 2" xfId="54233"/>
    <cellStyle name="Separador de milhares 2 3 2 2 7 2 3" xfId="22089"/>
    <cellStyle name="Separador de milhares 2 3 2 2 7 2 3 2" xfId="48325"/>
    <cellStyle name="Separador de milhares 2 3 2 2 7 2 4" xfId="16175"/>
    <cellStyle name="Separador de milhares 2 3 2 2 7 2 4 2" xfId="42417"/>
    <cellStyle name="Separador de milhares 2 3 2 2 7 2 5" xfId="36031"/>
    <cellStyle name="Separador de milhares 2 3 2 2 7 3" xfId="25046"/>
    <cellStyle name="Separador de milhares 2 3 2 2 7 3 2" xfId="51279"/>
    <cellStyle name="Separador de milhares 2 3 2 2 7 4" xfId="19132"/>
    <cellStyle name="Separador de milhares 2 3 2 2 7 4 2" xfId="45371"/>
    <cellStyle name="Separador de milhares 2 3 2 2 7 5" xfId="13031"/>
    <cellStyle name="Separador de milhares 2 3 2 2 7 5 2" xfId="39273"/>
    <cellStyle name="Separador de milhares 2 3 2 2 7 6" xfId="32887"/>
    <cellStyle name="Separador de milhares 2 3 2 2 8" xfId="8321"/>
    <cellStyle name="Separador de milhares 2 3 2 2 8 2" xfId="26535"/>
    <cellStyle name="Separador de milhares 2 3 2 2 8 2 2" xfId="52765"/>
    <cellStyle name="Separador de milhares 2 3 2 2 8 3" xfId="20621"/>
    <cellStyle name="Separador de milhares 2 3 2 2 8 3 2" xfId="46857"/>
    <cellStyle name="Separador de milhares 2 3 2 2 8 4" xfId="14707"/>
    <cellStyle name="Separador de milhares 2 3 2 2 8 4 2" xfId="40949"/>
    <cellStyle name="Separador de milhares 2 3 2 2 8 5" xfId="34563"/>
    <cellStyle name="Separador de milhares 2 3 2 2 9" xfId="4943"/>
    <cellStyle name="Separador de milhares 2 3 2 2 9 2" xfId="23578"/>
    <cellStyle name="Separador de milhares 2 3 2 2 9 2 2" xfId="49811"/>
    <cellStyle name="Separador de milhares 2 3 2 2 9 3" xfId="31188"/>
    <cellStyle name="Separador de milhares 2 3 2 3" xfId="995"/>
    <cellStyle name="Separador de milhares 2 3 2 3 2" xfId="6740"/>
    <cellStyle name="Separador de milhares 2 3 2 3 2 2" xfId="9887"/>
    <cellStyle name="Separador de milhares 2 3 2 3 2 2 2" xfId="28101"/>
    <cellStyle name="Separador de milhares 2 3 2 3 2 2 2 2" xfId="54331"/>
    <cellStyle name="Separador de milhares 2 3 2 3 2 2 3" xfId="22187"/>
    <cellStyle name="Separador de milhares 2 3 2 3 2 2 3 2" xfId="48423"/>
    <cellStyle name="Separador de milhares 2 3 2 3 2 2 4" xfId="16273"/>
    <cellStyle name="Separador de milhares 2 3 2 3 2 2 4 2" xfId="42515"/>
    <cellStyle name="Separador de milhares 2 3 2 3 2 2 5" xfId="36129"/>
    <cellStyle name="Separador de milhares 2 3 2 3 2 3" xfId="25144"/>
    <cellStyle name="Separador de milhares 2 3 2 3 2 3 2" xfId="51377"/>
    <cellStyle name="Separador de milhares 2 3 2 3 2 4" xfId="19230"/>
    <cellStyle name="Separador de milhares 2 3 2 3 2 4 2" xfId="45469"/>
    <cellStyle name="Separador de milhares 2 3 2 3 2 5" xfId="13129"/>
    <cellStyle name="Separador de milhares 2 3 2 3 2 5 2" xfId="39371"/>
    <cellStyle name="Separador de milhares 2 3 2 3 2 6" xfId="32985"/>
    <cellStyle name="Separador de milhares 2 3 2 3 3" xfId="8419"/>
    <cellStyle name="Separador de milhares 2 3 2 3 3 2" xfId="26633"/>
    <cellStyle name="Separador de milhares 2 3 2 3 3 2 2" xfId="52863"/>
    <cellStyle name="Separador de milhares 2 3 2 3 3 3" xfId="20719"/>
    <cellStyle name="Separador de milhares 2 3 2 3 3 3 2" xfId="46955"/>
    <cellStyle name="Separador de milhares 2 3 2 3 3 4" xfId="14805"/>
    <cellStyle name="Separador de milhares 2 3 2 3 3 4 2" xfId="41047"/>
    <cellStyle name="Separador de milhares 2 3 2 3 3 5" xfId="34661"/>
    <cellStyle name="Separador de milhares 2 3 2 3 4" xfId="5041"/>
    <cellStyle name="Separador de milhares 2 3 2 3 4 2" xfId="23676"/>
    <cellStyle name="Separador de milhares 2 3 2 3 4 2 2" xfId="49909"/>
    <cellStyle name="Separador de milhares 2 3 2 3 4 3" xfId="31286"/>
    <cellStyle name="Separador de milhares 2 3 2 3 5" xfId="17762"/>
    <cellStyle name="Separador de milhares 2 3 2 3 5 2" xfId="44001"/>
    <cellStyle name="Separador de milhares 2 3 2 3 6" xfId="11428"/>
    <cellStyle name="Separador de milhares 2 3 2 3 6 2" xfId="37670"/>
    <cellStyle name="Separador de milhares 2 3 2 3 7" xfId="29588"/>
    <cellStyle name="Separador de milhares 2 3 2 4" xfId="1346"/>
    <cellStyle name="Separador de milhares 2 3 2 4 2" xfId="6838"/>
    <cellStyle name="Separador de milhares 2 3 2 4 2 2" xfId="9985"/>
    <cellStyle name="Separador de milhares 2 3 2 4 2 2 2" xfId="28199"/>
    <cellStyle name="Separador de milhares 2 3 2 4 2 2 2 2" xfId="54429"/>
    <cellStyle name="Separador de milhares 2 3 2 4 2 2 3" xfId="22285"/>
    <cellStyle name="Separador de milhares 2 3 2 4 2 2 3 2" xfId="48521"/>
    <cellStyle name="Separador de milhares 2 3 2 4 2 2 4" xfId="16371"/>
    <cellStyle name="Separador de milhares 2 3 2 4 2 2 4 2" xfId="42613"/>
    <cellStyle name="Separador de milhares 2 3 2 4 2 2 5" xfId="36227"/>
    <cellStyle name="Separador de milhares 2 3 2 4 2 3" xfId="25242"/>
    <cellStyle name="Separador de milhares 2 3 2 4 2 3 2" xfId="51475"/>
    <cellStyle name="Separador de milhares 2 3 2 4 2 4" xfId="19328"/>
    <cellStyle name="Separador de milhares 2 3 2 4 2 4 2" xfId="45567"/>
    <cellStyle name="Separador de milhares 2 3 2 4 2 5" xfId="13227"/>
    <cellStyle name="Separador de milhares 2 3 2 4 2 5 2" xfId="39469"/>
    <cellStyle name="Separador de milhares 2 3 2 4 2 6" xfId="33083"/>
    <cellStyle name="Separador de milhares 2 3 2 4 3" xfId="8517"/>
    <cellStyle name="Separador de milhares 2 3 2 4 3 2" xfId="26731"/>
    <cellStyle name="Separador de milhares 2 3 2 4 3 2 2" xfId="52961"/>
    <cellStyle name="Separador de milhares 2 3 2 4 3 3" xfId="20817"/>
    <cellStyle name="Separador de milhares 2 3 2 4 3 3 2" xfId="47053"/>
    <cellStyle name="Separador de milhares 2 3 2 4 3 4" xfId="14903"/>
    <cellStyle name="Separador de milhares 2 3 2 4 3 4 2" xfId="41145"/>
    <cellStyle name="Separador de milhares 2 3 2 4 3 5" xfId="34759"/>
    <cellStyle name="Separador de milhares 2 3 2 4 4" xfId="5139"/>
    <cellStyle name="Separador de milhares 2 3 2 4 4 2" xfId="23774"/>
    <cellStyle name="Separador de milhares 2 3 2 4 4 2 2" xfId="50007"/>
    <cellStyle name="Separador de milhares 2 3 2 4 4 3" xfId="31384"/>
    <cellStyle name="Separador de milhares 2 3 2 4 5" xfId="17860"/>
    <cellStyle name="Separador de milhares 2 3 2 4 5 2" xfId="44099"/>
    <cellStyle name="Separador de milhares 2 3 2 4 6" xfId="11526"/>
    <cellStyle name="Separador de milhares 2 3 2 4 6 2" xfId="37768"/>
    <cellStyle name="Separador de milhares 2 3 2 4 7" xfId="29686"/>
    <cellStyle name="Separador de milhares 2 3 2 5" xfId="1781"/>
    <cellStyle name="Separador de milhares 2 3 2 5 2" xfId="6957"/>
    <cellStyle name="Separador de milhares 2 3 2 5 2 2" xfId="10104"/>
    <cellStyle name="Separador de milhares 2 3 2 5 2 2 2" xfId="28318"/>
    <cellStyle name="Separador de milhares 2 3 2 5 2 2 2 2" xfId="54548"/>
    <cellStyle name="Separador de milhares 2 3 2 5 2 2 3" xfId="22404"/>
    <cellStyle name="Separador de milhares 2 3 2 5 2 2 3 2" xfId="48640"/>
    <cellStyle name="Separador de milhares 2 3 2 5 2 2 4" xfId="16490"/>
    <cellStyle name="Separador de milhares 2 3 2 5 2 2 4 2" xfId="42732"/>
    <cellStyle name="Separador de milhares 2 3 2 5 2 2 5" xfId="36346"/>
    <cellStyle name="Separador de milhares 2 3 2 5 2 3" xfId="25361"/>
    <cellStyle name="Separador de milhares 2 3 2 5 2 3 2" xfId="51594"/>
    <cellStyle name="Separador de milhares 2 3 2 5 2 4" xfId="19447"/>
    <cellStyle name="Separador de milhares 2 3 2 5 2 4 2" xfId="45686"/>
    <cellStyle name="Separador de milhares 2 3 2 5 2 5" xfId="13346"/>
    <cellStyle name="Separador de milhares 2 3 2 5 2 5 2" xfId="39588"/>
    <cellStyle name="Separador de milhares 2 3 2 5 2 6" xfId="33202"/>
    <cellStyle name="Separador de milhares 2 3 2 5 3" xfId="8636"/>
    <cellStyle name="Separador de milhares 2 3 2 5 3 2" xfId="26850"/>
    <cellStyle name="Separador de milhares 2 3 2 5 3 2 2" xfId="53080"/>
    <cellStyle name="Separador de milhares 2 3 2 5 3 3" xfId="20936"/>
    <cellStyle name="Separador de milhares 2 3 2 5 3 3 2" xfId="47172"/>
    <cellStyle name="Separador de milhares 2 3 2 5 3 4" xfId="15022"/>
    <cellStyle name="Separador de milhares 2 3 2 5 3 4 2" xfId="41264"/>
    <cellStyle name="Separador de milhares 2 3 2 5 3 5" xfId="34878"/>
    <cellStyle name="Separador de milhares 2 3 2 5 4" xfId="5258"/>
    <cellStyle name="Separador de milhares 2 3 2 5 4 2" xfId="23893"/>
    <cellStyle name="Separador de milhares 2 3 2 5 4 2 2" xfId="50126"/>
    <cellStyle name="Separador de milhares 2 3 2 5 4 3" xfId="31503"/>
    <cellStyle name="Separador de milhares 2 3 2 5 5" xfId="17979"/>
    <cellStyle name="Separador de milhares 2 3 2 5 5 2" xfId="44218"/>
    <cellStyle name="Separador de milhares 2 3 2 5 6" xfId="11645"/>
    <cellStyle name="Separador de milhares 2 3 2 5 6 2" xfId="37887"/>
    <cellStyle name="Separador de milhares 2 3 2 5 7" xfId="29805"/>
    <cellStyle name="Separador de milhares 2 3 2 6" xfId="2311"/>
    <cellStyle name="Separador de milhares 2 3 2 6 2" xfId="7107"/>
    <cellStyle name="Separador de milhares 2 3 2 6 2 2" xfId="10251"/>
    <cellStyle name="Separador de milhares 2 3 2 6 2 2 2" xfId="28465"/>
    <cellStyle name="Separador de milhares 2 3 2 6 2 2 2 2" xfId="54695"/>
    <cellStyle name="Separador de milhares 2 3 2 6 2 2 3" xfId="22551"/>
    <cellStyle name="Separador de milhares 2 3 2 6 2 2 3 2" xfId="48787"/>
    <cellStyle name="Separador de milhares 2 3 2 6 2 2 4" xfId="16637"/>
    <cellStyle name="Separador de milhares 2 3 2 6 2 2 4 2" xfId="42879"/>
    <cellStyle name="Separador de milhares 2 3 2 6 2 2 5" xfId="36493"/>
    <cellStyle name="Separador de milhares 2 3 2 6 2 3" xfId="25508"/>
    <cellStyle name="Separador de milhares 2 3 2 6 2 3 2" xfId="51741"/>
    <cellStyle name="Separador de milhares 2 3 2 6 2 4" xfId="19594"/>
    <cellStyle name="Separador de milhares 2 3 2 6 2 4 2" xfId="45833"/>
    <cellStyle name="Separador de milhares 2 3 2 6 2 5" xfId="13496"/>
    <cellStyle name="Separador de milhares 2 3 2 6 2 5 2" xfId="39738"/>
    <cellStyle name="Separador de milhares 2 3 2 6 2 6" xfId="33352"/>
    <cellStyle name="Separador de milhares 2 3 2 6 3" xfId="8783"/>
    <cellStyle name="Separador de milhares 2 3 2 6 3 2" xfId="26997"/>
    <cellStyle name="Separador de milhares 2 3 2 6 3 2 2" xfId="53227"/>
    <cellStyle name="Separador de milhares 2 3 2 6 3 3" xfId="21083"/>
    <cellStyle name="Separador de milhares 2 3 2 6 3 3 2" xfId="47319"/>
    <cellStyle name="Separador de milhares 2 3 2 6 3 4" xfId="15169"/>
    <cellStyle name="Separador de milhares 2 3 2 6 3 4 2" xfId="41411"/>
    <cellStyle name="Separador de milhares 2 3 2 6 3 5" xfId="35025"/>
    <cellStyle name="Separador de milhares 2 3 2 6 4" xfId="5408"/>
    <cellStyle name="Separador de milhares 2 3 2 6 4 2" xfId="24040"/>
    <cellStyle name="Separador de milhares 2 3 2 6 4 2 2" xfId="50273"/>
    <cellStyle name="Separador de milhares 2 3 2 6 4 3" xfId="31653"/>
    <cellStyle name="Separador de milhares 2 3 2 6 5" xfId="18126"/>
    <cellStyle name="Separador de milhares 2 3 2 6 5 2" xfId="44365"/>
    <cellStyle name="Separador de milhares 2 3 2 6 6" xfId="11795"/>
    <cellStyle name="Separador de milhares 2 3 2 6 6 2" xfId="38037"/>
    <cellStyle name="Separador de milhares 2 3 2 6 7" xfId="29955"/>
    <cellStyle name="Separador de milhares 2 3 2 7" xfId="2838"/>
    <cellStyle name="Separador de milhares 2 3 2 7 2" xfId="7254"/>
    <cellStyle name="Separador de milhares 2 3 2 7 2 2" xfId="10398"/>
    <cellStyle name="Separador de milhares 2 3 2 7 2 2 2" xfId="28612"/>
    <cellStyle name="Separador de milhares 2 3 2 7 2 2 2 2" xfId="54842"/>
    <cellStyle name="Separador de milhares 2 3 2 7 2 2 3" xfId="22698"/>
    <cellStyle name="Separador de milhares 2 3 2 7 2 2 3 2" xfId="48934"/>
    <cellStyle name="Separador de milhares 2 3 2 7 2 2 4" xfId="16784"/>
    <cellStyle name="Separador de milhares 2 3 2 7 2 2 4 2" xfId="43026"/>
    <cellStyle name="Separador de milhares 2 3 2 7 2 2 5" xfId="36640"/>
    <cellStyle name="Separador de milhares 2 3 2 7 2 3" xfId="25655"/>
    <cellStyle name="Separador de milhares 2 3 2 7 2 3 2" xfId="51888"/>
    <cellStyle name="Separador de milhares 2 3 2 7 2 4" xfId="19741"/>
    <cellStyle name="Separador de milhares 2 3 2 7 2 4 2" xfId="45980"/>
    <cellStyle name="Separador de milhares 2 3 2 7 2 5" xfId="13643"/>
    <cellStyle name="Separador de milhares 2 3 2 7 2 5 2" xfId="39885"/>
    <cellStyle name="Separador de milhares 2 3 2 7 2 6" xfId="33499"/>
    <cellStyle name="Separador de milhares 2 3 2 7 3" xfId="8930"/>
    <cellStyle name="Separador de milhares 2 3 2 7 3 2" xfId="27144"/>
    <cellStyle name="Separador de milhares 2 3 2 7 3 2 2" xfId="53374"/>
    <cellStyle name="Separador de milhares 2 3 2 7 3 3" xfId="21230"/>
    <cellStyle name="Separador de milhares 2 3 2 7 3 3 2" xfId="47466"/>
    <cellStyle name="Separador de milhares 2 3 2 7 3 4" xfId="15316"/>
    <cellStyle name="Separador de milhares 2 3 2 7 3 4 2" xfId="41558"/>
    <cellStyle name="Separador de milhares 2 3 2 7 3 5" xfId="35172"/>
    <cellStyle name="Separador de milhares 2 3 2 7 4" xfId="5555"/>
    <cellStyle name="Separador de milhares 2 3 2 7 4 2" xfId="24187"/>
    <cellStyle name="Separador de milhares 2 3 2 7 4 2 2" xfId="50420"/>
    <cellStyle name="Separador de milhares 2 3 2 7 4 3" xfId="31800"/>
    <cellStyle name="Separador de milhares 2 3 2 7 5" xfId="18273"/>
    <cellStyle name="Separador de milhares 2 3 2 7 5 2" xfId="44512"/>
    <cellStyle name="Separador de milhares 2 3 2 7 6" xfId="11942"/>
    <cellStyle name="Separador de milhares 2 3 2 7 6 2" xfId="38184"/>
    <cellStyle name="Separador de milhares 2 3 2 7 7" xfId="30102"/>
    <cellStyle name="Separador de milhares 2 3 2 8" xfId="3365"/>
    <cellStyle name="Separador de milhares 2 3 2 8 2" xfId="7401"/>
    <cellStyle name="Separador de milhares 2 3 2 8 2 2" xfId="10545"/>
    <cellStyle name="Separador de milhares 2 3 2 8 2 2 2" xfId="28759"/>
    <cellStyle name="Separador de milhares 2 3 2 8 2 2 2 2" xfId="54989"/>
    <cellStyle name="Separador de milhares 2 3 2 8 2 2 3" xfId="22845"/>
    <cellStyle name="Separador de milhares 2 3 2 8 2 2 3 2" xfId="49081"/>
    <cellStyle name="Separador de milhares 2 3 2 8 2 2 4" xfId="16931"/>
    <cellStyle name="Separador de milhares 2 3 2 8 2 2 4 2" xfId="43173"/>
    <cellStyle name="Separador de milhares 2 3 2 8 2 2 5" xfId="36787"/>
    <cellStyle name="Separador de milhares 2 3 2 8 2 3" xfId="25802"/>
    <cellStyle name="Separador de milhares 2 3 2 8 2 3 2" xfId="52035"/>
    <cellStyle name="Separador de milhares 2 3 2 8 2 4" xfId="19888"/>
    <cellStyle name="Separador de milhares 2 3 2 8 2 4 2" xfId="46127"/>
    <cellStyle name="Separador de milhares 2 3 2 8 2 5" xfId="13790"/>
    <cellStyle name="Separador de milhares 2 3 2 8 2 5 2" xfId="40032"/>
    <cellStyle name="Separador de milhares 2 3 2 8 2 6" xfId="33646"/>
    <cellStyle name="Separador de milhares 2 3 2 8 3" xfId="9077"/>
    <cellStyle name="Separador de milhares 2 3 2 8 3 2" xfId="27291"/>
    <cellStyle name="Separador de milhares 2 3 2 8 3 2 2" xfId="53521"/>
    <cellStyle name="Separador de milhares 2 3 2 8 3 3" xfId="21377"/>
    <cellStyle name="Separador de milhares 2 3 2 8 3 3 2" xfId="47613"/>
    <cellStyle name="Separador de milhares 2 3 2 8 3 4" xfId="15463"/>
    <cellStyle name="Separador de milhares 2 3 2 8 3 4 2" xfId="41705"/>
    <cellStyle name="Separador de milhares 2 3 2 8 3 5" xfId="35319"/>
    <cellStyle name="Separador de milhares 2 3 2 8 4" xfId="5702"/>
    <cellStyle name="Separador de milhares 2 3 2 8 4 2" xfId="24334"/>
    <cellStyle name="Separador de milhares 2 3 2 8 4 2 2" xfId="50567"/>
    <cellStyle name="Separador de milhares 2 3 2 8 4 3" xfId="31947"/>
    <cellStyle name="Separador de milhares 2 3 2 8 5" xfId="18420"/>
    <cellStyle name="Separador de milhares 2 3 2 8 5 2" xfId="44659"/>
    <cellStyle name="Separador de milhares 2 3 2 8 6" xfId="12089"/>
    <cellStyle name="Separador de milhares 2 3 2 8 6 2" xfId="38331"/>
    <cellStyle name="Separador de milhares 2 3 2 8 7" xfId="30249"/>
    <cellStyle name="Separador de milhares 2 3 2 9" xfId="3892"/>
    <cellStyle name="Separador de milhares 2 3 2 9 2" xfId="7548"/>
    <cellStyle name="Separador de milhares 2 3 2 9 2 2" xfId="10692"/>
    <cellStyle name="Separador de milhares 2 3 2 9 2 2 2" xfId="28906"/>
    <cellStyle name="Separador de milhares 2 3 2 9 2 2 2 2" xfId="55136"/>
    <cellStyle name="Separador de milhares 2 3 2 9 2 2 3" xfId="22992"/>
    <cellStyle name="Separador de milhares 2 3 2 9 2 2 3 2" xfId="49228"/>
    <cellStyle name="Separador de milhares 2 3 2 9 2 2 4" xfId="17078"/>
    <cellStyle name="Separador de milhares 2 3 2 9 2 2 4 2" xfId="43320"/>
    <cellStyle name="Separador de milhares 2 3 2 9 2 2 5" xfId="36934"/>
    <cellStyle name="Separador de milhares 2 3 2 9 2 3" xfId="25949"/>
    <cellStyle name="Separador de milhares 2 3 2 9 2 3 2" xfId="52182"/>
    <cellStyle name="Separador de milhares 2 3 2 9 2 4" xfId="20035"/>
    <cellStyle name="Separador de milhares 2 3 2 9 2 4 2" xfId="46274"/>
    <cellStyle name="Separador de milhares 2 3 2 9 2 5" xfId="13937"/>
    <cellStyle name="Separador de milhares 2 3 2 9 2 5 2" xfId="40179"/>
    <cellStyle name="Separador de milhares 2 3 2 9 2 6" xfId="33793"/>
    <cellStyle name="Separador de milhares 2 3 2 9 3" xfId="9224"/>
    <cellStyle name="Separador de milhares 2 3 2 9 3 2" xfId="27438"/>
    <cellStyle name="Separador de milhares 2 3 2 9 3 2 2" xfId="53668"/>
    <cellStyle name="Separador de milhares 2 3 2 9 3 3" xfId="21524"/>
    <cellStyle name="Separador de milhares 2 3 2 9 3 3 2" xfId="47760"/>
    <cellStyle name="Separador de milhares 2 3 2 9 3 4" xfId="15610"/>
    <cellStyle name="Separador de milhares 2 3 2 9 3 4 2" xfId="41852"/>
    <cellStyle name="Separador de milhares 2 3 2 9 3 5" xfId="35466"/>
    <cellStyle name="Separador de milhares 2 3 2 9 4" xfId="5849"/>
    <cellStyle name="Separador de milhares 2 3 2 9 4 2" xfId="24481"/>
    <cellStyle name="Separador de milhares 2 3 2 9 4 2 2" xfId="50714"/>
    <cellStyle name="Separador de milhares 2 3 2 9 4 3" xfId="32094"/>
    <cellStyle name="Separador de milhares 2 3 2 9 5" xfId="18567"/>
    <cellStyle name="Separador de milhares 2 3 2 9 5 2" xfId="44806"/>
    <cellStyle name="Separador de milhares 2 3 2 9 6" xfId="12236"/>
    <cellStyle name="Separador de milhares 2 3 2 9 6 2" xfId="38478"/>
    <cellStyle name="Separador de milhares 2 3 2 9 7" xfId="30396"/>
    <cellStyle name="Separador de milhares 2 3 3" xfId="345"/>
    <cellStyle name="Separador de milhares 2 3 3 10" xfId="6540"/>
    <cellStyle name="Separador de milhares 2 3 3 10 2" xfId="9690"/>
    <cellStyle name="Separador de milhares 2 3 3 10 2 2" xfId="27904"/>
    <cellStyle name="Separador de milhares 2 3 3 10 2 2 2" xfId="54134"/>
    <cellStyle name="Separador de milhares 2 3 3 10 2 3" xfId="21990"/>
    <cellStyle name="Separador de milhares 2 3 3 10 2 3 2" xfId="48226"/>
    <cellStyle name="Separador de milhares 2 3 3 10 2 4" xfId="16076"/>
    <cellStyle name="Separador de milhares 2 3 3 10 2 4 2" xfId="42318"/>
    <cellStyle name="Separador de milhares 2 3 3 10 2 5" xfId="35932"/>
    <cellStyle name="Separador de milhares 2 3 3 10 3" xfId="24947"/>
    <cellStyle name="Separador de milhares 2 3 3 10 3 2" xfId="51180"/>
    <cellStyle name="Separador de milhares 2 3 3 10 4" xfId="19033"/>
    <cellStyle name="Separador de milhares 2 3 3 10 4 2" xfId="45272"/>
    <cellStyle name="Separador de milhares 2 3 3 10 5" xfId="12929"/>
    <cellStyle name="Separador de milhares 2 3 3 10 5 2" xfId="39171"/>
    <cellStyle name="Separador de milhares 2 3 3 10 6" xfId="32785"/>
    <cellStyle name="Separador de milhares 2 3 3 11" xfId="8219"/>
    <cellStyle name="Separador de milhares 2 3 3 11 2" xfId="26433"/>
    <cellStyle name="Separador de milhares 2 3 3 11 2 2" xfId="52666"/>
    <cellStyle name="Separador de milhares 2 3 3 11 3" xfId="20519"/>
    <cellStyle name="Separador de milhares 2 3 3 11 3 2" xfId="46758"/>
    <cellStyle name="Separador de milhares 2 3 3 11 4" xfId="14608"/>
    <cellStyle name="Separador de milhares 2 3 3 11 4 2" xfId="40850"/>
    <cellStyle name="Separador de milhares 2 3 3 11 5" xfId="34464"/>
    <cellStyle name="Separador de milhares 2 3 3 12" xfId="4839"/>
    <cellStyle name="Separador de milhares 2 3 3 12 2" xfId="23476"/>
    <cellStyle name="Separador de milhares 2 3 3 12 2 2" xfId="49712"/>
    <cellStyle name="Separador de milhares 2 3 3 12 3" xfId="31086"/>
    <cellStyle name="Separador de milhares 2 3 3 13" xfId="17562"/>
    <cellStyle name="Separador de milhares 2 3 3 13 2" xfId="43804"/>
    <cellStyle name="Separador de milhares 2 3 3 14" xfId="11228"/>
    <cellStyle name="Separador de milhares 2 3 3 14 2" xfId="37470"/>
    <cellStyle name="Separador de milhares 2 3 3 15" xfId="29388"/>
    <cellStyle name="Separador de milhares 2 3 3 2" xfId="700"/>
    <cellStyle name="Separador de milhares 2 3 3 2 2" xfId="6635"/>
    <cellStyle name="Separador de milhares 2 3 3 2 2 2" xfId="9782"/>
    <cellStyle name="Separador de milhares 2 3 3 2 2 2 2" xfId="27996"/>
    <cellStyle name="Separador de milhares 2 3 3 2 2 2 2 2" xfId="54226"/>
    <cellStyle name="Separador de milhares 2 3 3 2 2 2 3" xfId="22082"/>
    <cellStyle name="Separador de milhares 2 3 3 2 2 2 3 2" xfId="48318"/>
    <cellStyle name="Separador de milhares 2 3 3 2 2 2 4" xfId="16168"/>
    <cellStyle name="Separador de milhares 2 3 3 2 2 2 4 2" xfId="42410"/>
    <cellStyle name="Separador de milhares 2 3 3 2 2 2 5" xfId="36024"/>
    <cellStyle name="Separador de milhares 2 3 3 2 2 3" xfId="25039"/>
    <cellStyle name="Separador de milhares 2 3 3 2 2 3 2" xfId="51272"/>
    <cellStyle name="Separador de milhares 2 3 3 2 2 4" xfId="19125"/>
    <cellStyle name="Separador de milhares 2 3 3 2 2 4 2" xfId="45364"/>
    <cellStyle name="Separador de milhares 2 3 3 2 2 5" xfId="13024"/>
    <cellStyle name="Separador de milhares 2 3 3 2 2 5 2" xfId="39266"/>
    <cellStyle name="Separador de milhares 2 3 3 2 2 6" xfId="32880"/>
    <cellStyle name="Separador de milhares 2 3 3 2 3" xfId="8314"/>
    <cellStyle name="Separador de milhares 2 3 3 2 3 2" xfId="26528"/>
    <cellStyle name="Separador de milhares 2 3 3 2 3 2 2" xfId="52758"/>
    <cellStyle name="Separador de milhares 2 3 3 2 3 3" xfId="20614"/>
    <cellStyle name="Separador de milhares 2 3 3 2 3 3 2" xfId="46850"/>
    <cellStyle name="Separador de milhares 2 3 3 2 3 4" xfId="14700"/>
    <cellStyle name="Separador de milhares 2 3 3 2 3 4 2" xfId="40942"/>
    <cellStyle name="Separador de milhares 2 3 3 2 3 5" xfId="34556"/>
    <cellStyle name="Separador de milhares 2 3 3 2 4" xfId="4936"/>
    <cellStyle name="Separador de milhares 2 3 3 2 4 2" xfId="23571"/>
    <cellStyle name="Separador de milhares 2 3 3 2 4 2 2" xfId="49804"/>
    <cellStyle name="Separador de milhares 2 3 3 2 4 3" xfId="31181"/>
    <cellStyle name="Separador de milhares 2 3 3 2 5" xfId="17657"/>
    <cellStyle name="Separador de milhares 2 3 3 2 5 2" xfId="43896"/>
    <cellStyle name="Separador de milhares 2 3 3 2 6" xfId="11323"/>
    <cellStyle name="Separador de milhares 2 3 3 2 6 2" xfId="37565"/>
    <cellStyle name="Separador de milhares 2 3 3 2 7" xfId="29483"/>
    <cellStyle name="Separador de milhares 2 3 3 3" xfId="904"/>
    <cellStyle name="Separador de milhares 2 3 3 3 2" xfId="6712"/>
    <cellStyle name="Separador de milhares 2 3 3 3 2 2" xfId="9859"/>
    <cellStyle name="Separador de milhares 2 3 3 3 2 2 2" xfId="28073"/>
    <cellStyle name="Separador de milhares 2 3 3 3 2 2 2 2" xfId="54303"/>
    <cellStyle name="Separador de milhares 2 3 3 3 2 2 3" xfId="22159"/>
    <cellStyle name="Separador de milhares 2 3 3 3 2 2 3 2" xfId="48395"/>
    <cellStyle name="Separador de milhares 2 3 3 3 2 2 4" xfId="16245"/>
    <cellStyle name="Separador de milhares 2 3 3 3 2 2 4 2" xfId="42487"/>
    <cellStyle name="Separador de milhares 2 3 3 3 2 2 5" xfId="36101"/>
    <cellStyle name="Separador de milhares 2 3 3 3 2 3" xfId="25116"/>
    <cellStyle name="Separador de milhares 2 3 3 3 2 3 2" xfId="51349"/>
    <cellStyle name="Separador de milhares 2 3 3 3 2 4" xfId="19202"/>
    <cellStyle name="Separador de milhares 2 3 3 3 2 4 2" xfId="45441"/>
    <cellStyle name="Separador de milhares 2 3 3 3 2 5" xfId="13101"/>
    <cellStyle name="Separador de milhares 2 3 3 3 2 5 2" xfId="39343"/>
    <cellStyle name="Separador de milhares 2 3 3 3 2 6" xfId="32957"/>
    <cellStyle name="Separador de milhares 2 3 3 3 3" xfId="8391"/>
    <cellStyle name="Separador de milhares 2 3 3 3 3 2" xfId="26605"/>
    <cellStyle name="Separador de milhares 2 3 3 3 3 2 2" xfId="52835"/>
    <cellStyle name="Separador de milhares 2 3 3 3 3 3" xfId="20691"/>
    <cellStyle name="Separador de milhares 2 3 3 3 3 3 2" xfId="46927"/>
    <cellStyle name="Separador de milhares 2 3 3 3 3 4" xfId="14777"/>
    <cellStyle name="Separador de milhares 2 3 3 3 3 4 2" xfId="41019"/>
    <cellStyle name="Separador de milhares 2 3 3 3 3 5" xfId="34633"/>
    <cellStyle name="Separador de milhares 2 3 3 3 4" xfId="5013"/>
    <cellStyle name="Separador de milhares 2 3 3 3 4 2" xfId="23648"/>
    <cellStyle name="Separador de milhares 2 3 3 3 4 2 2" xfId="49881"/>
    <cellStyle name="Separador de milhares 2 3 3 3 4 3" xfId="31258"/>
    <cellStyle name="Separador de milhares 2 3 3 3 5" xfId="17734"/>
    <cellStyle name="Separador de milhares 2 3 3 3 5 2" xfId="43973"/>
    <cellStyle name="Separador de milhares 2 3 3 3 6" xfId="11400"/>
    <cellStyle name="Separador de milhares 2 3 3 3 6 2" xfId="37642"/>
    <cellStyle name="Separador de milhares 2 3 3 3 7" xfId="29560"/>
    <cellStyle name="Separador de milhares 2 3 3 4" xfId="1255"/>
    <cellStyle name="Separador de milhares 2 3 3 4 2" xfId="6810"/>
    <cellStyle name="Separador de milhares 2 3 3 4 2 2" xfId="9957"/>
    <cellStyle name="Separador de milhares 2 3 3 4 2 2 2" xfId="28171"/>
    <cellStyle name="Separador de milhares 2 3 3 4 2 2 2 2" xfId="54401"/>
    <cellStyle name="Separador de milhares 2 3 3 4 2 2 3" xfId="22257"/>
    <cellStyle name="Separador de milhares 2 3 3 4 2 2 3 2" xfId="48493"/>
    <cellStyle name="Separador de milhares 2 3 3 4 2 2 4" xfId="16343"/>
    <cellStyle name="Separador de milhares 2 3 3 4 2 2 4 2" xfId="42585"/>
    <cellStyle name="Separador de milhares 2 3 3 4 2 2 5" xfId="36199"/>
    <cellStyle name="Separador de milhares 2 3 3 4 2 3" xfId="25214"/>
    <cellStyle name="Separador de milhares 2 3 3 4 2 3 2" xfId="51447"/>
    <cellStyle name="Separador de milhares 2 3 3 4 2 4" xfId="19300"/>
    <cellStyle name="Separador de milhares 2 3 3 4 2 4 2" xfId="45539"/>
    <cellStyle name="Separador de milhares 2 3 3 4 2 5" xfId="13199"/>
    <cellStyle name="Separador de milhares 2 3 3 4 2 5 2" xfId="39441"/>
    <cellStyle name="Separador de milhares 2 3 3 4 2 6" xfId="33055"/>
    <cellStyle name="Separador de milhares 2 3 3 4 3" xfId="8489"/>
    <cellStyle name="Separador de milhares 2 3 3 4 3 2" xfId="26703"/>
    <cellStyle name="Separador de milhares 2 3 3 4 3 2 2" xfId="52933"/>
    <cellStyle name="Separador de milhares 2 3 3 4 3 3" xfId="20789"/>
    <cellStyle name="Separador de milhares 2 3 3 4 3 3 2" xfId="47025"/>
    <cellStyle name="Separador de milhares 2 3 3 4 3 4" xfId="14875"/>
    <cellStyle name="Separador de milhares 2 3 3 4 3 4 2" xfId="41117"/>
    <cellStyle name="Separador de milhares 2 3 3 4 3 5" xfId="34731"/>
    <cellStyle name="Separador de milhares 2 3 3 4 4" xfId="5111"/>
    <cellStyle name="Separador de milhares 2 3 3 4 4 2" xfId="23746"/>
    <cellStyle name="Separador de milhares 2 3 3 4 4 2 2" xfId="49979"/>
    <cellStyle name="Separador de milhares 2 3 3 4 4 3" xfId="31356"/>
    <cellStyle name="Separador de milhares 2 3 3 4 5" xfId="17832"/>
    <cellStyle name="Separador de milhares 2 3 3 4 5 2" xfId="44071"/>
    <cellStyle name="Separador de milhares 2 3 3 4 6" xfId="11498"/>
    <cellStyle name="Separador de milhares 2 3 3 4 6 2" xfId="37740"/>
    <cellStyle name="Separador de milhares 2 3 3 4 7" xfId="29658"/>
    <cellStyle name="Separador de milhares 2 3 3 5" xfId="1690"/>
    <cellStyle name="Separador de milhares 2 3 3 5 2" xfId="6929"/>
    <cellStyle name="Separador de milhares 2 3 3 5 2 2" xfId="10076"/>
    <cellStyle name="Separador de milhares 2 3 3 5 2 2 2" xfId="28290"/>
    <cellStyle name="Separador de milhares 2 3 3 5 2 2 2 2" xfId="54520"/>
    <cellStyle name="Separador de milhares 2 3 3 5 2 2 3" xfId="22376"/>
    <cellStyle name="Separador de milhares 2 3 3 5 2 2 3 2" xfId="48612"/>
    <cellStyle name="Separador de milhares 2 3 3 5 2 2 4" xfId="16462"/>
    <cellStyle name="Separador de milhares 2 3 3 5 2 2 4 2" xfId="42704"/>
    <cellStyle name="Separador de milhares 2 3 3 5 2 2 5" xfId="36318"/>
    <cellStyle name="Separador de milhares 2 3 3 5 2 3" xfId="25333"/>
    <cellStyle name="Separador de milhares 2 3 3 5 2 3 2" xfId="51566"/>
    <cellStyle name="Separador de milhares 2 3 3 5 2 4" xfId="19419"/>
    <cellStyle name="Separador de milhares 2 3 3 5 2 4 2" xfId="45658"/>
    <cellStyle name="Separador de milhares 2 3 3 5 2 5" xfId="13318"/>
    <cellStyle name="Separador de milhares 2 3 3 5 2 5 2" xfId="39560"/>
    <cellStyle name="Separador de milhares 2 3 3 5 2 6" xfId="33174"/>
    <cellStyle name="Separador de milhares 2 3 3 5 3" xfId="8608"/>
    <cellStyle name="Separador de milhares 2 3 3 5 3 2" xfId="26822"/>
    <cellStyle name="Separador de milhares 2 3 3 5 3 2 2" xfId="53052"/>
    <cellStyle name="Separador de milhares 2 3 3 5 3 3" xfId="20908"/>
    <cellStyle name="Separador de milhares 2 3 3 5 3 3 2" xfId="47144"/>
    <cellStyle name="Separador de milhares 2 3 3 5 3 4" xfId="14994"/>
    <cellStyle name="Separador de milhares 2 3 3 5 3 4 2" xfId="41236"/>
    <cellStyle name="Separador de milhares 2 3 3 5 3 5" xfId="34850"/>
    <cellStyle name="Separador de milhares 2 3 3 5 4" xfId="5230"/>
    <cellStyle name="Separador de milhares 2 3 3 5 4 2" xfId="23865"/>
    <cellStyle name="Separador de milhares 2 3 3 5 4 2 2" xfId="50098"/>
    <cellStyle name="Separador de milhares 2 3 3 5 4 3" xfId="31475"/>
    <cellStyle name="Separador de milhares 2 3 3 5 5" xfId="17951"/>
    <cellStyle name="Separador de milhares 2 3 3 5 5 2" xfId="44190"/>
    <cellStyle name="Separador de milhares 2 3 3 5 6" xfId="11617"/>
    <cellStyle name="Separador de milhares 2 3 3 5 6 2" xfId="37859"/>
    <cellStyle name="Separador de milhares 2 3 3 5 7" xfId="29777"/>
    <cellStyle name="Separador de milhares 2 3 3 6" xfId="2220"/>
    <cellStyle name="Separador de milhares 2 3 3 6 2" xfId="7079"/>
    <cellStyle name="Separador de milhares 2 3 3 6 2 2" xfId="10223"/>
    <cellStyle name="Separador de milhares 2 3 3 6 2 2 2" xfId="28437"/>
    <cellStyle name="Separador de milhares 2 3 3 6 2 2 2 2" xfId="54667"/>
    <cellStyle name="Separador de milhares 2 3 3 6 2 2 3" xfId="22523"/>
    <cellStyle name="Separador de milhares 2 3 3 6 2 2 3 2" xfId="48759"/>
    <cellStyle name="Separador de milhares 2 3 3 6 2 2 4" xfId="16609"/>
    <cellStyle name="Separador de milhares 2 3 3 6 2 2 4 2" xfId="42851"/>
    <cellStyle name="Separador de milhares 2 3 3 6 2 2 5" xfId="36465"/>
    <cellStyle name="Separador de milhares 2 3 3 6 2 3" xfId="25480"/>
    <cellStyle name="Separador de milhares 2 3 3 6 2 3 2" xfId="51713"/>
    <cellStyle name="Separador de milhares 2 3 3 6 2 4" xfId="19566"/>
    <cellStyle name="Separador de milhares 2 3 3 6 2 4 2" xfId="45805"/>
    <cellStyle name="Separador de milhares 2 3 3 6 2 5" xfId="13468"/>
    <cellStyle name="Separador de milhares 2 3 3 6 2 5 2" xfId="39710"/>
    <cellStyle name="Separador de milhares 2 3 3 6 2 6" xfId="33324"/>
    <cellStyle name="Separador de milhares 2 3 3 6 3" xfId="8755"/>
    <cellStyle name="Separador de milhares 2 3 3 6 3 2" xfId="26969"/>
    <cellStyle name="Separador de milhares 2 3 3 6 3 2 2" xfId="53199"/>
    <cellStyle name="Separador de milhares 2 3 3 6 3 3" xfId="21055"/>
    <cellStyle name="Separador de milhares 2 3 3 6 3 3 2" xfId="47291"/>
    <cellStyle name="Separador de milhares 2 3 3 6 3 4" xfId="15141"/>
    <cellStyle name="Separador de milhares 2 3 3 6 3 4 2" xfId="41383"/>
    <cellStyle name="Separador de milhares 2 3 3 6 3 5" xfId="34997"/>
    <cellStyle name="Separador de milhares 2 3 3 6 4" xfId="5380"/>
    <cellStyle name="Separador de milhares 2 3 3 6 4 2" xfId="24012"/>
    <cellStyle name="Separador de milhares 2 3 3 6 4 2 2" xfId="50245"/>
    <cellStyle name="Separador de milhares 2 3 3 6 4 3" xfId="31625"/>
    <cellStyle name="Separador de milhares 2 3 3 6 5" xfId="18098"/>
    <cellStyle name="Separador de milhares 2 3 3 6 5 2" xfId="44337"/>
    <cellStyle name="Separador de milhares 2 3 3 6 6" xfId="11767"/>
    <cellStyle name="Separador de milhares 2 3 3 6 6 2" xfId="38009"/>
    <cellStyle name="Separador de milhares 2 3 3 6 7" xfId="29927"/>
    <cellStyle name="Separador de milhares 2 3 3 7" xfId="2747"/>
    <cellStyle name="Separador de milhares 2 3 3 7 2" xfId="7226"/>
    <cellStyle name="Separador de milhares 2 3 3 7 2 2" xfId="10370"/>
    <cellStyle name="Separador de milhares 2 3 3 7 2 2 2" xfId="28584"/>
    <cellStyle name="Separador de milhares 2 3 3 7 2 2 2 2" xfId="54814"/>
    <cellStyle name="Separador de milhares 2 3 3 7 2 2 3" xfId="22670"/>
    <cellStyle name="Separador de milhares 2 3 3 7 2 2 3 2" xfId="48906"/>
    <cellStyle name="Separador de milhares 2 3 3 7 2 2 4" xfId="16756"/>
    <cellStyle name="Separador de milhares 2 3 3 7 2 2 4 2" xfId="42998"/>
    <cellStyle name="Separador de milhares 2 3 3 7 2 2 5" xfId="36612"/>
    <cellStyle name="Separador de milhares 2 3 3 7 2 3" xfId="25627"/>
    <cellStyle name="Separador de milhares 2 3 3 7 2 3 2" xfId="51860"/>
    <cellStyle name="Separador de milhares 2 3 3 7 2 4" xfId="19713"/>
    <cellStyle name="Separador de milhares 2 3 3 7 2 4 2" xfId="45952"/>
    <cellStyle name="Separador de milhares 2 3 3 7 2 5" xfId="13615"/>
    <cellStyle name="Separador de milhares 2 3 3 7 2 5 2" xfId="39857"/>
    <cellStyle name="Separador de milhares 2 3 3 7 2 6" xfId="33471"/>
    <cellStyle name="Separador de milhares 2 3 3 7 3" xfId="8902"/>
    <cellStyle name="Separador de milhares 2 3 3 7 3 2" xfId="27116"/>
    <cellStyle name="Separador de milhares 2 3 3 7 3 2 2" xfId="53346"/>
    <cellStyle name="Separador de milhares 2 3 3 7 3 3" xfId="21202"/>
    <cellStyle name="Separador de milhares 2 3 3 7 3 3 2" xfId="47438"/>
    <cellStyle name="Separador de milhares 2 3 3 7 3 4" xfId="15288"/>
    <cellStyle name="Separador de milhares 2 3 3 7 3 4 2" xfId="41530"/>
    <cellStyle name="Separador de milhares 2 3 3 7 3 5" xfId="35144"/>
    <cellStyle name="Separador de milhares 2 3 3 7 4" xfId="5527"/>
    <cellStyle name="Separador de milhares 2 3 3 7 4 2" xfId="24159"/>
    <cellStyle name="Separador de milhares 2 3 3 7 4 2 2" xfId="50392"/>
    <cellStyle name="Separador de milhares 2 3 3 7 4 3" xfId="31772"/>
    <cellStyle name="Separador de milhares 2 3 3 7 5" xfId="18245"/>
    <cellStyle name="Separador de milhares 2 3 3 7 5 2" xfId="44484"/>
    <cellStyle name="Separador de milhares 2 3 3 7 6" xfId="11914"/>
    <cellStyle name="Separador de milhares 2 3 3 7 6 2" xfId="38156"/>
    <cellStyle name="Separador de milhares 2 3 3 7 7" xfId="30074"/>
    <cellStyle name="Separador de milhares 2 3 3 8" xfId="3274"/>
    <cellStyle name="Separador de milhares 2 3 3 8 2" xfId="7373"/>
    <cellStyle name="Separador de milhares 2 3 3 8 2 2" xfId="10517"/>
    <cellStyle name="Separador de milhares 2 3 3 8 2 2 2" xfId="28731"/>
    <cellStyle name="Separador de milhares 2 3 3 8 2 2 2 2" xfId="54961"/>
    <cellStyle name="Separador de milhares 2 3 3 8 2 2 3" xfId="22817"/>
    <cellStyle name="Separador de milhares 2 3 3 8 2 2 3 2" xfId="49053"/>
    <cellStyle name="Separador de milhares 2 3 3 8 2 2 4" xfId="16903"/>
    <cellStyle name="Separador de milhares 2 3 3 8 2 2 4 2" xfId="43145"/>
    <cellStyle name="Separador de milhares 2 3 3 8 2 2 5" xfId="36759"/>
    <cellStyle name="Separador de milhares 2 3 3 8 2 3" xfId="25774"/>
    <cellStyle name="Separador de milhares 2 3 3 8 2 3 2" xfId="52007"/>
    <cellStyle name="Separador de milhares 2 3 3 8 2 4" xfId="19860"/>
    <cellStyle name="Separador de milhares 2 3 3 8 2 4 2" xfId="46099"/>
    <cellStyle name="Separador de milhares 2 3 3 8 2 5" xfId="13762"/>
    <cellStyle name="Separador de milhares 2 3 3 8 2 5 2" xfId="40004"/>
    <cellStyle name="Separador de milhares 2 3 3 8 2 6" xfId="33618"/>
    <cellStyle name="Separador de milhares 2 3 3 8 3" xfId="9049"/>
    <cellStyle name="Separador de milhares 2 3 3 8 3 2" xfId="27263"/>
    <cellStyle name="Separador de milhares 2 3 3 8 3 2 2" xfId="53493"/>
    <cellStyle name="Separador de milhares 2 3 3 8 3 3" xfId="21349"/>
    <cellStyle name="Separador de milhares 2 3 3 8 3 3 2" xfId="47585"/>
    <cellStyle name="Separador de milhares 2 3 3 8 3 4" xfId="15435"/>
    <cellStyle name="Separador de milhares 2 3 3 8 3 4 2" xfId="41677"/>
    <cellStyle name="Separador de milhares 2 3 3 8 3 5" xfId="35291"/>
    <cellStyle name="Separador de milhares 2 3 3 8 4" xfId="5674"/>
    <cellStyle name="Separador de milhares 2 3 3 8 4 2" xfId="24306"/>
    <cellStyle name="Separador de milhares 2 3 3 8 4 2 2" xfId="50539"/>
    <cellStyle name="Separador de milhares 2 3 3 8 4 3" xfId="31919"/>
    <cellStyle name="Separador de milhares 2 3 3 8 5" xfId="18392"/>
    <cellStyle name="Separador de milhares 2 3 3 8 5 2" xfId="44631"/>
    <cellStyle name="Separador de milhares 2 3 3 8 6" xfId="12061"/>
    <cellStyle name="Separador de milhares 2 3 3 8 6 2" xfId="38303"/>
    <cellStyle name="Separador de milhares 2 3 3 8 7" xfId="30221"/>
    <cellStyle name="Separador de milhares 2 3 3 9" xfId="3801"/>
    <cellStyle name="Separador de milhares 2 3 3 9 2" xfId="7520"/>
    <cellStyle name="Separador de milhares 2 3 3 9 2 2" xfId="10664"/>
    <cellStyle name="Separador de milhares 2 3 3 9 2 2 2" xfId="28878"/>
    <cellStyle name="Separador de milhares 2 3 3 9 2 2 2 2" xfId="55108"/>
    <cellStyle name="Separador de milhares 2 3 3 9 2 2 3" xfId="22964"/>
    <cellStyle name="Separador de milhares 2 3 3 9 2 2 3 2" xfId="49200"/>
    <cellStyle name="Separador de milhares 2 3 3 9 2 2 4" xfId="17050"/>
    <cellStyle name="Separador de milhares 2 3 3 9 2 2 4 2" xfId="43292"/>
    <cellStyle name="Separador de milhares 2 3 3 9 2 2 5" xfId="36906"/>
    <cellStyle name="Separador de milhares 2 3 3 9 2 3" xfId="25921"/>
    <cellStyle name="Separador de milhares 2 3 3 9 2 3 2" xfId="52154"/>
    <cellStyle name="Separador de milhares 2 3 3 9 2 4" xfId="20007"/>
    <cellStyle name="Separador de milhares 2 3 3 9 2 4 2" xfId="46246"/>
    <cellStyle name="Separador de milhares 2 3 3 9 2 5" xfId="13909"/>
    <cellStyle name="Separador de milhares 2 3 3 9 2 5 2" xfId="40151"/>
    <cellStyle name="Separador de milhares 2 3 3 9 2 6" xfId="33765"/>
    <cellStyle name="Separador de milhares 2 3 3 9 3" xfId="9196"/>
    <cellStyle name="Separador de milhares 2 3 3 9 3 2" xfId="27410"/>
    <cellStyle name="Separador de milhares 2 3 3 9 3 2 2" xfId="53640"/>
    <cellStyle name="Separador de milhares 2 3 3 9 3 3" xfId="21496"/>
    <cellStyle name="Separador de milhares 2 3 3 9 3 3 2" xfId="47732"/>
    <cellStyle name="Separador de milhares 2 3 3 9 3 4" xfId="15582"/>
    <cellStyle name="Separador de milhares 2 3 3 9 3 4 2" xfId="41824"/>
    <cellStyle name="Separador de milhares 2 3 3 9 3 5" xfId="35438"/>
    <cellStyle name="Separador de milhares 2 3 3 9 4" xfId="5821"/>
    <cellStyle name="Separador de milhares 2 3 3 9 4 2" xfId="24453"/>
    <cellStyle name="Separador de milhares 2 3 3 9 4 2 2" xfId="50686"/>
    <cellStyle name="Separador de milhares 2 3 3 9 4 3" xfId="32066"/>
    <cellStyle name="Separador de milhares 2 3 3 9 5" xfId="18539"/>
    <cellStyle name="Separador de milhares 2 3 3 9 5 2" xfId="44778"/>
    <cellStyle name="Separador de milhares 2 3 3 9 6" xfId="12208"/>
    <cellStyle name="Separador de milhares 2 3 3 9 6 2" xfId="38450"/>
    <cellStyle name="Separador de milhares 2 3 3 9 7" xfId="30368"/>
    <cellStyle name="Separador de milhares 2 3 4" xfId="6479"/>
    <cellStyle name="Separador de milhares 2 3 4 2" xfId="9634"/>
    <cellStyle name="Separador de milhares 2 3 4 2 2" xfId="27848"/>
    <cellStyle name="Separador de milhares 2 3 4 2 2 2" xfId="54078"/>
    <cellStyle name="Separador de milhares 2 3 4 2 3" xfId="21934"/>
    <cellStyle name="Separador de milhares 2 3 4 2 3 2" xfId="48170"/>
    <cellStyle name="Separador de milhares 2 3 4 2 4" xfId="16020"/>
    <cellStyle name="Separador de milhares 2 3 4 2 4 2" xfId="42262"/>
    <cellStyle name="Separador de milhares 2 3 4 2 5" xfId="35876"/>
    <cellStyle name="Separador de milhares 2 3 4 3" xfId="24891"/>
    <cellStyle name="Separador de milhares 2 3 4 3 2" xfId="51124"/>
    <cellStyle name="Separador de milhares 2 3 4 4" xfId="18977"/>
    <cellStyle name="Separador de milhares 2 3 4 4 2" xfId="45216"/>
    <cellStyle name="Separador de milhares 2 3 4 5" xfId="12868"/>
    <cellStyle name="Separador de milhares 2 3 4 5 2" xfId="39110"/>
    <cellStyle name="Separador de milhares 2 3 4 6" xfId="32724"/>
    <cellStyle name="Separador de milhares 2 3 5" xfId="8163"/>
    <cellStyle name="Separador de milhares 2 3 5 2" xfId="26377"/>
    <cellStyle name="Separador de milhares 2 3 5 2 2" xfId="52610"/>
    <cellStyle name="Separador de milhares 2 3 5 3" xfId="20463"/>
    <cellStyle name="Separador de milhares 2 3 5 3 2" xfId="46702"/>
    <cellStyle name="Separador de milhares 2 3 5 4" xfId="14552"/>
    <cellStyle name="Separador de milhares 2 3 5 4 2" xfId="40794"/>
    <cellStyle name="Separador de milhares 2 3 5 5" xfId="34408"/>
    <cellStyle name="Separador de milhares 2 3 6" xfId="4777"/>
    <cellStyle name="Separador de milhares 2 3 6 2" xfId="23420"/>
    <cellStyle name="Separador de milhares 2 3 6 2 2" xfId="49656"/>
    <cellStyle name="Separador de milhares 2 3 6 3" xfId="31025"/>
    <cellStyle name="Separador de milhares 2 3 7" xfId="17506"/>
    <cellStyle name="Separador de milhares 2 3 7 2" xfId="43748"/>
    <cellStyle name="Separador de milhares 2 3 8" xfId="11167"/>
    <cellStyle name="Separador de milhares 2 3 8 2" xfId="37409"/>
    <cellStyle name="Separador de milhares 2 3 9" xfId="29328"/>
    <cellStyle name="Separador de milhares 2 4" xfId="163"/>
    <cellStyle name="Separador de milhares 2 4 10" xfId="6483"/>
    <cellStyle name="Separador de milhares 2 4 10 2" xfId="9637"/>
    <cellStyle name="Separador de milhares 2 4 10 2 2" xfId="27851"/>
    <cellStyle name="Separador de milhares 2 4 10 2 2 2" xfId="54081"/>
    <cellStyle name="Separador de milhares 2 4 10 2 3" xfId="21937"/>
    <cellStyle name="Separador de milhares 2 4 10 2 3 2" xfId="48173"/>
    <cellStyle name="Separador de milhares 2 4 10 2 4" xfId="16023"/>
    <cellStyle name="Separador de milhares 2 4 10 2 4 2" xfId="42265"/>
    <cellStyle name="Separador de milhares 2 4 10 2 5" xfId="35879"/>
    <cellStyle name="Separador de milhares 2 4 10 3" xfId="24894"/>
    <cellStyle name="Separador de milhares 2 4 10 3 2" xfId="51127"/>
    <cellStyle name="Separador de milhares 2 4 10 4" xfId="18980"/>
    <cellStyle name="Separador de milhares 2 4 10 4 2" xfId="45219"/>
    <cellStyle name="Separador de milhares 2 4 10 5" xfId="12872"/>
    <cellStyle name="Separador de milhares 2 4 10 5 2" xfId="39114"/>
    <cellStyle name="Separador de milhares 2 4 10 6" xfId="32728"/>
    <cellStyle name="Separador de milhares 2 4 11" xfId="8166"/>
    <cellStyle name="Separador de milhares 2 4 11 2" xfId="26380"/>
    <cellStyle name="Separador de milhares 2 4 11 2 2" xfId="52613"/>
    <cellStyle name="Separador de milhares 2 4 11 3" xfId="20466"/>
    <cellStyle name="Separador de milhares 2 4 11 3 2" xfId="46705"/>
    <cellStyle name="Separador de milhares 2 4 11 4" xfId="14555"/>
    <cellStyle name="Separador de milhares 2 4 11 4 2" xfId="40797"/>
    <cellStyle name="Separador de milhares 2 4 11 5" xfId="34411"/>
    <cellStyle name="Separador de milhares 2 4 12" xfId="4782"/>
    <cellStyle name="Separador de milhares 2 4 12 2" xfId="23423"/>
    <cellStyle name="Separador de milhares 2 4 12 2 2" xfId="49659"/>
    <cellStyle name="Separador de milhares 2 4 12 3" xfId="31029"/>
    <cellStyle name="Separador de milhares 2 4 13" xfId="17509"/>
    <cellStyle name="Separador de milhares 2 4 13 2" xfId="43751"/>
    <cellStyle name="Separador de milhares 2 4 14" xfId="11171"/>
    <cellStyle name="Separador de milhares 2 4 14 2" xfId="37413"/>
    <cellStyle name="Separador de milhares 2 4 15" xfId="29332"/>
    <cellStyle name="Separador de milhares 2 4 2" xfId="703"/>
    <cellStyle name="Separador de milhares 2 4 2 10" xfId="17660"/>
    <cellStyle name="Separador de milhares 2 4 2 10 2" xfId="43899"/>
    <cellStyle name="Separador de milhares 2 4 2 11" xfId="11326"/>
    <cellStyle name="Separador de milhares 2 4 2 11 2" xfId="37568"/>
    <cellStyle name="Separador de milhares 2 4 2 12" xfId="29486"/>
    <cellStyle name="Separador de milhares 2 4 2 2" xfId="1955"/>
    <cellStyle name="Separador de milhares 2 4 2 2 2" xfId="7002"/>
    <cellStyle name="Separador de milhares 2 4 2 2 2 2" xfId="10149"/>
    <cellStyle name="Separador de milhares 2 4 2 2 2 2 2" xfId="28363"/>
    <cellStyle name="Separador de milhares 2 4 2 2 2 2 2 2" xfId="54593"/>
    <cellStyle name="Separador de milhares 2 4 2 2 2 2 3" xfId="22449"/>
    <cellStyle name="Separador de milhares 2 4 2 2 2 2 3 2" xfId="48685"/>
    <cellStyle name="Separador de milhares 2 4 2 2 2 2 4" xfId="16535"/>
    <cellStyle name="Separador de milhares 2 4 2 2 2 2 4 2" xfId="42777"/>
    <cellStyle name="Separador de milhares 2 4 2 2 2 2 5" xfId="36391"/>
    <cellStyle name="Separador de milhares 2 4 2 2 2 3" xfId="25406"/>
    <cellStyle name="Separador de milhares 2 4 2 2 2 3 2" xfId="51639"/>
    <cellStyle name="Separador de milhares 2 4 2 2 2 4" xfId="19492"/>
    <cellStyle name="Separador de milhares 2 4 2 2 2 4 2" xfId="45731"/>
    <cellStyle name="Separador de milhares 2 4 2 2 2 5" xfId="13391"/>
    <cellStyle name="Separador de milhares 2 4 2 2 2 5 2" xfId="39633"/>
    <cellStyle name="Separador de milhares 2 4 2 2 2 6" xfId="33247"/>
    <cellStyle name="Separador de milhares 2 4 2 2 3" xfId="8681"/>
    <cellStyle name="Separador de milhares 2 4 2 2 3 2" xfId="26895"/>
    <cellStyle name="Separador de milhares 2 4 2 2 3 2 2" xfId="53125"/>
    <cellStyle name="Separador de milhares 2 4 2 2 3 3" xfId="20981"/>
    <cellStyle name="Separador de milhares 2 4 2 2 3 3 2" xfId="47217"/>
    <cellStyle name="Separador de milhares 2 4 2 2 3 4" xfId="15067"/>
    <cellStyle name="Separador de milhares 2 4 2 2 3 4 2" xfId="41309"/>
    <cellStyle name="Separador de milhares 2 4 2 2 3 5" xfId="34923"/>
    <cellStyle name="Separador de milhares 2 4 2 2 4" xfId="5303"/>
    <cellStyle name="Separador de milhares 2 4 2 2 4 2" xfId="23938"/>
    <cellStyle name="Separador de milhares 2 4 2 2 4 2 2" xfId="50171"/>
    <cellStyle name="Separador de milhares 2 4 2 2 4 3" xfId="31548"/>
    <cellStyle name="Separador de milhares 2 4 2 2 5" xfId="18024"/>
    <cellStyle name="Separador de milhares 2 4 2 2 5 2" xfId="44263"/>
    <cellStyle name="Separador de milhares 2 4 2 2 6" xfId="11690"/>
    <cellStyle name="Separador de milhares 2 4 2 2 6 2" xfId="37932"/>
    <cellStyle name="Separador de milhares 2 4 2 2 7" xfId="29850"/>
    <cellStyle name="Separador de milhares 2 4 2 3" xfId="2485"/>
    <cellStyle name="Separador de milhares 2 4 2 3 2" xfId="7152"/>
    <cellStyle name="Separador de milhares 2 4 2 3 2 2" xfId="10296"/>
    <cellStyle name="Separador de milhares 2 4 2 3 2 2 2" xfId="28510"/>
    <cellStyle name="Separador de milhares 2 4 2 3 2 2 2 2" xfId="54740"/>
    <cellStyle name="Separador de milhares 2 4 2 3 2 2 3" xfId="22596"/>
    <cellStyle name="Separador de milhares 2 4 2 3 2 2 3 2" xfId="48832"/>
    <cellStyle name="Separador de milhares 2 4 2 3 2 2 4" xfId="16682"/>
    <cellStyle name="Separador de milhares 2 4 2 3 2 2 4 2" xfId="42924"/>
    <cellStyle name="Separador de milhares 2 4 2 3 2 2 5" xfId="36538"/>
    <cellStyle name="Separador de milhares 2 4 2 3 2 3" xfId="25553"/>
    <cellStyle name="Separador de milhares 2 4 2 3 2 3 2" xfId="51786"/>
    <cellStyle name="Separador de milhares 2 4 2 3 2 4" xfId="19639"/>
    <cellStyle name="Separador de milhares 2 4 2 3 2 4 2" xfId="45878"/>
    <cellStyle name="Separador de milhares 2 4 2 3 2 5" xfId="13541"/>
    <cellStyle name="Separador de milhares 2 4 2 3 2 5 2" xfId="39783"/>
    <cellStyle name="Separador de milhares 2 4 2 3 2 6" xfId="33397"/>
    <cellStyle name="Separador de milhares 2 4 2 3 3" xfId="8828"/>
    <cellStyle name="Separador de milhares 2 4 2 3 3 2" xfId="27042"/>
    <cellStyle name="Separador de milhares 2 4 2 3 3 2 2" xfId="53272"/>
    <cellStyle name="Separador de milhares 2 4 2 3 3 3" xfId="21128"/>
    <cellStyle name="Separador de milhares 2 4 2 3 3 3 2" xfId="47364"/>
    <cellStyle name="Separador de milhares 2 4 2 3 3 4" xfId="15214"/>
    <cellStyle name="Separador de milhares 2 4 2 3 3 4 2" xfId="41456"/>
    <cellStyle name="Separador de milhares 2 4 2 3 3 5" xfId="35070"/>
    <cellStyle name="Separador de milhares 2 4 2 3 4" xfId="5453"/>
    <cellStyle name="Separador de milhares 2 4 2 3 4 2" xfId="24085"/>
    <cellStyle name="Separador de milhares 2 4 2 3 4 2 2" xfId="50318"/>
    <cellStyle name="Separador de milhares 2 4 2 3 4 3" xfId="31698"/>
    <cellStyle name="Separador de milhares 2 4 2 3 5" xfId="18171"/>
    <cellStyle name="Separador de milhares 2 4 2 3 5 2" xfId="44410"/>
    <cellStyle name="Separador de milhares 2 4 2 3 6" xfId="11840"/>
    <cellStyle name="Separador de milhares 2 4 2 3 6 2" xfId="38082"/>
    <cellStyle name="Separador de milhares 2 4 2 3 7" xfId="30000"/>
    <cellStyle name="Separador de milhares 2 4 2 4" xfId="3012"/>
    <cellStyle name="Separador de milhares 2 4 2 4 2" xfId="7299"/>
    <cellStyle name="Separador de milhares 2 4 2 4 2 2" xfId="10443"/>
    <cellStyle name="Separador de milhares 2 4 2 4 2 2 2" xfId="28657"/>
    <cellStyle name="Separador de milhares 2 4 2 4 2 2 2 2" xfId="54887"/>
    <cellStyle name="Separador de milhares 2 4 2 4 2 2 3" xfId="22743"/>
    <cellStyle name="Separador de milhares 2 4 2 4 2 2 3 2" xfId="48979"/>
    <cellStyle name="Separador de milhares 2 4 2 4 2 2 4" xfId="16829"/>
    <cellStyle name="Separador de milhares 2 4 2 4 2 2 4 2" xfId="43071"/>
    <cellStyle name="Separador de milhares 2 4 2 4 2 2 5" xfId="36685"/>
    <cellStyle name="Separador de milhares 2 4 2 4 2 3" xfId="25700"/>
    <cellStyle name="Separador de milhares 2 4 2 4 2 3 2" xfId="51933"/>
    <cellStyle name="Separador de milhares 2 4 2 4 2 4" xfId="19786"/>
    <cellStyle name="Separador de milhares 2 4 2 4 2 4 2" xfId="46025"/>
    <cellStyle name="Separador de milhares 2 4 2 4 2 5" xfId="13688"/>
    <cellStyle name="Separador de milhares 2 4 2 4 2 5 2" xfId="39930"/>
    <cellStyle name="Separador de milhares 2 4 2 4 2 6" xfId="33544"/>
    <cellStyle name="Separador de milhares 2 4 2 4 3" xfId="8975"/>
    <cellStyle name="Separador de milhares 2 4 2 4 3 2" xfId="27189"/>
    <cellStyle name="Separador de milhares 2 4 2 4 3 2 2" xfId="53419"/>
    <cellStyle name="Separador de milhares 2 4 2 4 3 3" xfId="21275"/>
    <cellStyle name="Separador de milhares 2 4 2 4 3 3 2" xfId="47511"/>
    <cellStyle name="Separador de milhares 2 4 2 4 3 4" xfId="15361"/>
    <cellStyle name="Separador de milhares 2 4 2 4 3 4 2" xfId="41603"/>
    <cellStyle name="Separador de milhares 2 4 2 4 3 5" xfId="35217"/>
    <cellStyle name="Separador de milhares 2 4 2 4 4" xfId="5600"/>
    <cellStyle name="Separador de milhares 2 4 2 4 4 2" xfId="24232"/>
    <cellStyle name="Separador de milhares 2 4 2 4 4 2 2" xfId="50465"/>
    <cellStyle name="Separador de milhares 2 4 2 4 4 3" xfId="31845"/>
    <cellStyle name="Separador de milhares 2 4 2 4 5" xfId="18318"/>
    <cellStyle name="Separador de milhares 2 4 2 4 5 2" xfId="44557"/>
    <cellStyle name="Separador de milhares 2 4 2 4 6" xfId="11987"/>
    <cellStyle name="Separador de milhares 2 4 2 4 6 2" xfId="38229"/>
    <cellStyle name="Separador de milhares 2 4 2 4 7" xfId="30147"/>
    <cellStyle name="Separador de milhares 2 4 2 5" xfId="3539"/>
    <cellStyle name="Separador de milhares 2 4 2 5 2" xfId="7446"/>
    <cellStyle name="Separador de milhares 2 4 2 5 2 2" xfId="10590"/>
    <cellStyle name="Separador de milhares 2 4 2 5 2 2 2" xfId="28804"/>
    <cellStyle name="Separador de milhares 2 4 2 5 2 2 2 2" xfId="55034"/>
    <cellStyle name="Separador de milhares 2 4 2 5 2 2 3" xfId="22890"/>
    <cellStyle name="Separador de milhares 2 4 2 5 2 2 3 2" xfId="49126"/>
    <cellStyle name="Separador de milhares 2 4 2 5 2 2 4" xfId="16976"/>
    <cellStyle name="Separador de milhares 2 4 2 5 2 2 4 2" xfId="43218"/>
    <cellStyle name="Separador de milhares 2 4 2 5 2 2 5" xfId="36832"/>
    <cellStyle name="Separador de milhares 2 4 2 5 2 3" xfId="25847"/>
    <cellStyle name="Separador de milhares 2 4 2 5 2 3 2" xfId="52080"/>
    <cellStyle name="Separador de milhares 2 4 2 5 2 4" xfId="19933"/>
    <cellStyle name="Separador de milhares 2 4 2 5 2 4 2" xfId="46172"/>
    <cellStyle name="Separador de milhares 2 4 2 5 2 5" xfId="13835"/>
    <cellStyle name="Separador de milhares 2 4 2 5 2 5 2" xfId="40077"/>
    <cellStyle name="Separador de milhares 2 4 2 5 2 6" xfId="33691"/>
    <cellStyle name="Separador de milhares 2 4 2 5 3" xfId="9122"/>
    <cellStyle name="Separador de milhares 2 4 2 5 3 2" xfId="27336"/>
    <cellStyle name="Separador de milhares 2 4 2 5 3 2 2" xfId="53566"/>
    <cellStyle name="Separador de milhares 2 4 2 5 3 3" xfId="21422"/>
    <cellStyle name="Separador de milhares 2 4 2 5 3 3 2" xfId="47658"/>
    <cellStyle name="Separador de milhares 2 4 2 5 3 4" xfId="15508"/>
    <cellStyle name="Separador de milhares 2 4 2 5 3 4 2" xfId="41750"/>
    <cellStyle name="Separador de milhares 2 4 2 5 3 5" xfId="35364"/>
    <cellStyle name="Separador de milhares 2 4 2 5 4" xfId="5747"/>
    <cellStyle name="Separador de milhares 2 4 2 5 4 2" xfId="24379"/>
    <cellStyle name="Separador de milhares 2 4 2 5 4 2 2" xfId="50612"/>
    <cellStyle name="Separador de milhares 2 4 2 5 4 3" xfId="31992"/>
    <cellStyle name="Separador de milhares 2 4 2 5 5" xfId="18465"/>
    <cellStyle name="Separador de milhares 2 4 2 5 5 2" xfId="44704"/>
    <cellStyle name="Separador de milhares 2 4 2 5 6" xfId="12134"/>
    <cellStyle name="Separador de milhares 2 4 2 5 6 2" xfId="38376"/>
    <cellStyle name="Separador de milhares 2 4 2 5 7" xfId="30294"/>
    <cellStyle name="Separador de milhares 2 4 2 6" xfId="4066"/>
    <cellStyle name="Separador de milhares 2 4 2 6 2" xfId="7593"/>
    <cellStyle name="Separador de milhares 2 4 2 6 2 2" xfId="10737"/>
    <cellStyle name="Separador de milhares 2 4 2 6 2 2 2" xfId="28951"/>
    <cellStyle name="Separador de milhares 2 4 2 6 2 2 2 2" xfId="55181"/>
    <cellStyle name="Separador de milhares 2 4 2 6 2 2 3" xfId="23037"/>
    <cellStyle name="Separador de milhares 2 4 2 6 2 2 3 2" xfId="49273"/>
    <cellStyle name="Separador de milhares 2 4 2 6 2 2 4" xfId="17123"/>
    <cellStyle name="Separador de milhares 2 4 2 6 2 2 4 2" xfId="43365"/>
    <cellStyle name="Separador de milhares 2 4 2 6 2 2 5" xfId="36979"/>
    <cellStyle name="Separador de milhares 2 4 2 6 2 3" xfId="25994"/>
    <cellStyle name="Separador de milhares 2 4 2 6 2 3 2" xfId="52227"/>
    <cellStyle name="Separador de milhares 2 4 2 6 2 4" xfId="20080"/>
    <cellStyle name="Separador de milhares 2 4 2 6 2 4 2" xfId="46319"/>
    <cellStyle name="Separador de milhares 2 4 2 6 2 5" xfId="13982"/>
    <cellStyle name="Separador de milhares 2 4 2 6 2 5 2" xfId="40224"/>
    <cellStyle name="Separador de milhares 2 4 2 6 2 6" xfId="33838"/>
    <cellStyle name="Separador de milhares 2 4 2 6 3" xfId="9269"/>
    <cellStyle name="Separador de milhares 2 4 2 6 3 2" xfId="27483"/>
    <cellStyle name="Separador de milhares 2 4 2 6 3 2 2" xfId="53713"/>
    <cellStyle name="Separador de milhares 2 4 2 6 3 3" xfId="21569"/>
    <cellStyle name="Separador de milhares 2 4 2 6 3 3 2" xfId="47805"/>
    <cellStyle name="Separador de milhares 2 4 2 6 3 4" xfId="15655"/>
    <cellStyle name="Separador de milhares 2 4 2 6 3 4 2" xfId="41897"/>
    <cellStyle name="Separador de milhares 2 4 2 6 3 5" xfId="35511"/>
    <cellStyle name="Separador de milhares 2 4 2 6 4" xfId="5894"/>
    <cellStyle name="Separador de milhares 2 4 2 6 4 2" xfId="24526"/>
    <cellStyle name="Separador de milhares 2 4 2 6 4 2 2" xfId="50759"/>
    <cellStyle name="Separador de milhares 2 4 2 6 4 3" xfId="32139"/>
    <cellStyle name="Separador de milhares 2 4 2 6 5" xfId="18612"/>
    <cellStyle name="Separador de milhares 2 4 2 6 5 2" xfId="44851"/>
    <cellStyle name="Separador de milhares 2 4 2 6 6" xfId="12281"/>
    <cellStyle name="Separador de milhares 2 4 2 6 6 2" xfId="38523"/>
    <cellStyle name="Separador de milhares 2 4 2 6 7" xfId="30441"/>
    <cellStyle name="Separador de milhares 2 4 2 7" xfId="6638"/>
    <cellStyle name="Separador de milhares 2 4 2 7 2" xfId="9785"/>
    <cellStyle name="Separador de milhares 2 4 2 7 2 2" xfId="27999"/>
    <cellStyle name="Separador de milhares 2 4 2 7 2 2 2" xfId="54229"/>
    <cellStyle name="Separador de milhares 2 4 2 7 2 3" xfId="22085"/>
    <cellStyle name="Separador de milhares 2 4 2 7 2 3 2" xfId="48321"/>
    <cellStyle name="Separador de milhares 2 4 2 7 2 4" xfId="16171"/>
    <cellStyle name="Separador de milhares 2 4 2 7 2 4 2" xfId="42413"/>
    <cellStyle name="Separador de milhares 2 4 2 7 2 5" xfId="36027"/>
    <cellStyle name="Separador de milhares 2 4 2 7 3" xfId="25042"/>
    <cellStyle name="Separador de milhares 2 4 2 7 3 2" xfId="51275"/>
    <cellStyle name="Separador de milhares 2 4 2 7 4" xfId="19128"/>
    <cellStyle name="Separador de milhares 2 4 2 7 4 2" xfId="45367"/>
    <cellStyle name="Separador de milhares 2 4 2 7 5" xfId="13027"/>
    <cellStyle name="Separador de milhares 2 4 2 7 5 2" xfId="39269"/>
    <cellStyle name="Separador de milhares 2 4 2 7 6" xfId="32883"/>
    <cellStyle name="Separador de milhares 2 4 2 8" xfId="8317"/>
    <cellStyle name="Separador de milhares 2 4 2 8 2" xfId="26531"/>
    <cellStyle name="Separador de milhares 2 4 2 8 2 2" xfId="52761"/>
    <cellStyle name="Separador de milhares 2 4 2 8 3" xfId="20617"/>
    <cellStyle name="Separador de milhares 2 4 2 8 3 2" xfId="46853"/>
    <cellStyle name="Separador de milhares 2 4 2 8 4" xfId="14703"/>
    <cellStyle name="Separador de milhares 2 4 2 8 4 2" xfId="40945"/>
    <cellStyle name="Separador de milhares 2 4 2 8 5" xfId="34559"/>
    <cellStyle name="Separador de milhares 2 4 2 9" xfId="4939"/>
    <cellStyle name="Separador de milhares 2 4 2 9 2" xfId="23574"/>
    <cellStyle name="Separador de milhares 2 4 2 9 2 2" xfId="49807"/>
    <cellStyle name="Separador de milhares 2 4 2 9 3" xfId="31184"/>
    <cellStyle name="Separador de milhares 2 4 3" xfId="909"/>
    <cellStyle name="Separador de milhares 2 4 3 2" xfId="6715"/>
    <cellStyle name="Separador de milhares 2 4 3 2 2" xfId="9862"/>
    <cellStyle name="Separador de milhares 2 4 3 2 2 2" xfId="28076"/>
    <cellStyle name="Separador de milhares 2 4 3 2 2 2 2" xfId="54306"/>
    <cellStyle name="Separador de milhares 2 4 3 2 2 3" xfId="22162"/>
    <cellStyle name="Separador de milhares 2 4 3 2 2 3 2" xfId="48398"/>
    <cellStyle name="Separador de milhares 2 4 3 2 2 4" xfId="16248"/>
    <cellStyle name="Separador de milhares 2 4 3 2 2 4 2" xfId="42490"/>
    <cellStyle name="Separador de milhares 2 4 3 2 2 5" xfId="36104"/>
    <cellStyle name="Separador de milhares 2 4 3 2 3" xfId="25119"/>
    <cellStyle name="Separador de milhares 2 4 3 2 3 2" xfId="51352"/>
    <cellStyle name="Separador de milhares 2 4 3 2 4" xfId="19205"/>
    <cellStyle name="Separador de milhares 2 4 3 2 4 2" xfId="45444"/>
    <cellStyle name="Separador de milhares 2 4 3 2 5" xfId="13104"/>
    <cellStyle name="Separador de milhares 2 4 3 2 5 2" xfId="39346"/>
    <cellStyle name="Separador de milhares 2 4 3 2 6" xfId="32960"/>
    <cellStyle name="Separador de milhares 2 4 3 3" xfId="8394"/>
    <cellStyle name="Separador de milhares 2 4 3 3 2" xfId="26608"/>
    <cellStyle name="Separador de milhares 2 4 3 3 2 2" xfId="52838"/>
    <cellStyle name="Separador de milhares 2 4 3 3 3" xfId="20694"/>
    <cellStyle name="Separador de milhares 2 4 3 3 3 2" xfId="46930"/>
    <cellStyle name="Separador de milhares 2 4 3 3 4" xfId="14780"/>
    <cellStyle name="Separador de milhares 2 4 3 3 4 2" xfId="41022"/>
    <cellStyle name="Separador de milhares 2 4 3 3 5" xfId="34636"/>
    <cellStyle name="Separador de milhares 2 4 3 4" xfId="5016"/>
    <cellStyle name="Separador de milhares 2 4 3 4 2" xfId="23651"/>
    <cellStyle name="Separador de milhares 2 4 3 4 2 2" xfId="49884"/>
    <cellStyle name="Separador de milhares 2 4 3 4 3" xfId="31261"/>
    <cellStyle name="Separador de milhares 2 4 3 5" xfId="17737"/>
    <cellStyle name="Separador de milhares 2 4 3 5 2" xfId="43976"/>
    <cellStyle name="Separador de milhares 2 4 3 6" xfId="11403"/>
    <cellStyle name="Separador de milhares 2 4 3 6 2" xfId="37645"/>
    <cellStyle name="Separador de milhares 2 4 3 7" xfId="29563"/>
    <cellStyle name="Separador de milhares 2 4 4" xfId="1260"/>
    <cellStyle name="Separador de milhares 2 4 4 2" xfId="6813"/>
    <cellStyle name="Separador de milhares 2 4 4 2 2" xfId="9960"/>
    <cellStyle name="Separador de milhares 2 4 4 2 2 2" xfId="28174"/>
    <cellStyle name="Separador de milhares 2 4 4 2 2 2 2" xfId="54404"/>
    <cellStyle name="Separador de milhares 2 4 4 2 2 3" xfId="22260"/>
    <cellStyle name="Separador de milhares 2 4 4 2 2 3 2" xfId="48496"/>
    <cellStyle name="Separador de milhares 2 4 4 2 2 4" xfId="16346"/>
    <cellStyle name="Separador de milhares 2 4 4 2 2 4 2" xfId="42588"/>
    <cellStyle name="Separador de milhares 2 4 4 2 2 5" xfId="36202"/>
    <cellStyle name="Separador de milhares 2 4 4 2 3" xfId="25217"/>
    <cellStyle name="Separador de milhares 2 4 4 2 3 2" xfId="51450"/>
    <cellStyle name="Separador de milhares 2 4 4 2 4" xfId="19303"/>
    <cellStyle name="Separador de milhares 2 4 4 2 4 2" xfId="45542"/>
    <cellStyle name="Separador de milhares 2 4 4 2 5" xfId="13202"/>
    <cellStyle name="Separador de milhares 2 4 4 2 5 2" xfId="39444"/>
    <cellStyle name="Separador de milhares 2 4 4 2 6" xfId="33058"/>
    <cellStyle name="Separador de milhares 2 4 4 3" xfId="8492"/>
    <cellStyle name="Separador de milhares 2 4 4 3 2" xfId="26706"/>
    <cellStyle name="Separador de milhares 2 4 4 3 2 2" xfId="52936"/>
    <cellStyle name="Separador de milhares 2 4 4 3 3" xfId="20792"/>
    <cellStyle name="Separador de milhares 2 4 4 3 3 2" xfId="47028"/>
    <cellStyle name="Separador de milhares 2 4 4 3 4" xfId="14878"/>
    <cellStyle name="Separador de milhares 2 4 4 3 4 2" xfId="41120"/>
    <cellStyle name="Separador de milhares 2 4 4 3 5" xfId="34734"/>
    <cellStyle name="Separador de milhares 2 4 4 4" xfId="5114"/>
    <cellStyle name="Separador de milhares 2 4 4 4 2" xfId="23749"/>
    <cellStyle name="Separador de milhares 2 4 4 4 2 2" xfId="49982"/>
    <cellStyle name="Separador de milhares 2 4 4 4 3" xfId="31359"/>
    <cellStyle name="Separador de milhares 2 4 4 5" xfId="17835"/>
    <cellStyle name="Separador de milhares 2 4 4 5 2" xfId="44074"/>
    <cellStyle name="Separador de milhares 2 4 4 6" xfId="11501"/>
    <cellStyle name="Separador de milhares 2 4 4 6 2" xfId="37743"/>
    <cellStyle name="Separador de milhares 2 4 4 7" xfId="29661"/>
    <cellStyle name="Separador de milhares 2 4 5" xfId="1695"/>
    <cellStyle name="Separador de milhares 2 4 5 2" xfId="6932"/>
    <cellStyle name="Separador de milhares 2 4 5 2 2" xfId="10079"/>
    <cellStyle name="Separador de milhares 2 4 5 2 2 2" xfId="28293"/>
    <cellStyle name="Separador de milhares 2 4 5 2 2 2 2" xfId="54523"/>
    <cellStyle name="Separador de milhares 2 4 5 2 2 3" xfId="22379"/>
    <cellStyle name="Separador de milhares 2 4 5 2 2 3 2" xfId="48615"/>
    <cellStyle name="Separador de milhares 2 4 5 2 2 4" xfId="16465"/>
    <cellStyle name="Separador de milhares 2 4 5 2 2 4 2" xfId="42707"/>
    <cellStyle name="Separador de milhares 2 4 5 2 2 5" xfId="36321"/>
    <cellStyle name="Separador de milhares 2 4 5 2 3" xfId="25336"/>
    <cellStyle name="Separador de milhares 2 4 5 2 3 2" xfId="51569"/>
    <cellStyle name="Separador de milhares 2 4 5 2 4" xfId="19422"/>
    <cellStyle name="Separador de milhares 2 4 5 2 4 2" xfId="45661"/>
    <cellStyle name="Separador de milhares 2 4 5 2 5" xfId="13321"/>
    <cellStyle name="Separador de milhares 2 4 5 2 5 2" xfId="39563"/>
    <cellStyle name="Separador de milhares 2 4 5 2 6" xfId="33177"/>
    <cellStyle name="Separador de milhares 2 4 5 3" xfId="8611"/>
    <cellStyle name="Separador de milhares 2 4 5 3 2" xfId="26825"/>
    <cellStyle name="Separador de milhares 2 4 5 3 2 2" xfId="53055"/>
    <cellStyle name="Separador de milhares 2 4 5 3 3" xfId="20911"/>
    <cellStyle name="Separador de milhares 2 4 5 3 3 2" xfId="47147"/>
    <cellStyle name="Separador de milhares 2 4 5 3 4" xfId="14997"/>
    <cellStyle name="Separador de milhares 2 4 5 3 4 2" xfId="41239"/>
    <cellStyle name="Separador de milhares 2 4 5 3 5" xfId="34853"/>
    <cellStyle name="Separador de milhares 2 4 5 4" xfId="5233"/>
    <cellStyle name="Separador de milhares 2 4 5 4 2" xfId="23868"/>
    <cellStyle name="Separador de milhares 2 4 5 4 2 2" xfId="50101"/>
    <cellStyle name="Separador de milhares 2 4 5 4 3" xfId="31478"/>
    <cellStyle name="Separador de milhares 2 4 5 5" xfId="17954"/>
    <cellStyle name="Separador de milhares 2 4 5 5 2" xfId="44193"/>
    <cellStyle name="Separador de milhares 2 4 5 6" xfId="11620"/>
    <cellStyle name="Separador de milhares 2 4 5 6 2" xfId="37862"/>
    <cellStyle name="Separador de milhares 2 4 5 7" xfId="29780"/>
    <cellStyle name="Separador de milhares 2 4 6" xfId="2225"/>
    <cellStyle name="Separador de milhares 2 4 6 2" xfId="7082"/>
    <cellStyle name="Separador de milhares 2 4 6 2 2" xfId="10226"/>
    <cellStyle name="Separador de milhares 2 4 6 2 2 2" xfId="28440"/>
    <cellStyle name="Separador de milhares 2 4 6 2 2 2 2" xfId="54670"/>
    <cellStyle name="Separador de milhares 2 4 6 2 2 3" xfId="22526"/>
    <cellStyle name="Separador de milhares 2 4 6 2 2 3 2" xfId="48762"/>
    <cellStyle name="Separador de milhares 2 4 6 2 2 4" xfId="16612"/>
    <cellStyle name="Separador de milhares 2 4 6 2 2 4 2" xfId="42854"/>
    <cellStyle name="Separador de milhares 2 4 6 2 2 5" xfId="36468"/>
    <cellStyle name="Separador de milhares 2 4 6 2 3" xfId="25483"/>
    <cellStyle name="Separador de milhares 2 4 6 2 3 2" xfId="51716"/>
    <cellStyle name="Separador de milhares 2 4 6 2 4" xfId="19569"/>
    <cellStyle name="Separador de milhares 2 4 6 2 4 2" xfId="45808"/>
    <cellStyle name="Separador de milhares 2 4 6 2 5" xfId="13471"/>
    <cellStyle name="Separador de milhares 2 4 6 2 5 2" xfId="39713"/>
    <cellStyle name="Separador de milhares 2 4 6 2 6" xfId="33327"/>
    <cellStyle name="Separador de milhares 2 4 6 3" xfId="8758"/>
    <cellStyle name="Separador de milhares 2 4 6 3 2" xfId="26972"/>
    <cellStyle name="Separador de milhares 2 4 6 3 2 2" xfId="53202"/>
    <cellStyle name="Separador de milhares 2 4 6 3 3" xfId="21058"/>
    <cellStyle name="Separador de milhares 2 4 6 3 3 2" xfId="47294"/>
    <cellStyle name="Separador de milhares 2 4 6 3 4" xfId="15144"/>
    <cellStyle name="Separador de milhares 2 4 6 3 4 2" xfId="41386"/>
    <cellStyle name="Separador de milhares 2 4 6 3 5" xfId="35000"/>
    <cellStyle name="Separador de milhares 2 4 6 4" xfId="5383"/>
    <cellStyle name="Separador de milhares 2 4 6 4 2" xfId="24015"/>
    <cellStyle name="Separador de milhares 2 4 6 4 2 2" xfId="50248"/>
    <cellStyle name="Separador de milhares 2 4 6 4 3" xfId="31628"/>
    <cellStyle name="Separador de milhares 2 4 6 5" xfId="18101"/>
    <cellStyle name="Separador de milhares 2 4 6 5 2" xfId="44340"/>
    <cellStyle name="Separador de milhares 2 4 6 6" xfId="11770"/>
    <cellStyle name="Separador de milhares 2 4 6 6 2" xfId="38012"/>
    <cellStyle name="Separador de milhares 2 4 6 7" xfId="29930"/>
    <cellStyle name="Separador de milhares 2 4 7" xfId="2752"/>
    <cellStyle name="Separador de milhares 2 4 7 2" xfId="7229"/>
    <cellStyle name="Separador de milhares 2 4 7 2 2" xfId="10373"/>
    <cellStyle name="Separador de milhares 2 4 7 2 2 2" xfId="28587"/>
    <cellStyle name="Separador de milhares 2 4 7 2 2 2 2" xfId="54817"/>
    <cellStyle name="Separador de milhares 2 4 7 2 2 3" xfId="22673"/>
    <cellStyle name="Separador de milhares 2 4 7 2 2 3 2" xfId="48909"/>
    <cellStyle name="Separador de milhares 2 4 7 2 2 4" xfId="16759"/>
    <cellStyle name="Separador de milhares 2 4 7 2 2 4 2" xfId="43001"/>
    <cellStyle name="Separador de milhares 2 4 7 2 2 5" xfId="36615"/>
    <cellStyle name="Separador de milhares 2 4 7 2 3" xfId="25630"/>
    <cellStyle name="Separador de milhares 2 4 7 2 3 2" xfId="51863"/>
    <cellStyle name="Separador de milhares 2 4 7 2 4" xfId="19716"/>
    <cellStyle name="Separador de milhares 2 4 7 2 4 2" xfId="45955"/>
    <cellStyle name="Separador de milhares 2 4 7 2 5" xfId="13618"/>
    <cellStyle name="Separador de milhares 2 4 7 2 5 2" xfId="39860"/>
    <cellStyle name="Separador de milhares 2 4 7 2 6" xfId="33474"/>
    <cellStyle name="Separador de milhares 2 4 7 3" xfId="8905"/>
    <cellStyle name="Separador de milhares 2 4 7 3 2" xfId="27119"/>
    <cellStyle name="Separador de milhares 2 4 7 3 2 2" xfId="53349"/>
    <cellStyle name="Separador de milhares 2 4 7 3 3" xfId="21205"/>
    <cellStyle name="Separador de milhares 2 4 7 3 3 2" xfId="47441"/>
    <cellStyle name="Separador de milhares 2 4 7 3 4" xfId="15291"/>
    <cellStyle name="Separador de milhares 2 4 7 3 4 2" xfId="41533"/>
    <cellStyle name="Separador de milhares 2 4 7 3 5" xfId="35147"/>
    <cellStyle name="Separador de milhares 2 4 7 4" xfId="5530"/>
    <cellStyle name="Separador de milhares 2 4 7 4 2" xfId="24162"/>
    <cellStyle name="Separador de milhares 2 4 7 4 2 2" xfId="50395"/>
    <cellStyle name="Separador de milhares 2 4 7 4 3" xfId="31775"/>
    <cellStyle name="Separador de milhares 2 4 7 5" xfId="18248"/>
    <cellStyle name="Separador de milhares 2 4 7 5 2" xfId="44487"/>
    <cellStyle name="Separador de milhares 2 4 7 6" xfId="11917"/>
    <cellStyle name="Separador de milhares 2 4 7 6 2" xfId="38159"/>
    <cellStyle name="Separador de milhares 2 4 7 7" xfId="30077"/>
    <cellStyle name="Separador de milhares 2 4 8" xfId="3279"/>
    <cellStyle name="Separador de milhares 2 4 8 2" xfId="7376"/>
    <cellStyle name="Separador de milhares 2 4 8 2 2" xfId="10520"/>
    <cellStyle name="Separador de milhares 2 4 8 2 2 2" xfId="28734"/>
    <cellStyle name="Separador de milhares 2 4 8 2 2 2 2" xfId="54964"/>
    <cellStyle name="Separador de milhares 2 4 8 2 2 3" xfId="22820"/>
    <cellStyle name="Separador de milhares 2 4 8 2 2 3 2" xfId="49056"/>
    <cellStyle name="Separador de milhares 2 4 8 2 2 4" xfId="16906"/>
    <cellStyle name="Separador de milhares 2 4 8 2 2 4 2" xfId="43148"/>
    <cellStyle name="Separador de milhares 2 4 8 2 2 5" xfId="36762"/>
    <cellStyle name="Separador de milhares 2 4 8 2 3" xfId="25777"/>
    <cellStyle name="Separador de milhares 2 4 8 2 3 2" xfId="52010"/>
    <cellStyle name="Separador de milhares 2 4 8 2 4" xfId="19863"/>
    <cellStyle name="Separador de milhares 2 4 8 2 4 2" xfId="46102"/>
    <cellStyle name="Separador de milhares 2 4 8 2 5" xfId="13765"/>
    <cellStyle name="Separador de milhares 2 4 8 2 5 2" xfId="40007"/>
    <cellStyle name="Separador de milhares 2 4 8 2 6" xfId="33621"/>
    <cellStyle name="Separador de milhares 2 4 8 3" xfId="9052"/>
    <cellStyle name="Separador de milhares 2 4 8 3 2" xfId="27266"/>
    <cellStyle name="Separador de milhares 2 4 8 3 2 2" xfId="53496"/>
    <cellStyle name="Separador de milhares 2 4 8 3 3" xfId="21352"/>
    <cellStyle name="Separador de milhares 2 4 8 3 3 2" xfId="47588"/>
    <cellStyle name="Separador de milhares 2 4 8 3 4" xfId="15438"/>
    <cellStyle name="Separador de milhares 2 4 8 3 4 2" xfId="41680"/>
    <cellStyle name="Separador de milhares 2 4 8 3 5" xfId="35294"/>
    <cellStyle name="Separador de milhares 2 4 8 4" xfId="5677"/>
    <cellStyle name="Separador de milhares 2 4 8 4 2" xfId="24309"/>
    <cellStyle name="Separador de milhares 2 4 8 4 2 2" xfId="50542"/>
    <cellStyle name="Separador de milhares 2 4 8 4 3" xfId="31922"/>
    <cellStyle name="Separador de milhares 2 4 8 5" xfId="18395"/>
    <cellStyle name="Separador de milhares 2 4 8 5 2" xfId="44634"/>
    <cellStyle name="Separador de milhares 2 4 8 6" xfId="12064"/>
    <cellStyle name="Separador de milhares 2 4 8 6 2" xfId="38306"/>
    <cellStyle name="Separador de milhares 2 4 8 7" xfId="30224"/>
    <cellStyle name="Separador de milhares 2 4 9" xfId="3806"/>
    <cellStyle name="Separador de milhares 2 4 9 2" xfId="7523"/>
    <cellStyle name="Separador de milhares 2 4 9 2 2" xfId="10667"/>
    <cellStyle name="Separador de milhares 2 4 9 2 2 2" xfId="28881"/>
    <cellStyle name="Separador de milhares 2 4 9 2 2 2 2" xfId="55111"/>
    <cellStyle name="Separador de milhares 2 4 9 2 2 3" xfId="22967"/>
    <cellStyle name="Separador de milhares 2 4 9 2 2 3 2" xfId="49203"/>
    <cellStyle name="Separador de milhares 2 4 9 2 2 4" xfId="17053"/>
    <cellStyle name="Separador de milhares 2 4 9 2 2 4 2" xfId="43295"/>
    <cellStyle name="Separador de milhares 2 4 9 2 2 5" xfId="36909"/>
    <cellStyle name="Separador de milhares 2 4 9 2 3" xfId="25924"/>
    <cellStyle name="Separador de milhares 2 4 9 2 3 2" xfId="52157"/>
    <cellStyle name="Separador de milhares 2 4 9 2 4" xfId="20010"/>
    <cellStyle name="Separador de milhares 2 4 9 2 4 2" xfId="46249"/>
    <cellStyle name="Separador de milhares 2 4 9 2 5" xfId="13912"/>
    <cellStyle name="Separador de milhares 2 4 9 2 5 2" xfId="40154"/>
    <cellStyle name="Separador de milhares 2 4 9 2 6" xfId="33768"/>
    <cellStyle name="Separador de milhares 2 4 9 3" xfId="9199"/>
    <cellStyle name="Separador de milhares 2 4 9 3 2" xfId="27413"/>
    <cellStyle name="Separador de milhares 2 4 9 3 2 2" xfId="53643"/>
    <cellStyle name="Separador de milhares 2 4 9 3 3" xfId="21499"/>
    <cellStyle name="Separador de milhares 2 4 9 3 3 2" xfId="47735"/>
    <cellStyle name="Separador de milhares 2 4 9 3 4" xfId="15585"/>
    <cellStyle name="Separador de milhares 2 4 9 3 4 2" xfId="41827"/>
    <cellStyle name="Separador de milhares 2 4 9 3 5" xfId="35441"/>
    <cellStyle name="Separador de milhares 2 4 9 4" xfId="5824"/>
    <cellStyle name="Separador de milhares 2 4 9 4 2" xfId="24456"/>
    <cellStyle name="Separador de milhares 2 4 9 4 2 2" xfId="50689"/>
    <cellStyle name="Separador de milhares 2 4 9 4 3" xfId="32069"/>
    <cellStyle name="Separador de milhares 2 4 9 5" xfId="18542"/>
    <cellStyle name="Separador de milhares 2 4 9 5 2" xfId="44781"/>
    <cellStyle name="Separador de milhares 2 4 9 6" xfId="12211"/>
    <cellStyle name="Separador de milhares 2 4 9 6 2" xfId="38453"/>
    <cellStyle name="Separador de milhares 2 4 9 7" xfId="30371"/>
    <cellStyle name="Separador de milhares 2 5" xfId="258"/>
    <cellStyle name="Separador de milhares 2 5 10" xfId="6514"/>
    <cellStyle name="Separador de milhares 2 5 10 2" xfId="9665"/>
    <cellStyle name="Separador de milhares 2 5 10 2 2" xfId="27879"/>
    <cellStyle name="Separador de milhares 2 5 10 2 2 2" xfId="54109"/>
    <cellStyle name="Separador de milhares 2 5 10 2 3" xfId="21965"/>
    <cellStyle name="Separador de milhares 2 5 10 2 3 2" xfId="48201"/>
    <cellStyle name="Separador de milhares 2 5 10 2 4" xfId="16051"/>
    <cellStyle name="Separador de milhares 2 5 10 2 4 2" xfId="42293"/>
    <cellStyle name="Separador de milhares 2 5 10 2 5" xfId="35907"/>
    <cellStyle name="Separador de milhares 2 5 10 3" xfId="24922"/>
    <cellStyle name="Separador de milhares 2 5 10 3 2" xfId="51155"/>
    <cellStyle name="Separador de milhares 2 5 10 4" xfId="19008"/>
    <cellStyle name="Separador de milhares 2 5 10 4 2" xfId="45247"/>
    <cellStyle name="Separador de milhares 2 5 10 5" xfId="12903"/>
    <cellStyle name="Separador de milhares 2 5 10 5 2" xfId="39145"/>
    <cellStyle name="Separador de milhares 2 5 10 6" xfId="32759"/>
    <cellStyle name="Separador de milhares 2 5 11" xfId="8194"/>
    <cellStyle name="Separador de milhares 2 5 11 2" xfId="26408"/>
    <cellStyle name="Separador de milhares 2 5 11 2 2" xfId="52641"/>
    <cellStyle name="Separador de milhares 2 5 11 3" xfId="20494"/>
    <cellStyle name="Separador de milhares 2 5 11 3 2" xfId="46733"/>
    <cellStyle name="Separador de milhares 2 5 11 4" xfId="14583"/>
    <cellStyle name="Separador de milhares 2 5 11 4 2" xfId="40825"/>
    <cellStyle name="Separador de milhares 2 5 11 5" xfId="34439"/>
    <cellStyle name="Separador de milhares 2 5 12" xfId="4813"/>
    <cellStyle name="Separador de milhares 2 5 12 2" xfId="23451"/>
    <cellStyle name="Separador de milhares 2 5 12 2 2" xfId="49687"/>
    <cellStyle name="Separador de milhares 2 5 12 3" xfId="31060"/>
    <cellStyle name="Separador de milhares 2 5 13" xfId="17537"/>
    <cellStyle name="Separador de milhares 2 5 13 2" xfId="43779"/>
    <cellStyle name="Separador de milhares 2 5 14" xfId="11202"/>
    <cellStyle name="Separador de milhares 2 5 14 2" xfId="37444"/>
    <cellStyle name="Separador de milhares 2 5 15" xfId="29362"/>
    <cellStyle name="Separador de milhares 2 5 2" xfId="696"/>
    <cellStyle name="Separador de milhares 2 5 2 2" xfId="6631"/>
    <cellStyle name="Separador de milhares 2 5 2 2 2" xfId="9778"/>
    <cellStyle name="Separador de milhares 2 5 2 2 2 2" xfId="27992"/>
    <cellStyle name="Separador de milhares 2 5 2 2 2 2 2" xfId="54222"/>
    <cellStyle name="Separador de milhares 2 5 2 2 2 3" xfId="22078"/>
    <cellStyle name="Separador de milhares 2 5 2 2 2 3 2" xfId="48314"/>
    <cellStyle name="Separador de milhares 2 5 2 2 2 4" xfId="16164"/>
    <cellStyle name="Separador de milhares 2 5 2 2 2 4 2" xfId="42406"/>
    <cellStyle name="Separador de milhares 2 5 2 2 2 5" xfId="36020"/>
    <cellStyle name="Separador de milhares 2 5 2 2 3" xfId="25035"/>
    <cellStyle name="Separador de milhares 2 5 2 2 3 2" xfId="51268"/>
    <cellStyle name="Separador de milhares 2 5 2 2 4" xfId="19121"/>
    <cellStyle name="Separador de milhares 2 5 2 2 4 2" xfId="45360"/>
    <cellStyle name="Separador de milhares 2 5 2 2 5" xfId="13020"/>
    <cellStyle name="Separador de milhares 2 5 2 2 5 2" xfId="39262"/>
    <cellStyle name="Separador de milhares 2 5 2 2 6" xfId="32876"/>
    <cellStyle name="Separador de milhares 2 5 2 3" xfId="8310"/>
    <cellStyle name="Separador de milhares 2 5 2 3 2" xfId="26524"/>
    <cellStyle name="Separador de milhares 2 5 2 3 2 2" xfId="52754"/>
    <cellStyle name="Separador de milhares 2 5 2 3 3" xfId="20610"/>
    <cellStyle name="Separador de milhares 2 5 2 3 3 2" xfId="46846"/>
    <cellStyle name="Separador de milhares 2 5 2 3 4" xfId="14696"/>
    <cellStyle name="Separador de milhares 2 5 2 3 4 2" xfId="40938"/>
    <cellStyle name="Separador de milhares 2 5 2 3 5" xfId="34552"/>
    <cellStyle name="Separador de milhares 2 5 2 4" xfId="4932"/>
    <cellStyle name="Separador de milhares 2 5 2 4 2" xfId="23567"/>
    <cellStyle name="Separador de milhares 2 5 2 4 2 2" xfId="49800"/>
    <cellStyle name="Separador de milhares 2 5 2 4 3" xfId="31177"/>
    <cellStyle name="Separador de milhares 2 5 2 5" xfId="17653"/>
    <cellStyle name="Separador de milhares 2 5 2 5 2" xfId="43892"/>
    <cellStyle name="Separador de milhares 2 5 2 6" xfId="11319"/>
    <cellStyle name="Separador de milhares 2 5 2 6 2" xfId="37561"/>
    <cellStyle name="Separador de milhares 2 5 2 7" xfId="29479"/>
    <cellStyle name="Separador de milhares 2 5 3" xfId="818"/>
    <cellStyle name="Separador de milhares 2 5 3 2" xfId="6687"/>
    <cellStyle name="Separador de milhares 2 5 3 2 2" xfId="9834"/>
    <cellStyle name="Separador de milhares 2 5 3 2 2 2" xfId="28048"/>
    <cellStyle name="Separador de milhares 2 5 3 2 2 2 2" xfId="54278"/>
    <cellStyle name="Separador de milhares 2 5 3 2 2 3" xfId="22134"/>
    <cellStyle name="Separador de milhares 2 5 3 2 2 3 2" xfId="48370"/>
    <cellStyle name="Separador de milhares 2 5 3 2 2 4" xfId="16220"/>
    <cellStyle name="Separador de milhares 2 5 3 2 2 4 2" xfId="42462"/>
    <cellStyle name="Separador de milhares 2 5 3 2 2 5" xfId="36076"/>
    <cellStyle name="Separador de milhares 2 5 3 2 3" xfId="25091"/>
    <cellStyle name="Separador de milhares 2 5 3 2 3 2" xfId="51324"/>
    <cellStyle name="Separador de milhares 2 5 3 2 4" xfId="19177"/>
    <cellStyle name="Separador de milhares 2 5 3 2 4 2" xfId="45416"/>
    <cellStyle name="Separador de milhares 2 5 3 2 5" xfId="13076"/>
    <cellStyle name="Separador de milhares 2 5 3 2 5 2" xfId="39318"/>
    <cellStyle name="Separador de milhares 2 5 3 2 6" xfId="32932"/>
    <cellStyle name="Separador de milhares 2 5 3 3" xfId="8366"/>
    <cellStyle name="Separador de milhares 2 5 3 3 2" xfId="26580"/>
    <cellStyle name="Separador de milhares 2 5 3 3 2 2" xfId="52810"/>
    <cellStyle name="Separador de milhares 2 5 3 3 3" xfId="20666"/>
    <cellStyle name="Separador de milhares 2 5 3 3 3 2" xfId="46902"/>
    <cellStyle name="Separador de milhares 2 5 3 3 4" xfId="14752"/>
    <cellStyle name="Separador de milhares 2 5 3 3 4 2" xfId="40994"/>
    <cellStyle name="Separador de milhares 2 5 3 3 5" xfId="34608"/>
    <cellStyle name="Separador de milhares 2 5 3 4" xfId="4988"/>
    <cellStyle name="Separador de milhares 2 5 3 4 2" xfId="23623"/>
    <cellStyle name="Separador de milhares 2 5 3 4 2 2" xfId="49856"/>
    <cellStyle name="Separador de milhares 2 5 3 4 3" xfId="31233"/>
    <cellStyle name="Separador de milhares 2 5 3 5" xfId="17709"/>
    <cellStyle name="Separador de milhares 2 5 3 5 2" xfId="43948"/>
    <cellStyle name="Separador de milhares 2 5 3 6" xfId="11375"/>
    <cellStyle name="Separador de milhares 2 5 3 6 2" xfId="37617"/>
    <cellStyle name="Separador de milhares 2 5 3 7" xfId="29535"/>
    <cellStyle name="Separador de milhares 2 5 4" xfId="1169"/>
    <cellStyle name="Separador de milhares 2 5 4 2" xfId="6785"/>
    <cellStyle name="Separador de milhares 2 5 4 2 2" xfId="9932"/>
    <cellStyle name="Separador de milhares 2 5 4 2 2 2" xfId="28146"/>
    <cellStyle name="Separador de milhares 2 5 4 2 2 2 2" xfId="54376"/>
    <cellStyle name="Separador de milhares 2 5 4 2 2 3" xfId="22232"/>
    <cellStyle name="Separador de milhares 2 5 4 2 2 3 2" xfId="48468"/>
    <cellStyle name="Separador de milhares 2 5 4 2 2 4" xfId="16318"/>
    <cellStyle name="Separador de milhares 2 5 4 2 2 4 2" xfId="42560"/>
    <cellStyle name="Separador de milhares 2 5 4 2 2 5" xfId="36174"/>
    <cellStyle name="Separador de milhares 2 5 4 2 3" xfId="25189"/>
    <cellStyle name="Separador de milhares 2 5 4 2 3 2" xfId="51422"/>
    <cellStyle name="Separador de milhares 2 5 4 2 4" xfId="19275"/>
    <cellStyle name="Separador de milhares 2 5 4 2 4 2" xfId="45514"/>
    <cellStyle name="Separador de milhares 2 5 4 2 5" xfId="13174"/>
    <cellStyle name="Separador de milhares 2 5 4 2 5 2" xfId="39416"/>
    <cellStyle name="Separador de milhares 2 5 4 2 6" xfId="33030"/>
    <cellStyle name="Separador de milhares 2 5 4 3" xfId="8464"/>
    <cellStyle name="Separador de milhares 2 5 4 3 2" xfId="26678"/>
    <cellStyle name="Separador de milhares 2 5 4 3 2 2" xfId="52908"/>
    <cellStyle name="Separador de milhares 2 5 4 3 3" xfId="20764"/>
    <cellStyle name="Separador de milhares 2 5 4 3 3 2" xfId="47000"/>
    <cellStyle name="Separador de milhares 2 5 4 3 4" xfId="14850"/>
    <cellStyle name="Separador de milhares 2 5 4 3 4 2" xfId="41092"/>
    <cellStyle name="Separador de milhares 2 5 4 3 5" xfId="34706"/>
    <cellStyle name="Separador de milhares 2 5 4 4" xfId="5086"/>
    <cellStyle name="Separador de milhares 2 5 4 4 2" xfId="23721"/>
    <cellStyle name="Separador de milhares 2 5 4 4 2 2" xfId="49954"/>
    <cellStyle name="Separador de milhares 2 5 4 4 3" xfId="31331"/>
    <cellStyle name="Separador de milhares 2 5 4 5" xfId="17807"/>
    <cellStyle name="Separador de milhares 2 5 4 5 2" xfId="44046"/>
    <cellStyle name="Separador de milhares 2 5 4 6" xfId="11473"/>
    <cellStyle name="Separador de milhares 2 5 4 6 2" xfId="37715"/>
    <cellStyle name="Separador de milhares 2 5 4 7" xfId="29633"/>
    <cellStyle name="Separador de milhares 2 5 5" xfId="1604"/>
    <cellStyle name="Separador de milhares 2 5 5 2" xfId="6904"/>
    <cellStyle name="Separador de milhares 2 5 5 2 2" xfId="10051"/>
    <cellStyle name="Separador de milhares 2 5 5 2 2 2" xfId="28265"/>
    <cellStyle name="Separador de milhares 2 5 5 2 2 2 2" xfId="54495"/>
    <cellStyle name="Separador de milhares 2 5 5 2 2 3" xfId="22351"/>
    <cellStyle name="Separador de milhares 2 5 5 2 2 3 2" xfId="48587"/>
    <cellStyle name="Separador de milhares 2 5 5 2 2 4" xfId="16437"/>
    <cellStyle name="Separador de milhares 2 5 5 2 2 4 2" xfId="42679"/>
    <cellStyle name="Separador de milhares 2 5 5 2 2 5" xfId="36293"/>
    <cellStyle name="Separador de milhares 2 5 5 2 3" xfId="25308"/>
    <cellStyle name="Separador de milhares 2 5 5 2 3 2" xfId="51541"/>
    <cellStyle name="Separador de milhares 2 5 5 2 4" xfId="19394"/>
    <cellStyle name="Separador de milhares 2 5 5 2 4 2" xfId="45633"/>
    <cellStyle name="Separador de milhares 2 5 5 2 5" xfId="13293"/>
    <cellStyle name="Separador de milhares 2 5 5 2 5 2" xfId="39535"/>
    <cellStyle name="Separador de milhares 2 5 5 2 6" xfId="33149"/>
    <cellStyle name="Separador de milhares 2 5 5 3" xfId="8583"/>
    <cellStyle name="Separador de milhares 2 5 5 3 2" xfId="26797"/>
    <cellStyle name="Separador de milhares 2 5 5 3 2 2" xfId="53027"/>
    <cellStyle name="Separador de milhares 2 5 5 3 3" xfId="20883"/>
    <cellStyle name="Separador de milhares 2 5 5 3 3 2" xfId="47119"/>
    <cellStyle name="Separador de milhares 2 5 5 3 4" xfId="14969"/>
    <cellStyle name="Separador de milhares 2 5 5 3 4 2" xfId="41211"/>
    <cellStyle name="Separador de milhares 2 5 5 3 5" xfId="34825"/>
    <cellStyle name="Separador de milhares 2 5 5 4" xfId="5205"/>
    <cellStyle name="Separador de milhares 2 5 5 4 2" xfId="23840"/>
    <cellStyle name="Separador de milhares 2 5 5 4 2 2" xfId="50073"/>
    <cellStyle name="Separador de milhares 2 5 5 4 3" xfId="31450"/>
    <cellStyle name="Separador de milhares 2 5 5 5" xfId="17926"/>
    <cellStyle name="Separador de milhares 2 5 5 5 2" xfId="44165"/>
    <cellStyle name="Separador de milhares 2 5 5 6" xfId="11592"/>
    <cellStyle name="Separador de milhares 2 5 5 6 2" xfId="37834"/>
    <cellStyle name="Separador de milhares 2 5 5 7" xfId="29752"/>
    <cellStyle name="Separador de milhares 2 5 6" xfId="2134"/>
    <cellStyle name="Separador de milhares 2 5 6 2" xfId="7054"/>
    <cellStyle name="Separador de milhares 2 5 6 2 2" xfId="10198"/>
    <cellStyle name="Separador de milhares 2 5 6 2 2 2" xfId="28412"/>
    <cellStyle name="Separador de milhares 2 5 6 2 2 2 2" xfId="54642"/>
    <cellStyle name="Separador de milhares 2 5 6 2 2 3" xfId="22498"/>
    <cellStyle name="Separador de milhares 2 5 6 2 2 3 2" xfId="48734"/>
    <cellStyle name="Separador de milhares 2 5 6 2 2 4" xfId="16584"/>
    <cellStyle name="Separador de milhares 2 5 6 2 2 4 2" xfId="42826"/>
    <cellStyle name="Separador de milhares 2 5 6 2 2 5" xfId="36440"/>
    <cellStyle name="Separador de milhares 2 5 6 2 3" xfId="25455"/>
    <cellStyle name="Separador de milhares 2 5 6 2 3 2" xfId="51688"/>
    <cellStyle name="Separador de milhares 2 5 6 2 4" xfId="19541"/>
    <cellStyle name="Separador de milhares 2 5 6 2 4 2" xfId="45780"/>
    <cellStyle name="Separador de milhares 2 5 6 2 5" xfId="13443"/>
    <cellStyle name="Separador de milhares 2 5 6 2 5 2" xfId="39685"/>
    <cellStyle name="Separador de milhares 2 5 6 2 6" xfId="33299"/>
    <cellStyle name="Separador de milhares 2 5 6 3" xfId="8730"/>
    <cellStyle name="Separador de milhares 2 5 6 3 2" xfId="26944"/>
    <cellStyle name="Separador de milhares 2 5 6 3 2 2" xfId="53174"/>
    <cellStyle name="Separador de milhares 2 5 6 3 3" xfId="21030"/>
    <cellStyle name="Separador de milhares 2 5 6 3 3 2" xfId="47266"/>
    <cellStyle name="Separador de milhares 2 5 6 3 4" xfId="15116"/>
    <cellStyle name="Separador de milhares 2 5 6 3 4 2" xfId="41358"/>
    <cellStyle name="Separador de milhares 2 5 6 3 5" xfId="34972"/>
    <cellStyle name="Separador de milhares 2 5 6 4" xfId="5355"/>
    <cellStyle name="Separador de milhares 2 5 6 4 2" xfId="23987"/>
    <cellStyle name="Separador de milhares 2 5 6 4 2 2" xfId="50220"/>
    <cellStyle name="Separador de milhares 2 5 6 4 3" xfId="31600"/>
    <cellStyle name="Separador de milhares 2 5 6 5" xfId="18073"/>
    <cellStyle name="Separador de milhares 2 5 6 5 2" xfId="44312"/>
    <cellStyle name="Separador de milhares 2 5 6 6" xfId="11742"/>
    <cellStyle name="Separador de milhares 2 5 6 6 2" xfId="37984"/>
    <cellStyle name="Separador de milhares 2 5 6 7" xfId="29902"/>
    <cellStyle name="Separador de milhares 2 5 7" xfId="2661"/>
    <cellStyle name="Separador de milhares 2 5 7 2" xfId="7201"/>
    <cellStyle name="Separador de milhares 2 5 7 2 2" xfId="10345"/>
    <cellStyle name="Separador de milhares 2 5 7 2 2 2" xfId="28559"/>
    <cellStyle name="Separador de milhares 2 5 7 2 2 2 2" xfId="54789"/>
    <cellStyle name="Separador de milhares 2 5 7 2 2 3" xfId="22645"/>
    <cellStyle name="Separador de milhares 2 5 7 2 2 3 2" xfId="48881"/>
    <cellStyle name="Separador de milhares 2 5 7 2 2 4" xfId="16731"/>
    <cellStyle name="Separador de milhares 2 5 7 2 2 4 2" xfId="42973"/>
    <cellStyle name="Separador de milhares 2 5 7 2 2 5" xfId="36587"/>
    <cellStyle name="Separador de milhares 2 5 7 2 3" xfId="25602"/>
    <cellStyle name="Separador de milhares 2 5 7 2 3 2" xfId="51835"/>
    <cellStyle name="Separador de milhares 2 5 7 2 4" xfId="19688"/>
    <cellStyle name="Separador de milhares 2 5 7 2 4 2" xfId="45927"/>
    <cellStyle name="Separador de milhares 2 5 7 2 5" xfId="13590"/>
    <cellStyle name="Separador de milhares 2 5 7 2 5 2" xfId="39832"/>
    <cellStyle name="Separador de milhares 2 5 7 2 6" xfId="33446"/>
    <cellStyle name="Separador de milhares 2 5 7 3" xfId="8877"/>
    <cellStyle name="Separador de milhares 2 5 7 3 2" xfId="27091"/>
    <cellStyle name="Separador de milhares 2 5 7 3 2 2" xfId="53321"/>
    <cellStyle name="Separador de milhares 2 5 7 3 3" xfId="21177"/>
    <cellStyle name="Separador de milhares 2 5 7 3 3 2" xfId="47413"/>
    <cellStyle name="Separador de milhares 2 5 7 3 4" xfId="15263"/>
    <cellStyle name="Separador de milhares 2 5 7 3 4 2" xfId="41505"/>
    <cellStyle name="Separador de milhares 2 5 7 3 5" xfId="35119"/>
    <cellStyle name="Separador de milhares 2 5 7 4" xfId="5502"/>
    <cellStyle name="Separador de milhares 2 5 7 4 2" xfId="24134"/>
    <cellStyle name="Separador de milhares 2 5 7 4 2 2" xfId="50367"/>
    <cellStyle name="Separador de milhares 2 5 7 4 3" xfId="31747"/>
    <cellStyle name="Separador de milhares 2 5 7 5" xfId="18220"/>
    <cellStyle name="Separador de milhares 2 5 7 5 2" xfId="44459"/>
    <cellStyle name="Separador de milhares 2 5 7 6" xfId="11889"/>
    <cellStyle name="Separador de milhares 2 5 7 6 2" xfId="38131"/>
    <cellStyle name="Separador de milhares 2 5 7 7" xfId="30049"/>
    <cellStyle name="Separador de milhares 2 5 8" xfId="3188"/>
    <cellStyle name="Separador de milhares 2 5 8 2" xfId="7348"/>
    <cellStyle name="Separador de milhares 2 5 8 2 2" xfId="10492"/>
    <cellStyle name="Separador de milhares 2 5 8 2 2 2" xfId="28706"/>
    <cellStyle name="Separador de milhares 2 5 8 2 2 2 2" xfId="54936"/>
    <cellStyle name="Separador de milhares 2 5 8 2 2 3" xfId="22792"/>
    <cellStyle name="Separador de milhares 2 5 8 2 2 3 2" xfId="49028"/>
    <cellStyle name="Separador de milhares 2 5 8 2 2 4" xfId="16878"/>
    <cellStyle name="Separador de milhares 2 5 8 2 2 4 2" xfId="43120"/>
    <cellStyle name="Separador de milhares 2 5 8 2 2 5" xfId="36734"/>
    <cellStyle name="Separador de milhares 2 5 8 2 3" xfId="25749"/>
    <cellStyle name="Separador de milhares 2 5 8 2 3 2" xfId="51982"/>
    <cellStyle name="Separador de milhares 2 5 8 2 4" xfId="19835"/>
    <cellStyle name="Separador de milhares 2 5 8 2 4 2" xfId="46074"/>
    <cellStyle name="Separador de milhares 2 5 8 2 5" xfId="13737"/>
    <cellStyle name="Separador de milhares 2 5 8 2 5 2" xfId="39979"/>
    <cellStyle name="Separador de milhares 2 5 8 2 6" xfId="33593"/>
    <cellStyle name="Separador de milhares 2 5 8 3" xfId="9024"/>
    <cellStyle name="Separador de milhares 2 5 8 3 2" xfId="27238"/>
    <cellStyle name="Separador de milhares 2 5 8 3 2 2" xfId="53468"/>
    <cellStyle name="Separador de milhares 2 5 8 3 3" xfId="21324"/>
    <cellStyle name="Separador de milhares 2 5 8 3 3 2" xfId="47560"/>
    <cellStyle name="Separador de milhares 2 5 8 3 4" xfId="15410"/>
    <cellStyle name="Separador de milhares 2 5 8 3 4 2" xfId="41652"/>
    <cellStyle name="Separador de milhares 2 5 8 3 5" xfId="35266"/>
    <cellStyle name="Separador de milhares 2 5 8 4" xfId="5649"/>
    <cellStyle name="Separador de milhares 2 5 8 4 2" xfId="24281"/>
    <cellStyle name="Separador de milhares 2 5 8 4 2 2" xfId="50514"/>
    <cellStyle name="Separador de milhares 2 5 8 4 3" xfId="31894"/>
    <cellStyle name="Separador de milhares 2 5 8 5" xfId="18367"/>
    <cellStyle name="Separador de milhares 2 5 8 5 2" xfId="44606"/>
    <cellStyle name="Separador de milhares 2 5 8 6" xfId="12036"/>
    <cellStyle name="Separador de milhares 2 5 8 6 2" xfId="38278"/>
    <cellStyle name="Separador de milhares 2 5 8 7" xfId="30196"/>
    <cellStyle name="Separador de milhares 2 5 9" xfId="3715"/>
    <cellStyle name="Separador de milhares 2 5 9 2" xfId="7495"/>
    <cellStyle name="Separador de milhares 2 5 9 2 2" xfId="10639"/>
    <cellStyle name="Separador de milhares 2 5 9 2 2 2" xfId="28853"/>
    <cellStyle name="Separador de milhares 2 5 9 2 2 2 2" xfId="55083"/>
    <cellStyle name="Separador de milhares 2 5 9 2 2 3" xfId="22939"/>
    <cellStyle name="Separador de milhares 2 5 9 2 2 3 2" xfId="49175"/>
    <cellStyle name="Separador de milhares 2 5 9 2 2 4" xfId="17025"/>
    <cellStyle name="Separador de milhares 2 5 9 2 2 4 2" xfId="43267"/>
    <cellStyle name="Separador de milhares 2 5 9 2 2 5" xfId="36881"/>
    <cellStyle name="Separador de milhares 2 5 9 2 3" xfId="25896"/>
    <cellStyle name="Separador de milhares 2 5 9 2 3 2" xfId="52129"/>
    <cellStyle name="Separador de milhares 2 5 9 2 4" xfId="19982"/>
    <cellStyle name="Separador de milhares 2 5 9 2 4 2" xfId="46221"/>
    <cellStyle name="Separador de milhares 2 5 9 2 5" xfId="13884"/>
    <cellStyle name="Separador de milhares 2 5 9 2 5 2" xfId="40126"/>
    <cellStyle name="Separador de milhares 2 5 9 2 6" xfId="33740"/>
    <cellStyle name="Separador de milhares 2 5 9 3" xfId="9171"/>
    <cellStyle name="Separador de milhares 2 5 9 3 2" xfId="27385"/>
    <cellStyle name="Separador de milhares 2 5 9 3 2 2" xfId="53615"/>
    <cellStyle name="Separador de milhares 2 5 9 3 3" xfId="21471"/>
    <cellStyle name="Separador de milhares 2 5 9 3 3 2" xfId="47707"/>
    <cellStyle name="Separador de milhares 2 5 9 3 4" xfId="15557"/>
    <cellStyle name="Separador de milhares 2 5 9 3 4 2" xfId="41799"/>
    <cellStyle name="Separador de milhares 2 5 9 3 5" xfId="35413"/>
    <cellStyle name="Separador de milhares 2 5 9 4" xfId="5796"/>
    <cellStyle name="Separador de milhares 2 5 9 4 2" xfId="24428"/>
    <cellStyle name="Separador de milhares 2 5 9 4 2 2" xfId="50661"/>
    <cellStyle name="Separador de milhares 2 5 9 4 3" xfId="32041"/>
    <cellStyle name="Separador de milhares 2 5 9 5" xfId="18514"/>
    <cellStyle name="Separador de milhares 2 5 9 5 2" xfId="44753"/>
    <cellStyle name="Separador de milhares 2 5 9 6" xfId="12183"/>
    <cellStyle name="Separador de milhares 2 5 9 6 2" xfId="38425"/>
    <cellStyle name="Separador de milhares 2 5 9 7" xfId="30343"/>
    <cellStyle name="Separador de milhares 2 6" xfId="6454"/>
    <cellStyle name="Separador de milhares 2 6 2" xfId="9610"/>
    <cellStyle name="Separador de milhares 2 6 2 2" xfId="27824"/>
    <cellStyle name="Separador de milhares 2 6 2 2 2" xfId="54054"/>
    <cellStyle name="Separador de milhares 2 6 2 3" xfId="21910"/>
    <cellStyle name="Separador de milhares 2 6 2 3 2" xfId="48146"/>
    <cellStyle name="Separador de milhares 2 6 2 4" xfId="15996"/>
    <cellStyle name="Separador de milhares 2 6 2 4 2" xfId="42238"/>
    <cellStyle name="Separador de milhares 2 6 2 5" xfId="35852"/>
    <cellStyle name="Separador de milhares 2 6 3" xfId="24867"/>
    <cellStyle name="Separador de milhares 2 6 3 2" xfId="51100"/>
    <cellStyle name="Separador de milhares 2 6 4" xfId="18953"/>
    <cellStyle name="Separador de milhares 2 6 4 2" xfId="45192"/>
    <cellStyle name="Separador de milhares 2 6 5" xfId="12843"/>
    <cellStyle name="Separador de milhares 2 6 5 2" xfId="39085"/>
    <cellStyle name="Separador de milhares 2 6 6" xfId="32699"/>
    <cellStyle name="Separador de milhares 2 7" xfId="8139"/>
    <cellStyle name="Separador de milhares 2 7 2" xfId="26353"/>
    <cellStyle name="Separador de milhares 2 7 2 2" xfId="52586"/>
    <cellStyle name="Separador de milhares 2 7 3" xfId="20439"/>
    <cellStyle name="Separador de milhares 2 7 3 2" xfId="46678"/>
    <cellStyle name="Separador de milhares 2 7 4" xfId="14528"/>
    <cellStyle name="Separador de milhares 2 7 4 2" xfId="40770"/>
    <cellStyle name="Separador de milhares 2 7 5" xfId="34384"/>
    <cellStyle name="Separador de milhares 2 8" xfId="4752"/>
    <cellStyle name="Separador de milhares 2 8 2" xfId="23396"/>
    <cellStyle name="Separador de milhares 2 8 2 2" xfId="49632"/>
    <cellStyle name="Separador de milhares 2 8 3" xfId="31000"/>
    <cellStyle name="Separador de milhares 2 9" xfId="17482"/>
    <cellStyle name="Separador de milhares 2 9 2" xfId="43724"/>
    <cellStyle name="Separador de milhares 3" xfId="71"/>
    <cellStyle name="Separador de milhares 3 10" xfId="124"/>
    <cellStyle name="Separador de milhares 3 10 10" xfId="2627"/>
    <cellStyle name="Separador de milhares 3 10 10 2" xfId="7192"/>
    <cellStyle name="Separador de milhares 3 10 10 2 2" xfId="10336"/>
    <cellStyle name="Separador de milhares 3 10 10 2 2 2" xfId="28550"/>
    <cellStyle name="Separador de milhares 3 10 10 2 2 2 2" xfId="54780"/>
    <cellStyle name="Separador de milhares 3 10 10 2 2 3" xfId="22636"/>
    <cellStyle name="Separador de milhares 3 10 10 2 2 3 2" xfId="48872"/>
    <cellStyle name="Separador de milhares 3 10 10 2 2 4" xfId="16722"/>
    <cellStyle name="Separador de milhares 3 10 10 2 2 4 2" xfId="42964"/>
    <cellStyle name="Separador de milhares 3 10 10 2 2 5" xfId="36578"/>
    <cellStyle name="Separador de milhares 3 10 10 2 3" xfId="25593"/>
    <cellStyle name="Separador de milhares 3 10 10 2 3 2" xfId="51826"/>
    <cellStyle name="Separador de milhares 3 10 10 2 4" xfId="19679"/>
    <cellStyle name="Separador de milhares 3 10 10 2 4 2" xfId="45918"/>
    <cellStyle name="Separador de milhares 3 10 10 2 5" xfId="13581"/>
    <cellStyle name="Separador de milhares 3 10 10 2 5 2" xfId="39823"/>
    <cellStyle name="Separador de milhares 3 10 10 2 6" xfId="33437"/>
    <cellStyle name="Separador de milhares 3 10 10 3" xfId="8868"/>
    <cellStyle name="Separador de milhares 3 10 10 3 2" xfId="27082"/>
    <cellStyle name="Separador de milhares 3 10 10 3 2 2" xfId="53312"/>
    <cellStyle name="Separador de milhares 3 10 10 3 3" xfId="21168"/>
    <cellStyle name="Separador de milhares 3 10 10 3 3 2" xfId="47404"/>
    <cellStyle name="Separador de milhares 3 10 10 3 4" xfId="15254"/>
    <cellStyle name="Separador de milhares 3 10 10 3 4 2" xfId="41496"/>
    <cellStyle name="Separador de milhares 3 10 10 3 5" xfId="35110"/>
    <cellStyle name="Separador de milhares 3 10 10 4" xfId="5493"/>
    <cellStyle name="Separador de milhares 3 10 10 4 2" xfId="24125"/>
    <cellStyle name="Separador de milhares 3 10 10 4 2 2" xfId="50358"/>
    <cellStyle name="Separador de milhares 3 10 10 4 3" xfId="31738"/>
    <cellStyle name="Separador de milhares 3 10 10 5" xfId="18211"/>
    <cellStyle name="Separador de milhares 3 10 10 5 2" xfId="44450"/>
    <cellStyle name="Separador de milhares 3 10 10 6" xfId="11880"/>
    <cellStyle name="Separador de milhares 3 10 10 6 2" xfId="38122"/>
    <cellStyle name="Separador de milhares 3 10 10 7" xfId="30040"/>
    <cellStyle name="Separador de milhares 3 10 11" xfId="3154"/>
    <cellStyle name="Separador de milhares 3 10 11 2" xfId="7339"/>
    <cellStyle name="Separador de milhares 3 10 11 2 2" xfId="10483"/>
    <cellStyle name="Separador de milhares 3 10 11 2 2 2" xfId="28697"/>
    <cellStyle name="Separador de milhares 3 10 11 2 2 2 2" xfId="54927"/>
    <cellStyle name="Separador de milhares 3 10 11 2 2 3" xfId="22783"/>
    <cellStyle name="Separador de milhares 3 10 11 2 2 3 2" xfId="49019"/>
    <cellStyle name="Separador de milhares 3 10 11 2 2 4" xfId="16869"/>
    <cellStyle name="Separador de milhares 3 10 11 2 2 4 2" xfId="43111"/>
    <cellStyle name="Separador de milhares 3 10 11 2 2 5" xfId="36725"/>
    <cellStyle name="Separador de milhares 3 10 11 2 3" xfId="25740"/>
    <cellStyle name="Separador de milhares 3 10 11 2 3 2" xfId="51973"/>
    <cellStyle name="Separador de milhares 3 10 11 2 4" xfId="19826"/>
    <cellStyle name="Separador de milhares 3 10 11 2 4 2" xfId="46065"/>
    <cellStyle name="Separador de milhares 3 10 11 2 5" xfId="13728"/>
    <cellStyle name="Separador de milhares 3 10 11 2 5 2" xfId="39970"/>
    <cellStyle name="Separador de milhares 3 10 11 2 6" xfId="33584"/>
    <cellStyle name="Separador de milhares 3 10 11 3" xfId="9015"/>
    <cellStyle name="Separador de milhares 3 10 11 3 2" xfId="27229"/>
    <cellStyle name="Separador de milhares 3 10 11 3 2 2" xfId="53459"/>
    <cellStyle name="Separador de milhares 3 10 11 3 3" xfId="21315"/>
    <cellStyle name="Separador de milhares 3 10 11 3 3 2" xfId="47551"/>
    <cellStyle name="Separador de milhares 3 10 11 3 4" xfId="15401"/>
    <cellStyle name="Separador de milhares 3 10 11 3 4 2" xfId="41643"/>
    <cellStyle name="Separador de milhares 3 10 11 3 5" xfId="35257"/>
    <cellStyle name="Separador de milhares 3 10 11 4" xfId="5640"/>
    <cellStyle name="Separador de milhares 3 10 11 4 2" xfId="24272"/>
    <cellStyle name="Separador de milhares 3 10 11 4 2 2" xfId="50505"/>
    <cellStyle name="Separador de milhares 3 10 11 4 3" xfId="31885"/>
    <cellStyle name="Separador de milhares 3 10 11 5" xfId="18358"/>
    <cellStyle name="Separador de milhares 3 10 11 5 2" xfId="44597"/>
    <cellStyle name="Separador de milhares 3 10 11 6" xfId="12027"/>
    <cellStyle name="Separador de milhares 3 10 11 6 2" xfId="38269"/>
    <cellStyle name="Separador de milhares 3 10 11 7" xfId="30187"/>
    <cellStyle name="Separador de milhares 3 10 12" xfId="3681"/>
    <cellStyle name="Separador de milhares 3 10 12 2" xfId="7486"/>
    <cellStyle name="Separador de milhares 3 10 12 2 2" xfId="10630"/>
    <cellStyle name="Separador de milhares 3 10 12 2 2 2" xfId="28844"/>
    <cellStyle name="Separador de milhares 3 10 12 2 2 2 2" xfId="55074"/>
    <cellStyle name="Separador de milhares 3 10 12 2 2 3" xfId="22930"/>
    <cellStyle name="Separador de milhares 3 10 12 2 2 3 2" xfId="49166"/>
    <cellStyle name="Separador de milhares 3 10 12 2 2 4" xfId="17016"/>
    <cellStyle name="Separador de milhares 3 10 12 2 2 4 2" xfId="43258"/>
    <cellStyle name="Separador de milhares 3 10 12 2 2 5" xfId="36872"/>
    <cellStyle name="Separador de milhares 3 10 12 2 3" xfId="25887"/>
    <cellStyle name="Separador de milhares 3 10 12 2 3 2" xfId="52120"/>
    <cellStyle name="Separador de milhares 3 10 12 2 4" xfId="19973"/>
    <cellStyle name="Separador de milhares 3 10 12 2 4 2" xfId="46212"/>
    <cellStyle name="Separador de milhares 3 10 12 2 5" xfId="13875"/>
    <cellStyle name="Separador de milhares 3 10 12 2 5 2" xfId="40117"/>
    <cellStyle name="Separador de milhares 3 10 12 2 6" xfId="33731"/>
    <cellStyle name="Separador de milhares 3 10 12 3" xfId="9162"/>
    <cellStyle name="Separador de milhares 3 10 12 3 2" xfId="27376"/>
    <cellStyle name="Separador de milhares 3 10 12 3 2 2" xfId="53606"/>
    <cellStyle name="Separador de milhares 3 10 12 3 3" xfId="21462"/>
    <cellStyle name="Separador de milhares 3 10 12 3 3 2" xfId="47698"/>
    <cellStyle name="Separador de milhares 3 10 12 3 4" xfId="15548"/>
    <cellStyle name="Separador de milhares 3 10 12 3 4 2" xfId="41790"/>
    <cellStyle name="Separador de milhares 3 10 12 3 5" xfId="35404"/>
    <cellStyle name="Separador de milhares 3 10 12 4" xfId="5787"/>
    <cellStyle name="Separador de milhares 3 10 12 4 2" xfId="24419"/>
    <cellStyle name="Separador de milhares 3 10 12 4 2 2" xfId="50652"/>
    <cellStyle name="Separador de milhares 3 10 12 4 3" xfId="32032"/>
    <cellStyle name="Separador de milhares 3 10 12 5" xfId="18505"/>
    <cellStyle name="Separador de milhares 3 10 12 5 2" xfId="44744"/>
    <cellStyle name="Separador de milhares 3 10 12 6" xfId="12174"/>
    <cellStyle name="Separador de milhares 3 10 12 6 2" xfId="38416"/>
    <cellStyle name="Separador de milhares 3 10 12 7" xfId="30334"/>
    <cellStyle name="Separador de milhares 3 10 13" xfId="6470"/>
    <cellStyle name="Separador de milhares 3 10 13 2" xfId="9626"/>
    <cellStyle name="Separador de milhares 3 10 13 2 2" xfId="27840"/>
    <cellStyle name="Separador de milhares 3 10 13 2 2 2" xfId="54070"/>
    <cellStyle name="Separador de milhares 3 10 13 2 3" xfId="21926"/>
    <cellStyle name="Separador de milhares 3 10 13 2 3 2" xfId="48162"/>
    <cellStyle name="Separador de milhares 3 10 13 2 4" xfId="16012"/>
    <cellStyle name="Separador de milhares 3 10 13 2 4 2" xfId="42254"/>
    <cellStyle name="Separador de milhares 3 10 13 2 5" xfId="35868"/>
    <cellStyle name="Separador de milhares 3 10 13 3" xfId="24883"/>
    <cellStyle name="Separador de milhares 3 10 13 3 2" xfId="51116"/>
    <cellStyle name="Separador de milhares 3 10 13 4" xfId="18969"/>
    <cellStyle name="Separador de milhares 3 10 13 4 2" xfId="45208"/>
    <cellStyle name="Separador de milhares 3 10 13 5" xfId="12859"/>
    <cellStyle name="Separador de milhares 3 10 13 5 2" xfId="39101"/>
    <cellStyle name="Separador de milhares 3 10 13 6" xfId="32715"/>
    <cellStyle name="Separador de milhares 3 10 14" xfId="8155"/>
    <cellStyle name="Separador de milhares 3 10 14 2" xfId="26369"/>
    <cellStyle name="Separador de milhares 3 10 14 2 2" xfId="52602"/>
    <cellStyle name="Separador de milhares 3 10 14 3" xfId="20455"/>
    <cellStyle name="Separador de milhares 3 10 14 3 2" xfId="46694"/>
    <cellStyle name="Separador de milhares 3 10 14 4" xfId="14544"/>
    <cellStyle name="Separador de milhares 3 10 14 4 2" xfId="40786"/>
    <cellStyle name="Separador de milhares 3 10 14 5" xfId="34400"/>
    <cellStyle name="Separador de milhares 3 10 15" xfId="4768"/>
    <cellStyle name="Separador de milhares 3 10 15 2" xfId="23412"/>
    <cellStyle name="Separador de milhares 3 10 15 2 2" xfId="49648"/>
    <cellStyle name="Separador de milhares 3 10 15 3" xfId="31016"/>
    <cellStyle name="Separador de milhares 3 10 16" xfId="17498"/>
    <cellStyle name="Separador de milhares 3 10 16 2" xfId="43740"/>
    <cellStyle name="Separador de milhares 3 10 17" xfId="11158"/>
    <cellStyle name="Separador de milhares 3 10 17 2" xfId="37400"/>
    <cellStyle name="Separador de milhares 3 10 18" xfId="29318"/>
    <cellStyle name="Separador de milhares 3 10 2" xfId="218"/>
    <cellStyle name="Separador de milhares 3 10 2 10" xfId="6499"/>
    <cellStyle name="Separador de milhares 3 10 2 10 2" xfId="9653"/>
    <cellStyle name="Separador de milhares 3 10 2 10 2 2" xfId="27867"/>
    <cellStyle name="Separador de milhares 3 10 2 10 2 2 2" xfId="54097"/>
    <cellStyle name="Separador de milhares 3 10 2 10 2 3" xfId="21953"/>
    <cellStyle name="Separador de milhares 3 10 2 10 2 3 2" xfId="48189"/>
    <cellStyle name="Separador de milhares 3 10 2 10 2 4" xfId="16039"/>
    <cellStyle name="Separador de milhares 3 10 2 10 2 4 2" xfId="42281"/>
    <cellStyle name="Separador de milhares 3 10 2 10 2 5" xfId="35895"/>
    <cellStyle name="Separador de milhares 3 10 2 10 3" xfId="24910"/>
    <cellStyle name="Separador de milhares 3 10 2 10 3 2" xfId="51143"/>
    <cellStyle name="Separador de milhares 3 10 2 10 4" xfId="18996"/>
    <cellStyle name="Separador de milhares 3 10 2 10 4 2" xfId="45235"/>
    <cellStyle name="Separador de milhares 3 10 2 10 5" xfId="12888"/>
    <cellStyle name="Separador de milhares 3 10 2 10 5 2" xfId="39130"/>
    <cellStyle name="Separador de milhares 3 10 2 10 6" xfId="32744"/>
    <cellStyle name="Separador de milhares 3 10 2 11" xfId="8182"/>
    <cellStyle name="Separador de milhares 3 10 2 11 2" xfId="26396"/>
    <cellStyle name="Separador de milhares 3 10 2 11 2 2" xfId="52629"/>
    <cellStyle name="Separador de milhares 3 10 2 11 3" xfId="20482"/>
    <cellStyle name="Separador de milhares 3 10 2 11 3 2" xfId="46721"/>
    <cellStyle name="Separador de milhares 3 10 2 11 4" xfId="14571"/>
    <cellStyle name="Separador de milhares 3 10 2 11 4 2" xfId="40813"/>
    <cellStyle name="Separador de milhares 3 10 2 11 5" xfId="34427"/>
    <cellStyle name="Separador de milhares 3 10 2 12" xfId="4798"/>
    <cellStyle name="Separador de milhares 3 10 2 12 2" xfId="23439"/>
    <cellStyle name="Separador de milhares 3 10 2 12 2 2" xfId="49675"/>
    <cellStyle name="Separador de milhares 3 10 2 12 3" xfId="31045"/>
    <cellStyle name="Separador de milhares 3 10 2 13" xfId="17525"/>
    <cellStyle name="Separador de milhares 3 10 2 13 2" xfId="43767"/>
    <cellStyle name="Separador de milhares 3 10 2 14" xfId="11187"/>
    <cellStyle name="Separador de milhares 3 10 2 14 2" xfId="37429"/>
    <cellStyle name="Separador de milhares 3 10 2 15" xfId="29348"/>
    <cellStyle name="Separador de milhares 3 10 2 2" xfId="491"/>
    <cellStyle name="Separador de milhares 3 10 2 2 10" xfId="17599"/>
    <cellStyle name="Separador de milhares 3 10 2 2 10 2" xfId="43841"/>
    <cellStyle name="Separador de milhares 3 10 2 2 11" xfId="11268"/>
    <cellStyle name="Separador de milhares 3 10 2 2 11 2" xfId="37510"/>
    <cellStyle name="Separador de milhares 3 10 2 2 12" xfId="29428"/>
    <cellStyle name="Separador de milhares 3 10 2 2 2" xfId="2010"/>
    <cellStyle name="Separador de milhares 3 10 2 2 2 2" xfId="7018"/>
    <cellStyle name="Separador de milhares 3 10 2 2 2 2 2" xfId="10165"/>
    <cellStyle name="Separador de milhares 3 10 2 2 2 2 2 2" xfId="28379"/>
    <cellStyle name="Separador de milhares 3 10 2 2 2 2 2 2 2" xfId="54609"/>
    <cellStyle name="Separador de milhares 3 10 2 2 2 2 2 3" xfId="22465"/>
    <cellStyle name="Separador de milhares 3 10 2 2 2 2 2 3 2" xfId="48701"/>
    <cellStyle name="Separador de milhares 3 10 2 2 2 2 2 4" xfId="16551"/>
    <cellStyle name="Separador de milhares 3 10 2 2 2 2 2 4 2" xfId="42793"/>
    <cellStyle name="Separador de milhares 3 10 2 2 2 2 2 5" xfId="36407"/>
    <cellStyle name="Separador de milhares 3 10 2 2 2 2 3" xfId="25422"/>
    <cellStyle name="Separador de milhares 3 10 2 2 2 2 3 2" xfId="51655"/>
    <cellStyle name="Separador de milhares 3 10 2 2 2 2 4" xfId="19508"/>
    <cellStyle name="Separador de milhares 3 10 2 2 2 2 4 2" xfId="45747"/>
    <cellStyle name="Separador de milhares 3 10 2 2 2 2 5" xfId="13407"/>
    <cellStyle name="Separador de milhares 3 10 2 2 2 2 5 2" xfId="39649"/>
    <cellStyle name="Separador de milhares 3 10 2 2 2 2 6" xfId="33263"/>
    <cellStyle name="Separador de milhares 3 10 2 2 2 3" xfId="8697"/>
    <cellStyle name="Separador de milhares 3 10 2 2 2 3 2" xfId="26911"/>
    <cellStyle name="Separador de milhares 3 10 2 2 2 3 2 2" xfId="53141"/>
    <cellStyle name="Separador de milhares 3 10 2 2 2 3 3" xfId="20997"/>
    <cellStyle name="Separador de milhares 3 10 2 2 2 3 3 2" xfId="47233"/>
    <cellStyle name="Separador de milhares 3 10 2 2 2 3 4" xfId="15083"/>
    <cellStyle name="Separador de milhares 3 10 2 2 2 3 4 2" xfId="41325"/>
    <cellStyle name="Separador de milhares 3 10 2 2 2 3 5" xfId="34939"/>
    <cellStyle name="Separador de milhares 3 10 2 2 2 4" xfId="5319"/>
    <cellStyle name="Separador de milhares 3 10 2 2 2 4 2" xfId="23954"/>
    <cellStyle name="Separador de milhares 3 10 2 2 2 4 2 2" xfId="50187"/>
    <cellStyle name="Separador de milhares 3 10 2 2 2 4 3" xfId="31564"/>
    <cellStyle name="Separador de milhares 3 10 2 2 2 5" xfId="18040"/>
    <cellStyle name="Separador de milhares 3 10 2 2 2 5 2" xfId="44279"/>
    <cellStyle name="Separador de milhares 3 10 2 2 2 6" xfId="11706"/>
    <cellStyle name="Separador de milhares 3 10 2 2 2 6 2" xfId="37948"/>
    <cellStyle name="Separador de milhares 3 10 2 2 2 7" xfId="29866"/>
    <cellStyle name="Separador de milhares 3 10 2 2 3" xfId="2540"/>
    <cellStyle name="Separador de milhares 3 10 2 2 3 2" xfId="7168"/>
    <cellStyle name="Separador de milhares 3 10 2 2 3 2 2" xfId="10312"/>
    <cellStyle name="Separador de milhares 3 10 2 2 3 2 2 2" xfId="28526"/>
    <cellStyle name="Separador de milhares 3 10 2 2 3 2 2 2 2" xfId="54756"/>
    <cellStyle name="Separador de milhares 3 10 2 2 3 2 2 3" xfId="22612"/>
    <cellStyle name="Separador de milhares 3 10 2 2 3 2 2 3 2" xfId="48848"/>
    <cellStyle name="Separador de milhares 3 10 2 2 3 2 2 4" xfId="16698"/>
    <cellStyle name="Separador de milhares 3 10 2 2 3 2 2 4 2" xfId="42940"/>
    <cellStyle name="Separador de milhares 3 10 2 2 3 2 2 5" xfId="36554"/>
    <cellStyle name="Separador de milhares 3 10 2 2 3 2 3" xfId="25569"/>
    <cellStyle name="Separador de milhares 3 10 2 2 3 2 3 2" xfId="51802"/>
    <cellStyle name="Separador de milhares 3 10 2 2 3 2 4" xfId="19655"/>
    <cellStyle name="Separador de milhares 3 10 2 2 3 2 4 2" xfId="45894"/>
    <cellStyle name="Separador de milhares 3 10 2 2 3 2 5" xfId="13557"/>
    <cellStyle name="Separador de milhares 3 10 2 2 3 2 5 2" xfId="39799"/>
    <cellStyle name="Separador de milhares 3 10 2 2 3 2 6" xfId="33413"/>
    <cellStyle name="Separador de milhares 3 10 2 2 3 3" xfId="8844"/>
    <cellStyle name="Separador de milhares 3 10 2 2 3 3 2" xfId="27058"/>
    <cellStyle name="Separador de milhares 3 10 2 2 3 3 2 2" xfId="53288"/>
    <cellStyle name="Separador de milhares 3 10 2 2 3 3 3" xfId="21144"/>
    <cellStyle name="Separador de milhares 3 10 2 2 3 3 3 2" xfId="47380"/>
    <cellStyle name="Separador de milhares 3 10 2 2 3 3 4" xfId="15230"/>
    <cellStyle name="Separador de milhares 3 10 2 2 3 3 4 2" xfId="41472"/>
    <cellStyle name="Separador de milhares 3 10 2 2 3 3 5" xfId="35086"/>
    <cellStyle name="Separador de milhares 3 10 2 2 3 4" xfId="5469"/>
    <cellStyle name="Separador de milhares 3 10 2 2 3 4 2" xfId="24101"/>
    <cellStyle name="Separador de milhares 3 10 2 2 3 4 2 2" xfId="50334"/>
    <cellStyle name="Separador de milhares 3 10 2 2 3 4 3" xfId="31714"/>
    <cellStyle name="Separador de milhares 3 10 2 2 3 5" xfId="18187"/>
    <cellStyle name="Separador de milhares 3 10 2 2 3 5 2" xfId="44426"/>
    <cellStyle name="Separador de milhares 3 10 2 2 3 6" xfId="11856"/>
    <cellStyle name="Separador de milhares 3 10 2 2 3 6 2" xfId="38098"/>
    <cellStyle name="Separador de milhares 3 10 2 2 3 7" xfId="30016"/>
    <cellStyle name="Separador de milhares 3 10 2 2 4" xfId="3067"/>
    <cellStyle name="Separador de milhares 3 10 2 2 4 2" xfId="7315"/>
    <cellStyle name="Separador de milhares 3 10 2 2 4 2 2" xfId="10459"/>
    <cellStyle name="Separador de milhares 3 10 2 2 4 2 2 2" xfId="28673"/>
    <cellStyle name="Separador de milhares 3 10 2 2 4 2 2 2 2" xfId="54903"/>
    <cellStyle name="Separador de milhares 3 10 2 2 4 2 2 3" xfId="22759"/>
    <cellStyle name="Separador de milhares 3 10 2 2 4 2 2 3 2" xfId="48995"/>
    <cellStyle name="Separador de milhares 3 10 2 2 4 2 2 4" xfId="16845"/>
    <cellStyle name="Separador de milhares 3 10 2 2 4 2 2 4 2" xfId="43087"/>
    <cellStyle name="Separador de milhares 3 10 2 2 4 2 2 5" xfId="36701"/>
    <cellStyle name="Separador de milhares 3 10 2 2 4 2 3" xfId="25716"/>
    <cellStyle name="Separador de milhares 3 10 2 2 4 2 3 2" xfId="51949"/>
    <cellStyle name="Separador de milhares 3 10 2 2 4 2 4" xfId="19802"/>
    <cellStyle name="Separador de milhares 3 10 2 2 4 2 4 2" xfId="46041"/>
    <cellStyle name="Separador de milhares 3 10 2 2 4 2 5" xfId="13704"/>
    <cellStyle name="Separador de milhares 3 10 2 2 4 2 5 2" xfId="39946"/>
    <cellStyle name="Separador de milhares 3 10 2 2 4 2 6" xfId="33560"/>
    <cellStyle name="Separador de milhares 3 10 2 2 4 3" xfId="8991"/>
    <cellStyle name="Separador de milhares 3 10 2 2 4 3 2" xfId="27205"/>
    <cellStyle name="Separador de milhares 3 10 2 2 4 3 2 2" xfId="53435"/>
    <cellStyle name="Separador de milhares 3 10 2 2 4 3 3" xfId="21291"/>
    <cellStyle name="Separador de milhares 3 10 2 2 4 3 3 2" xfId="47527"/>
    <cellStyle name="Separador de milhares 3 10 2 2 4 3 4" xfId="15377"/>
    <cellStyle name="Separador de milhares 3 10 2 2 4 3 4 2" xfId="41619"/>
    <cellStyle name="Separador de milhares 3 10 2 2 4 3 5" xfId="35233"/>
    <cellStyle name="Separador de milhares 3 10 2 2 4 4" xfId="5616"/>
    <cellStyle name="Separador de milhares 3 10 2 2 4 4 2" xfId="24248"/>
    <cellStyle name="Separador de milhares 3 10 2 2 4 4 2 2" xfId="50481"/>
    <cellStyle name="Separador de milhares 3 10 2 2 4 4 3" xfId="31861"/>
    <cellStyle name="Separador de milhares 3 10 2 2 4 5" xfId="18334"/>
    <cellStyle name="Separador de milhares 3 10 2 2 4 5 2" xfId="44573"/>
    <cellStyle name="Separador de milhares 3 10 2 2 4 6" xfId="12003"/>
    <cellStyle name="Separador de milhares 3 10 2 2 4 6 2" xfId="38245"/>
    <cellStyle name="Separador de milhares 3 10 2 2 4 7" xfId="30163"/>
    <cellStyle name="Separador de milhares 3 10 2 2 5" xfId="3594"/>
    <cellStyle name="Separador de milhares 3 10 2 2 5 2" xfId="7462"/>
    <cellStyle name="Separador de milhares 3 10 2 2 5 2 2" xfId="10606"/>
    <cellStyle name="Separador de milhares 3 10 2 2 5 2 2 2" xfId="28820"/>
    <cellStyle name="Separador de milhares 3 10 2 2 5 2 2 2 2" xfId="55050"/>
    <cellStyle name="Separador de milhares 3 10 2 2 5 2 2 3" xfId="22906"/>
    <cellStyle name="Separador de milhares 3 10 2 2 5 2 2 3 2" xfId="49142"/>
    <cellStyle name="Separador de milhares 3 10 2 2 5 2 2 4" xfId="16992"/>
    <cellStyle name="Separador de milhares 3 10 2 2 5 2 2 4 2" xfId="43234"/>
    <cellStyle name="Separador de milhares 3 10 2 2 5 2 2 5" xfId="36848"/>
    <cellStyle name="Separador de milhares 3 10 2 2 5 2 3" xfId="25863"/>
    <cellStyle name="Separador de milhares 3 10 2 2 5 2 3 2" xfId="52096"/>
    <cellStyle name="Separador de milhares 3 10 2 2 5 2 4" xfId="19949"/>
    <cellStyle name="Separador de milhares 3 10 2 2 5 2 4 2" xfId="46188"/>
    <cellStyle name="Separador de milhares 3 10 2 2 5 2 5" xfId="13851"/>
    <cellStyle name="Separador de milhares 3 10 2 2 5 2 5 2" xfId="40093"/>
    <cellStyle name="Separador de milhares 3 10 2 2 5 2 6" xfId="33707"/>
    <cellStyle name="Separador de milhares 3 10 2 2 5 3" xfId="9138"/>
    <cellStyle name="Separador de milhares 3 10 2 2 5 3 2" xfId="27352"/>
    <cellStyle name="Separador de milhares 3 10 2 2 5 3 2 2" xfId="53582"/>
    <cellStyle name="Separador de milhares 3 10 2 2 5 3 3" xfId="21438"/>
    <cellStyle name="Separador de milhares 3 10 2 2 5 3 3 2" xfId="47674"/>
    <cellStyle name="Separador de milhares 3 10 2 2 5 3 4" xfId="15524"/>
    <cellStyle name="Separador de milhares 3 10 2 2 5 3 4 2" xfId="41766"/>
    <cellStyle name="Separador de milhares 3 10 2 2 5 3 5" xfId="35380"/>
    <cellStyle name="Separador de milhares 3 10 2 2 5 4" xfId="5763"/>
    <cellStyle name="Separador de milhares 3 10 2 2 5 4 2" xfId="24395"/>
    <cellStyle name="Separador de milhares 3 10 2 2 5 4 2 2" xfId="50628"/>
    <cellStyle name="Separador de milhares 3 10 2 2 5 4 3" xfId="32008"/>
    <cellStyle name="Separador de milhares 3 10 2 2 5 5" xfId="18481"/>
    <cellStyle name="Separador de milhares 3 10 2 2 5 5 2" xfId="44720"/>
    <cellStyle name="Separador de milhares 3 10 2 2 5 6" xfId="12150"/>
    <cellStyle name="Separador de milhares 3 10 2 2 5 6 2" xfId="38392"/>
    <cellStyle name="Separador de milhares 3 10 2 2 5 7" xfId="30310"/>
    <cellStyle name="Separador de milhares 3 10 2 2 6" xfId="4121"/>
    <cellStyle name="Separador de milhares 3 10 2 2 6 2" xfId="7609"/>
    <cellStyle name="Separador de milhares 3 10 2 2 6 2 2" xfId="10753"/>
    <cellStyle name="Separador de milhares 3 10 2 2 6 2 2 2" xfId="28967"/>
    <cellStyle name="Separador de milhares 3 10 2 2 6 2 2 2 2" xfId="55197"/>
    <cellStyle name="Separador de milhares 3 10 2 2 6 2 2 3" xfId="23053"/>
    <cellStyle name="Separador de milhares 3 10 2 2 6 2 2 3 2" xfId="49289"/>
    <cellStyle name="Separador de milhares 3 10 2 2 6 2 2 4" xfId="17139"/>
    <cellStyle name="Separador de milhares 3 10 2 2 6 2 2 4 2" xfId="43381"/>
    <cellStyle name="Separador de milhares 3 10 2 2 6 2 2 5" xfId="36995"/>
    <cellStyle name="Separador de milhares 3 10 2 2 6 2 3" xfId="26010"/>
    <cellStyle name="Separador de milhares 3 10 2 2 6 2 3 2" xfId="52243"/>
    <cellStyle name="Separador de milhares 3 10 2 2 6 2 4" xfId="20096"/>
    <cellStyle name="Separador de milhares 3 10 2 2 6 2 4 2" xfId="46335"/>
    <cellStyle name="Separador de milhares 3 10 2 2 6 2 5" xfId="13998"/>
    <cellStyle name="Separador de milhares 3 10 2 2 6 2 5 2" xfId="40240"/>
    <cellStyle name="Separador de milhares 3 10 2 2 6 2 6" xfId="33854"/>
    <cellStyle name="Separador de milhares 3 10 2 2 6 3" xfId="9285"/>
    <cellStyle name="Separador de milhares 3 10 2 2 6 3 2" xfId="27499"/>
    <cellStyle name="Separador de milhares 3 10 2 2 6 3 2 2" xfId="53729"/>
    <cellStyle name="Separador de milhares 3 10 2 2 6 3 3" xfId="21585"/>
    <cellStyle name="Separador de milhares 3 10 2 2 6 3 3 2" xfId="47821"/>
    <cellStyle name="Separador de milhares 3 10 2 2 6 3 4" xfId="15671"/>
    <cellStyle name="Separador de milhares 3 10 2 2 6 3 4 2" xfId="41913"/>
    <cellStyle name="Separador de milhares 3 10 2 2 6 3 5" xfId="35527"/>
    <cellStyle name="Separador de milhares 3 10 2 2 6 4" xfId="5910"/>
    <cellStyle name="Separador de milhares 3 10 2 2 6 4 2" xfId="24542"/>
    <cellStyle name="Separador de milhares 3 10 2 2 6 4 2 2" xfId="50775"/>
    <cellStyle name="Separador de milhares 3 10 2 2 6 4 3" xfId="32155"/>
    <cellStyle name="Separador de milhares 3 10 2 2 6 5" xfId="18628"/>
    <cellStyle name="Separador de milhares 3 10 2 2 6 5 2" xfId="44867"/>
    <cellStyle name="Separador de milhares 3 10 2 2 6 6" xfId="12297"/>
    <cellStyle name="Separador de milhares 3 10 2 2 6 6 2" xfId="38539"/>
    <cellStyle name="Separador de milhares 3 10 2 2 6 7" xfId="30457"/>
    <cellStyle name="Separador de milhares 3 10 2 2 7" xfId="6580"/>
    <cellStyle name="Separador de milhares 3 10 2 2 7 2" xfId="9727"/>
    <cellStyle name="Separador de milhares 3 10 2 2 7 2 2" xfId="27941"/>
    <cellStyle name="Separador de milhares 3 10 2 2 7 2 2 2" xfId="54171"/>
    <cellStyle name="Separador de milhares 3 10 2 2 7 2 3" xfId="22027"/>
    <cellStyle name="Separador de milhares 3 10 2 2 7 2 3 2" xfId="48263"/>
    <cellStyle name="Separador de milhares 3 10 2 2 7 2 4" xfId="16113"/>
    <cellStyle name="Separador de milhares 3 10 2 2 7 2 4 2" xfId="42355"/>
    <cellStyle name="Separador de milhares 3 10 2 2 7 2 5" xfId="35969"/>
    <cellStyle name="Separador de milhares 3 10 2 2 7 3" xfId="24984"/>
    <cellStyle name="Separador de milhares 3 10 2 2 7 3 2" xfId="51217"/>
    <cellStyle name="Separador de milhares 3 10 2 2 7 4" xfId="19070"/>
    <cellStyle name="Separador de milhares 3 10 2 2 7 4 2" xfId="45309"/>
    <cellStyle name="Separador de milhares 3 10 2 2 7 5" xfId="12969"/>
    <cellStyle name="Separador de milhares 3 10 2 2 7 5 2" xfId="39211"/>
    <cellStyle name="Separador de milhares 3 10 2 2 7 6" xfId="32825"/>
    <cellStyle name="Separador de milhares 3 10 2 2 8" xfId="8256"/>
    <cellStyle name="Separador de milhares 3 10 2 2 8 2" xfId="26470"/>
    <cellStyle name="Separador de milhares 3 10 2 2 8 2 2" xfId="52703"/>
    <cellStyle name="Separador de milhares 3 10 2 2 8 3" xfId="20556"/>
    <cellStyle name="Separador de milhares 3 10 2 2 8 3 2" xfId="46795"/>
    <cellStyle name="Separador de milhares 3 10 2 2 8 4" xfId="14645"/>
    <cellStyle name="Separador de milhares 3 10 2 2 8 4 2" xfId="40887"/>
    <cellStyle name="Separador de milhares 3 10 2 2 8 5" xfId="34501"/>
    <cellStyle name="Separador de milhares 3 10 2 2 9" xfId="4879"/>
    <cellStyle name="Separador de milhares 3 10 2 2 9 2" xfId="23513"/>
    <cellStyle name="Separador de milhares 3 10 2 2 9 2 2" xfId="49749"/>
    <cellStyle name="Separador de milhares 3 10 2 2 9 3" xfId="31126"/>
    <cellStyle name="Separador de milhares 3 10 2 3" xfId="964"/>
    <cellStyle name="Separador de milhares 3 10 2 3 2" xfId="6731"/>
    <cellStyle name="Separador de milhares 3 10 2 3 2 2" xfId="9878"/>
    <cellStyle name="Separador de milhares 3 10 2 3 2 2 2" xfId="28092"/>
    <cellStyle name="Separador de milhares 3 10 2 3 2 2 2 2" xfId="54322"/>
    <cellStyle name="Separador de milhares 3 10 2 3 2 2 3" xfId="22178"/>
    <cellStyle name="Separador de milhares 3 10 2 3 2 2 3 2" xfId="48414"/>
    <cellStyle name="Separador de milhares 3 10 2 3 2 2 4" xfId="16264"/>
    <cellStyle name="Separador de milhares 3 10 2 3 2 2 4 2" xfId="42506"/>
    <cellStyle name="Separador de milhares 3 10 2 3 2 2 5" xfId="36120"/>
    <cellStyle name="Separador de milhares 3 10 2 3 2 3" xfId="25135"/>
    <cellStyle name="Separador de milhares 3 10 2 3 2 3 2" xfId="51368"/>
    <cellStyle name="Separador de milhares 3 10 2 3 2 4" xfId="19221"/>
    <cellStyle name="Separador de milhares 3 10 2 3 2 4 2" xfId="45460"/>
    <cellStyle name="Separador de milhares 3 10 2 3 2 5" xfId="13120"/>
    <cellStyle name="Separador de milhares 3 10 2 3 2 5 2" xfId="39362"/>
    <cellStyle name="Separador de milhares 3 10 2 3 2 6" xfId="32976"/>
    <cellStyle name="Separador de milhares 3 10 2 3 3" xfId="8410"/>
    <cellStyle name="Separador de milhares 3 10 2 3 3 2" xfId="26624"/>
    <cellStyle name="Separador de milhares 3 10 2 3 3 2 2" xfId="52854"/>
    <cellStyle name="Separador de milhares 3 10 2 3 3 3" xfId="20710"/>
    <cellStyle name="Separador de milhares 3 10 2 3 3 3 2" xfId="46946"/>
    <cellStyle name="Separador de milhares 3 10 2 3 3 4" xfId="14796"/>
    <cellStyle name="Separador de milhares 3 10 2 3 3 4 2" xfId="41038"/>
    <cellStyle name="Separador de milhares 3 10 2 3 3 5" xfId="34652"/>
    <cellStyle name="Separador de milhares 3 10 2 3 4" xfId="5032"/>
    <cellStyle name="Separador de milhares 3 10 2 3 4 2" xfId="23667"/>
    <cellStyle name="Separador de milhares 3 10 2 3 4 2 2" xfId="49900"/>
    <cellStyle name="Separador de milhares 3 10 2 3 4 3" xfId="31277"/>
    <cellStyle name="Separador de milhares 3 10 2 3 5" xfId="17753"/>
    <cellStyle name="Separador de milhares 3 10 2 3 5 2" xfId="43992"/>
    <cellStyle name="Separador de milhares 3 10 2 3 6" xfId="11419"/>
    <cellStyle name="Separador de milhares 3 10 2 3 6 2" xfId="37661"/>
    <cellStyle name="Separador de milhares 3 10 2 3 7" xfId="29579"/>
    <cellStyle name="Separador de milhares 3 10 2 4" xfId="1315"/>
    <cellStyle name="Separador de milhares 3 10 2 4 2" xfId="6829"/>
    <cellStyle name="Separador de milhares 3 10 2 4 2 2" xfId="9976"/>
    <cellStyle name="Separador de milhares 3 10 2 4 2 2 2" xfId="28190"/>
    <cellStyle name="Separador de milhares 3 10 2 4 2 2 2 2" xfId="54420"/>
    <cellStyle name="Separador de milhares 3 10 2 4 2 2 3" xfId="22276"/>
    <cellStyle name="Separador de milhares 3 10 2 4 2 2 3 2" xfId="48512"/>
    <cellStyle name="Separador de milhares 3 10 2 4 2 2 4" xfId="16362"/>
    <cellStyle name="Separador de milhares 3 10 2 4 2 2 4 2" xfId="42604"/>
    <cellStyle name="Separador de milhares 3 10 2 4 2 2 5" xfId="36218"/>
    <cellStyle name="Separador de milhares 3 10 2 4 2 3" xfId="25233"/>
    <cellStyle name="Separador de milhares 3 10 2 4 2 3 2" xfId="51466"/>
    <cellStyle name="Separador de milhares 3 10 2 4 2 4" xfId="19319"/>
    <cellStyle name="Separador de milhares 3 10 2 4 2 4 2" xfId="45558"/>
    <cellStyle name="Separador de milhares 3 10 2 4 2 5" xfId="13218"/>
    <cellStyle name="Separador de milhares 3 10 2 4 2 5 2" xfId="39460"/>
    <cellStyle name="Separador de milhares 3 10 2 4 2 6" xfId="33074"/>
    <cellStyle name="Separador de milhares 3 10 2 4 3" xfId="8508"/>
    <cellStyle name="Separador de milhares 3 10 2 4 3 2" xfId="26722"/>
    <cellStyle name="Separador de milhares 3 10 2 4 3 2 2" xfId="52952"/>
    <cellStyle name="Separador de milhares 3 10 2 4 3 3" xfId="20808"/>
    <cellStyle name="Separador de milhares 3 10 2 4 3 3 2" xfId="47044"/>
    <cellStyle name="Separador de milhares 3 10 2 4 3 4" xfId="14894"/>
    <cellStyle name="Separador de milhares 3 10 2 4 3 4 2" xfId="41136"/>
    <cellStyle name="Separador de milhares 3 10 2 4 3 5" xfId="34750"/>
    <cellStyle name="Separador de milhares 3 10 2 4 4" xfId="5130"/>
    <cellStyle name="Separador de milhares 3 10 2 4 4 2" xfId="23765"/>
    <cellStyle name="Separador de milhares 3 10 2 4 4 2 2" xfId="49998"/>
    <cellStyle name="Separador de milhares 3 10 2 4 4 3" xfId="31375"/>
    <cellStyle name="Separador de milhares 3 10 2 4 5" xfId="17851"/>
    <cellStyle name="Separador de milhares 3 10 2 4 5 2" xfId="44090"/>
    <cellStyle name="Separador de milhares 3 10 2 4 6" xfId="11517"/>
    <cellStyle name="Separador de milhares 3 10 2 4 6 2" xfId="37759"/>
    <cellStyle name="Separador de milhares 3 10 2 4 7" xfId="29677"/>
    <cellStyle name="Separador de milhares 3 10 2 5" xfId="1750"/>
    <cellStyle name="Separador de milhares 3 10 2 5 2" xfId="6948"/>
    <cellStyle name="Separador de milhares 3 10 2 5 2 2" xfId="10095"/>
    <cellStyle name="Separador de milhares 3 10 2 5 2 2 2" xfId="28309"/>
    <cellStyle name="Separador de milhares 3 10 2 5 2 2 2 2" xfId="54539"/>
    <cellStyle name="Separador de milhares 3 10 2 5 2 2 3" xfId="22395"/>
    <cellStyle name="Separador de milhares 3 10 2 5 2 2 3 2" xfId="48631"/>
    <cellStyle name="Separador de milhares 3 10 2 5 2 2 4" xfId="16481"/>
    <cellStyle name="Separador de milhares 3 10 2 5 2 2 4 2" xfId="42723"/>
    <cellStyle name="Separador de milhares 3 10 2 5 2 2 5" xfId="36337"/>
    <cellStyle name="Separador de milhares 3 10 2 5 2 3" xfId="25352"/>
    <cellStyle name="Separador de milhares 3 10 2 5 2 3 2" xfId="51585"/>
    <cellStyle name="Separador de milhares 3 10 2 5 2 4" xfId="19438"/>
    <cellStyle name="Separador de milhares 3 10 2 5 2 4 2" xfId="45677"/>
    <cellStyle name="Separador de milhares 3 10 2 5 2 5" xfId="13337"/>
    <cellStyle name="Separador de milhares 3 10 2 5 2 5 2" xfId="39579"/>
    <cellStyle name="Separador de milhares 3 10 2 5 2 6" xfId="33193"/>
    <cellStyle name="Separador de milhares 3 10 2 5 3" xfId="8627"/>
    <cellStyle name="Separador de milhares 3 10 2 5 3 2" xfId="26841"/>
    <cellStyle name="Separador de milhares 3 10 2 5 3 2 2" xfId="53071"/>
    <cellStyle name="Separador de milhares 3 10 2 5 3 3" xfId="20927"/>
    <cellStyle name="Separador de milhares 3 10 2 5 3 3 2" xfId="47163"/>
    <cellStyle name="Separador de milhares 3 10 2 5 3 4" xfId="15013"/>
    <cellStyle name="Separador de milhares 3 10 2 5 3 4 2" xfId="41255"/>
    <cellStyle name="Separador de milhares 3 10 2 5 3 5" xfId="34869"/>
    <cellStyle name="Separador de milhares 3 10 2 5 4" xfId="5249"/>
    <cellStyle name="Separador de milhares 3 10 2 5 4 2" xfId="23884"/>
    <cellStyle name="Separador de milhares 3 10 2 5 4 2 2" xfId="50117"/>
    <cellStyle name="Separador de milhares 3 10 2 5 4 3" xfId="31494"/>
    <cellStyle name="Separador de milhares 3 10 2 5 5" xfId="17970"/>
    <cellStyle name="Separador de milhares 3 10 2 5 5 2" xfId="44209"/>
    <cellStyle name="Separador de milhares 3 10 2 5 6" xfId="11636"/>
    <cellStyle name="Separador de milhares 3 10 2 5 6 2" xfId="37878"/>
    <cellStyle name="Separador de milhares 3 10 2 5 7" xfId="29796"/>
    <cellStyle name="Separador de milhares 3 10 2 6" xfId="2280"/>
    <cellStyle name="Separador de milhares 3 10 2 6 2" xfId="7098"/>
    <cellStyle name="Separador de milhares 3 10 2 6 2 2" xfId="10242"/>
    <cellStyle name="Separador de milhares 3 10 2 6 2 2 2" xfId="28456"/>
    <cellStyle name="Separador de milhares 3 10 2 6 2 2 2 2" xfId="54686"/>
    <cellStyle name="Separador de milhares 3 10 2 6 2 2 3" xfId="22542"/>
    <cellStyle name="Separador de milhares 3 10 2 6 2 2 3 2" xfId="48778"/>
    <cellStyle name="Separador de milhares 3 10 2 6 2 2 4" xfId="16628"/>
    <cellStyle name="Separador de milhares 3 10 2 6 2 2 4 2" xfId="42870"/>
    <cellStyle name="Separador de milhares 3 10 2 6 2 2 5" xfId="36484"/>
    <cellStyle name="Separador de milhares 3 10 2 6 2 3" xfId="25499"/>
    <cellStyle name="Separador de milhares 3 10 2 6 2 3 2" xfId="51732"/>
    <cellStyle name="Separador de milhares 3 10 2 6 2 4" xfId="19585"/>
    <cellStyle name="Separador de milhares 3 10 2 6 2 4 2" xfId="45824"/>
    <cellStyle name="Separador de milhares 3 10 2 6 2 5" xfId="13487"/>
    <cellStyle name="Separador de milhares 3 10 2 6 2 5 2" xfId="39729"/>
    <cellStyle name="Separador de milhares 3 10 2 6 2 6" xfId="33343"/>
    <cellStyle name="Separador de milhares 3 10 2 6 3" xfId="8774"/>
    <cellStyle name="Separador de milhares 3 10 2 6 3 2" xfId="26988"/>
    <cellStyle name="Separador de milhares 3 10 2 6 3 2 2" xfId="53218"/>
    <cellStyle name="Separador de milhares 3 10 2 6 3 3" xfId="21074"/>
    <cellStyle name="Separador de milhares 3 10 2 6 3 3 2" xfId="47310"/>
    <cellStyle name="Separador de milhares 3 10 2 6 3 4" xfId="15160"/>
    <cellStyle name="Separador de milhares 3 10 2 6 3 4 2" xfId="41402"/>
    <cellStyle name="Separador de milhares 3 10 2 6 3 5" xfId="35016"/>
    <cellStyle name="Separador de milhares 3 10 2 6 4" xfId="5399"/>
    <cellStyle name="Separador de milhares 3 10 2 6 4 2" xfId="24031"/>
    <cellStyle name="Separador de milhares 3 10 2 6 4 2 2" xfId="50264"/>
    <cellStyle name="Separador de milhares 3 10 2 6 4 3" xfId="31644"/>
    <cellStyle name="Separador de milhares 3 10 2 6 5" xfId="18117"/>
    <cellStyle name="Separador de milhares 3 10 2 6 5 2" xfId="44356"/>
    <cellStyle name="Separador de milhares 3 10 2 6 6" xfId="11786"/>
    <cellStyle name="Separador de milhares 3 10 2 6 6 2" xfId="38028"/>
    <cellStyle name="Separador de milhares 3 10 2 6 7" xfId="29946"/>
    <cellStyle name="Separador de milhares 3 10 2 7" xfId="2807"/>
    <cellStyle name="Separador de milhares 3 10 2 7 2" xfId="7245"/>
    <cellStyle name="Separador de milhares 3 10 2 7 2 2" xfId="10389"/>
    <cellStyle name="Separador de milhares 3 10 2 7 2 2 2" xfId="28603"/>
    <cellStyle name="Separador de milhares 3 10 2 7 2 2 2 2" xfId="54833"/>
    <cellStyle name="Separador de milhares 3 10 2 7 2 2 3" xfId="22689"/>
    <cellStyle name="Separador de milhares 3 10 2 7 2 2 3 2" xfId="48925"/>
    <cellStyle name="Separador de milhares 3 10 2 7 2 2 4" xfId="16775"/>
    <cellStyle name="Separador de milhares 3 10 2 7 2 2 4 2" xfId="43017"/>
    <cellStyle name="Separador de milhares 3 10 2 7 2 2 5" xfId="36631"/>
    <cellStyle name="Separador de milhares 3 10 2 7 2 3" xfId="25646"/>
    <cellStyle name="Separador de milhares 3 10 2 7 2 3 2" xfId="51879"/>
    <cellStyle name="Separador de milhares 3 10 2 7 2 4" xfId="19732"/>
    <cellStyle name="Separador de milhares 3 10 2 7 2 4 2" xfId="45971"/>
    <cellStyle name="Separador de milhares 3 10 2 7 2 5" xfId="13634"/>
    <cellStyle name="Separador de milhares 3 10 2 7 2 5 2" xfId="39876"/>
    <cellStyle name="Separador de milhares 3 10 2 7 2 6" xfId="33490"/>
    <cellStyle name="Separador de milhares 3 10 2 7 3" xfId="8921"/>
    <cellStyle name="Separador de milhares 3 10 2 7 3 2" xfId="27135"/>
    <cellStyle name="Separador de milhares 3 10 2 7 3 2 2" xfId="53365"/>
    <cellStyle name="Separador de milhares 3 10 2 7 3 3" xfId="21221"/>
    <cellStyle name="Separador de milhares 3 10 2 7 3 3 2" xfId="47457"/>
    <cellStyle name="Separador de milhares 3 10 2 7 3 4" xfId="15307"/>
    <cellStyle name="Separador de milhares 3 10 2 7 3 4 2" xfId="41549"/>
    <cellStyle name="Separador de milhares 3 10 2 7 3 5" xfId="35163"/>
    <cellStyle name="Separador de milhares 3 10 2 7 4" xfId="5546"/>
    <cellStyle name="Separador de milhares 3 10 2 7 4 2" xfId="24178"/>
    <cellStyle name="Separador de milhares 3 10 2 7 4 2 2" xfId="50411"/>
    <cellStyle name="Separador de milhares 3 10 2 7 4 3" xfId="31791"/>
    <cellStyle name="Separador de milhares 3 10 2 7 5" xfId="18264"/>
    <cellStyle name="Separador de milhares 3 10 2 7 5 2" xfId="44503"/>
    <cellStyle name="Separador de milhares 3 10 2 7 6" xfId="11933"/>
    <cellStyle name="Separador de milhares 3 10 2 7 6 2" xfId="38175"/>
    <cellStyle name="Separador de milhares 3 10 2 7 7" xfId="30093"/>
    <cellStyle name="Separador de milhares 3 10 2 8" xfId="3334"/>
    <cellStyle name="Separador de milhares 3 10 2 8 2" xfId="7392"/>
    <cellStyle name="Separador de milhares 3 10 2 8 2 2" xfId="10536"/>
    <cellStyle name="Separador de milhares 3 10 2 8 2 2 2" xfId="28750"/>
    <cellStyle name="Separador de milhares 3 10 2 8 2 2 2 2" xfId="54980"/>
    <cellStyle name="Separador de milhares 3 10 2 8 2 2 3" xfId="22836"/>
    <cellStyle name="Separador de milhares 3 10 2 8 2 2 3 2" xfId="49072"/>
    <cellStyle name="Separador de milhares 3 10 2 8 2 2 4" xfId="16922"/>
    <cellStyle name="Separador de milhares 3 10 2 8 2 2 4 2" xfId="43164"/>
    <cellStyle name="Separador de milhares 3 10 2 8 2 2 5" xfId="36778"/>
    <cellStyle name="Separador de milhares 3 10 2 8 2 3" xfId="25793"/>
    <cellStyle name="Separador de milhares 3 10 2 8 2 3 2" xfId="52026"/>
    <cellStyle name="Separador de milhares 3 10 2 8 2 4" xfId="19879"/>
    <cellStyle name="Separador de milhares 3 10 2 8 2 4 2" xfId="46118"/>
    <cellStyle name="Separador de milhares 3 10 2 8 2 5" xfId="13781"/>
    <cellStyle name="Separador de milhares 3 10 2 8 2 5 2" xfId="40023"/>
    <cellStyle name="Separador de milhares 3 10 2 8 2 6" xfId="33637"/>
    <cellStyle name="Separador de milhares 3 10 2 8 3" xfId="9068"/>
    <cellStyle name="Separador de milhares 3 10 2 8 3 2" xfId="27282"/>
    <cellStyle name="Separador de milhares 3 10 2 8 3 2 2" xfId="53512"/>
    <cellStyle name="Separador de milhares 3 10 2 8 3 3" xfId="21368"/>
    <cellStyle name="Separador de milhares 3 10 2 8 3 3 2" xfId="47604"/>
    <cellStyle name="Separador de milhares 3 10 2 8 3 4" xfId="15454"/>
    <cellStyle name="Separador de milhares 3 10 2 8 3 4 2" xfId="41696"/>
    <cellStyle name="Separador de milhares 3 10 2 8 3 5" xfId="35310"/>
    <cellStyle name="Separador de milhares 3 10 2 8 4" xfId="5693"/>
    <cellStyle name="Separador de milhares 3 10 2 8 4 2" xfId="24325"/>
    <cellStyle name="Separador de milhares 3 10 2 8 4 2 2" xfId="50558"/>
    <cellStyle name="Separador de milhares 3 10 2 8 4 3" xfId="31938"/>
    <cellStyle name="Separador de milhares 3 10 2 8 5" xfId="18411"/>
    <cellStyle name="Separador de milhares 3 10 2 8 5 2" xfId="44650"/>
    <cellStyle name="Separador de milhares 3 10 2 8 6" xfId="12080"/>
    <cellStyle name="Separador de milhares 3 10 2 8 6 2" xfId="38322"/>
    <cellStyle name="Separador de milhares 3 10 2 8 7" xfId="30240"/>
    <cellStyle name="Separador de milhares 3 10 2 9" xfId="3861"/>
    <cellStyle name="Separador de milhares 3 10 2 9 2" xfId="7539"/>
    <cellStyle name="Separador de milhares 3 10 2 9 2 2" xfId="10683"/>
    <cellStyle name="Separador de milhares 3 10 2 9 2 2 2" xfId="28897"/>
    <cellStyle name="Separador de milhares 3 10 2 9 2 2 2 2" xfId="55127"/>
    <cellStyle name="Separador de milhares 3 10 2 9 2 2 3" xfId="22983"/>
    <cellStyle name="Separador de milhares 3 10 2 9 2 2 3 2" xfId="49219"/>
    <cellStyle name="Separador de milhares 3 10 2 9 2 2 4" xfId="17069"/>
    <cellStyle name="Separador de milhares 3 10 2 9 2 2 4 2" xfId="43311"/>
    <cellStyle name="Separador de milhares 3 10 2 9 2 2 5" xfId="36925"/>
    <cellStyle name="Separador de milhares 3 10 2 9 2 3" xfId="25940"/>
    <cellStyle name="Separador de milhares 3 10 2 9 2 3 2" xfId="52173"/>
    <cellStyle name="Separador de milhares 3 10 2 9 2 4" xfId="20026"/>
    <cellStyle name="Separador de milhares 3 10 2 9 2 4 2" xfId="46265"/>
    <cellStyle name="Separador de milhares 3 10 2 9 2 5" xfId="13928"/>
    <cellStyle name="Separador de milhares 3 10 2 9 2 5 2" xfId="40170"/>
    <cellStyle name="Separador de milhares 3 10 2 9 2 6" xfId="33784"/>
    <cellStyle name="Separador de milhares 3 10 2 9 3" xfId="9215"/>
    <cellStyle name="Separador de milhares 3 10 2 9 3 2" xfId="27429"/>
    <cellStyle name="Separador de milhares 3 10 2 9 3 2 2" xfId="53659"/>
    <cellStyle name="Separador de milhares 3 10 2 9 3 3" xfId="21515"/>
    <cellStyle name="Separador de milhares 3 10 2 9 3 3 2" xfId="47751"/>
    <cellStyle name="Separador de milhares 3 10 2 9 3 4" xfId="15601"/>
    <cellStyle name="Separador de milhares 3 10 2 9 3 4 2" xfId="41843"/>
    <cellStyle name="Separador de milhares 3 10 2 9 3 5" xfId="35457"/>
    <cellStyle name="Separador de milhares 3 10 2 9 4" xfId="5840"/>
    <cellStyle name="Separador de milhares 3 10 2 9 4 2" xfId="24472"/>
    <cellStyle name="Separador de milhares 3 10 2 9 4 2 2" xfId="50705"/>
    <cellStyle name="Separador de milhares 3 10 2 9 4 3" xfId="32085"/>
    <cellStyle name="Separador de milhares 3 10 2 9 5" xfId="18558"/>
    <cellStyle name="Separador de milhares 3 10 2 9 5 2" xfId="44797"/>
    <cellStyle name="Separador de milhares 3 10 2 9 6" xfId="12227"/>
    <cellStyle name="Separador de milhares 3 10 2 9 6 2" xfId="38469"/>
    <cellStyle name="Separador de milhares 3 10 2 9 7" xfId="30387"/>
    <cellStyle name="Separador de milhares 3 10 3" xfId="313"/>
    <cellStyle name="Separador de milhares 3 10 3 10" xfId="6530"/>
    <cellStyle name="Separador de milhares 3 10 3 10 2" xfId="9681"/>
    <cellStyle name="Separador de milhares 3 10 3 10 2 2" xfId="27895"/>
    <cellStyle name="Separador de milhares 3 10 3 10 2 2 2" xfId="54125"/>
    <cellStyle name="Separador de milhares 3 10 3 10 2 3" xfId="21981"/>
    <cellStyle name="Separador de milhares 3 10 3 10 2 3 2" xfId="48217"/>
    <cellStyle name="Separador de milhares 3 10 3 10 2 4" xfId="16067"/>
    <cellStyle name="Separador de milhares 3 10 3 10 2 4 2" xfId="42309"/>
    <cellStyle name="Separador de milhares 3 10 3 10 2 5" xfId="35923"/>
    <cellStyle name="Separador de milhares 3 10 3 10 3" xfId="24938"/>
    <cellStyle name="Separador de milhares 3 10 3 10 3 2" xfId="51171"/>
    <cellStyle name="Separador de milhares 3 10 3 10 4" xfId="19024"/>
    <cellStyle name="Separador de milhares 3 10 3 10 4 2" xfId="45263"/>
    <cellStyle name="Separador de milhares 3 10 3 10 5" xfId="12919"/>
    <cellStyle name="Separador de milhares 3 10 3 10 5 2" xfId="39161"/>
    <cellStyle name="Separador de milhares 3 10 3 10 6" xfId="32775"/>
    <cellStyle name="Separador de milhares 3 10 3 11" xfId="8210"/>
    <cellStyle name="Separador de milhares 3 10 3 11 2" xfId="26424"/>
    <cellStyle name="Separador de milhares 3 10 3 11 2 2" xfId="52657"/>
    <cellStyle name="Separador de milhares 3 10 3 11 3" xfId="20510"/>
    <cellStyle name="Separador de milhares 3 10 3 11 3 2" xfId="46749"/>
    <cellStyle name="Separador de milhares 3 10 3 11 4" xfId="14599"/>
    <cellStyle name="Separador de milhares 3 10 3 11 4 2" xfId="40841"/>
    <cellStyle name="Separador de milhares 3 10 3 11 5" xfId="34455"/>
    <cellStyle name="Separador de milhares 3 10 3 12" xfId="4829"/>
    <cellStyle name="Separador de milhares 3 10 3 12 2" xfId="23467"/>
    <cellStyle name="Separador de milhares 3 10 3 12 2 2" xfId="49703"/>
    <cellStyle name="Separador de milhares 3 10 3 12 3" xfId="31076"/>
    <cellStyle name="Separador de milhares 3 10 3 13" xfId="17553"/>
    <cellStyle name="Separador de milhares 3 10 3 13 2" xfId="43795"/>
    <cellStyle name="Separador de milhares 3 10 3 14" xfId="11218"/>
    <cellStyle name="Separador de milhares 3 10 3 14 2" xfId="37460"/>
    <cellStyle name="Separador de milhares 3 10 3 15" xfId="29378"/>
    <cellStyle name="Separador de milhares 3 10 3 2" xfId="576"/>
    <cellStyle name="Separador de milhares 3 10 3 2 2" xfId="6601"/>
    <cellStyle name="Separador de milhares 3 10 3 2 2 2" xfId="9748"/>
    <cellStyle name="Separador de milhares 3 10 3 2 2 2 2" xfId="27962"/>
    <cellStyle name="Separador de milhares 3 10 3 2 2 2 2 2" xfId="54192"/>
    <cellStyle name="Separador de milhares 3 10 3 2 2 2 3" xfId="22048"/>
    <cellStyle name="Separador de milhares 3 10 3 2 2 2 3 2" xfId="48284"/>
    <cellStyle name="Separador de milhares 3 10 3 2 2 2 4" xfId="16134"/>
    <cellStyle name="Separador de milhares 3 10 3 2 2 2 4 2" xfId="42376"/>
    <cellStyle name="Separador de milhares 3 10 3 2 2 2 5" xfId="35990"/>
    <cellStyle name="Separador de milhares 3 10 3 2 2 3" xfId="25005"/>
    <cellStyle name="Separador de milhares 3 10 3 2 2 3 2" xfId="51238"/>
    <cellStyle name="Separador de milhares 3 10 3 2 2 4" xfId="19091"/>
    <cellStyle name="Separador de milhares 3 10 3 2 2 4 2" xfId="45330"/>
    <cellStyle name="Separador de milhares 3 10 3 2 2 5" xfId="12990"/>
    <cellStyle name="Separador de milhares 3 10 3 2 2 5 2" xfId="39232"/>
    <cellStyle name="Separador de milhares 3 10 3 2 2 6" xfId="32846"/>
    <cellStyle name="Separador de milhares 3 10 3 2 3" xfId="8277"/>
    <cellStyle name="Separador de milhares 3 10 3 2 3 2" xfId="26491"/>
    <cellStyle name="Separador de milhares 3 10 3 2 3 2 2" xfId="52724"/>
    <cellStyle name="Separador de milhares 3 10 3 2 3 3" xfId="20577"/>
    <cellStyle name="Separador de milhares 3 10 3 2 3 3 2" xfId="46816"/>
    <cellStyle name="Separador de milhares 3 10 3 2 3 4" xfId="14666"/>
    <cellStyle name="Separador de milhares 3 10 3 2 3 4 2" xfId="40908"/>
    <cellStyle name="Separador de milhares 3 10 3 2 3 5" xfId="34522"/>
    <cellStyle name="Separador de milhares 3 10 3 2 4" xfId="4900"/>
    <cellStyle name="Separador de milhares 3 10 3 2 4 2" xfId="23534"/>
    <cellStyle name="Separador de milhares 3 10 3 2 4 2 2" xfId="49770"/>
    <cellStyle name="Separador de milhares 3 10 3 2 4 3" xfId="31147"/>
    <cellStyle name="Separador de milhares 3 10 3 2 5" xfId="17620"/>
    <cellStyle name="Separador de milhares 3 10 3 2 5 2" xfId="43862"/>
    <cellStyle name="Separador de milhares 3 10 3 2 6" xfId="11289"/>
    <cellStyle name="Separador de milhares 3 10 3 2 6 2" xfId="37531"/>
    <cellStyle name="Separador de milhares 3 10 3 2 7" xfId="29449"/>
    <cellStyle name="Separador de milhares 3 10 3 3" xfId="873"/>
    <cellStyle name="Separador de milhares 3 10 3 3 2" xfId="6703"/>
    <cellStyle name="Separador de milhares 3 10 3 3 2 2" xfId="9850"/>
    <cellStyle name="Separador de milhares 3 10 3 3 2 2 2" xfId="28064"/>
    <cellStyle name="Separador de milhares 3 10 3 3 2 2 2 2" xfId="54294"/>
    <cellStyle name="Separador de milhares 3 10 3 3 2 2 3" xfId="22150"/>
    <cellStyle name="Separador de milhares 3 10 3 3 2 2 3 2" xfId="48386"/>
    <cellStyle name="Separador de milhares 3 10 3 3 2 2 4" xfId="16236"/>
    <cellStyle name="Separador de milhares 3 10 3 3 2 2 4 2" xfId="42478"/>
    <cellStyle name="Separador de milhares 3 10 3 3 2 2 5" xfId="36092"/>
    <cellStyle name="Separador de milhares 3 10 3 3 2 3" xfId="25107"/>
    <cellStyle name="Separador de milhares 3 10 3 3 2 3 2" xfId="51340"/>
    <cellStyle name="Separador de milhares 3 10 3 3 2 4" xfId="19193"/>
    <cellStyle name="Separador de milhares 3 10 3 3 2 4 2" xfId="45432"/>
    <cellStyle name="Separador de milhares 3 10 3 3 2 5" xfId="13092"/>
    <cellStyle name="Separador de milhares 3 10 3 3 2 5 2" xfId="39334"/>
    <cellStyle name="Separador de milhares 3 10 3 3 2 6" xfId="32948"/>
    <cellStyle name="Separador de milhares 3 10 3 3 3" xfId="8382"/>
    <cellStyle name="Separador de milhares 3 10 3 3 3 2" xfId="26596"/>
    <cellStyle name="Separador de milhares 3 10 3 3 3 2 2" xfId="52826"/>
    <cellStyle name="Separador de milhares 3 10 3 3 3 3" xfId="20682"/>
    <cellStyle name="Separador de milhares 3 10 3 3 3 3 2" xfId="46918"/>
    <cellStyle name="Separador de milhares 3 10 3 3 3 4" xfId="14768"/>
    <cellStyle name="Separador de milhares 3 10 3 3 3 4 2" xfId="41010"/>
    <cellStyle name="Separador de milhares 3 10 3 3 3 5" xfId="34624"/>
    <cellStyle name="Separador de milhares 3 10 3 3 4" xfId="5004"/>
    <cellStyle name="Separador de milhares 3 10 3 3 4 2" xfId="23639"/>
    <cellStyle name="Separador de milhares 3 10 3 3 4 2 2" xfId="49872"/>
    <cellStyle name="Separador de milhares 3 10 3 3 4 3" xfId="31249"/>
    <cellStyle name="Separador de milhares 3 10 3 3 5" xfId="17725"/>
    <cellStyle name="Separador de milhares 3 10 3 3 5 2" xfId="43964"/>
    <cellStyle name="Separador de milhares 3 10 3 3 6" xfId="11391"/>
    <cellStyle name="Separador de milhares 3 10 3 3 6 2" xfId="37633"/>
    <cellStyle name="Separador de milhares 3 10 3 3 7" xfId="29551"/>
    <cellStyle name="Separador de milhares 3 10 3 4" xfId="1224"/>
    <cellStyle name="Separador de milhares 3 10 3 4 2" xfId="6801"/>
    <cellStyle name="Separador de milhares 3 10 3 4 2 2" xfId="9948"/>
    <cellStyle name="Separador de milhares 3 10 3 4 2 2 2" xfId="28162"/>
    <cellStyle name="Separador de milhares 3 10 3 4 2 2 2 2" xfId="54392"/>
    <cellStyle name="Separador de milhares 3 10 3 4 2 2 3" xfId="22248"/>
    <cellStyle name="Separador de milhares 3 10 3 4 2 2 3 2" xfId="48484"/>
    <cellStyle name="Separador de milhares 3 10 3 4 2 2 4" xfId="16334"/>
    <cellStyle name="Separador de milhares 3 10 3 4 2 2 4 2" xfId="42576"/>
    <cellStyle name="Separador de milhares 3 10 3 4 2 2 5" xfId="36190"/>
    <cellStyle name="Separador de milhares 3 10 3 4 2 3" xfId="25205"/>
    <cellStyle name="Separador de milhares 3 10 3 4 2 3 2" xfId="51438"/>
    <cellStyle name="Separador de milhares 3 10 3 4 2 4" xfId="19291"/>
    <cellStyle name="Separador de milhares 3 10 3 4 2 4 2" xfId="45530"/>
    <cellStyle name="Separador de milhares 3 10 3 4 2 5" xfId="13190"/>
    <cellStyle name="Separador de milhares 3 10 3 4 2 5 2" xfId="39432"/>
    <cellStyle name="Separador de milhares 3 10 3 4 2 6" xfId="33046"/>
    <cellStyle name="Separador de milhares 3 10 3 4 3" xfId="8480"/>
    <cellStyle name="Separador de milhares 3 10 3 4 3 2" xfId="26694"/>
    <cellStyle name="Separador de milhares 3 10 3 4 3 2 2" xfId="52924"/>
    <cellStyle name="Separador de milhares 3 10 3 4 3 3" xfId="20780"/>
    <cellStyle name="Separador de milhares 3 10 3 4 3 3 2" xfId="47016"/>
    <cellStyle name="Separador de milhares 3 10 3 4 3 4" xfId="14866"/>
    <cellStyle name="Separador de milhares 3 10 3 4 3 4 2" xfId="41108"/>
    <cellStyle name="Separador de milhares 3 10 3 4 3 5" xfId="34722"/>
    <cellStyle name="Separador de milhares 3 10 3 4 4" xfId="5102"/>
    <cellStyle name="Separador de milhares 3 10 3 4 4 2" xfId="23737"/>
    <cellStyle name="Separador de milhares 3 10 3 4 4 2 2" xfId="49970"/>
    <cellStyle name="Separador de milhares 3 10 3 4 4 3" xfId="31347"/>
    <cellStyle name="Separador de milhares 3 10 3 4 5" xfId="17823"/>
    <cellStyle name="Separador de milhares 3 10 3 4 5 2" xfId="44062"/>
    <cellStyle name="Separador de milhares 3 10 3 4 6" xfId="11489"/>
    <cellStyle name="Separador de milhares 3 10 3 4 6 2" xfId="37731"/>
    <cellStyle name="Separador de milhares 3 10 3 4 7" xfId="29649"/>
    <cellStyle name="Separador de milhares 3 10 3 5" xfId="1659"/>
    <cellStyle name="Separador de milhares 3 10 3 5 2" xfId="6920"/>
    <cellStyle name="Separador de milhares 3 10 3 5 2 2" xfId="10067"/>
    <cellStyle name="Separador de milhares 3 10 3 5 2 2 2" xfId="28281"/>
    <cellStyle name="Separador de milhares 3 10 3 5 2 2 2 2" xfId="54511"/>
    <cellStyle name="Separador de milhares 3 10 3 5 2 2 3" xfId="22367"/>
    <cellStyle name="Separador de milhares 3 10 3 5 2 2 3 2" xfId="48603"/>
    <cellStyle name="Separador de milhares 3 10 3 5 2 2 4" xfId="16453"/>
    <cellStyle name="Separador de milhares 3 10 3 5 2 2 4 2" xfId="42695"/>
    <cellStyle name="Separador de milhares 3 10 3 5 2 2 5" xfId="36309"/>
    <cellStyle name="Separador de milhares 3 10 3 5 2 3" xfId="25324"/>
    <cellStyle name="Separador de milhares 3 10 3 5 2 3 2" xfId="51557"/>
    <cellStyle name="Separador de milhares 3 10 3 5 2 4" xfId="19410"/>
    <cellStyle name="Separador de milhares 3 10 3 5 2 4 2" xfId="45649"/>
    <cellStyle name="Separador de milhares 3 10 3 5 2 5" xfId="13309"/>
    <cellStyle name="Separador de milhares 3 10 3 5 2 5 2" xfId="39551"/>
    <cellStyle name="Separador de milhares 3 10 3 5 2 6" xfId="33165"/>
    <cellStyle name="Separador de milhares 3 10 3 5 3" xfId="8599"/>
    <cellStyle name="Separador de milhares 3 10 3 5 3 2" xfId="26813"/>
    <cellStyle name="Separador de milhares 3 10 3 5 3 2 2" xfId="53043"/>
    <cellStyle name="Separador de milhares 3 10 3 5 3 3" xfId="20899"/>
    <cellStyle name="Separador de milhares 3 10 3 5 3 3 2" xfId="47135"/>
    <cellStyle name="Separador de milhares 3 10 3 5 3 4" xfId="14985"/>
    <cellStyle name="Separador de milhares 3 10 3 5 3 4 2" xfId="41227"/>
    <cellStyle name="Separador de milhares 3 10 3 5 3 5" xfId="34841"/>
    <cellStyle name="Separador de milhares 3 10 3 5 4" xfId="5221"/>
    <cellStyle name="Separador de milhares 3 10 3 5 4 2" xfId="23856"/>
    <cellStyle name="Separador de milhares 3 10 3 5 4 2 2" xfId="50089"/>
    <cellStyle name="Separador de milhares 3 10 3 5 4 3" xfId="31466"/>
    <cellStyle name="Separador de milhares 3 10 3 5 5" xfId="17942"/>
    <cellStyle name="Separador de milhares 3 10 3 5 5 2" xfId="44181"/>
    <cellStyle name="Separador de milhares 3 10 3 5 6" xfId="11608"/>
    <cellStyle name="Separador de milhares 3 10 3 5 6 2" xfId="37850"/>
    <cellStyle name="Separador de milhares 3 10 3 5 7" xfId="29768"/>
    <cellStyle name="Separador de milhares 3 10 3 6" xfId="2189"/>
    <cellStyle name="Separador de milhares 3 10 3 6 2" xfId="7070"/>
    <cellStyle name="Separador de milhares 3 10 3 6 2 2" xfId="10214"/>
    <cellStyle name="Separador de milhares 3 10 3 6 2 2 2" xfId="28428"/>
    <cellStyle name="Separador de milhares 3 10 3 6 2 2 2 2" xfId="54658"/>
    <cellStyle name="Separador de milhares 3 10 3 6 2 2 3" xfId="22514"/>
    <cellStyle name="Separador de milhares 3 10 3 6 2 2 3 2" xfId="48750"/>
    <cellStyle name="Separador de milhares 3 10 3 6 2 2 4" xfId="16600"/>
    <cellStyle name="Separador de milhares 3 10 3 6 2 2 4 2" xfId="42842"/>
    <cellStyle name="Separador de milhares 3 10 3 6 2 2 5" xfId="36456"/>
    <cellStyle name="Separador de milhares 3 10 3 6 2 3" xfId="25471"/>
    <cellStyle name="Separador de milhares 3 10 3 6 2 3 2" xfId="51704"/>
    <cellStyle name="Separador de milhares 3 10 3 6 2 4" xfId="19557"/>
    <cellStyle name="Separador de milhares 3 10 3 6 2 4 2" xfId="45796"/>
    <cellStyle name="Separador de milhares 3 10 3 6 2 5" xfId="13459"/>
    <cellStyle name="Separador de milhares 3 10 3 6 2 5 2" xfId="39701"/>
    <cellStyle name="Separador de milhares 3 10 3 6 2 6" xfId="33315"/>
    <cellStyle name="Separador de milhares 3 10 3 6 3" xfId="8746"/>
    <cellStyle name="Separador de milhares 3 10 3 6 3 2" xfId="26960"/>
    <cellStyle name="Separador de milhares 3 10 3 6 3 2 2" xfId="53190"/>
    <cellStyle name="Separador de milhares 3 10 3 6 3 3" xfId="21046"/>
    <cellStyle name="Separador de milhares 3 10 3 6 3 3 2" xfId="47282"/>
    <cellStyle name="Separador de milhares 3 10 3 6 3 4" xfId="15132"/>
    <cellStyle name="Separador de milhares 3 10 3 6 3 4 2" xfId="41374"/>
    <cellStyle name="Separador de milhares 3 10 3 6 3 5" xfId="34988"/>
    <cellStyle name="Separador de milhares 3 10 3 6 4" xfId="5371"/>
    <cellStyle name="Separador de milhares 3 10 3 6 4 2" xfId="24003"/>
    <cellStyle name="Separador de milhares 3 10 3 6 4 2 2" xfId="50236"/>
    <cellStyle name="Separador de milhares 3 10 3 6 4 3" xfId="31616"/>
    <cellStyle name="Separador de milhares 3 10 3 6 5" xfId="18089"/>
    <cellStyle name="Separador de milhares 3 10 3 6 5 2" xfId="44328"/>
    <cellStyle name="Separador de milhares 3 10 3 6 6" xfId="11758"/>
    <cellStyle name="Separador de milhares 3 10 3 6 6 2" xfId="38000"/>
    <cellStyle name="Separador de milhares 3 10 3 6 7" xfId="29918"/>
    <cellStyle name="Separador de milhares 3 10 3 7" xfId="2716"/>
    <cellStyle name="Separador de milhares 3 10 3 7 2" xfId="7217"/>
    <cellStyle name="Separador de milhares 3 10 3 7 2 2" xfId="10361"/>
    <cellStyle name="Separador de milhares 3 10 3 7 2 2 2" xfId="28575"/>
    <cellStyle name="Separador de milhares 3 10 3 7 2 2 2 2" xfId="54805"/>
    <cellStyle name="Separador de milhares 3 10 3 7 2 2 3" xfId="22661"/>
    <cellStyle name="Separador de milhares 3 10 3 7 2 2 3 2" xfId="48897"/>
    <cellStyle name="Separador de milhares 3 10 3 7 2 2 4" xfId="16747"/>
    <cellStyle name="Separador de milhares 3 10 3 7 2 2 4 2" xfId="42989"/>
    <cellStyle name="Separador de milhares 3 10 3 7 2 2 5" xfId="36603"/>
    <cellStyle name="Separador de milhares 3 10 3 7 2 3" xfId="25618"/>
    <cellStyle name="Separador de milhares 3 10 3 7 2 3 2" xfId="51851"/>
    <cellStyle name="Separador de milhares 3 10 3 7 2 4" xfId="19704"/>
    <cellStyle name="Separador de milhares 3 10 3 7 2 4 2" xfId="45943"/>
    <cellStyle name="Separador de milhares 3 10 3 7 2 5" xfId="13606"/>
    <cellStyle name="Separador de milhares 3 10 3 7 2 5 2" xfId="39848"/>
    <cellStyle name="Separador de milhares 3 10 3 7 2 6" xfId="33462"/>
    <cellStyle name="Separador de milhares 3 10 3 7 3" xfId="8893"/>
    <cellStyle name="Separador de milhares 3 10 3 7 3 2" xfId="27107"/>
    <cellStyle name="Separador de milhares 3 10 3 7 3 2 2" xfId="53337"/>
    <cellStyle name="Separador de milhares 3 10 3 7 3 3" xfId="21193"/>
    <cellStyle name="Separador de milhares 3 10 3 7 3 3 2" xfId="47429"/>
    <cellStyle name="Separador de milhares 3 10 3 7 3 4" xfId="15279"/>
    <cellStyle name="Separador de milhares 3 10 3 7 3 4 2" xfId="41521"/>
    <cellStyle name="Separador de milhares 3 10 3 7 3 5" xfId="35135"/>
    <cellStyle name="Separador de milhares 3 10 3 7 4" xfId="5518"/>
    <cellStyle name="Separador de milhares 3 10 3 7 4 2" xfId="24150"/>
    <cellStyle name="Separador de milhares 3 10 3 7 4 2 2" xfId="50383"/>
    <cellStyle name="Separador de milhares 3 10 3 7 4 3" xfId="31763"/>
    <cellStyle name="Separador de milhares 3 10 3 7 5" xfId="18236"/>
    <cellStyle name="Separador de milhares 3 10 3 7 5 2" xfId="44475"/>
    <cellStyle name="Separador de milhares 3 10 3 7 6" xfId="11905"/>
    <cellStyle name="Separador de milhares 3 10 3 7 6 2" xfId="38147"/>
    <cellStyle name="Separador de milhares 3 10 3 7 7" xfId="30065"/>
    <cellStyle name="Separador de milhares 3 10 3 8" xfId="3243"/>
    <cellStyle name="Separador de milhares 3 10 3 8 2" xfId="7364"/>
    <cellStyle name="Separador de milhares 3 10 3 8 2 2" xfId="10508"/>
    <cellStyle name="Separador de milhares 3 10 3 8 2 2 2" xfId="28722"/>
    <cellStyle name="Separador de milhares 3 10 3 8 2 2 2 2" xfId="54952"/>
    <cellStyle name="Separador de milhares 3 10 3 8 2 2 3" xfId="22808"/>
    <cellStyle name="Separador de milhares 3 10 3 8 2 2 3 2" xfId="49044"/>
    <cellStyle name="Separador de milhares 3 10 3 8 2 2 4" xfId="16894"/>
    <cellStyle name="Separador de milhares 3 10 3 8 2 2 4 2" xfId="43136"/>
    <cellStyle name="Separador de milhares 3 10 3 8 2 2 5" xfId="36750"/>
    <cellStyle name="Separador de milhares 3 10 3 8 2 3" xfId="25765"/>
    <cellStyle name="Separador de milhares 3 10 3 8 2 3 2" xfId="51998"/>
    <cellStyle name="Separador de milhares 3 10 3 8 2 4" xfId="19851"/>
    <cellStyle name="Separador de milhares 3 10 3 8 2 4 2" xfId="46090"/>
    <cellStyle name="Separador de milhares 3 10 3 8 2 5" xfId="13753"/>
    <cellStyle name="Separador de milhares 3 10 3 8 2 5 2" xfId="39995"/>
    <cellStyle name="Separador de milhares 3 10 3 8 2 6" xfId="33609"/>
    <cellStyle name="Separador de milhares 3 10 3 8 3" xfId="9040"/>
    <cellStyle name="Separador de milhares 3 10 3 8 3 2" xfId="27254"/>
    <cellStyle name="Separador de milhares 3 10 3 8 3 2 2" xfId="53484"/>
    <cellStyle name="Separador de milhares 3 10 3 8 3 3" xfId="21340"/>
    <cellStyle name="Separador de milhares 3 10 3 8 3 3 2" xfId="47576"/>
    <cellStyle name="Separador de milhares 3 10 3 8 3 4" xfId="15426"/>
    <cellStyle name="Separador de milhares 3 10 3 8 3 4 2" xfId="41668"/>
    <cellStyle name="Separador de milhares 3 10 3 8 3 5" xfId="35282"/>
    <cellStyle name="Separador de milhares 3 10 3 8 4" xfId="5665"/>
    <cellStyle name="Separador de milhares 3 10 3 8 4 2" xfId="24297"/>
    <cellStyle name="Separador de milhares 3 10 3 8 4 2 2" xfId="50530"/>
    <cellStyle name="Separador de milhares 3 10 3 8 4 3" xfId="31910"/>
    <cellStyle name="Separador de milhares 3 10 3 8 5" xfId="18383"/>
    <cellStyle name="Separador de milhares 3 10 3 8 5 2" xfId="44622"/>
    <cellStyle name="Separador de milhares 3 10 3 8 6" xfId="12052"/>
    <cellStyle name="Separador de milhares 3 10 3 8 6 2" xfId="38294"/>
    <cellStyle name="Separador de milhares 3 10 3 8 7" xfId="30212"/>
    <cellStyle name="Separador de milhares 3 10 3 9" xfId="3770"/>
    <cellStyle name="Separador de milhares 3 10 3 9 2" xfId="7511"/>
    <cellStyle name="Separador de milhares 3 10 3 9 2 2" xfId="10655"/>
    <cellStyle name="Separador de milhares 3 10 3 9 2 2 2" xfId="28869"/>
    <cellStyle name="Separador de milhares 3 10 3 9 2 2 2 2" xfId="55099"/>
    <cellStyle name="Separador de milhares 3 10 3 9 2 2 3" xfId="22955"/>
    <cellStyle name="Separador de milhares 3 10 3 9 2 2 3 2" xfId="49191"/>
    <cellStyle name="Separador de milhares 3 10 3 9 2 2 4" xfId="17041"/>
    <cellStyle name="Separador de milhares 3 10 3 9 2 2 4 2" xfId="43283"/>
    <cellStyle name="Separador de milhares 3 10 3 9 2 2 5" xfId="36897"/>
    <cellStyle name="Separador de milhares 3 10 3 9 2 3" xfId="25912"/>
    <cellStyle name="Separador de milhares 3 10 3 9 2 3 2" xfId="52145"/>
    <cellStyle name="Separador de milhares 3 10 3 9 2 4" xfId="19998"/>
    <cellStyle name="Separador de milhares 3 10 3 9 2 4 2" xfId="46237"/>
    <cellStyle name="Separador de milhares 3 10 3 9 2 5" xfId="13900"/>
    <cellStyle name="Separador de milhares 3 10 3 9 2 5 2" xfId="40142"/>
    <cellStyle name="Separador de milhares 3 10 3 9 2 6" xfId="33756"/>
    <cellStyle name="Separador de milhares 3 10 3 9 3" xfId="9187"/>
    <cellStyle name="Separador de milhares 3 10 3 9 3 2" xfId="27401"/>
    <cellStyle name="Separador de milhares 3 10 3 9 3 2 2" xfId="53631"/>
    <cellStyle name="Separador de milhares 3 10 3 9 3 3" xfId="21487"/>
    <cellStyle name="Separador de milhares 3 10 3 9 3 3 2" xfId="47723"/>
    <cellStyle name="Separador de milhares 3 10 3 9 3 4" xfId="15573"/>
    <cellStyle name="Separador de milhares 3 10 3 9 3 4 2" xfId="41815"/>
    <cellStyle name="Separador de milhares 3 10 3 9 3 5" xfId="35429"/>
    <cellStyle name="Separador de milhares 3 10 3 9 4" xfId="5812"/>
    <cellStyle name="Separador de milhares 3 10 3 9 4 2" xfId="24444"/>
    <cellStyle name="Separador de milhares 3 10 3 9 4 2 2" xfId="50677"/>
    <cellStyle name="Separador de milhares 3 10 3 9 4 3" xfId="32057"/>
    <cellStyle name="Separador de milhares 3 10 3 9 5" xfId="18530"/>
    <cellStyle name="Separador de milhares 3 10 3 9 5 2" xfId="44769"/>
    <cellStyle name="Separador de milhares 3 10 3 9 6" xfId="12199"/>
    <cellStyle name="Separador de milhares 3 10 3 9 6 2" xfId="38441"/>
    <cellStyle name="Separador de milhares 3 10 3 9 7" xfId="30359"/>
    <cellStyle name="Separador de milhares 3 10 4" xfId="406"/>
    <cellStyle name="Separador de milhares 3 10 4 10" xfId="6558"/>
    <cellStyle name="Separador de milhares 3 10 4 10 2" xfId="9706"/>
    <cellStyle name="Separador de milhares 3 10 4 10 2 2" xfId="27920"/>
    <cellStyle name="Separador de milhares 3 10 4 10 2 2 2" xfId="54150"/>
    <cellStyle name="Separador de milhares 3 10 4 10 2 3" xfId="22006"/>
    <cellStyle name="Separador de milhares 3 10 4 10 2 3 2" xfId="48242"/>
    <cellStyle name="Separador de milhares 3 10 4 10 2 4" xfId="16092"/>
    <cellStyle name="Separador de milhares 3 10 4 10 2 4 2" xfId="42334"/>
    <cellStyle name="Separador de milhares 3 10 4 10 2 5" xfId="35948"/>
    <cellStyle name="Separador de milhares 3 10 4 10 3" xfId="24963"/>
    <cellStyle name="Separador de milhares 3 10 4 10 3 2" xfId="51196"/>
    <cellStyle name="Separador de milhares 3 10 4 10 4" xfId="19049"/>
    <cellStyle name="Separador de milhares 3 10 4 10 4 2" xfId="45288"/>
    <cellStyle name="Separador de milhares 3 10 4 10 5" xfId="12947"/>
    <cellStyle name="Separador de milhares 3 10 4 10 5 2" xfId="39189"/>
    <cellStyle name="Separador de milhares 3 10 4 10 6" xfId="32803"/>
    <cellStyle name="Separador de milhares 3 10 4 11" xfId="8235"/>
    <cellStyle name="Separador de milhares 3 10 4 11 2" xfId="26449"/>
    <cellStyle name="Separador de milhares 3 10 4 11 2 2" xfId="52682"/>
    <cellStyle name="Separador de milhares 3 10 4 11 3" xfId="20535"/>
    <cellStyle name="Separador de milhares 3 10 4 11 3 2" xfId="46774"/>
    <cellStyle name="Separador de milhares 3 10 4 11 4" xfId="14624"/>
    <cellStyle name="Separador de milhares 3 10 4 11 4 2" xfId="40866"/>
    <cellStyle name="Separador de milhares 3 10 4 11 5" xfId="34480"/>
    <cellStyle name="Separador de milhares 3 10 4 12" xfId="4857"/>
    <cellStyle name="Separador de milhares 3 10 4 12 2" xfId="23492"/>
    <cellStyle name="Separador de milhares 3 10 4 12 2 2" xfId="49728"/>
    <cellStyle name="Separador de milhares 3 10 4 12 3" xfId="31104"/>
    <cellStyle name="Separador de milhares 3 10 4 13" xfId="17578"/>
    <cellStyle name="Separador de milhares 3 10 4 13 2" xfId="43820"/>
    <cellStyle name="Separador de milhares 3 10 4 14" xfId="11246"/>
    <cellStyle name="Separador de milhares 3 10 4 14 2" xfId="37488"/>
    <cellStyle name="Separador de milhares 3 10 4 15" xfId="29406"/>
    <cellStyle name="Separador de milhares 3 10 4 2" xfId="1051"/>
    <cellStyle name="Separador de milhares 3 10 4 2 2" xfId="6755"/>
    <cellStyle name="Separador de milhares 3 10 4 2 2 2" xfId="9902"/>
    <cellStyle name="Separador de milhares 3 10 4 2 2 2 2" xfId="28116"/>
    <cellStyle name="Separador de milhares 3 10 4 2 2 2 2 2" xfId="54346"/>
    <cellStyle name="Separador de milhares 3 10 4 2 2 2 3" xfId="22202"/>
    <cellStyle name="Separador de milhares 3 10 4 2 2 2 3 2" xfId="48438"/>
    <cellStyle name="Separador de milhares 3 10 4 2 2 2 4" xfId="16288"/>
    <cellStyle name="Separador de milhares 3 10 4 2 2 2 4 2" xfId="42530"/>
    <cellStyle name="Separador de milhares 3 10 4 2 2 2 5" xfId="36144"/>
    <cellStyle name="Separador de milhares 3 10 4 2 2 3" xfId="25159"/>
    <cellStyle name="Separador de milhares 3 10 4 2 2 3 2" xfId="51392"/>
    <cellStyle name="Separador de milhares 3 10 4 2 2 4" xfId="19245"/>
    <cellStyle name="Separador de milhares 3 10 4 2 2 4 2" xfId="45484"/>
    <cellStyle name="Separador de milhares 3 10 4 2 2 5" xfId="13144"/>
    <cellStyle name="Separador de milhares 3 10 4 2 2 5 2" xfId="39386"/>
    <cellStyle name="Separador de milhares 3 10 4 2 2 6" xfId="33000"/>
    <cellStyle name="Separador de milhares 3 10 4 2 3" xfId="8434"/>
    <cellStyle name="Separador de milhares 3 10 4 2 3 2" xfId="26648"/>
    <cellStyle name="Separador de milhares 3 10 4 2 3 2 2" xfId="52878"/>
    <cellStyle name="Separador de milhares 3 10 4 2 3 3" xfId="20734"/>
    <cellStyle name="Separador de milhares 3 10 4 2 3 3 2" xfId="46970"/>
    <cellStyle name="Separador de milhares 3 10 4 2 3 4" xfId="14820"/>
    <cellStyle name="Separador de milhares 3 10 4 2 3 4 2" xfId="41062"/>
    <cellStyle name="Separador de milhares 3 10 4 2 3 5" xfId="34676"/>
    <cellStyle name="Separador de milhares 3 10 4 2 4" xfId="5056"/>
    <cellStyle name="Separador de milhares 3 10 4 2 4 2" xfId="23691"/>
    <cellStyle name="Separador de milhares 3 10 4 2 4 2 2" xfId="49924"/>
    <cellStyle name="Separador de milhares 3 10 4 2 4 3" xfId="31301"/>
    <cellStyle name="Separador de milhares 3 10 4 2 5" xfId="17777"/>
    <cellStyle name="Separador de milhares 3 10 4 2 5 2" xfId="44016"/>
    <cellStyle name="Separador de milhares 3 10 4 2 6" xfId="11443"/>
    <cellStyle name="Separador de milhares 3 10 4 2 6 2" xfId="37685"/>
    <cellStyle name="Separador de milhares 3 10 4 2 7" xfId="29603"/>
    <cellStyle name="Separador de milhares 3 10 4 3" xfId="1402"/>
    <cellStyle name="Separador de milhares 3 10 4 3 2" xfId="6853"/>
    <cellStyle name="Separador de milhares 3 10 4 3 2 2" xfId="10000"/>
    <cellStyle name="Separador de milhares 3 10 4 3 2 2 2" xfId="28214"/>
    <cellStyle name="Separador de milhares 3 10 4 3 2 2 2 2" xfId="54444"/>
    <cellStyle name="Separador de milhares 3 10 4 3 2 2 3" xfId="22300"/>
    <cellStyle name="Separador de milhares 3 10 4 3 2 2 3 2" xfId="48536"/>
    <cellStyle name="Separador de milhares 3 10 4 3 2 2 4" xfId="16386"/>
    <cellStyle name="Separador de milhares 3 10 4 3 2 2 4 2" xfId="42628"/>
    <cellStyle name="Separador de milhares 3 10 4 3 2 2 5" xfId="36242"/>
    <cellStyle name="Separador de milhares 3 10 4 3 2 3" xfId="25257"/>
    <cellStyle name="Separador de milhares 3 10 4 3 2 3 2" xfId="51490"/>
    <cellStyle name="Separador de milhares 3 10 4 3 2 4" xfId="19343"/>
    <cellStyle name="Separador de milhares 3 10 4 3 2 4 2" xfId="45582"/>
    <cellStyle name="Separador de milhares 3 10 4 3 2 5" xfId="13242"/>
    <cellStyle name="Separador de milhares 3 10 4 3 2 5 2" xfId="39484"/>
    <cellStyle name="Separador de milhares 3 10 4 3 2 6" xfId="33098"/>
    <cellStyle name="Separador de milhares 3 10 4 3 3" xfId="8532"/>
    <cellStyle name="Separador de milhares 3 10 4 3 3 2" xfId="26746"/>
    <cellStyle name="Separador de milhares 3 10 4 3 3 2 2" xfId="52976"/>
    <cellStyle name="Separador de milhares 3 10 4 3 3 3" xfId="20832"/>
    <cellStyle name="Separador de milhares 3 10 4 3 3 3 2" xfId="47068"/>
    <cellStyle name="Separador de milhares 3 10 4 3 3 4" xfId="14918"/>
    <cellStyle name="Separador de milhares 3 10 4 3 3 4 2" xfId="41160"/>
    <cellStyle name="Separador de milhares 3 10 4 3 3 5" xfId="34774"/>
    <cellStyle name="Separador de milhares 3 10 4 3 4" xfId="5154"/>
    <cellStyle name="Separador de milhares 3 10 4 3 4 2" xfId="23789"/>
    <cellStyle name="Separador de milhares 3 10 4 3 4 2 2" xfId="50022"/>
    <cellStyle name="Separador de milhares 3 10 4 3 4 3" xfId="31399"/>
    <cellStyle name="Separador de milhares 3 10 4 3 5" xfId="17875"/>
    <cellStyle name="Separador de milhares 3 10 4 3 5 2" xfId="44114"/>
    <cellStyle name="Separador de milhares 3 10 4 3 6" xfId="11541"/>
    <cellStyle name="Separador de milhares 3 10 4 3 6 2" xfId="37783"/>
    <cellStyle name="Separador de milhares 3 10 4 3 7" xfId="29701"/>
    <cellStyle name="Separador de milhares 3 10 4 4" xfId="1837"/>
    <cellStyle name="Separador de milhares 3 10 4 4 2" xfId="6972"/>
    <cellStyle name="Separador de milhares 3 10 4 4 2 2" xfId="10119"/>
    <cellStyle name="Separador de milhares 3 10 4 4 2 2 2" xfId="28333"/>
    <cellStyle name="Separador de milhares 3 10 4 4 2 2 2 2" xfId="54563"/>
    <cellStyle name="Separador de milhares 3 10 4 4 2 2 3" xfId="22419"/>
    <cellStyle name="Separador de milhares 3 10 4 4 2 2 3 2" xfId="48655"/>
    <cellStyle name="Separador de milhares 3 10 4 4 2 2 4" xfId="16505"/>
    <cellStyle name="Separador de milhares 3 10 4 4 2 2 4 2" xfId="42747"/>
    <cellStyle name="Separador de milhares 3 10 4 4 2 2 5" xfId="36361"/>
    <cellStyle name="Separador de milhares 3 10 4 4 2 3" xfId="25376"/>
    <cellStyle name="Separador de milhares 3 10 4 4 2 3 2" xfId="51609"/>
    <cellStyle name="Separador de milhares 3 10 4 4 2 4" xfId="19462"/>
    <cellStyle name="Separador de milhares 3 10 4 4 2 4 2" xfId="45701"/>
    <cellStyle name="Separador de milhares 3 10 4 4 2 5" xfId="13361"/>
    <cellStyle name="Separador de milhares 3 10 4 4 2 5 2" xfId="39603"/>
    <cellStyle name="Separador de milhares 3 10 4 4 2 6" xfId="33217"/>
    <cellStyle name="Separador de milhares 3 10 4 4 3" xfId="8651"/>
    <cellStyle name="Separador de milhares 3 10 4 4 3 2" xfId="26865"/>
    <cellStyle name="Separador de milhares 3 10 4 4 3 2 2" xfId="53095"/>
    <cellStyle name="Separador de milhares 3 10 4 4 3 3" xfId="20951"/>
    <cellStyle name="Separador de milhares 3 10 4 4 3 3 2" xfId="47187"/>
    <cellStyle name="Separador de milhares 3 10 4 4 3 4" xfId="15037"/>
    <cellStyle name="Separador de milhares 3 10 4 4 3 4 2" xfId="41279"/>
    <cellStyle name="Separador de milhares 3 10 4 4 3 5" xfId="34893"/>
    <cellStyle name="Separador de milhares 3 10 4 4 4" xfId="5273"/>
    <cellStyle name="Separador de milhares 3 10 4 4 4 2" xfId="23908"/>
    <cellStyle name="Separador de milhares 3 10 4 4 4 2 2" xfId="50141"/>
    <cellStyle name="Separador de milhares 3 10 4 4 4 3" xfId="31518"/>
    <cellStyle name="Separador de milhares 3 10 4 4 5" xfId="17994"/>
    <cellStyle name="Separador de milhares 3 10 4 4 5 2" xfId="44233"/>
    <cellStyle name="Separador de milhares 3 10 4 4 6" xfId="11660"/>
    <cellStyle name="Separador de milhares 3 10 4 4 6 2" xfId="37902"/>
    <cellStyle name="Separador de milhares 3 10 4 4 7" xfId="29820"/>
    <cellStyle name="Separador de milhares 3 10 4 5" xfId="2367"/>
    <cellStyle name="Separador de milhares 3 10 4 5 2" xfId="7122"/>
    <cellStyle name="Separador de milhares 3 10 4 5 2 2" xfId="10266"/>
    <cellStyle name="Separador de milhares 3 10 4 5 2 2 2" xfId="28480"/>
    <cellStyle name="Separador de milhares 3 10 4 5 2 2 2 2" xfId="54710"/>
    <cellStyle name="Separador de milhares 3 10 4 5 2 2 3" xfId="22566"/>
    <cellStyle name="Separador de milhares 3 10 4 5 2 2 3 2" xfId="48802"/>
    <cellStyle name="Separador de milhares 3 10 4 5 2 2 4" xfId="16652"/>
    <cellStyle name="Separador de milhares 3 10 4 5 2 2 4 2" xfId="42894"/>
    <cellStyle name="Separador de milhares 3 10 4 5 2 2 5" xfId="36508"/>
    <cellStyle name="Separador de milhares 3 10 4 5 2 3" xfId="25523"/>
    <cellStyle name="Separador de milhares 3 10 4 5 2 3 2" xfId="51756"/>
    <cellStyle name="Separador de milhares 3 10 4 5 2 4" xfId="19609"/>
    <cellStyle name="Separador de milhares 3 10 4 5 2 4 2" xfId="45848"/>
    <cellStyle name="Separador de milhares 3 10 4 5 2 5" xfId="13511"/>
    <cellStyle name="Separador de milhares 3 10 4 5 2 5 2" xfId="39753"/>
    <cellStyle name="Separador de milhares 3 10 4 5 2 6" xfId="33367"/>
    <cellStyle name="Separador de milhares 3 10 4 5 3" xfId="8798"/>
    <cellStyle name="Separador de milhares 3 10 4 5 3 2" xfId="27012"/>
    <cellStyle name="Separador de milhares 3 10 4 5 3 2 2" xfId="53242"/>
    <cellStyle name="Separador de milhares 3 10 4 5 3 3" xfId="21098"/>
    <cellStyle name="Separador de milhares 3 10 4 5 3 3 2" xfId="47334"/>
    <cellStyle name="Separador de milhares 3 10 4 5 3 4" xfId="15184"/>
    <cellStyle name="Separador de milhares 3 10 4 5 3 4 2" xfId="41426"/>
    <cellStyle name="Separador de milhares 3 10 4 5 3 5" xfId="35040"/>
    <cellStyle name="Separador de milhares 3 10 4 5 4" xfId="5423"/>
    <cellStyle name="Separador de milhares 3 10 4 5 4 2" xfId="24055"/>
    <cellStyle name="Separador de milhares 3 10 4 5 4 2 2" xfId="50288"/>
    <cellStyle name="Separador de milhares 3 10 4 5 4 3" xfId="31668"/>
    <cellStyle name="Separador de milhares 3 10 4 5 5" xfId="18141"/>
    <cellStyle name="Separador de milhares 3 10 4 5 5 2" xfId="44380"/>
    <cellStyle name="Separador de milhares 3 10 4 5 6" xfId="11810"/>
    <cellStyle name="Separador de milhares 3 10 4 5 6 2" xfId="38052"/>
    <cellStyle name="Separador de milhares 3 10 4 5 7" xfId="29970"/>
    <cellStyle name="Separador de milhares 3 10 4 6" xfId="2894"/>
    <cellStyle name="Separador de milhares 3 10 4 6 2" xfId="7269"/>
    <cellStyle name="Separador de milhares 3 10 4 6 2 2" xfId="10413"/>
    <cellStyle name="Separador de milhares 3 10 4 6 2 2 2" xfId="28627"/>
    <cellStyle name="Separador de milhares 3 10 4 6 2 2 2 2" xfId="54857"/>
    <cellStyle name="Separador de milhares 3 10 4 6 2 2 3" xfId="22713"/>
    <cellStyle name="Separador de milhares 3 10 4 6 2 2 3 2" xfId="48949"/>
    <cellStyle name="Separador de milhares 3 10 4 6 2 2 4" xfId="16799"/>
    <cellStyle name="Separador de milhares 3 10 4 6 2 2 4 2" xfId="43041"/>
    <cellStyle name="Separador de milhares 3 10 4 6 2 2 5" xfId="36655"/>
    <cellStyle name="Separador de milhares 3 10 4 6 2 3" xfId="25670"/>
    <cellStyle name="Separador de milhares 3 10 4 6 2 3 2" xfId="51903"/>
    <cellStyle name="Separador de milhares 3 10 4 6 2 4" xfId="19756"/>
    <cellStyle name="Separador de milhares 3 10 4 6 2 4 2" xfId="45995"/>
    <cellStyle name="Separador de milhares 3 10 4 6 2 5" xfId="13658"/>
    <cellStyle name="Separador de milhares 3 10 4 6 2 5 2" xfId="39900"/>
    <cellStyle name="Separador de milhares 3 10 4 6 2 6" xfId="33514"/>
    <cellStyle name="Separador de milhares 3 10 4 6 3" xfId="8945"/>
    <cellStyle name="Separador de milhares 3 10 4 6 3 2" xfId="27159"/>
    <cellStyle name="Separador de milhares 3 10 4 6 3 2 2" xfId="53389"/>
    <cellStyle name="Separador de milhares 3 10 4 6 3 3" xfId="21245"/>
    <cellStyle name="Separador de milhares 3 10 4 6 3 3 2" xfId="47481"/>
    <cellStyle name="Separador de milhares 3 10 4 6 3 4" xfId="15331"/>
    <cellStyle name="Separador de milhares 3 10 4 6 3 4 2" xfId="41573"/>
    <cellStyle name="Separador de milhares 3 10 4 6 3 5" xfId="35187"/>
    <cellStyle name="Separador de milhares 3 10 4 6 4" xfId="5570"/>
    <cellStyle name="Separador de milhares 3 10 4 6 4 2" xfId="24202"/>
    <cellStyle name="Separador de milhares 3 10 4 6 4 2 2" xfId="50435"/>
    <cellStyle name="Separador de milhares 3 10 4 6 4 3" xfId="31815"/>
    <cellStyle name="Separador de milhares 3 10 4 6 5" xfId="18288"/>
    <cellStyle name="Separador de milhares 3 10 4 6 5 2" xfId="44527"/>
    <cellStyle name="Separador de milhares 3 10 4 6 6" xfId="11957"/>
    <cellStyle name="Separador de milhares 3 10 4 6 6 2" xfId="38199"/>
    <cellStyle name="Separador de milhares 3 10 4 6 7" xfId="30117"/>
    <cellStyle name="Separador de milhares 3 10 4 7" xfId="3421"/>
    <cellStyle name="Separador de milhares 3 10 4 7 2" xfId="7416"/>
    <cellStyle name="Separador de milhares 3 10 4 7 2 2" xfId="10560"/>
    <cellStyle name="Separador de milhares 3 10 4 7 2 2 2" xfId="28774"/>
    <cellStyle name="Separador de milhares 3 10 4 7 2 2 2 2" xfId="55004"/>
    <cellStyle name="Separador de milhares 3 10 4 7 2 2 3" xfId="22860"/>
    <cellStyle name="Separador de milhares 3 10 4 7 2 2 3 2" xfId="49096"/>
    <cellStyle name="Separador de milhares 3 10 4 7 2 2 4" xfId="16946"/>
    <cellStyle name="Separador de milhares 3 10 4 7 2 2 4 2" xfId="43188"/>
    <cellStyle name="Separador de milhares 3 10 4 7 2 2 5" xfId="36802"/>
    <cellStyle name="Separador de milhares 3 10 4 7 2 3" xfId="25817"/>
    <cellStyle name="Separador de milhares 3 10 4 7 2 3 2" xfId="52050"/>
    <cellStyle name="Separador de milhares 3 10 4 7 2 4" xfId="19903"/>
    <cellStyle name="Separador de milhares 3 10 4 7 2 4 2" xfId="46142"/>
    <cellStyle name="Separador de milhares 3 10 4 7 2 5" xfId="13805"/>
    <cellStyle name="Separador de milhares 3 10 4 7 2 5 2" xfId="40047"/>
    <cellStyle name="Separador de milhares 3 10 4 7 2 6" xfId="33661"/>
    <cellStyle name="Separador de milhares 3 10 4 7 3" xfId="9092"/>
    <cellStyle name="Separador de milhares 3 10 4 7 3 2" xfId="27306"/>
    <cellStyle name="Separador de milhares 3 10 4 7 3 2 2" xfId="53536"/>
    <cellStyle name="Separador de milhares 3 10 4 7 3 3" xfId="21392"/>
    <cellStyle name="Separador de milhares 3 10 4 7 3 3 2" xfId="47628"/>
    <cellStyle name="Separador de milhares 3 10 4 7 3 4" xfId="15478"/>
    <cellStyle name="Separador de milhares 3 10 4 7 3 4 2" xfId="41720"/>
    <cellStyle name="Separador de milhares 3 10 4 7 3 5" xfId="35334"/>
    <cellStyle name="Separador de milhares 3 10 4 7 4" xfId="5717"/>
    <cellStyle name="Separador de milhares 3 10 4 7 4 2" xfId="24349"/>
    <cellStyle name="Separador de milhares 3 10 4 7 4 2 2" xfId="50582"/>
    <cellStyle name="Separador de milhares 3 10 4 7 4 3" xfId="31962"/>
    <cellStyle name="Separador de milhares 3 10 4 7 5" xfId="18435"/>
    <cellStyle name="Separador de milhares 3 10 4 7 5 2" xfId="44674"/>
    <cellStyle name="Separador de milhares 3 10 4 7 6" xfId="12104"/>
    <cellStyle name="Separador de milhares 3 10 4 7 6 2" xfId="38346"/>
    <cellStyle name="Separador de milhares 3 10 4 7 7" xfId="30264"/>
    <cellStyle name="Separador de milhares 3 10 4 8" xfId="3948"/>
    <cellStyle name="Separador de milhares 3 10 4 8 2" xfId="7563"/>
    <cellStyle name="Separador de milhares 3 10 4 8 2 2" xfId="10707"/>
    <cellStyle name="Separador de milhares 3 10 4 8 2 2 2" xfId="28921"/>
    <cellStyle name="Separador de milhares 3 10 4 8 2 2 2 2" xfId="55151"/>
    <cellStyle name="Separador de milhares 3 10 4 8 2 2 3" xfId="23007"/>
    <cellStyle name="Separador de milhares 3 10 4 8 2 2 3 2" xfId="49243"/>
    <cellStyle name="Separador de milhares 3 10 4 8 2 2 4" xfId="17093"/>
    <cellStyle name="Separador de milhares 3 10 4 8 2 2 4 2" xfId="43335"/>
    <cellStyle name="Separador de milhares 3 10 4 8 2 2 5" xfId="36949"/>
    <cellStyle name="Separador de milhares 3 10 4 8 2 3" xfId="25964"/>
    <cellStyle name="Separador de milhares 3 10 4 8 2 3 2" xfId="52197"/>
    <cellStyle name="Separador de milhares 3 10 4 8 2 4" xfId="20050"/>
    <cellStyle name="Separador de milhares 3 10 4 8 2 4 2" xfId="46289"/>
    <cellStyle name="Separador de milhares 3 10 4 8 2 5" xfId="13952"/>
    <cellStyle name="Separador de milhares 3 10 4 8 2 5 2" xfId="40194"/>
    <cellStyle name="Separador de milhares 3 10 4 8 2 6" xfId="33808"/>
    <cellStyle name="Separador de milhares 3 10 4 8 3" xfId="9239"/>
    <cellStyle name="Separador de milhares 3 10 4 8 3 2" xfId="27453"/>
    <cellStyle name="Separador de milhares 3 10 4 8 3 2 2" xfId="53683"/>
    <cellStyle name="Separador de milhares 3 10 4 8 3 3" xfId="21539"/>
    <cellStyle name="Separador de milhares 3 10 4 8 3 3 2" xfId="47775"/>
    <cellStyle name="Separador de milhares 3 10 4 8 3 4" xfId="15625"/>
    <cellStyle name="Separador de milhares 3 10 4 8 3 4 2" xfId="41867"/>
    <cellStyle name="Separador de milhares 3 10 4 8 3 5" xfId="35481"/>
    <cellStyle name="Separador de milhares 3 10 4 8 4" xfId="5864"/>
    <cellStyle name="Separador de milhares 3 10 4 8 4 2" xfId="24496"/>
    <cellStyle name="Separador de milhares 3 10 4 8 4 2 2" xfId="50729"/>
    <cellStyle name="Separador de milhares 3 10 4 8 4 3" xfId="32109"/>
    <cellStyle name="Separador de milhares 3 10 4 8 5" xfId="18582"/>
    <cellStyle name="Separador de milhares 3 10 4 8 5 2" xfId="44821"/>
    <cellStyle name="Separador de milhares 3 10 4 8 6" xfId="12251"/>
    <cellStyle name="Separador de milhares 3 10 4 8 6 2" xfId="38493"/>
    <cellStyle name="Separador de milhares 3 10 4 8 7" xfId="30411"/>
    <cellStyle name="Separador de milhares 3 10 4 9" xfId="722"/>
    <cellStyle name="Separador de milhares 3 10 4 9 2" xfId="6657"/>
    <cellStyle name="Separador de milhares 3 10 4 9 2 2" xfId="9804"/>
    <cellStyle name="Separador de milhares 3 10 4 9 2 2 2" xfId="28018"/>
    <cellStyle name="Separador de milhares 3 10 4 9 2 2 2 2" xfId="54248"/>
    <cellStyle name="Separador de milhares 3 10 4 9 2 2 3" xfId="22104"/>
    <cellStyle name="Separador de milhares 3 10 4 9 2 2 3 2" xfId="48340"/>
    <cellStyle name="Separador de milhares 3 10 4 9 2 2 4" xfId="16190"/>
    <cellStyle name="Separador de milhares 3 10 4 9 2 2 4 2" xfId="42432"/>
    <cellStyle name="Separador de milhares 3 10 4 9 2 2 5" xfId="36046"/>
    <cellStyle name="Separador de milhares 3 10 4 9 2 3" xfId="25061"/>
    <cellStyle name="Separador de milhares 3 10 4 9 2 3 2" xfId="51294"/>
    <cellStyle name="Separador de milhares 3 10 4 9 2 4" xfId="19147"/>
    <cellStyle name="Separador de milhares 3 10 4 9 2 4 2" xfId="45386"/>
    <cellStyle name="Separador de milhares 3 10 4 9 2 5" xfId="13046"/>
    <cellStyle name="Separador de milhares 3 10 4 9 2 5 2" xfId="39288"/>
    <cellStyle name="Separador de milhares 3 10 4 9 2 6" xfId="32902"/>
    <cellStyle name="Separador de milhares 3 10 4 9 3" xfId="8336"/>
    <cellStyle name="Separador de milhares 3 10 4 9 3 2" xfId="26550"/>
    <cellStyle name="Separador de milhares 3 10 4 9 3 2 2" xfId="52780"/>
    <cellStyle name="Separador de milhares 3 10 4 9 3 3" xfId="20636"/>
    <cellStyle name="Separador de milhares 3 10 4 9 3 3 2" xfId="46872"/>
    <cellStyle name="Separador de milhares 3 10 4 9 3 4" xfId="14722"/>
    <cellStyle name="Separador de milhares 3 10 4 9 3 4 2" xfId="40964"/>
    <cellStyle name="Separador de milhares 3 10 4 9 3 5" xfId="34578"/>
    <cellStyle name="Separador de milhares 3 10 4 9 4" xfId="4958"/>
    <cellStyle name="Separador de milhares 3 10 4 9 4 2" xfId="23593"/>
    <cellStyle name="Separador de milhares 3 10 4 9 4 2 2" xfId="49826"/>
    <cellStyle name="Separador de milhares 3 10 4 9 4 3" xfId="31203"/>
    <cellStyle name="Separador de milhares 3 10 4 9 5" xfId="17679"/>
    <cellStyle name="Separador de milhares 3 10 4 9 5 2" xfId="43918"/>
    <cellStyle name="Separador de milhares 3 10 4 9 6" xfId="11345"/>
    <cellStyle name="Separador de milhares 3 10 4 9 6 2" xfId="37587"/>
    <cellStyle name="Separador de milhares 3 10 4 9 7" xfId="29505"/>
    <cellStyle name="Separador de milhares 3 10 5" xfId="663"/>
    <cellStyle name="Separador de milhares 3 10 5 10" xfId="4922"/>
    <cellStyle name="Separador de milhares 3 10 5 10 2" xfId="23556"/>
    <cellStyle name="Separador de milhares 3 10 5 10 2 2" xfId="49792"/>
    <cellStyle name="Separador de milhares 3 10 5 10 3" xfId="31169"/>
    <cellStyle name="Separador de milhares 3 10 5 11" xfId="17642"/>
    <cellStyle name="Separador de milhares 3 10 5 11 2" xfId="43884"/>
    <cellStyle name="Separador de milhares 3 10 5 12" xfId="11311"/>
    <cellStyle name="Separador de milhares 3 10 5 12 2" xfId="37553"/>
    <cellStyle name="Separador de milhares 3 10 5 13" xfId="29471"/>
    <cellStyle name="Separador de milhares 3 10 5 2" xfId="1486"/>
    <cellStyle name="Separador de milhares 3 10 5 2 2" xfId="6874"/>
    <cellStyle name="Separador de milhares 3 10 5 2 2 2" xfId="10021"/>
    <cellStyle name="Separador de milhares 3 10 5 2 2 2 2" xfId="28235"/>
    <cellStyle name="Separador de milhares 3 10 5 2 2 2 2 2" xfId="54465"/>
    <cellStyle name="Separador de milhares 3 10 5 2 2 2 3" xfId="22321"/>
    <cellStyle name="Separador de milhares 3 10 5 2 2 2 3 2" xfId="48557"/>
    <cellStyle name="Separador de milhares 3 10 5 2 2 2 4" xfId="16407"/>
    <cellStyle name="Separador de milhares 3 10 5 2 2 2 4 2" xfId="42649"/>
    <cellStyle name="Separador de milhares 3 10 5 2 2 2 5" xfId="36263"/>
    <cellStyle name="Separador de milhares 3 10 5 2 2 3" xfId="25278"/>
    <cellStyle name="Separador de milhares 3 10 5 2 2 3 2" xfId="51511"/>
    <cellStyle name="Separador de milhares 3 10 5 2 2 4" xfId="19364"/>
    <cellStyle name="Separador de milhares 3 10 5 2 2 4 2" xfId="45603"/>
    <cellStyle name="Separador de milhares 3 10 5 2 2 5" xfId="13263"/>
    <cellStyle name="Separador de milhares 3 10 5 2 2 5 2" xfId="39505"/>
    <cellStyle name="Separador de milhares 3 10 5 2 2 6" xfId="33119"/>
    <cellStyle name="Separador de milhares 3 10 5 2 3" xfId="8553"/>
    <cellStyle name="Separador de milhares 3 10 5 2 3 2" xfId="26767"/>
    <cellStyle name="Separador de milhares 3 10 5 2 3 2 2" xfId="52997"/>
    <cellStyle name="Separador de milhares 3 10 5 2 3 3" xfId="20853"/>
    <cellStyle name="Separador de milhares 3 10 5 2 3 3 2" xfId="47089"/>
    <cellStyle name="Separador de milhares 3 10 5 2 3 4" xfId="14939"/>
    <cellStyle name="Separador de milhares 3 10 5 2 3 4 2" xfId="41181"/>
    <cellStyle name="Separador de milhares 3 10 5 2 3 5" xfId="34795"/>
    <cellStyle name="Separador de milhares 3 10 5 2 4" xfId="5175"/>
    <cellStyle name="Separador de milhares 3 10 5 2 4 2" xfId="23810"/>
    <cellStyle name="Separador de milhares 3 10 5 2 4 2 2" xfId="50043"/>
    <cellStyle name="Separador de milhares 3 10 5 2 4 3" xfId="31420"/>
    <cellStyle name="Separador de milhares 3 10 5 2 5" xfId="17896"/>
    <cellStyle name="Separador de milhares 3 10 5 2 5 2" xfId="44135"/>
    <cellStyle name="Separador de milhares 3 10 5 2 6" xfId="11562"/>
    <cellStyle name="Separador de milhares 3 10 5 2 6 2" xfId="37804"/>
    <cellStyle name="Separador de milhares 3 10 5 2 7" xfId="29722"/>
    <cellStyle name="Separador de milhares 3 10 5 3" xfId="1921"/>
    <cellStyle name="Separador de milhares 3 10 5 3 2" xfId="6993"/>
    <cellStyle name="Separador de milhares 3 10 5 3 2 2" xfId="10140"/>
    <cellStyle name="Separador de milhares 3 10 5 3 2 2 2" xfId="28354"/>
    <cellStyle name="Separador de milhares 3 10 5 3 2 2 2 2" xfId="54584"/>
    <cellStyle name="Separador de milhares 3 10 5 3 2 2 3" xfId="22440"/>
    <cellStyle name="Separador de milhares 3 10 5 3 2 2 3 2" xfId="48676"/>
    <cellStyle name="Separador de milhares 3 10 5 3 2 2 4" xfId="16526"/>
    <cellStyle name="Separador de milhares 3 10 5 3 2 2 4 2" xfId="42768"/>
    <cellStyle name="Separador de milhares 3 10 5 3 2 2 5" xfId="36382"/>
    <cellStyle name="Separador de milhares 3 10 5 3 2 3" xfId="25397"/>
    <cellStyle name="Separador de milhares 3 10 5 3 2 3 2" xfId="51630"/>
    <cellStyle name="Separador de milhares 3 10 5 3 2 4" xfId="19483"/>
    <cellStyle name="Separador de milhares 3 10 5 3 2 4 2" xfId="45722"/>
    <cellStyle name="Separador de milhares 3 10 5 3 2 5" xfId="13382"/>
    <cellStyle name="Separador de milhares 3 10 5 3 2 5 2" xfId="39624"/>
    <cellStyle name="Separador de milhares 3 10 5 3 2 6" xfId="33238"/>
    <cellStyle name="Separador de milhares 3 10 5 3 3" xfId="8672"/>
    <cellStyle name="Separador de milhares 3 10 5 3 3 2" xfId="26886"/>
    <cellStyle name="Separador de milhares 3 10 5 3 3 2 2" xfId="53116"/>
    <cellStyle name="Separador de milhares 3 10 5 3 3 3" xfId="20972"/>
    <cellStyle name="Separador de milhares 3 10 5 3 3 3 2" xfId="47208"/>
    <cellStyle name="Separador de milhares 3 10 5 3 3 4" xfId="15058"/>
    <cellStyle name="Separador de milhares 3 10 5 3 3 4 2" xfId="41300"/>
    <cellStyle name="Separador de milhares 3 10 5 3 3 5" xfId="34914"/>
    <cellStyle name="Separador de milhares 3 10 5 3 4" xfId="5294"/>
    <cellStyle name="Separador de milhares 3 10 5 3 4 2" xfId="23929"/>
    <cellStyle name="Separador de milhares 3 10 5 3 4 2 2" xfId="50162"/>
    <cellStyle name="Separador de milhares 3 10 5 3 4 3" xfId="31539"/>
    <cellStyle name="Separador de milhares 3 10 5 3 5" xfId="18015"/>
    <cellStyle name="Separador de milhares 3 10 5 3 5 2" xfId="44254"/>
    <cellStyle name="Separador de milhares 3 10 5 3 6" xfId="11681"/>
    <cellStyle name="Separador de milhares 3 10 5 3 6 2" xfId="37923"/>
    <cellStyle name="Separador de milhares 3 10 5 3 7" xfId="29841"/>
    <cellStyle name="Separador de milhares 3 10 5 4" xfId="2451"/>
    <cellStyle name="Separador de milhares 3 10 5 4 2" xfId="7143"/>
    <cellStyle name="Separador de milhares 3 10 5 4 2 2" xfId="10287"/>
    <cellStyle name="Separador de milhares 3 10 5 4 2 2 2" xfId="28501"/>
    <cellStyle name="Separador de milhares 3 10 5 4 2 2 2 2" xfId="54731"/>
    <cellStyle name="Separador de milhares 3 10 5 4 2 2 3" xfId="22587"/>
    <cellStyle name="Separador de milhares 3 10 5 4 2 2 3 2" xfId="48823"/>
    <cellStyle name="Separador de milhares 3 10 5 4 2 2 4" xfId="16673"/>
    <cellStyle name="Separador de milhares 3 10 5 4 2 2 4 2" xfId="42915"/>
    <cellStyle name="Separador de milhares 3 10 5 4 2 2 5" xfId="36529"/>
    <cellStyle name="Separador de milhares 3 10 5 4 2 3" xfId="25544"/>
    <cellStyle name="Separador de milhares 3 10 5 4 2 3 2" xfId="51777"/>
    <cellStyle name="Separador de milhares 3 10 5 4 2 4" xfId="19630"/>
    <cellStyle name="Separador de milhares 3 10 5 4 2 4 2" xfId="45869"/>
    <cellStyle name="Separador de milhares 3 10 5 4 2 5" xfId="13532"/>
    <cellStyle name="Separador de milhares 3 10 5 4 2 5 2" xfId="39774"/>
    <cellStyle name="Separador de milhares 3 10 5 4 2 6" xfId="33388"/>
    <cellStyle name="Separador de milhares 3 10 5 4 3" xfId="8819"/>
    <cellStyle name="Separador de milhares 3 10 5 4 3 2" xfId="27033"/>
    <cellStyle name="Separador de milhares 3 10 5 4 3 2 2" xfId="53263"/>
    <cellStyle name="Separador de milhares 3 10 5 4 3 3" xfId="21119"/>
    <cellStyle name="Separador de milhares 3 10 5 4 3 3 2" xfId="47355"/>
    <cellStyle name="Separador de milhares 3 10 5 4 3 4" xfId="15205"/>
    <cellStyle name="Separador de milhares 3 10 5 4 3 4 2" xfId="41447"/>
    <cellStyle name="Separador de milhares 3 10 5 4 3 5" xfId="35061"/>
    <cellStyle name="Separador de milhares 3 10 5 4 4" xfId="5444"/>
    <cellStyle name="Separador de milhares 3 10 5 4 4 2" xfId="24076"/>
    <cellStyle name="Separador de milhares 3 10 5 4 4 2 2" xfId="50309"/>
    <cellStyle name="Separador de milhares 3 10 5 4 4 3" xfId="31689"/>
    <cellStyle name="Separador de milhares 3 10 5 4 5" xfId="18162"/>
    <cellStyle name="Separador de milhares 3 10 5 4 5 2" xfId="44401"/>
    <cellStyle name="Separador de milhares 3 10 5 4 6" xfId="11831"/>
    <cellStyle name="Separador de milhares 3 10 5 4 6 2" xfId="38073"/>
    <cellStyle name="Separador de milhares 3 10 5 4 7" xfId="29991"/>
    <cellStyle name="Separador de milhares 3 10 5 5" xfId="2978"/>
    <cellStyle name="Separador de milhares 3 10 5 5 2" xfId="7290"/>
    <cellStyle name="Separador de milhares 3 10 5 5 2 2" xfId="10434"/>
    <cellStyle name="Separador de milhares 3 10 5 5 2 2 2" xfId="28648"/>
    <cellStyle name="Separador de milhares 3 10 5 5 2 2 2 2" xfId="54878"/>
    <cellStyle name="Separador de milhares 3 10 5 5 2 2 3" xfId="22734"/>
    <cellStyle name="Separador de milhares 3 10 5 5 2 2 3 2" xfId="48970"/>
    <cellStyle name="Separador de milhares 3 10 5 5 2 2 4" xfId="16820"/>
    <cellStyle name="Separador de milhares 3 10 5 5 2 2 4 2" xfId="43062"/>
    <cellStyle name="Separador de milhares 3 10 5 5 2 2 5" xfId="36676"/>
    <cellStyle name="Separador de milhares 3 10 5 5 2 3" xfId="25691"/>
    <cellStyle name="Separador de milhares 3 10 5 5 2 3 2" xfId="51924"/>
    <cellStyle name="Separador de milhares 3 10 5 5 2 4" xfId="19777"/>
    <cellStyle name="Separador de milhares 3 10 5 5 2 4 2" xfId="46016"/>
    <cellStyle name="Separador de milhares 3 10 5 5 2 5" xfId="13679"/>
    <cellStyle name="Separador de milhares 3 10 5 5 2 5 2" xfId="39921"/>
    <cellStyle name="Separador de milhares 3 10 5 5 2 6" xfId="33535"/>
    <cellStyle name="Separador de milhares 3 10 5 5 3" xfId="8966"/>
    <cellStyle name="Separador de milhares 3 10 5 5 3 2" xfId="27180"/>
    <cellStyle name="Separador de milhares 3 10 5 5 3 2 2" xfId="53410"/>
    <cellStyle name="Separador de milhares 3 10 5 5 3 3" xfId="21266"/>
    <cellStyle name="Separador de milhares 3 10 5 5 3 3 2" xfId="47502"/>
    <cellStyle name="Separador de milhares 3 10 5 5 3 4" xfId="15352"/>
    <cellStyle name="Separador de milhares 3 10 5 5 3 4 2" xfId="41594"/>
    <cellStyle name="Separador de milhares 3 10 5 5 3 5" xfId="35208"/>
    <cellStyle name="Separador de milhares 3 10 5 5 4" xfId="5591"/>
    <cellStyle name="Separador de milhares 3 10 5 5 4 2" xfId="24223"/>
    <cellStyle name="Separador de milhares 3 10 5 5 4 2 2" xfId="50456"/>
    <cellStyle name="Separador de milhares 3 10 5 5 4 3" xfId="31836"/>
    <cellStyle name="Separador de milhares 3 10 5 5 5" xfId="18309"/>
    <cellStyle name="Separador de milhares 3 10 5 5 5 2" xfId="44548"/>
    <cellStyle name="Separador de milhares 3 10 5 5 6" xfId="11978"/>
    <cellStyle name="Separador de milhares 3 10 5 5 6 2" xfId="38220"/>
    <cellStyle name="Separador de milhares 3 10 5 5 7" xfId="30138"/>
    <cellStyle name="Separador de milhares 3 10 5 6" xfId="3505"/>
    <cellStyle name="Separador de milhares 3 10 5 6 2" xfId="7437"/>
    <cellStyle name="Separador de milhares 3 10 5 6 2 2" xfId="10581"/>
    <cellStyle name="Separador de milhares 3 10 5 6 2 2 2" xfId="28795"/>
    <cellStyle name="Separador de milhares 3 10 5 6 2 2 2 2" xfId="55025"/>
    <cellStyle name="Separador de milhares 3 10 5 6 2 2 3" xfId="22881"/>
    <cellStyle name="Separador de milhares 3 10 5 6 2 2 3 2" xfId="49117"/>
    <cellStyle name="Separador de milhares 3 10 5 6 2 2 4" xfId="16967"/>
    <cellStyle name="Separador de milhares 3 10 5 6 2 2 4 2" xfId="43209"/>
    <cellStyle name="Separador de milhares 3 10 5 6 2 2 5" xfId="36823"/>
    <cellStyle name="Separador de milhares 3 10 5 6 2 3" xfId="25838"/>
    <cellStyle name="Separador de milhares 3 10 5 6 2 3 2" xfId="52071"/>
    <cellStyle name="Separador de milhares 3 10 5 6 2 4" xfId="19924"/>
    <cellStyle name="Separador de milhares 3 10 5 6 2 4 2" xfId="46163"/>
    <cellStyle name="Separador de milhares 3 10 5 6 2 5" xfId="13826"/>
    <cellStyle name="Separador de milhares 3 10 5 6 2 5 2" xfId="40068"/>
    <cellStyle name="Separador de milhares 3 10 5 6 2 6" xfId="33682"/>
    <cellStyle name="Separador de milhares 3 10 5 6 3" xfId="9113"/>
    <cellStyle name="Separador de milhares 3 10 5 6 3 2" xfId="27327"/>
    <cellStyle name="Separador de milhares 3 10 5 6 3 2 2" xfId="53557"/>
    <cellStyle name="Separador de milhares 3 10 5 6 3 3" xfId="21413"/>
    <cellStyle name="Separador de milhares 3 10 5 6 3 3 2" xfId="47649"/>
    <cellStyle name="Separador de milhares 3 10 5 6 3 4" xfId="15499"/>
    <cellStyle name="Separador de milhares 3 10 5 6 3 4 2" xfId="41741"/>
    <cellStyle name="Separador de milhares 3 10 5 6 3 5" xfId="35355"/>
    <cellStyle name="Separador de milhares 3 10 5 6 4" xfId="5738"/>
    <cellStyle name="Separador de milhares 3 10 5 6 4 2" xfId="24370"/>
    <cellStyle name="Separador de milhares 3 10 5 6 4 2 2" xfId="50603"/>
    <cellStyle name="Separador de milhares 3 10 5 6 4 3" xfId="31983"/>
    <cellStyle name="Separador de milhares 3 10 5 6 5" xfId="18456"/>
    <cellStyle name="Separador de milhares 3 10 5 6 5 2" xfId="44695"/>
    <cellStyle name="Separador de milhares 3 10 5 6 6" xfId="12125"/>
    <cellStyle name="Separador de milhares 3 10 5 6 6 2" xfId="38367"/>
    <cellStyle name="Separador de milhares 3 10 5 6 7" xfId="30285"/>
    <cellStyle name="Separador de milhares 3 10 5 7" xfId="4032"/>
    <cellStyle name="Separador de milhares 3 10 5 7 2" xfId="7584"/>
    <cellStyle name="Separador de milhares 3 10 5 7 2 2" xfId="10728"/>
    <cellStyle name="Separador de milhares 3 10 5 7 2 2 2" xfId="28942"/>
    <cellStyle name="Separador de milhares 3 10 5 7 2 2 2 2" xfId="55172"/>
    <cellStyle name="Separador de milhares 3 10 5 7 2 2 3" xfId="23028"/>
    <cellStyle name="Separador de milhares 3 10 5 7 2 2 3 2" xfId="49264"/>
    <cellStyle name="Separador de milhares 3 10 5 7 2 2 4" xfId="17114"/>
    <cellStyle name="Separador de milhares 3 10 5 7 2 2 4 2" xfId="43356"/>
    <cellStyle name="Separador de milhares 3 10 5 7 2 2 5" xfId="36970"/>
    <cellStyle name="Separador de milhares 3 10 5 7 2 3" xfId="25985"/>
    <cellStyle name="Separador de milhares 3 10 5 7 2 3 2" xfId="52218"/>
    <cellStyle name="Separador de milhares 3 10 5 7 2 4" xfId="20071"/>
    <cellStyle name="Separador de milhares 3 10 5 7 2 4 2" xfId="46310"/>
    <cellStyle name="Separador de milhares 3 10 5 7 2 5" xfId="13973"/>
    <cellStyle name="Separador de milhares 3 10 5 7 2 5 2" xfId="40215"/>
    <cellStyle name="Separador de milhares 3 10 5 7 2 6" xfId="33829"/>
    <cellStyle name="Separador de milhares 3 10 5 7 3" xfId="9260"/>
    <cellStyle name="Separador de milhares 3 10 5 7 3 2" xfId="27474"/>
    <cellStyle name="Separador de milhares 3 10 5 7 3 2 2" xfId="53704"/>
    <cellStyle name="Separador de milhares 3 10 5 7 3 3" xfId="21560"/>
    <cellStyle name="Separador de milhares 3 10 5 7 3 3 2" xfId="47796"/>
    <cellStyle name="Separador de milhares 3 10 5 7 3 4" xfId="15646"/>
    <cellStyle name="Separador de milhares 3 10 5 7 3 4 2" xfId="41888"/>
    <cellStyle name="Separador de milhares 3 10 5 7 3 5" xfId="35502"/>
    <cellStyle name="Separador de milhares 3 10 5 7 4" xfId="5885"/>
    <cellStyle name="Separador de milhares 3 10 5 7 4 2" xfId="24517"/>
    <cellStyle name="Separador de milhares 3 10 5 7 4 2 2" xfId="50750"/>
    <cellStyle name="Separador de milhares 3 10 5 7 4 3" xfId="32130"/>
    <cellStyle name="Separador de milhares 3 10 5 7 5" xfId="18603"/>
    <cellStyle name="Separador de milhares 3 10 5 7 5 2" xfId="44842"/>
    <cellStyle name="Separador de milhares 3 10 5 7 6" xfId="12272"/>
    <cellStyle name="Separador de milhares 3 10 5 7 6 2" xfId="38514"/>
    <cellStyle name="Separador de milhares 3 10 5 7 7" xfId="30432"/>
    <cellStyle name="Separador de milhares 3 10 5 8" xfId="6623"/>
    <cellStyle name="Separador de milhares 3 10 5 8 2" xfId="9770"/>
    <cellStyle name="Separador de milhares 3 10 5 8 2 2" xfId="27984"/>
    <cellStyle name="Separador de milhares 3 10 5 8 2 2 2" xfId="54214"/>
    <cellStyle name="Separador de milhares 3 10 5 8 2 3" xfId="22070"/>
    <cellStyle name="Separador de milhares 3 10 5 8 2 3 2" xfId="48306"/>
    <cellStyle name="Separador de milhares 3 10 5 8 2 4" xfId="16156"/>
    <cellStyle name="Separador de milhares 3 10 5 8 2 4 2" xfId="42398"/>
    <cellStyle name="Separador de milhares 3 10 5 8 2 5" xfId="36012"/>
    <cellStyle name="Separador de milhares 3 10 5 8 3" xfId="25027"/>
    <cellStyle name="Separador de milhares 3 10 5 8 3 2" xfId="51260"/>
    <cellStyle name="Separador de milhares 3 10 5 8 4" xfId="19113"/>
    <cellStyle name="Separador de milhares 3 10 5 8 4 2" xfId="45352"/>
    <cellStyle name="Separador de milhares 3 10 5 8 5" xfId="13012"/>
    <cellStyle name="Separador de milhares 3 10 5 8 5 2" xfId="39254"/>
    <cellStyle name="Separador de milhares 3 10 5 8 6" xfId="32868"/>
    <cellStyle name="Separador de milhares 3 10 5 9" xfId="8299"/>
    <cellStyle name="Separador de milhares 3 10 5 9 2" xfId="26513"/>
    <cellStyle name="Separador de milhares 3 10 5 9 2 2" xfId="52746"/>
    <cellStyle name="Separador de milhares 3 10 5 9 3" xfId="20599"/>
    <cellStyle name="Separador de milhares 3 10 5 9 3 2" xfId="46838"/>
    <cellStyle name="Separador de milhares 3 10 5 9 4" xfId="14688"/>
    <cellStyle name="Separador de milhares 3 10 5 9 4 2" xfId="40930"/>
    <cellStyle name="Separador de milhares 3 10 5 9 5" xfId="34544"/>
    <cellStyle name="Separador de milhares 3 10 6" xfId="784"/>
    <cellStyle name="Separador de milhares 3 10 6 2" xfId="4208"/>
    <cellStyle name="Separador de milhares 3 10 6 2 2" xfId="7633"/>
    <cellStyle name="Separador de milhares 3 10 6 2 2 2" xfId="10777"/>
    <cellStyle name="Separador de milhares 3 10 6 2 2 2 2" xfId="28991"/>
    <cellStyle name="Separador de milhares 3 10 6 2 2 2 2 2" xfId="55221"/>
    <cellStyle name="Separador de milhares 3 10 6 2 2 2 3" xfId="23077"/>
    <cellStyle name="Separador de milhares 3 10 6 2 2 2 3 2" xfId="49313"/>
    <cellStyle name="Separador de milhares 3 10 6 2 2 2 4" xfId="17163"/>
    <cellStyle name="Separador de milhares 3 10 6 2 2 2 4 2" xfId="43405"/>
    <cellStyle name="Separador de milhares 3 10 6 2 2 2 5" xfId="37019"/>
    <cellStyle name="Separador de milhares 3 10 6 2 2 3" xfId="26034"/>
    <cellStyle name="Separador de milhares 3 10 6 2 2 3 2" xfId="52267"/>
    <cellStyle name="Separador de milhares 3 10 6 2 2 4" xfId="20120"/>
    <cellStyle name="Separador de milhares 3 10 6 2 2 4 2" xfId="46359"/>
    <cellStyle name="Separador de milhares 3 10 6 2 2 5" xfId="14022"/>
    <cellStyle name="Separador de milhares 3 10 6 2 2 5 2" xfId="40264"/>
    <cellStyle name="Separador de milhares 3 10 6 2 2 6" xfId="33878"/>
    <cellStyle name="Separador de milhares 3 10 6 2 3" xfId="9309"/>
    <cellStyle name="Separador de milhares 3 10 6 2 3 2" xfId="27523"/>
    <cellStyle name="Separador de milhares 3 10 6 2 3 2 2" xfId="53753"/>
    <cellStyle name="Separador de milhares 3 10 6 2 3 3" xfId="21609"/>
    <cellStyle name="Separador de milhares 3 10 6 2 3 3 2" xfId="47845"/>
    <cellStyle name="Separador de milhares 3 10 6 2 3 4" xfId="15695"/>
    <cellStyle name="Separador de milhares 3 10 6 2 3 4 2" xfId="41937"/>
    <cellStyle name="Separador de milhares 3 10 6 2 3 5" xfId="35551"/>
    <cellStyle name="Separador de milhares 3 10 6 2 4" xfId="5934"/>
    <cellStyle name="Separador de milhares 3 10 6 2 4 2" xfId="24566"/>
    <cellStyle name="Separador de milhares 3 10 6 2 4 2 2" xfId="50799"/>
    <cellStyle name="Separador de milhares 3 10 6 2 4 3" xfId="32179"/>
    <cellStyle name="Separador de milhares 3 10 6 2 5" xfId="18652"/>
    <cellStyle name="Separador de milhares 3 10 6 2 5 2" xfId="44891"/>
    <cellStyle name="Separador de milhares 3 10 6 2 6" xfId="12321"/>
    <cellStyle name="Separador de milhares 3 10 6 2 6 2" xfId="38563"/>
    <cellStyle name="Separador de milhares 3 10 6 2 7" xfId="30481"/>
    <cellStyle name="Separador de milhares 3 10 6 3" xfId="6678"/>
    <cellStyle name="Separador de milhares 3 10 6 3 2" xfId="9825"/>
    <cellStyle name="Separador de milhares 3 10 6 3 2 2" xfId="28039"/>
    <cellStyle name="Separador de milhares 3 10 6 3 2 2 2" xfId="54269"/>
    <cellStyle name="Separador de milhares 3 10 6 3 2 3" xfId="22125"/>
    <cellStyle name="Separador de milhares 3 10 6 3 2 3 2" xfId="48361"/>
    <cellStyle name="Separador de milhares 3 10 6 3 2 4" xfId="16211"/>
    <cellStyle name="Separador de milhares 3 10 6 3 2 4 2" xfId="42453"/>
    <cellStyle name="Separador de milhares 3 10 6 3 2 5" xfId="36067"/>
    <cellStyle name="Separador de milhares 3 10 6 3 3" xfId="25082"/>
    <cellStyle name="Separador de milhares 3 10 6 3 3 2" xfId="51315"/>
    <cellStyle name="Separador de milhares 3 10 6 3 4" xfId="19168"/>
    <cellStyle name="Separador de milhares 3 10 6 3 4 2" xfId="45407"/>
    <cellStyle name="Separador de milhares 3 10 6 3 5" xfId="13067"/>
    <cellStyle name="Separador de milhares 3 10 6 3 5 2" xfId="39309"/>
    <cellStyle name="Separador de milhares 3 10 6 3 6" xfId="32923"/>
    <cellStyle name="Separador de milhares 3 10 6 4" xfId="8357"/>
    <cellStyle name="Separador de milhares 3 10 6 4 2" xfId="26571"/>
    <cellStyle name="Separador de milhares 3 10 6 4 2 2" xfId="52801"/>
    <cellStyle name="Separador de milhares 3 10 6 4 3" xfId="20657"/>
    <cellStyle name="Separador de milhares 3 10 6 4 3 2" xfId="46893"/>
    <cellStyle name="Separador de milhares 3 10 6 4 4" xfId="14743"/>
    <cellStyle name="Separador de milhares 3 10 6 4 4 2" xfId="40985"/>
    <cellStyle name="Separador de milhares 3 10 6 4 5" xfId="34599"/>
    <cellStyle name="Separador de milhares 3 10 6 5" xfId="4979"/>
    <cellStyle name="Separador de milhares 3 10 6 5 2" xfId="23614"/>
    <cellStyle name="Separador de milhares 3 10 6 5 2 2" xfId="49847"/>
    <cellStyle name="Separador de milhares 3 10 6 5 3" xfId="31224"/>
    <cellStyle name="Separador de milhares 3 10 6 6" xfId="17700"/>
    <cellStyle name="Separador de milhares 3 10 6 6 2" xfId="43939"/>
    <cellStyle name="Separador de milhares 3 10 6 7" xfId="11366"/>
    <cellStyle name="Separador de milhares 3 10 6 7 2" xfId="37608"/>
    <cellStyle name="Separador de milhares 3 10 6 8" xfId="29526"/>
    <cellStyle name="Separador de milhares 3 10 7" xfId="1135"/>
    <cellStyle name="Separador de milhares 3 10 7 2" xfId="6776"/>
    <cellStyle name="Separador de milhares 3 10 7 2 2" xfId="9923"/>
    <cellStyle name="Separador de milhares 3 10 7 2 2 2" xfId="28137"/>
    <cellStyle name="Separador de milhares 3 10 7 2 2 2 2" xfId="54367"/>
    <cellStyle name="Separador de milhares 3 10 7 2 2 3" xfId="22223"/>
    <cellStyle name="Separador de milhares 3 10 7 2 2 3 2" xfId="48459"/>
    <cellStyle name="Separador de milhares 3 10 7 2 2 4" xfId="16309"/>
    <cellStyle name="Separador de milhares 3 10 7 2 2 4 2" xfId="42551"/>
    <cellStyle name="Separador de milhares 3 10 7 2 2 5" xfId="36165"/>
    <cellStyle name="Separador de milhares 3 10 7 2 3" xfId="25180"/>
    <cellStyle name="Separador de milhares 3 10 7 2 3 2" xfId="51413"/>
    <cellStyle name="Separador de milhares 3 10 7 2 4" xfId="19266"/>
    <cellStyle name="Separador de milhares 3 10 7 2 4 2" xfId="45505"/>
    <cellStyle name="Separador de milhares 3 10 7 2 5" xfId="13165"/>
    <cellStyle name="Separador de milhares 3 10 7 2 5 2" xfId="39407"/>
    <cellStyle name="Separador de milhares 3 10 7 2 6" xfId="33021"/>
    <cellStyle name="Separador de milhares 3 10 7 3" xfId="8455"/>
    <cellStyle name="Separador de milhares 3 10 7 3 2" xfId="26669"/>
    <cellStyle name="Separador de milhares 3 10 7 3 2 2" xfId="52899"/>
    <cellStyle name="Separador de milhares 3 10 7 3 3" xfId="20755"/>
    <cellStyle name="Separador de milhares 3 10 7 3 3 2" xfId="46991"/>
    <cellStyle name="Separador de milhares 3 10 7 3 4" xfId="14841"/>
    <cellStyle name="Separador de milhares 3 10 7 3 4 2" xfId="41083"/>
    <cellStyle name="Separador de milhares 3 10 7 3 5" xfId="34697"/>
    <cellStyle name="Separador de milhares 3 10 7 4" xfId="5077"/>
    <cellStyle name="Separador de milhares 3 10 7 4 2" xfId="23712"/>
    <cellStyle name="Separador de milhares 3 10 7 4 2 2" xfId="49945"/>
    <cellStyle name="Separador de milhares 3 10 7 4 3" xfId="31322"/>
    <cellStyle name="Separador de milhares 3 10 7 5" xfId="17798"/>
    <cellStyle name="Separador de milhares 3 10 7 5 2" xfId="44037"/>
    <cellStyle name="Separador de milhares 3 10 7 6" xfId="11464"/>
    <cellStyle name="Separador de milhares 3 10 7 6 2" xfId="37706"/>
    <cellStyle name="Separador de milhares 3 10 7 7" xfId="29624"/>
    <cellStyle name="Separador de milhares 3 10 8" xfId="1570"/>
    <cellStyle name="Separador de milhares 3 10 8 2" xfId="6895"/>
    <cellStyle name="Separador de milhares 3 10 8 2 2" xfId="10042"/>
    <cellStyle name="Separador de milhares 3 10 8 2 2 2" xfId="28256"/>
    <cellStyle name="Separador de milhares 3 10 8 2 2 2 2" xfId="54486"/>
    <cellStyle name="Separador de milhares 3 10 8 2 2 3" xfId="22342"/>
    <cellStyle name="Separador de milhares 3 10 8 2 2 3 2" xfId="48578"/>
    <cellStyle name="Separador de milhares 3 10 8 2 2 4" xfId="16428"/>
    <cellStyle name="Separador de milhares 3 10 8 2 2 4 2" xfId="42670"/>
    <cellStyle name="Separador de milhares 3 10 8 2 2 5" xfId="36284"/>
    <cellStyle name="Separador de milhares 3 10 8 2 3" xfId="25299"/>
    <cellStyle name="Separador de milhares 3 10 8 2 3 2" xfId="51532"/>
    <cellStyle name="Separador de milhares 3 10 8 2 4" xfId="19385"/>
    <cellStyle name="Separador de milhares 3 10 8 2 4 2" xfId="45624"/>
    <cellStyle name="Separador de milhares 3 10 8 2 5" xfId="13284"/>
    <cellStyle name="Separador de milhares 3 10 8 2 5 2" xfId="39526"/>
    <cellStyle name="Separador de milhares 3 10 8 2 6" xfId="33140"/>
    <cellStyle name="Separador de milhares 3 10 8 3" xfId="8574"/>
    <cellStyle name="Separador de milhares 3 10 8 3 2" xfId="26788"/>
    <cellStyle name="Separador de milhares 3 10 8 3 2 2" xfId="53018"/>
    <cellStyle name="Separador de milhares 3 10 8 3 3" xfId="20874"/>
    <cellStyle name="Separador de milhares 3 10 8 3 3 2" xfId="47110"/>
    <cellStyle name="Separador de milhares 3 10 8 3 4" xfId="14960"/>
    <cellStyle name="Separador de milhares 3 10 8 3 4 2" xfId="41202"/>
    <cellStyle name="Separador de milhares 3 10 8 3 5" xfId="34816"/>
    <cellStyle name="Separador de milhares 3 10 8 4" xfId="5196"/>
    <cellStyle name="Separador de milhares 3 10 8 4 2" xfId="23831"/>
    <cellStyle name="Separador de milhares 3 10 8 4 2 2" xfId="50064"/>
    <cellStyle name="Separador de milhares 3 10 8 4 3" xfId="31441"/>
    <cellStyle name="Separador de milhares 3 10 8 5" xfId="17917"/>
    <cellStyle name="Separador de milhares 3 10 8 5 2" xfId="44156"/>
    <cellStyle name="Separador de milhares 3 10 8 6" xfId="11583"/>
    <cellStyle name="Separador de milhares 3 10 8 6 2" xfId="37825"/>
    <cellStyle name="Separador de milhares 3 10 8 7" xfId="29743"/>
    <cellStyle name="Separador de milhares 3 10 9" xfId="2100"/>
    <cellStyle name="Separador de milhares 3 10 9 2" xfId="7045"/>
    <cellStyle name="Separador de milhares 3 10 9 2 2" xfId="10189"/>
    <cellStyle name="Separador de milhares 3 10 9 2 2 2" xfId="28403"/>
    <cellStyle name="Separador de milhares 3 10 9 2 2 2 2" xfId="54633"/>
    <cellStyle name="Separador de milhares 3 10 9 2 2 3" xfId="22489"/>
    <cellStyle name="Separador de milhares 3 10 9 2 2 3 2" xfId="48725"/>
    <cellStyle name="Separador de milhares 3 10 9 2 2 4" xfId="16575"/>
    <cellStyle name="Separador de milhares 3 10 9 2 2 4 2" xfId="42817"/>
    <cellStyle name="Separador de milhares 3 10 9 2 2 5" xfId="36431"/>
    <cellStyle name="Separador de milhares 3 10 9 2 3" xfId="25446"/>
    <cellStyle name="Separador de milhares 3 10 9 2 3 2" xfId="51679"/>
    <cellStyle name="Separador de milhares 3 10 9 2 4" xfId="19532"/>
    <cellStyle name="Separador de milhares 3 10 9 2 4 2" xfId="45771"/>
    <cellStyle name="Separador de milhares 3 10 9 2 5" xfId="13434"/>
    <cellStyle name="Separador de milhares 3 10 9 2 5 2" xfId="39676"/>
    <cellStyle name="Separador de milhares 3 10 9 2 6" xfId="33290"/>
    <cellStyle name="Separador de milhares 3 10 9 3" xfId="8721"/>
    <cellStyle name="Separador de milhares 3 10 9 3 2" xfId="26935"/>
    <cellStyle name="Separador de milhares 3 10 9 3 2 2" xfId="53165"/>
    <cellStyle name="Separador de milhares 3 10 9 3 3" xfId="21021"/>
    <cellStyle name="Separador de milhares 3 10 9 3 3 2" xfId="47257"/>
    <cellStyle name="Separador de milhares 3 10 9 3 4" xfId="15107"/>
    <cellStyle name="Separador de milhares 3 10 9 3 4 2" xfId="41349"/>
    <cellStyle name="Separador de milhares 3 10 9 3 5" xfId="34963"/>
    <cellStyle name="Separador de milhares 3 10 9 4" xfId="5346"/>
    <cellStyle name="Separador de milhares 3 10 9 4 2" xfId="23978"/>
    <cellStyle name="Separador de milhares 3 10 9 4 2 2" xfId="50211"/>
    <cellStyle name="Separador de milhares 3 10 9 4 3" xfId="31591"/>
    <cellStyle name="Separador de milhares 3 10 9 5" xfId="18064"/>
    <cellStyle name="Separador de milhares 3 10 9 5 2" xfId="44303"/>
    <cellStyle name="Separador de milhares 3 10 9 6" xfId="11733"/>
    <cellStyle name="Separador de milhares 3 10 9 6 2" xfId="37975"/>
    <cellStyle name="Separador de milhares 3 10 9 7" xfId="29893"/>
    <cellStyle name="Separador de milhares 3 11" xfId="132"/>
    <cellStyle name="Separador de milhares 3 11 10" xfId="2635"/>
    <cellStyle name="Separador de milhares 3 11 10 2" xfId="7194"/>
    <cellStyle name="Separador de milhares 3 11 10 2 2" xfId="10338"/>
    <cellStyle name="Separador de milhares 3 11 10 2 2 2" xfId="28552"/>
    <cellStyle name="Separador de milhares 3 11 10 2 2 2 2" xfId="54782"/>
    <cellStyle name="Separador de milhares 3 11 10 2 2 3" xfId="22638"/>
    <cellStyle name="Separador de milhares 3 11 10 2 2 3 2" xfId="48874"/>
    <cellStyle name="Separador de milhares 3 11 10 2 2 4" xfId="16724"/>
    <cellStyle name="Separador de milhares 3 11 10 2 2 4 2" xfId="42966"/>
    <cellStyle name="Separador de milhares 3 11 10 2 2 5" xfId="36580"/>
    <cellStyle name="Separador de milhares 3 11 10 2 3" xfId="25595"/>
    <cellStyle name="Separador de milhares 3 11 10 2 3 2" xfId="51828"/>
    <cellStyle name="Separador de milhares 3 11 10 2 4" xfId="19681"/>
    <cellStyle name="Separador de milhares 3 11 10 2 4 2" xfId="45920"/>
    <cellStyle name="Separador de milhares 3 11 10 2 5" xfId="13583"/>
    <cellStyle name="Separador de milhares 3 11 10 2 5 2" xfId="39825"/>
    <cellStyle name="Separador de milhares 3 11 10 2 6" xfId="33439"/>
    <cellStyle name="Separador de milhares 3 11 10 3" xfId="8870"/>
    <cellStyle name="Separador de milhares 3 11 10 3 2" xfId="27084"/>
    <cellStyle name="Separador de milhares 3 11 10 3 2 2" xfId="53314"/>
    <cellStyle name="Separador de milhares 3 11 10 3 3" xfId="21170"/>
    <cellStyle name="Separador de milhares 3 11 10 3 3 2" xfId="47406"/>
    <cellStyle name="Separador de milhares 3 11 10 3 4" xfId="15256"/>
    <cellStyle name="Separador de milhares 3 11 10 3 4 2" xfId="41498"/>
    <cellStyle name="Separador de milhares 3 11 10 3 5" xfId="35112"/>
    <cellStyle name="Separador de milhares 3 11 10 4" xfId="5495"/>
    <cellStyle name="Separador de milhares 3 11 10 4 2" xfId="24127"/>
    <cellStyle name="Separador de milhares 3 11 10 4 2 2" xfId="50360"/>
    <cellStyle name="Separador de milhares 3 11 10 4 3" xfId="31740"/>
    <cellStyle name="Separador de milhares 3 11 10 5" xfId="18213"/>
    <cellStyle name="Separador de milhares 3 11 10 5 2" xfId="44452"/>
    <cellStyle name="Separador de milhares 3 11 10 6" xfId="11882"/>
    <cellStyle name="Separador de milhares 3 11 10 6 2" xfId="38124"/>
    <cellStyle name="Separador de milhares 3 11 10 7" xfId="30042"/>
    <cellStyle name="Separador de milhares 3 11 11" xfId="3162"/>
    <cellStyle name="Separador de milhares 3 11 11 2" xfId="7341"/>
    <cellStyle name="Separador de milhares 3 11 11 2 2" xfId="10485"/>
    <cellStyle name="Separador de milhares 3 11 11 2 2 2" xfId="28699"/>
    <cellStyle name="Separador de milhares 3 11 11 2 2 2 2" xfId="54929"/>
    <cellStyle name="Separador de milhares 3 11 11 2 2 3" xfId="22785"/>
    <cellStyle name="Separador de milhares 3 11 11 2 2 3 2" xfId="49021"/>
    <cellStyle name="Separador de milhares 3 11 11 2 2 4" xfId="16871"/>
    <cellStyle name="Separador de milhares 3 11 11 2 2 4 2" xfId="43113"/>
    <cellStyle name="Separador de milhares 3 11 11 2 2 5" xfId="36727"/>
    <cellStyle name="Separador de milhares 3 11 11 2 3" xfId="25742"/>
    <cellStyle name="Separador de milhares 3 11 11 2 3 2" xfId="51975"/>
    <cellStyle name="Separador de milhares 3 11 11 2 4" xfId="19828"/>
    <cellStyle name="Separador de milhares 3 11 11 2 4 2" xfId="46067"/>
    <cellStyle name="Separador de milhares 3 11 11 2 5" xfId="13730"/>
    <cellStyle name="Separador de milhares 3 11 11 2 5 2" xfId="39972"/>
    <cellStyle name="Separador de milhares 3 11 11 2 6" xfId="33586"/>
    <cellStyle name="Separador de milhares 3 11 11 3" xfId="9017"/>
    <cellStyle name="Separador de milhares 3 11 11 3 2" xfId="27231"/>
    <cellStyle name="Separador de milhares 3 11 11 3 2 2" xfId="53461"/>
    <cellStyle name="Separador de milhares 3 11 11 3 3" xfId="21317"/>
    <cellStyle name="Separador de milhares 3 11 11 3 3 2" xfId="47553"/>
    <cellStyle name="Separador de milhares 3 11 11 3 4" xfId="15403"/>
    <cellStyle name="Separador de milhares 3 11 11 3 4 2" xfId="41645"/>
    <cellStyle name="Separador de milhares 3 11 11 3 5" xfId="35259"/>
    <cellStyle name="Separador de milhares 3 11 11 4" xfId="5642"/>
    <cellStyle name="Separador de milhares 3 11 11 4 2" xfId="24274"/>
    <cellStyle name="Separador de milhares 3 11 11 4 2 2" xfId="50507"/>
    <cellStyle name="Separador de milhares 3 11 11 4 3" xfId="31887"/>
    <cellStyle name="Separador de milhares 3 11 11 5" xfId="18360"/>
    <cellStyle name="Separador de milhares 3 11 11 5 2" xfId="44599"/>
    <cellStyle name="Separador de milhares 3 11 11 6" xfId="12029"/>
    <cellStyle name="Separador de milhares 3 11 11 6 2" xfId="38271"/>
    <cellStyle name="Separador de milhares 3 11 11 7" xfId="30189"/>
    <cellStyle name="Separador de milhares 3 11 12" xfId="3689"/>
    <cellStyle name="Separador de milhares 3 11 12 2" xfId="7488"/>
    <cellStyle name="Separador de milhares 3 11 12 2 2" xfId="10632"/>
    <cellStyle name="Separador de milhares 3 11 12 2 2 2" xfId="28846"/>
    <cellStyle name="Separador de milhares 3 11 12 2 2 2 2" xfId="55076"/>
    <cellStyle name="Separador de milhares 3 11 12 2 2 3" xfId="22932"/>
    <cellStyle name="Separador de milhares 3 11 12 2 2 3 2" xfId="49168"/>
    <cellStyle name="Separador de milhares 3 11 12 2 2 4" xfId="17018"/>
    <cellStyle name="Separador de milhares 3 11 12 2 2 4 2" xfId="43260"/>
    <cellStyle name="Separador de milhares 3 11 12 2 2 5" xfId="36874"/>
    <cellStyle name="Separador de milhares 3 11 12 2 3" xfId="25889"/>
    <cellStyle name="Separador de milhares 3 11 12 2 3 2" xfId="52122"/>
    <cellStyle name="Separador de milhares 3 11 12 2 4" xfId="19975"/>
    <cellStyle name="Separador de milhares 3 11 12 2 4 2" xfId="46214"/>
    <cellStyle name="Separador de milhares 3 11 12 2 5" xfId="13877"/>
    <cellStyle name="Separador de milhares 3 11 12 2 5 2" xfId="40119"/>
    <cellStyle name="Separador de milhares 3 11 12 2 6" xfId="33733"/>
    <cellStyle name="Separador de milhares 3 11 12 3" xfId="9164"/>
    <cellStyle name="Separador de milhares 3 11 12 3 2" xfId="27378"/>
    <cellStyle name="Separador de milhares 3 11 12 3 2 2" xfId="53608"/>
    <cellStyle name="Separador de milhares 3 11 12 3 3" xfId="21464"/>
    <cellStyle name="Separador de milhares 3 11 12 3 3 2" xfId="47700"/>
    <cellStyle name="Separador de milhares 3 11 12 3 4" xfId="15550"/>
    <cellStyle name="Separador de milhares 3 11 12 3 4 2" xfId="41792"/>
    <cellStyle name="Separador de milhares 3 11 12 3 5" xfId="35406"/>
    <cellStyle name="Separador de milhares 3 11 12 4" xfId="5789"/>
    <cellStyle name="Separador de milhares 3 11 12 4 2" xfId="24421"/>
    <cellStyle name="Separador de milhares 3 11 12 4 2 2" xfId="50654"/>
    <cellStyle name="Separador de milhares 3 11 12 4 3" xfId="32034"/>
    <cellStyle name="Separador de milhares 3 11 12 5" xfId="18507"/>
    <cellStyle name="Separador de milhares 3 11 12 5 2" xfId="44746"/>
    <cellStyle name="Separador de milhares 3 11 12 6" xfId="12176"/>
    <cellStyle name="Separador de milhares 3 11 12 6 2" xfId="38418"/>
    <cellStyle name="Separador de milhares 3 11 12 7" xfId="30336"/>
    <cellStyle name="Separador de milhares 3 11 13" xfId="6472"/>
    <cellStyle name="Separador de milhares 3 11 13 2" xfId="9628"/>
    <cellStyle name="Separador de milhares 3 11 13 2 2" xfId="27842"/>
    <cellStyle name="Separador de milhares 3 11 13 2 2 2" xfId="54072"/>
    <cellStyle name="Separador de milhares 3 11 13 2 3" xfId="21928"/>
    <cellStyle name="Separador de milhares 3 11 13 2 3 2" xfId="48164"/>
    <cellStyle name="Separador de milhares 3 11 13 2 4" xfId="16014"/>
    <cellStyle name="Separador de milhares 3 11 13 2 4 2" xfId="42256"/>
    <cellStyle name="Separador de milhares 3 11 13 2 5" xfId="35870"/>
    <cellStyle name="Separador de milhares 3 11 13 3" xfId="24885"/>
    <cellStyle name="Separador de milhares 3 11 13 3 2" xfId="51118"/>
    <cellStyle name="Separador de milhares 3 11 13 4" xfId="18971"/>
    <cellStyle name="Separador de milhares 3 11 13 4 2" xfId="45210"/>
    <cellStyle name="Separador de milhares 3 11 13 5" xfId="12861"/>
    <cellStyle name="Separador de milhares 3 11 13 5 2" xfId="39103"/>
    <cellStyle name="Separador de milhares 3 11 13 6" xfId="32717"/>
    <cellStyle name="Separador de milhares 3 11 14" xfId="8157"/>
    <cellStyle name="Separador de milhares 3 11 14 2" xfId="26371"/>
    <cellStyle name="Separador de milhares 3 11 14 2 2" xfId="52604"/>
    <cellStyle name="Separador de milhares 3 11 14 3" xfId="20457"/>
    <cellStyle name="Separador de milhares 3 11 14 3 2" xfId="46696"/>
    <cellStyle name="Separador de milhares 3 11 14 4" xfId="14546"/>
    <cellStyle name="Separador de milhares 3 11 14 4 2" xfId="40788"/>
    <cellStyle name="Separador de milhares 3 11 14 5" xfId="34402"/>
    <cellStyle name="Separador de milhares 3 11 15" xfId="4770"/>
    <cellStyle name="Separador de milhares 3 11 15 2" xfId="23414"/>
    <cellStyle name="Separador de milhares 3 11 15 2 2" xfId="49650"/>
    <cellStyle name="Separador de milhares 3 11 15 3" xfId="31018"/>
    <cellStyle name="Separador de milhares 3 11 16" xfId="17500"/>
    <cellStyle name="Separador de milhares 3 11 16 2" xfId="43742"/>
    <cellStyle name="Separador de milhares 3 11 17" xfId="11160"/>
    <cellStyle name="Separador de milhares 3 11 17 2" xfId="37402"/>
    <cellStyle name="Separador de milhares 3 11 18" xfId="29320"/>
    <cellStyle name="Separador de milhares 3 11 2" xfId="226"/>
    <cellStyle name="Separador de milhares 3 11 2 10" xfId="6501"/>
    <cellStyle name="Separador de milhares 3 11 2 10 2" xfId="9655"/>
    <cellStyle name="Separador de milhares 3 11 2 10 2 2" xfId="27869"/>
    <cellStyle name="Separador de milhares 3 11 2 10 2 2 2" xfId="54099"/>
    <cellStyle name="Separador de milhares 3 11 2 10 2 3" xfId="21955"/>
    <cellStyle name="Separador de milhares 3 11 2 10 2 3 2" xfId="48191"/>
    <cellStyle name="Separador de milhares 3 11 2 10 2 4" xfId="16041"/>
    <cellStyle name="Separador de milhares 3 11 2 10 2 4 2" xfId="42283"/>
    <cellStyle name="Separador de milhares 3 11 2 10 2 5" xfId="35897"/>
    <cellStyle name="Separador de milhares 3 11 2 10 3" xfId="24912"/>
    <cellStyle name="Separador de milhares 3 11 2 10 3 2" xfId="51145"/>
    <cellStyle name="Separador de milhares 3 11 2 10 4" xfId="18998"/>
    <cellStyle name="Separador de milhares 3 11 2 10 4 2" xfId="45237"/>
    <cellStyle name="Separador de milhares 3 11 2 10 5" xfId="12890"/>
    <cellStyle name="Separador de milhares 3 11 2 10 5 2" xfId="39132"/>
    <cellStyle name="Separador de milhares 3 11 2 10 6" xfId="32746"/>
    <cellStyle name="Separador de milhares 3 11 2 11" xfId="8184"/>
    <cellStyle name="Separador de milhares 3 11 2 11 2" xfId="26398"/>
    <cellStyle name="Separador de milhares 3 11 2 11 2 2" xfId="52631"/>
    <cellStyle name="Separador de milhares 3 11 2 11 3" xfId="20484"/>
    <cellStyle name="Separador de milhares 3 11 2 11 3 2" xfId="46723"/>
    <cellStyle name="Separador de milhares 3 11 2 11 4" xfId="14573"/>
    <cellStyle name="Separador de milhares 3 11 2 11 4 2" xfId="40815"/>
    <cellStyle name="Separador de milhares 3 11 2 11 5" xfId="34429"/>
    <cellStyle name="Separador de milhares 3 11 2 12" xfId="4800"/>
    <cellStyle name="Separador de milhares 3 11 2 12 2" xfId="23441"/>
    <cellStyle name="Separador de milhares 3 11 2 12 2 2" xfId="49677"/>
    <cellStyle name="Separador de milhares 3 11 2 12 3" xfId="31047"/>
    <cellStyle name="Separador de milhares 3 11 2 13" xfId="17527"/>
    <cellStyle name="Separador de milhares 3 11 2 13 2" xfId="43769"/>
    <cellStyle name="Separador de milhares 3 11 2 14" xfId="11189"/>
    <cellStyle name="Separador de milhares 3 11 2 14 2" xfId="37431"/>
    <cellStyle name="Separador de milhares 3 11 2 15" xfId="29350"/>
    <cellStyle name="Separador de milhares 3 11 2 2" xfId="499"/>
    <cellStyle name="Separador de milhares 3 11 2 2 10" xfId="17601"/>
    <cellStyle name="Separador de milhares 3 11 2 2 10 2" xfId="43843"/>
    <cellStyle name="Separador de milhares 3 11 2 2 11" xfId="11270"/>
    <cellStyle name="Separador de milhares 3 11 2 2 11 2" xfId="37512"/>
    <cellStyle name="Separador de milhares 3 11 2 2 12" xfId="29430"/>
    <cellStyle name="Separador de milhares 3 11 2 2 2" xfId="2018"/>
    <cellStyle name="Separador de milhares 3 11 2 2 2 2" xfId="7020"/>
    <cellStyle name="Separador de milhares 3 11 2 2 2 2 2" xfId="10167"/>
    <cellStyle name="Separador de milhares 3 11 2 2 2 2 2 2" xfId="28381"/>
    <cellStyle name="Separador de milhares 3 11 2 2 2 2 2 2 2" xfId="54611"/>
    <cellStyle name="Separador de milhares 3 11 2 2 2 2 2 3" xfId="22467"/>
    <cellStyle name="Separador de milhares 3 11 2 2 2 2 2 3 2" xfId="48703"/>
    <cellStyle name="Separador de milhares 3 11 2 2 2 2 2 4" xfId="16553"/>
    <cellStyle name="Separador de milhares 3 11 2 2 2 2 2 4 2" xfId="42795"/>
    <cellStyle name="Separador de milhares 3 11 2 2 2 2 2 5" xfId="36409"/>
    <cellStyle name="Separador de milhares 3 11 2 2 2 2 3" xfId="25424"/>
    <cellStyle name="Separador de milhares 3 11 2 2 2 2 3 2" xfId="51657"/>
    <cellStyle name="Separador de milhares 3 11 2 2 2 2 4" xfId="19510"/>
    <cellStyle name="Separador de milhares 3 11 2 2 2 2 4 2" xfId="45749"/>
    <cellStyle name="Separador de milhares 3 11 2 2 2 2 5" xfId="13409"/>
    <cellStyle name="Separador de milhares 3 11 2 2 2 2 5 2" xfId="39651"/>
    <cellStyle name="Separador de milhares 3 11 2 2 2 2 6" xfId="33265"/>
    <cellStyle name="Separador de milhares 3 11 2 2 2 3" xfId="8699"/>
    <cellStyle name="Separador de milhares 3 11 2 2 2 3 2" xfId="26913"/>
    <cellStyle name="Separador de milhares 3 11 2 2 2 3 2 2" xfId="53143"/>
    <cellStyle name="Separador de milhares 3 11 2 2 2 3 3" xfId="20999"/>
    <cellStyle name="Separador de milhares 3 11 2 2 2 3 3 2" xfId="47235"/>
    <cellStyle name="Separador de milhares 3 11 2 2 2 3 4" xfId="15085"/>
    <cellStyle name="Separador de milhares 3 11 2 2 2 3 4 2" xfId="41327"/>
    <cellStyle name="Separador de milhares 3 11 2 2 2 3 5" xfId="34941"/>
    <cellStyle name="Separador de milhares 3 11 2 2 2 4" xfId="5321"/>
    <cellStyle name="Separador de milhares 3 11 2 2 2 4 2" xfId="23956"/>
    <cellStyle name="Separador de milhares 3 11 2 2 2 4 2 2" xfId="50189"/>
    <cellStyle name="Separador de milhares 3 11 2 2 2 4 3" xfId="31566"/>
    <cellStyle name="Separador de milhares 3 11 2 2 2 5" xfId="18042"/>
    <cellStyle name="Separador de milhares 3 11 2 2 2 5 2" xfId="44281"/>
    <cellStyle name="Separador de milhares 3 11 2 2 2 6" xfId="11708"/>
    <cellStyle name="Separador de milhares 3 11 2 2 2 6 2" xfId="37950"/>
    <cellStyle name="Separador de milhares 3 11 2 2 2 7" xfId="29868"/>
    <cellStyle name="Separador de milhares 3 11 2 2 3" xfId="2548"/>
    <cellStyle name="Separador de milhares 3 11 2 2 3 2" xfId="7170"/>
    <cellStyle name="Separador de milhares 3 11 2 2 3 2 2" xfId="10314"/>
    <cellStyle name="Separador de milhares 3 11 2 2 3 2 2 2" xfId="28528"/>
    <cellStyle name="Separador de milhares 3 11 2 2 3 2 2 2 2" xfId="54758"/>
    <cellStyle name="Separador de milhares 3 11 2 2 3 2 2 3" xfId="22614"/>
    <cellStyle name="Separador de milhares 3 11 2 2 3 2 2 3 2" xfId="48850"/>
    <cellStyle name="Separador de milhares 3 11 2 2 3 2 2 4" xfId="16700"/>
    <cellStyle name="Separador de milhares 3 11 2 2 3 2 2 4 2" xfId="42942"/>
    <cellStyle name="Separador de milhares 3 11 2 2 3 2 2 5" xfId="36556"/>
    <cellStyle name="Separador de milhares 3 11 2 2 3 2 3" xfId="25571"/>
    <cellStyle name="Separador de milhares 3 11 2 2 3 2 3 2" xfId="51804"/>
    <cellStyle name="Separador de milhares 3 11 2 2 3 2 4" xfId="19657"/>
    <cellStyle name="Separador de milhares 3 11 2 2 3 2 4 2" xfId="45896"/>
    <cellStyle name="Separador de milhares 3 11 2 2 3 2 5" xfId="13559"/>
    <cellStyle name="Separador de milhares 3 11 2 2 3 2 5 2" xfId="39801"/>
    <cellStyle name="Separador de milhares 3 11 2 2 3 2 6" xfId="33415"/>
    <cellStyle name="Separador de milhares 3 11 2 2 3 3" xfId="8846"/>
    <cellStyle name="Separador de milhares 3 11 2 2 3 3 2" xfId="27060"/>
    <cellStyle name="Separador de milhares 3 11 2 2 3 3 2 2" xfId="53290"/>
    <cellStyle name="Separador de milhares 3 11 2 2 3 3 3" xfId="21146"/>
    <cellStyle name="Separador de milhares 3 11 2 2 3 3 3 2" xfId="47382"/>
    <cellStyle name="Separador de milhares 3 11 2 2 3 3 4" xfId="15232"/>
    <cellStyle name="Separador de milhares 3 11 2 2 3 3 4 2" xfId="41474"/>
    <cellStyle name="Separador de milhares 3 11 2 2 3 3 5" xfId="35088"/>
    <cellStyle name="Separador de milhares 3 11 2 2 3 4" xfId="5471"/>
    <cellStyle name="Separador de milhares 3 11 2 2 3 4 2" xfId="24103"/>
    <cellStyle name="Separador de milhares 3 11 2 2 3 4 2 2" xfId="50336"/>
    <cellStyle name="Separador de milhares 3 11 2 2 3 4 3" xfId="31716"/>
    <cellStyle name="Separador de milhares 3 11 2 2 3 5" xfId="18189"/>
    <cellStyle name="Separador de milhares 3 11 2 2 3 5 2" xfId="44428"/>
    <cellStyle name="Separador de milhares 3 11 2 2 3 6" xfId="11858"/>
    <cellStyle name="Separador de milhares 3 11 2 2 3 6 2" xfId="38100"/>
    <cellStyle name="Separador de milhares 3 11 2 2 3 7" xfId="30018"/>
    <cellStyle name="Separador de milhares 3 11 2 2 4" xfId="3075"/>
    <cellStyle name="Separador de milhares 3 11 2 2 4 2" xfId="7317"/>
    <cellStyle name="Separador de milhares 3 11 2 2 4 2 2" xfId="10461"/>
    <cellStyle name="Separador de milhares 3 11 2 2 4 2 2 2" xfId="28675"/>
    <cellStyle name="Separador de milhares 3 11 2 2 4 2 2 2 2" xfId="54905"/>
    <cellStyle name="Separador de milhares 3 11 2 2 4 2 2 3" xfId="22761"/>
    <cellStyle name="Separador de milhares 3 11 2 2 4 2 2 3 2" xfId="48997"/>
    <cellStyle name="Separador de milhares 3 11 2 2 4 2 2 4" xfId="16847"/>
    <cellStyle name="Separador de milhares 3 11 2 2 4 2 2 4 2" xfId="43089"/>
    <cellStyle name="Separador de milhares 3 11 2 2 4 2 2 5" xfId="36703"/>
    <cellStyle name="Separador de milhares 3 11 2 2 4 2 3" xfId="25718"/>
    <cellStyle name="Separador de milhares 3 11 2 2 4 2 3 2" xfId="51951"/>
    <cellStyle name="Separador de milhares 3 11 2 2 4 2 4" xfId="19804"/>
    <cellStyle name="Separador de milhares 3 11 2 2 4 2 4 2" xfId="46043"/>
    <cellStyle name="Separador de milhares 3 11 2 2 4 2 5" xfId="13706"/>
    <cellStyle name="Separador de milhares 3 11 2 2 4 2 5 2" xfId="39948"/>
    <cellStyle name="Separador de milhares 3 11 2 2 4 2 6" xfId="33562"/>
    <cellStyle name="Separador de milhares 3 11 2 2 4 3" xfId="8993"/>
    <cellStyle name="Separador de milhares 3 11 2 2 4 3 2" xfId="27207"/>
    <cellStyle name="Separador de milhares 3 11 2 2 4 3 2 2" xfId="53437"/>
    <cellStyle name="Separador de milhares 3 11 2 2 4 3 3" xfId="21293"/>
    <cellStyle name="Separador de milhares 3 11 2 2 4 3 3 2" xfId="47529"/>
    <cellStyle name="Separador de milhares 3 11 2 2 4 3 4" xfId="15379"/>
    <cellStyle name="Separador de milhares 3 11 2 2 4 3 4 2" xfId="41621"/>
    <cellStyle name="Separador de milhares 3 11 2 2 4 3 5" xfId="35235"/>
    <cellStyle name="Separador de milhares 3 11 2 2 4 4" xfId="5618"/>
    <cellStyle name="Separador de milhares 3 11 2 2 4 4 2" xfId="24250"/>
    <cellStyle name="Separador de milhares 3 11 2 2 4 4 2 2" xfId="50483"/>
    <cellStyle name="Separador de milhares 3 11 2 2 4 4 3" xfId="31863"/>
    <cellStyle name="Separador de milhares 3 11 2 2 4 5" xfId="18336"/>
    <cellStyle name="Separador de milhares 3 11 2 2 4 5 2" xfId="44575"/>
    <cellStyle name="Separador de milhares 3 11 2 2 4 6" xfId="12005"/>
    <cellStyle name="Separador de milhares 3 11 2 2 4 6 2" xfId="38247"/>
    <cellStyle name="Separador de milhares 3 11 2 2 4 7" xfId="30165"/>
    <cellStyle name="Separador de milhares 3 11 2 2 5" xfId="3602"/>
    <cellStyle name="Separador de milhares 3 11 2 2 5 2" xfId="7464"/>
    <cellStyle name="Separador de milhares 3 11 2 2 5 2 2" xfId="10608"/>
    <cellStyle name="Separador de milhares 3 11 2 2 5 2 2 2" xfId="28822"/>
    <cellStyle name="Separador de milhares 3 11 2 2 5 2 2 2 2" xfId="55052"/>
    <cellStyle name="Separador de milhares 3 11 2 2 5 2 2 3" xfId="22908"/>
    <cellStyle name="Separador de milhares 3 11 2 2 5 2 2 3 2" xfId="49144"/>
    <cellStyle name="Separador de milhares 3 11 2 2 5 2 2 4" xfId="16994"/>
    <cellStyle name="Separador de milhares 3 11 2 2 5 2 2 4 2" xfId="43236"/>
    <cellStyle name="Separador de milhares 3 11 2 2 5 2 2 5" xfId="36850"/>
    <cellStyle name="Separador de milhares 3 11 2 2 5 2 3" xfId="25865"/>
    <cellStyle name="Separador de milhares 3 11 2 2 5 2 3 2" xfId="52098"/>
    <cellStyle name="Separador de milhares 3 11 2 2 5 2 4" xfId="19951"/>
    <cellStyle name="Separador de milhares 3 11 2 2 5 2 4 2" xfId="46190"/>
    <cellStyle name="Separador de milhares 3 11 2 2 5 2 5" xfId="13853"/>
    <cellStyle name="Separador de milhares 3 11 2 2 5 2 5 2" xfId="40095"/>
    <cellStyle name="Separador de milhares 3 11 2 2 5 2 6" xfId="33709"/>
    <cellStyle name="Separador de milhares 3 11 2 2 5 3" xfId="9140"/>
    <cellStyle name="Separador de milhares 3 11 2 2 5 3 2" xfId="27354"/>
    <cellStyle name="Separador de milhares 3 11 2 2 5 3 2 2" xfId="53584"/>
    <cellStyle name="Separador de milhares 3 11 2 2 5 3 3" xfId="21440"/>
    <cellStyle name="Separador de milhares 3 11 2 2 5 3 3 2" xfId="47676"/>
    <cellStyle name="Separador de milhares 3 11 2 2 5 3 4" xfId="15526"/>
    <cellStyle name="Separador de milhares 3 11 2 2 5 3 4 2" xfId="41768"/>
    <cellStyle name="Separador de milhares 3 11 2 2 5 3 5" xfId="35382"/>
    <cellStyle name="Separador de milhares 3 11 2 2 5 4" xfId="5765"/>
    <cellStyle name="Separador de milhares 3 11 2 2 5 4 2" xfId="24397"/>
    <cellStyle name="Separador de milhares 3 11 2 2 5 4 2 2" xfId="50630"/>
    <cellStyle name="Separador de milhares 3 11 2 2 5 4 3" xfId="32010"/>
    <cellStyle name="Separador de milhares 3 11 2 2 5 5" xfId="18483"/>
    <cellStyle name="Separador de milhares 3 11 2 2 5 5 2" xfId="44722"/>
    <cellStyle name="Separador de milhares 3 11 2 2 5 6" xfId="12152"/>
    <cellStyle name="Separador de milhares 3 11 2 2 5 6 2" xfId="38394"/>
    <cellStyle name="Separador de milhares 3 11 2 2 5 7" xfId="30312"/>
    <cellStyle name="Separador de milhares 3 11 2 2 6" xfId="4129"/>
    <cellStyle name="Separador de milhares 3 11 2 2 6 2" xfId="7611"/>
    <cellStyle name="Separador de milhares 3 11 2 2 6 2 2" xfId="10755"/>
    <cellStyle name="Separador de milhares 3 11 2 2 6 2 2 2" xfId="28969"/>
    <cellStyle name="Separador de milhares 3 11 2 2 6 2 2 2 2" xfId="55199"/>
    <cellStyle name="Separador de milhares 3 11 2 2 6 2 2 3" xfId="23055"/>
    <cellStyle name="Separador de milhares 3 11 2 2 6 2 2 3 2" xfId="49291"/>
    <cellStyle name="Separador de milhares 3 11 2 2 6 2 2 4" xfId="17141"/>
    <cellStyle name="Separador de milhares 3 11 2 2 6 2 2 4 2" xfId="43383"/>
    <cellStyle name="Separador de milhares 3 11 2 2 6 2 2 5" xfId="36997"/>
    <cellStyle name="Separador de milhares 3 11 2 2 6 2 3" xfId="26012"/>
    <cellStyle name="Separador de milhares 3 11 2 2 6 2 3 2" xfId="52245"/>
    <cellStyle name="Separador de milhares 3 11 2 2 6 2 4" xfId="20098"/>
    <cellStyle name="Separador de milhares 3 11 2 2 6 2 4 2" xfId="46337"/>
    <cellStyle name="Separador de milhares 3 11 2 2 6 2 5" xfId="14000"/>
    <cellStyle name="Separador de milhares 3 11 2 2 6 2 5 2" xfId="40242"/>
    <cellStyle name="Separador de milhares 3 11 2 2 6 2 6" xfId="33856"/>
    <cellStyle name="Separador de milhares 3 11 2 2 6 3" xfId="9287"/>
    <cellStyle name="Separador de milhares 3 11 2 2 6 3 2" xfId="27501"/>
    <cellStyle name="Separador de milhares 3 11 2 2 6 3 2 2" xfId="53731"/>
    <cellStyle name="Separador de milhares 3 11 2 2 6 3 3" xfId="21587"/>
    <cellStyle name="Separador de milhares 3 11 2 2 6 3 3 2" xfId="47823"/>
    <cellStyle name="Separador de milhares 3 11 2 2 6 3 4" xfId="15673"/>
    <cellStyle name="Separador de milhares 3 11 2 2 6 3 4 2" xfId="41915"/>
    <cellStyle name="Separador de milhares 3 11 2 2 6 3 5" xfId="35529"/>
    <cellStyle name="Separador de milhares 3 11 2 2 6 4" xfId="5912"/>
    <cellStyle name="Separador de milhares 3 11 2 2 6 4 2" xfId="24544"/>
    <cellStyle name="Separador de milhares 3 11 2 2 6 4 2 2" xfId="50777"/>
    <cellStyle name="Separador de milhares 3 11 2 2 6 4 3" xfId="32157"/>
    <cellStyle name="Separador de milhares 3 11 2 2 6 5" xfId="18630"/>
    <cellStyle name="Separador de milhares 3 11 2 2 6 5 2" xfId="44869"/>
    <cellStyle name="Separador de milhares 3 11 2 2 6 6" xfId="12299"/>
    <cellStyle name="Separador de milhares 3 11 2 2 6 6 2" xfId="38541"/>
    <cellStyle name="Separador de milhares 3 11 2 2 6 7" xfId="30459"/>
    <cellStyle name="Separador de milhares 3 11 2 2 7" xfId="6582"/>
    <cellStyle name="Separador de milhares 3 11 2 2 7 2" xfId="9729"/>
    <cellStyle name="Separador de milhares 3 11 2 2 7 2 2" xfId="27943"/>
    <cellStyle name="Separador de milhares 3 11 2 2 7 2 2 2" xfId="54173"/>
    <cellStyle name="Separador de milhares 3 11 2 2 7 2 3" xfId="22029"/>
    <cellStyle name="Separador de milhares 3 11 2 2 7 2 3 2" xfId="48265"/>
    <cellStyle name="Separador de milhares 3 11 2 2 7 2 4" xfId="16115"/>
    <cellStyle name="Separador de milhares 3 11 2 2 7 2 4 2" xfId="42357"/>
    <cellStyle name="Separador de milhares 3 11 2 2 7 2 5" xfId="35971"/>
    <cellStyle name="Separador de milhares 3 11 2 2 7 3" xfId="24986"/>
    <cellStyle name="Separador de milhares 3 11 2 2 7 3 2" xfId="51219"/>
    <cellStyle name="Separador de milhares 3 11 2 2 7 4" xfId="19072"/>
    <cellStyle name="Separador de milhares 3 11 2 2 7 4 2" xfId="45311"/>
    <cellStyle name="Separador de milhares 3 11 2 2 7 5" xfId="12971"/>
    <cellStyle name="Separador de milhares 3 11 2 2 7 5 2" xfId="39213"/>
    <cellStyle name="Separador de milhares 3 11 2 2 7 6" xfId="32827"/>
    <cellStyle name="Separador de milhares 3 11 2 2 8" xfId="8258"/>
    <cellStyle name="Separador de milhares 3 11 2 2 8 2" xfId="26472"/>
    <cellStyle name="Separador de milhares 3 11 2 2 8 2 2" xfId="52705"/>
    <cellStyle name="Separador de milhares 3 11 2 2 8 3" xfId="20558"/>
    <cellStyle name="Separador de milhares 3 11 2 2 8 3 2" xfId="46797"/>
    <cellStyle name="Separador de milhares 3 11 2 2 8 4" xfId="14647"/>
    <cellStyle name="Separador de milhares 3 11 2 2 8 4 2" xfId="40889"/>
    <cellStyle name="Separador de milhares 3 11 2 2 8 5" xfId="34503"/>
    <cellStyle name="Separador de milhares 3 11 2 2 9" xfId="4881"/>
    <cellStyle name="Separador de milhares 3 11 2 2 9 2" xfId="23515"/>
    <cellStyle name="Separador de milhares 3 11 2 2 9 2 2" xfId="49751"/>
    <cellStyle name="Separador de milhares 3 11 2 2 9 3" xfId="31128"/>
    <cellStyle name="Separador de milhares 3 11 2 3" xfId="972"/>
    <cellStyle name="Separador de milhares 3 11 2 3 2" xfId="6733"/>
    <cellStyle name="Separador de milhares 3 11 2 3 2 2" xfId="9880"/>
    <cellStyle name="Separador de milhares 3 11 2 3 2 2 2" xfId="28094"/>
    <cellStyle name="Separador de milhares 3 11 2 3 2 2 2 2" xfId="54324"/>
    <cellStyle name="Separador de milhares 3 11 2 3 2 2 3" xfId="22180"/>
    <cellStyle name="Separador de milhares 3 11 2 3 2 2 3 2" xfId="48416"/>
    <cellStyle name="Separador de milhares 3 11 2 3 2 2 4" xfId="16266"/>
    <cellStyle name="Separador de milhares 3 11 2 3 2 2 4 2" xfId="42508"/>
    <cellStyle name="Separador de milhares 3 11 2 3 2 2 5" xfId="36122"/>
    <cellStyle name="Separador de milhares 3 11 2 3 2 3" xfId="25137"/>
    <cellStyle name="Separador de milhares 3 11 2 3 2 3 2" xfId="51370"/>
    <cellStyle name="Separador de milhares 3 11 2 3 2 4" xfId="19223"/>
    <cellStyle name="Separador de milhares 3 11 2 3 2 4 2" xfId="45462"/>
    <cellStyle name="Separador de milhares 3 11 2 3 2 5" xfId="13122"/>
    <cellStyle name="Separador de milhares 3 11 2 3 2 5 2" xfId="39364"/>
    <cellStyle name="Separador de milhares 3 11 2 3 2 6" xfId="32978"/>
    <cellStyle name="Separador de milhares 3 11 2 3 3" xfId="8412"/>
    <cellStyle name="Separador de milhares 3 11 2 3 3 2" xfId="26626"/>
    <cellStyle name="Separador de milhares 3 11 2 3 3 2 2" xfId="52856"/>
    <cellStyle name="Separador de milhares 3 11 2 3 3 3" xfId="20712"/>
    <cellStyle name="Separador de milhares 3 11 2 3 3 3 2" xfId="46948"/>
    <cellStyle name="Separador de milhares 3 11 2 3 3 4" xfId="14798"/>
    <cellStyle name="Separador de milhares 3 11 2 3 3 4 2" xfId="41040"/>
    <cellStyle name="Separador de milhares 3 11 2 3 3 5" xfId="34654"/>
    <cellStyle name="Separador de milhares 3 11 2 3 4" xfId="5034"/>
    <cellStyle name="Separador de milhares 3 11 2 3 4 2" xfId="23669"/>
    <cellStyle name="Separador de milhares 3 11 2 3 4 2 2" xfId="49902"/>
    <cellStyle name="Separador de milhares 3 11 2 3 4 3" xfId="31279"/>
    <cellStyle name="Separador de milhares 3 11 2 3 5" xfId="17755"/>
    <cellStyle name="Separador de milhares 3 11 2 3 5 2" xfId="43994"/>
    <cellStyle name="Separador de milhares 3 11 2 3 6" xfId="11421"/>
    <cellStyle name="Separador de milhares 3 11 2 3 6 2" xfId="37663"/>
    <cellStyle name="Separador de milhares 3 11 2 3 7" xfId="29581"/>
    <cellStyle name="Separador de milhares 3 11 2 4" xfId="1323"/>
    <cellStyle name="Separador de milhares 3 11 2 4 2" xfId="6831"/>
    <cellStyle name="Separador de milhares 3 11 2 4 2 2" xfId="9978"/>
    <cellStyle name="Separador de milhares 3 11 2 4 2 2 2" xfId="28192"/>
    <cellStyle name="Separador de milhares 3 11 2 4 2 2 2 2" xfId="54422"/>
    <cellStyle name="Separador de milhares 3 11 2 4 2 2 3" xfId="22278"/>
    <cellStyle name="Separador de milhares 3 11 2 4 2 2 3 2" xfId="48514"/>
    <cellStyle name="Separador de milhares 3 11 2 4 2 2 4" xfId="16364"/>
    <cellStyle name="Separador de milhares 3 11 2 4 2 2 4 2" xfId="42606"/>
    <cellStyle name="Separador de milhares 3 11 2 4 2 2 5" xfId="36220"/>
    <cellStyle name="Separador de milhares 3 11 2 4 2 3" xfId="25235"/>
    <cellStyle name="Separador de milhares 3 11 2 4 2 3 2" xfId="51468"/>
    <cellStyle name="Separador de milhares 3 11 2 4 2 4" xfId="19321"/>
    <cellStyle name="Separador de milhares 3 11 2 4 2 4 2" xfId="45560"/>
    <cellStyle name="Separador de milhares 3 11 2 4 2 5" xfId="13220"/>
    <cellStyle name="Separador de milhares 3 11 2 4 2 5 2" xfId="39462"/>
    <cellStyle name="Separador de milhares 3 11 2 4 2 6" xfId="33076"/>
    <cellStyle name="Separador de milhares 3 11 2 4 3" xfId="8510"/>
    <cellStyle name="Separador de milhares 3 11 2 4 3 2" xfId="26724"/>
    <cellStyle name="Separador de milhares 3 11 2 4 3 2 2" xfId="52954"/>
    <cellStyle name="Separador de milhares 3 11 2 4 3 3" xfId="20810"/>
    <cellStyle name="Separador de milhares 3 11 2 4 3 3 2" xfId="47046"/>
    <cellStyle name="Separador de milhares 3 11 2 4 3 4" xfId="14896"/>
    <cellStyle name="Separador de milhares 3 11 2 4 3 4 2" xfId="41138"/>
    <cellStyle name="Separador de milhares 3 11 2 4 3 5" xfId="34752"/>
    <cellStyle name="Separador de milhares 3 11 2 4 4" xfId="5132"/>
    <cellStyle name="Separador de milhares 3 11 2 4 4 2" xfId="23767"/>
    <cellStyle name="Separador de milhares 3 11 2 4 4 2 2" xfId="50000"/>
    <cellStyle name="Separador de milhares 3 11 2 4 4 3" xfId="31377"/>
    <cellStyle name="Separador de milhares 3 11 2 4 5" xfId="17853"/>
    <cellStyle name="Separador de milhares 3 11 2 4 5 2" xfId="44092"/>
    <cellStyle name="Separador de milhares 3 11 2 4 6" xfId="11519"/>
    <cellStyle name="Separador de milhares 3 11 2 4 6 2" xfId="37761"/>
    <cellStyle name="Separador de milhares 3 11 2 4 7" xfId="29679"/>
    <cellStyle name="Separador de milhares 3 11 2 5" xfId="1758"/>
    <cellStyle name="Separador de milhares 3 11 2 5 2" xfId="6950"/>
    <cellStyle name="Separador de milhares 3 11 2 5 2 2" xfId="10097"/>
    <cellStyle name="Separador de milhares 3 11 2 5 2 2 2" xfId="28311"/>
    <cellStyle name="Separador de milhares 3 11 2 5 2 2 2 2" xfId="54541"/>
    <cellStyle name="Separador de milhares 3 11 2 5 2 2 3" xfId="22397"/>
    <cellStyle name="Separador de milhares 3 11 2 5 2 2 3 2" xfId="48633"/>
    <cellStyle name="Separador de milhares 3 11 2 5 2 2 4" xfId="16483"/>
    <cellStyle name="Separador de milhares 3 11 2 5 2 2 4 2" xfId="42725"/>
    <cellStyle name="Separador de milhares 3 11 2 5 2 2 5" xfId="36339"/>
    <cellStyle name="Separador de milhares 3 11 2 5 2 3" xfId="25354"/>
    <cellStyle name="Separador de milhares 3 11 2 5 2 3 2" xfId="51587"/>
    <cellStyle name="Separador de milhares 3 11 2 5 2 4" xfId="19440"/>
    <cellStyle name="Separador de milhares 3 11 2 5 2 4 2" xfId="45679"/>
    <cellStyle name="Separador de milhares 3 11 2 5 2 5" xfId="13339"/>
    <cellStyle name="Separador de milhares 3 11 2 5 2 5 2" xfId="39581"/>
    <cellStyle name="Separador de milhares 3 11 2 5 2 6" xfId="33195"/>
    <cellStyle name="Separador de milhares 3 11 2 5 3" xfId="8629"/>
    <cellStyle name="Separador de milhares 3 11 2 5 3 2" xfId="26843"/>
    <cellStyle name="Separador de milhares 3 11 2 5 3 2 2" xfId="53073"/>
    <cellStyle name="Separador de milhares 3 11 2 5 3 3" xfId="20929"/>
    <cellStyle name="Separador de milhares 3 11 2 5 3 3 2" xfId="47165"/>
    <cellStyle name="Separador de milhares 3 11 2 5 3 4" xfId="15015"/>
    <cellStyle name="Separador de milhares 3 11 2 5 3 4 2" xfId="41257"/>
    <cellStyle name="Separador de milhares 3 11 2 5 3 5" xfId="34871"/>
    <cellStyle name="Separador de milhares 3 11 2 5 4" xfId="5251"/>
    <cellStyle name="Separador de milhares 3 11 2 5 4 2" xfId="23886"/>
    <cellStyle name="Separador de milhares 3 11 2 5 4 2 2" xfId="50119"/>
    <cellStyle name="Separador de milhares 3 11 2 5 4 3" xfId="31496"/>
    <cellStyle name="Separador de milhares 3 11 2 5 5" xfId="17972"/>
    <cellStyle name="Separador de milhares 3 11 2 5 5 2" xfId="44211"/>
    <cellStyle name="Separador de milhares 3 11 2 5 6" xfId="11638"/>
    <cellStyle name="Separador de milhares 3 11 2 5 6 2" xfId="37880"/>
    <cellStyle name="Separador de milhares 3 11 2 5 7" xfId="29798"/>
    <cellStyle name="Separador de milhares 3 11 2 6" xfId="2288"/>
    <cellStyle name="Separador de milhares 3 11 2 6 2" xfId="7100"/>
    <cellStyle name="Separador de milhares 3 11 2 6 2 2" xfId="10244"/>
    <cellStyle name="Separador de milhares 3 11 2 6 2 2 2" xfId="28458"/>
    <cellStyle name="Separador de milhares 3 11 2 6 2 2 2 2" xfId="54688"/>
    <cellStyle name="Separador de milhares 3 11 2 6 2 2 3" xfId="22544"/>
    <cellStyle name="Separador de milhares 3 11 2 6 2 2 3 2" xfId="48780"/>
    <cellStyle name="Separador de milhares 3 11 2 6 2 2 4" xfId="16630"/>
    <cellStyle name="Separador de milhares 3 11 2 6 2 2 4 2" xfId="42872"/>
    <cellStyle name="Separador de milhares 3 11 2 6 2 2 5" xfId="36486"/>
    <cellStyle name="Separador de milhares 3 11 2 6 2 3" xfId="25501"/>
    <cellStyle name="Separador de milhares 3 11 2 6 2 3 2" xfId="51734"/>
    <cellStyle name="Separador de milhares 3 11 2 6 2 4" xfId="19587"/>
    <cellStyle name="Separador de milhares 3 11 2 6 2 4 2" xfId="45826"/>
    <cellStyle name="Separador de milhares 3 11 2 6 2 5" xfId="13489"/>
    <cellStyle name="Separador de milhares 3 11 2 6 2 5 2" xfId="39731"/>
    <cellStyle name="Separador de milhares 3 11 2 6 2 6" xfId="33345"/>
    <cellStyle name="Separador de milhares 3 11 2 6 3" xfId="8776"/>
    <cellStyle name="Separador de milhares 3 11 2 6 3 2" xfId="26990"/>
    <cellStyle name="Separador de milhares 3 11 2 6 3 2 2" xfId="53220"/>
    <cellStyle name="Separador de milhares 3 11 2 6 3 3" xfId="21076"/>
    <cellStyle name="Separador de milhares 3 11 2 6 3 3 2" xfId="47312"/>
    <cellStyle name="Separador de milhares 3 11 2 6 3 4" xfId="15162"/>
    <cellStyle name="Separador de milhares 3 11 2 6 3 4 2" xfId="41404"/>
    <cellStyle name="Separador de milhares 3 11 2 6 3 5" xfId="35018"/>
    <cellStyle name="Separador de milhares 3 11 2 6 4" xfId="5401"/>
    <cellStyle name="Separador de milhares 3 11 2 6 4 2" xfId="24033"/>
    <cellStyle name="Separador de milhares 3 11 2 6 4 2 2" xfId="50266"/>
    <cellStyle name="Separador de milhares 3 11 2 6 4 3" xfId="31646"/>
    <cellStyle name="Separador de milhares 3 11 2 6 5" xfId="18119"/>
    <cellStyle name="Separador de milhares 3 11 2 6 5 2" xfId="44358"/>
    <cellStyle name="Separador de milhares 3 11 2 6 6" xfId="11788"/>
    <cellStyle name="Separador de milhares 3 11 2 6 6 2" xfId="38030"/>
    <cellStyle name="Separador de milhares 3 11 2 6 7" xfId="29948"/>
    <cellStyle name="Separador de milhares 3 11 2 7" xfId="2815"/>
    <cellStyle name="Separador de milhares 3 11 2 7 2" xfId="7247"/>
    <cellStyle name="Separador de milhares 3 11 2 7 2 2" xfId="10391"/>
    <cellStyle name="Separador de milhares 3 11 2 7 2 2 2" xfId="28605"/>
    <cellStyle name="Separador de milhares 3 11 2 7 2 2 2 2" xfId="54835"/>
    <cellStyle name="Separador de milhares 3 11 2 7 2 2 3" xfId="22691"/>
    <cellStyle name="Separador de milhares 3 11 2 7 2 2 3 2" xfId="48927"/>
    <cellStyle name="Separador de milhares 3 11 2 7 2 2 4" xfId="16777"/>
    <cellStyle name="Separador de milhares 3 11 2 7 2 2 4 2" xfId="43019"/>
    <cellStyle name="Separador de milhares 3 11 2 7 2 2 5" xfId="36633"/>
    <cellStyle name="Separador de milhares 3 11 2 7 2 3" xfId="25648"/>
    <cellStyle name="Separador de milhares 3 11 2 7 2 3 2" xfId="51881"/>
    <cellStyle name="Separador de milhares 3 11 2 7 2 4" xfId="19734"/>
    <cellStyle name="Separador de milhares 3 11 2 7 2 4 2" xfId="45973"/>
    <cellStyle name="Separador de milhares 3 11 2 7 2 5" xfId="13636"/>
    <cellStyle name="Separador de milhares 3 11 2 7 2 5 2" xfId="39878"/>
    <cellStyle name="Separador de milhares 3 11 2 7 2 6" xfId="33492"/>
    <cellStyle name="Separador de milhares 3 11 2 7 3" xfId="8923"/>
    <cellStyle name="Separador de milhares 3 11 2 7 3 2" xfId="27137"/>
    <cellStyle name="Separador de milhares 3 11 2 7 3 2 2" xfId="53367"/>
    <cellStyle name="Separador de milhares 3 11 2 7 3 3" xfId="21223"/>
    <cellStyle name="Separador de milhares 3 11 2 7 3 3 2" xfId="47459"/>
    <cellStyle name="Separador de milhares 3 11 2 7 3 4" xfId="15309"/>
    <cellStyle name="Separador de milhares 3 11 2 7 3 4 2" xfId="41551"/>
    <cellStyle name="Separador de milhares 3 11 2 7 3 5" xfId="35165"/>
    <cellStyle name="Separador de milhares 3 11 2 7 4" xfId="5548"/>
    <cellStyle name="Separador de milhares 3 11 2 7 4 2" xfId="24180"/>
    <cellStyle name="Separador de milhares 3 11 2 7 4 2 2" xfId="50413"/>
    <cellStyle name="Separador de milhares 3 11 2 7 4 3" xfId="31793"/>
    <cellStyle name="Separador de milhares 3 11 2 7 5" xfId="18266"/>
    <cellStyle name="Separador de milhares 3 11 2 7 5 2" xfId="44505"/>
    <cellStyle name="Separador de milhares 3 11 2 7 6" xfId="11935"/>
    <cellStyle name="Separador de milhares 3 11 2 7 6 2" xfId="38177"/>
    <cellStyle name="Separador de milhares 3 11 2 7 7" xfId="30095"/>
    <cellStyle name="Separador de milhares 3 11 2 8" xfId="3342"/>
    <cellStyle name="Separador de milhares 3 11 2 8 2" xfId="7394"/>
    <cellStyle name="Separador de milhares 3 11 2 8 2 2" xfId="10538"/>
    <cellStyle name="Separador de milhares 3 11 2 8 2 2 2" xfId="28752"/>
    <cellStyle name="Separador de milhares 3 11 2 8 2 2 2 2" xfId="54982"/>
    <cellStyle name="Separador de milhares 3 11 2 8 2 2 3" xfId="22838"/>
    <cellStyle name="Separador de milhares 3 11 2 8 2 2 3 2" xfId="49074"/>
    <cellStyle name="Separador de milhares 3 11 2 8 2 2 4" xfId="16924"/>
    <cellStyle name="Separador de milhares 3 11 2 8 2 2 4 2" xfId="43166"/>
    <cellStyle name="Separador de milhares 3 11 2 8 2 2 5" xfId="36780"/>
    <cellStyle name="Separador de milhares 3 11 2 8 2 3" xfId="25795"/>
    <cellStyle name="Separador de milhares 3 11 2 8 2 3 2" xfId="52028"/>
    <cellStyle name="Separador de milhares 3 11 2 8 2 4" xfId="19881"/>
    <cellStyle name="Separador de milhares 3 11 2 8 2 4 2" xfId="46120"/>
    <cellStyle name="Separador de milhares 3 11 2 8 2 5" xfId="13783"/>
    <cellStyle name="Separador de milhares 3 11 2 8 2 5 2" xfId="40025"/>
    <cellStyle name="Separador de milhares 3 11 2 8 2 6" xfId="33639"/>
    <cellStyle name="Separador de milhares 3 11 2 8 3" xfId="9070"/>
    <cellStyle name="Separador de milhares 3 11 2 8 3 2" xfId="27284"/>
    <cellStyle name="Separador de milhares 3 11 2 8 3 2 2" xfId="53514"/>
    <cellStyle name="Separador de milhares 3 11 2 8 3 3" xfId="21370"/>
    <cellStyle name="Separador de milhares 3 11 2 8 3 3 2" xfId="47606"/>
    <cellStyle name="Separador de milhares 3 11 2 8 3 4" xfId="15456"/>
    <cellStyle name="Separador de milhares 3 11 2 8 3 4 2" xfId="41698"/>
    <cellStyle name="Separador de milhares 3 11 2 8 3 5" xfId="35312"/>
    <cellStyle name="Separador de milhares 3 11 2 8 4" xfId="5695"/>
    <cellStyle name="Separador de milhares 3 11 2 8 4 2" xfId="24327"/>
    <cellStyle name="Separador de milhares 3 11 2 8 4 2 2" xfId="50560"/>
    <cellStyle name="Separador de milhares 3 11 2 8 4 3" xfId="31940"/>
    <cellStyle name="Separador de milhares 3 11 2 8 5" xfId="18413"/>
    <cellStyle name="Separador de milhares 3 11 2 8 5 2" xfId="44652"/>
    <cellStyle name="Separador de milhares 3 11 2 8 6" xfId="12082"/>
    <cellStyle name="Separador de milhares 3 11 2 8 6 2" xfId="38324"/>
    <cellStyle name="Separador de milhares 3 11 2 8 7" xfId="30242"/>
    <cellStyle name="Separador de milhares 3 11 2 9" xfId="3869"/>
    <cellStyle name="Separador de milhares 3 11 2 9 2" xfId="7541"/>
    <cellStyle name="Separador de milhares 3 11 2 9 2 2" xfId="10685"/>
    <cellStyle name="Separador de milhares 3 11 2 9 2 2 2" xfId="28899"/>
    <cellStyle name="Separador de milhares 3 11 2 9 2 2 2 2" xfId="55129"/>
    <cellStyle name="Separador de milhares 3 11 2 9 2 2 3" xfId="22985"/>
    <cellStyle name="Separador de milhares 3 11 2 9 2 2 3 2" xfId="49221"/>
    <cellStyle name="Separador de milhares 3 11 2 9 2 2 4" xfId="17071"/>
    <cellStyle name="Separador de milhares 3 11 2 9 2 2 4 2" xfId="43313"/>
    <cellStyle name="Separador de milhares 3 11 2 9 2 2 5" xfId="36927"/>
    <cellStyle name="Separador de milhares 3 11 2 9 2 3" xfId="25942"/>
    <cellStyle name="Separador de milhares 3 11 2 9 2 3 2" xfId="52175"/>
    <cellStyle name="Separador de milhares 3 11 2 9 2 4" xfId="20028"/>
    <cellStyle name="Separador de milhares 3 11 2 9 2 4 2" xfId="46267"/>
    <cellStyle name="Separador de milhares 3 11 2 9 2 5" xfId="13930"/>
    <cellStyle name="Separador de milhares 3 11 2 9 2 5 2" xfId="40172"/>
    <cellStyle name="Separador de milhares 3 11 2 9 2 6" xfId="33786"/>
    <cellStyle name="Separador de milhares 3 11 2 9 3" xfId="9217"/>
    <cellStyle name="Separador de milhares 3 11 2 9 3 2" xfId="27431"/>
    <cellStyle name="Separador de milhares 3 11 2 9 3 2 2" xfId="53661"/>
    <cellStyle name="Separador de milhares 3 11 2 9 3 3" xfId="21517"/>
    <cellStyle name="Separador de milhares 3 11 2 9 3 3 2" xfId="47753"/>
    <cellStyle name="Separador de milhares 3 11 2 9 3 4" xfId="15603"/>
    <cellStyle name="Separador de milhares 3 11 2 9 3 4 2" xfId="41845"/>
    <cellStyle name="Separador de milhares 3 11 2 9 3 5" xfId="35459"/>
    <cellStyle name="Separador de milhares 3 11 2 9 4" xfId="5842"/>
    <cellStyle name="Separador de milhares 3 11 2 9 4 2" xfId="24474"/>
    <cellStyle name="Separador de milhares 3 11 2 9 4 2 2" xfId="50707"/>
    <cellStyle name="Separador de milhares 3 11 2 9 4 3" xfId="32087"/>
    <cellStyle name="Separador de milhares 3 11 2 9 5" xfId="18560"/>
    <cellStyle name="Separador de milhares 3 11 2 9 5 2" xfId="44799"/>
    <cellStyle name="Separador de milhares 3 11 2 9 6" xfId="12229"/>
    <cellStyle name="Separador de milhares 3 11 2 9 6 2" xfId="38471"/>
    <cellStyle name="Separador de milhares 3 11 2 9 7" xfId="30389"/>
    <cellStyle name="Separador de milhares 3 11 3" xfId="321"/>
    <cellStyle name="Separador de milhares 3 11 3 10" xfId="6532"/>
    <cellStyle name="Separador de milhares 3 11 3 10 2" xfId="9683"/>
    <cellStyle name="Separador de milhares 3 11 3 10 2 2" xfId="27897"/>
    <cellStyle name="Separador de milhares 3 11 3 10 2 2 2" xfId="54127"/>
    <cellStyle name="Separador de milhares 3 11 3 10 2 3" xfId="21983"/>
    <cellStyle name="Separador de milhares 3 11 3 10 2 3 2" xfId="48219"/>
    <cellStyle name="Separador de milhares 3 11 3 10 2 4" xfId="16069"/>
    <cellStyle name="Separador de milhares 3 11 3 10 2 4 2" xfId="42311"/>
    <cellStyle name="Separador de milhares 3 11 3 10 2 5" xfId="35925"/>
    <cellStyle name="Separador de milhares 3 11 3 10 3" xfId="24940"/>
    <cellStyle name="Separador de milhares 3 11 3 10 3 2" xfId="51173"/>
    <cellStyle name="Separador de milhares 3 11 3 10 4" xfId="19026"/>
    <cellStyle name="Separador de milhares 3 11 3 10 4 2" xfId="45265"/>
    <cellStyle name="Separador de milhares 3 11 3 10 5" xfId="12921"/>
    <cellStyle name="Separador de milhares 3 11 3 10 5 2" xfId="39163"/>
    <cellStyle name="Separador de milhares 3 11 3 10 6" xfId="32777"/>
    <cellStyle name="Separador de milhares 3 11 3 11" xfId="8212"/>
    <cellStyle name="Separador de milhares 3 11 3 11 2" xfId="26426"/>
    <cellStyle name="Separador de milhares 3 11 3 11 2 2" xfId="52659"/>
    <cellStyle name="Separador de milhares 3 11 3 11 3" xfId="20512"/>
    <cellStyle name="Separador de milhares 3 11 3 11 3 2" xfId="46751"/>
    <cellStyle name="Separador de milhares 3 11 3 11 4" xfId="14601"/>
    <cellStyle name="Separador de milhares 3 11 3 11 4 2" xfId="40843"/>
    <cellStyle name="Separador de milhares 3 11 3 11 5" xfId="34457"/>
    <cellStyle name="Separador de milhares 3 11 3 12" xfId="4831"/>
    <cellStyle name="Separador de milhares 3 11 3 12 2" xfId="23469"/>
    <cellStyle name="Separador de milhares 3 11 3 12 2 2" xfId="49705"/>
    <cellStyle name="Separador de milhares 3 11 3 12 3" xfId="31078"/>
    <cellStyle name="Separador de milhares 3 11 3 13" xfId="17555"/>
    <cellStyle name="Separador de milhares 3 11 3 13 2" xfId="43797"/>
    <cellStyle name="Separador de milhares 3 11 3 14" xfId="11220"/>
    <cellStyle name="Separador de milhares 3 11 3 14 2" xfId="37462"/>
    <cellStyle name="Separador de milhares 3 11 3 15" xfId="29380"/>
    <cellStyle name="Separador de milhares 3 11 3 2" xfId="584"/>
    <cellStyle name="Separador de milhares 3 11 3 2 2" xfId="6603"/>
    <cellStyle name="Separador de milhares 3 11 3 2 2 2" xfId="9750"/>
    <cellStyle name="Separador de milhares 3 11 3 2 2 2 2" xfId="27964"/>
    <cellStyle name="Separador de milhares 3 11 3 2 2 2 2 2" xfId="54194"/>
    <cellStyle name="Separador de milhares 3 11 3 2 2 2 3" xfId="22050"/>
    <cellStyle name="Separador de milhares 3 11 3 2 2 2 3 2" xfId="48286"/>
    <cellStyle name="Separador de milhares 3 11 3 2 2 2 4" xfId="16136"/>
    <cellStyle name="Separador de milhares 3 11 3 2 2 2 4 2" xfId="42378"/>
    <cellStyle name="Separador de milhares 3 11 3 2 2 2 5" xfId="35992"/>
    <cellStyle name="Separador de milhares 3 11 3 2 2 3" xfId="25007"/>
    <cellStyle name="Separador de milhares 3 11 3 2 2 3 2" xfId="51240"/>
    <cellStyle name="Separador de milhares 3 11 3 2 2 4" xfId="19093"/>
    <cellStyle name="Separador de milhares 3 11 3 2 2 4 2" xfId="45332"/>
    <cellStyle name="Separador de milhares 3 11 3 2 2 5" xfId="12992"/>
    <cellStyle name="Separador de milhares 3 11 3 2 2 5 2" xfId="39234"/>
    <cellStyle name="Separador de milhares 3 11 3 2 2 6" xfId="32848"/>
    <cellStyle name="Separador de milhares 3 11 3 2 3" xfId="8279"/>
    <cellStyle name="Separador de milhares 3 11 3 2 3 2" xfId="26493"/>
    <cellStyle name="Separador de milhares 3 11 3 2 3 2 2" xfId="52726"/>
    <cellStyle name="Separador de milhares 3 11 3 2 3 3" xfId="20579"/>
    <cellStyle name="Separador de milhares 3 11 3 2 3 3 2" xfId="46818"/>
    <cellStyle name="Separador de milhares 3 11 3 2 3 4" xfId="14668"/>
    <cellStyle name="Separador de milhares 3 11 3 2 3 4 2" xfId="40910"/>
    <cellStyle name="Separador de milhares 3 11 3 2 3 5" xfId="34524"/>
    <cellStyle name="Separador de milhares 3 11 3 2 4" xfId="4902"/>
    <cellStyle name="Separador de milhares 3 11 3 2 4 2" xfId="23536"/>
    <cellStyle name="Separador de milhares 3 11 3 2 4 2 2" xfId="49772"/>
    <cellStyle name="Separador de milhares 3 11 3 2 4 3" xfId="31149"/>
    <cellStyle name="Separador de milhares 3 11 3 2 5" xfId="17622"/>
    <cellStyle name="Separador de milhares 3 11 3 2 5 2" xfId="43864"/>
    <cellStyle name="Separador de milhares 3 11 3 2 6" xfId="11291"/>
    <cellStyle name="Separador de milhares 3 11 3 2 6 2" xfId="37533"/>
    <cellStyle name="Separador de milhares 3 11 3 2 7" xfId="29451"/>
    <cellStyle name="Separador de milhares 3 11 3 3" xfId="881"/>
    <cellStyle name="Separador de milhares 3 11 3 3 2" xfId="6705"/>
    <cellStyle name="Separador de milhares 3 11 3 3 2 2" xfId="9852"/>
    <cellStyle name="Separador de milhares 3 11 3 3 2 2 2" xfId="28066"/>
    <cellStyle name="Separador de milhares 3 11 3 3 2 2 2 2" xfId="54296"/>
    <cellStyle name="Separador de milhares 3 11 3 3 2 2 3" xfId="22152"/>
    <cellStyle name="Separador de milhares 3 11 3 3 2 2 3 2" xfId="48388"/>
    <cellStyle name="Separador de milhares 3 11 3 3 2 2 4" xfId="16238"/>
    <cellStyle name="Separador de milhares 3 11 3 3 2 2 4 2" xfId="42480"/>
    <cellStyle name="Separador de milhares 3 11 3 3 2 2 5" xfId="36094"/>
    <cellStyle name="Separador de milhares 3 11 3 3 2 3" xfId="25109"/>
    <cellStyle name="Separador de milhares 3 11 3 3 2 3 2" xfId="51342"/>
    <cellStyle name="Separador de milhares 3 11 3 3 2 4" xfId="19195"/>
    <cellStyle name="Separador de milhares 3 11 3 3 2 4 2" xfId="45434"/>
    <cellStyle name="Separador de milhares 3 11 3 3 2 5" xfId="13094"/>
    <cellStyle name="Separador de milhares 3 11 3 3 2 5 2" xfId="39336"/>
    <cellStyle name="Separador de milhares 3 11 3 3 2 6" xfId="32950"/>
    <cellStyle name="Separador de milhares 3 11 3 3 3" xfId="8384"/>
    <cellStyle name="Separador de milhares 3 11 3 3 3 2" xfId="26598"/>
    <cellStyle name="Separador de milhares 3 11 3 3 3 2 2" xfId="52828"/>
    <cellStyle name="Separador de milhares 3 11 3 3 3 3" xfId="20684"/>
    <cellStyle name="Separador de milhares 3 11 3 3 3 3 2" xfId="46920"/>
    <cellStyle name="Separador de milhares 3 11 3 3 3 4" xfId="14770"/>
    <cellStyle name="Separador de milhares 3 11 3 3 3 4 2" xfId="41012"/>
    <cellStyle name="Separador de milhares 3 11 3 3 3 5" xfId="34626"/>
    <cellStyle name="Separador de milhares 3 11 3 3 4" xfId="5006"/>
    <cellStyle name="Separador de milhares 3 11 3 3 4 2" xfId="23641"/>
    <cellStyle name="Separador de milhares 3 11 3 3 4 2 2" xfId="49874"/>
    <cellStyle name="Separador de milhares 3 11 3 3 4 3" xfId="31251"/>
    <cellStyle name="Separador de milhares 3 11 3 3 5" xfId="17727"/>
    <cellStyle name="Separador de milhares 3 11 3 3 5 2" xfId="43966"/>
    <cellStyle name="Separador de milhares 3 11 3 3 6" xfId="11393"/>
    <cellStyle name="Separador de milhares 3 11 3 3 6 2" xfId="37635"/>
    <cellStyle name="Separador de milhares 3 11 3 3 7" xfId="29553"/>
    <cellStyle name="Separador de milhares 3 11 3 4" xfId="1232"/>
    <cellStyle name="Separador de milhares 3 11 3 4 2" xfId="6803"/>
    <cellStyle name="Separador de milhares 3 11 3 4 2 2" xfId="9950"/>
    <cellStyle name="Separador de milhares 3 11 3 4 2 2 2" xfId="28164"/>
    <cellStyle name="Separador de milhares 3 11 3 4 2 2 2 2" xfId="54394"/>
    <cellStyle name="Separador de milhares 3 11 3 4 2 2 3" xfId="22250"/>
    <cellStyle name="Separador de milhares 3 11 3 4 2 2 3 2" xfId="48486"/>
    <cellStyle name="Separador de milhares 3 11 3 4 2 2 4" xfId="16336"/>
    <cellStyle name="Separador de milhares 3 11 3 4 2 2 4 2" xfId="42578"/>
    <cellStyle name="Separador de milhares 3 11 3 4 2 2 5" xfId="36192"/>
    <cellStyle name="Separador de milhares 3 11 3 4 2 3" xfId="25207"/>
    <cellStyle name="Separador de milhares 3 11 3 4 2 3 2" xfId="51440"/>
    <cellStyle name="Separador de milhares 3 11 3 4 2 4" xfId="19293"/>
    <cellStyle name="Separador de milhares 3 11 3 4 2 4 2" xfId="45532"/>
    <cellStyle name="Separador de milhares 3 11 3 4 2 5" xfId="13192"/>
    <cellStyle name="Separador de milhares 3 11 3 4 2 5 2" xfId="39434"/>
    <cellStyle name="Separador de milhares 3 11 3 4 2 6" xfId="33048"/>
    <cellStyle name="Separador de milhares 3 11 3 4 3" xfId="8482"/>
    <cellStyle name="Separador de milhares 3 11 3 4 3 2" xfId="26696"/>
    <cellStyle name="Separador de milhares 3 11 3 4 3 2 2" xfId="52926"/>
    <cellStyle name="Separador de milhares 3 11 3 4 3 3" xfId="20782"/>
    <cellStyle name="Separador de milhares 3 11 3 4 3 3 2" xfId="47018"/>
    <cellStyle name="Separador de milhares 3 11 3 4 3 4" xfId="14868"/>
    <cellStyle name="Separador de milhares 3 11 3 4 3 4 2" xfId="41110"/>
    <cellStyle name="Separador de milhares 3 11 3 4 3 5" xfId="34724"/>
    <cellStyle name="Separador de milhares 3 11 3 4 4" xfId="5104"/>
    <cellStyle name="Separador de milhares 3 11 3 4 4 2" xfId="23739"/>
    <cellStyle name="Separador de milhares 3 11 3 4 4 2 2" xfId="49972"/>
    <cellStyle name="Separador de milhares 3 11 3 4 4 3" xfId="31349"/>
    <cellStyle name="Separador de milhares 3 11 3 4 5" xfId="17825"/>
    <cellStyle name="Separador de milhares 3 11 3 4 5 2" xfId="44064"/>
    <cellStyle name="Separador de milhares 3 11 3 4 6" xfId="11491"/>
    <cellStyle name="Separador de milhares 3 11 3 4 6 2" xfId="37733"/>
    <cellStyle name="Separador de milhares 3 11 3 4 7" xfId="29651"/>
    <cellStyle name="Separador de milhares 3 11 3 5" xfId="1667"/>
    <cellStyle name="Separador de milhares 3 11 3 5 2" xfId="6922"/>
    <cellStyle name="Separador de milhares 3 11 3 5 2 2" xfId="10069"/>
    <cellStyle name="Separador de milhares 3 11 3 5 2 2 2" xfId="28283"/>
    <cellStyle name="Separador de milhares 3 11 3 5 2 2 2 2" xfId="54513"/>
    <cellStyle name="Separador de milhares 3 11 3 5 2 2 3" xfId="22369"/>
    <cellStyle name="Separador de milhares 3 11 3 5 2 2 3 2" xfId="48605"/>
    <cellStyle name="Separador de milhares 3 11 3 5 2 2 4" xfId="16455"/>
    <cellStyle name="Separador de milhares 3 11 3 5 2 2 4 2" xfId="42697"/>
    <cellStyle name="Separador de milhares 3 11 3 5 2 2 5" xfId="36311"/>
    <cellStyle name="Separador de milhares 3 11 3 5 2 3" xfId="25326"/>
    <cellStyle name="Separador de milhares 3 11 3 5 2 3 2" xfId="51559"/>
    <cellStyle name="Separador de milhares 3 11 3 5 2 4" xfId="19412"/>
    <cellStyle name="Separador de milhares 3 11 3 5 2 4 2" xfId="45651"/>
    <cellStyle name="Separador de milhares 3 11 3 5 2 5" xfId="13311"/>
    <cellStyle name="Separador de milhares 3 11 3 5 2 5 2" xfId="39553"/>
    <cellStyle name="Separador de milhares 3 11 3 5 2 6" xfId="33167"/>
    <cellStyle name="Separador de milhares 3 11 3 5 3" xfId="8601"/>
    <cellStyle name="Separador de milhares 3 11 3 5 3 2" xfId="26815"/>
    <cellStyle name="Separador de milhares 3 11 3 5 3 2 2" xfId="53045"/>
    <cellStyle name="Separador de milhares 3 11 3 5 3 3" xfId="20901"/>
    <cellStyle name="Separador de milhares 3 11 3 5 3 3 2" xfId="47137"/>
    <cellStyle name="Separador de milhares 3 11 3 5 3 4" xfId="14987"/>
    <cellStyle name="Separador de milhares 3 11 3 5 3 4 2" xfId="41229"/>
    <cellStyle name="Separador de milhares 3 11 3 5 3 5" xfId="34843"/>
    <cellStyle name="Separador de milhares 3 11 3 5 4" xfId="5223"/>
    <cellStyle name="Separador de milhares 3 11 3 5 4 2" xfId="23858"/>
    <cellStyle name="Separador de milhares 3 11 3 5 4 2 2" xfId="50091"/>
    <cellStyle name="Separador de milhares 3 11 3 5 4 3" xfId="31468"/>
    <cellStyle name="Separador de milhares 3 11 3 5 5" xfId="17944"/>
    <cellStyle name="Separador de milhares 3 11 3 5 5 2" xfId="44183"/>
    <cellStyle name="Separador de milhares 3 11 3 5 6" xfId="11610"/>
    <cellStyle name="Separador de milhares 3 11 3 5 6 2" xfId="37852"/>
    <cellStyle name="Separador de milhares 3 11 3 5 7" xfId="29770"/>
    <cellStyle name="Separador de milhares 3 11 3 6" xfId="2197"/>
    <cellStyle name="Separador de milhares 3 11 3 6 2" xfId="7072"/>
    <cellStyle name="Separador de milhares 3 11 3 6 2 2" xfId="10216"/>
    <cellStyle name="Separador de milhares 3 11 3 6 2 2 2" xfId="28430"/>
    <cellStyle name="Separador de milhares 3 11 3 6 2 2 2 2" xfId="54660"/>
    <cellStyle name="Separador de milhares 3 11 3 6 2 2 3" xfId="22516"/>
    <cellStyle name="Separador de milhares 3 11 3 6 2 2 3 2" xfId="48752"/>
    <cellStyle name="Separador de milhares 3 11 3 6 2 2 4" xfId="16602"/>
    <cellStyle name="Separador de milhares 3 11 3 6 2 2 4 2" xfId="42844"/>
    <cellStyle name="Separador de milhares 3 11 3 6 2 2 5" xfId="36458"/>
    <cellStyle name="Separador de milhares 3 11 3 6 2 3" xfId="25473"/>
    <cellStyle name="Separador de milhares 3 11 3 6 2 3 2" xfId="51706"/>
    <cellStyle name="Separador de milhares 3 11 3 6 2 4" xfId="19559"/>
    <cellStyle name="Separador de milhares 3 11 3 6 2 4 2" xfId="45798"/>
    <cellStyle name="Separador de milhares 3 11 3 6 2 5" xfId="13461"/>
    <cellStyle name="Separador de milhares 3 11 3 6 2 5 2" xfId="39703"/>
    <cellStyle name="Separador de milhares 3 11 3 6 2 6" xfId="33317"/>
    <cellStyle name="Separador de milhares 3 11 3 6 3" xfId="8748"/>
    <cellStyle name="Separador de milhares 3 11 3 6 3 2" xfId="26962"/>
    <cellStyle name="Separador de milhares 3 11 3 6 3 2 2" xfId="53192"/>
    <cellStyle name="Separador de milhares 3 11 3 6 3 3" xfId="21048"/>
    <cellStyle name="Separador de milhares 3 11 3 6 3 3 2" xfId="47284"/>
    <cellStyle name="Separador de milhares 3 11 3 6 3 4" xfId="15134"/>
    <cellStyle name="Separador de milhares 3 11 3 6 3 4 2" xfId="41376"/>
    <cellStyle name="Separador de milhares 3 11 3 6 3 5" xfId="34990"/>
    <cellStyle name="Separador de milhares 3 11 3 6 4" xfId="5373"/>
    <cellStyle name="Separador de milhares 3 11 3 6 4 2" xfId="24005"/>
    <cellStyle name="Separador de milhares 3 11 3 6 4 2 2" xfId="50238"/>
    <cellStyle name="Separador de milhares 3 11 3 6 4 3" xfId="31618"/>
    <cellStyle name="Separador de milhares 3 11 3 6 5" xfId="18091"/>
    <cellStyle name="Separador de milhares 3 11 3 6 5 2" xfId="44330"/>
    <cellStyle name="Separador de milhares 3 11 3 6 6" xfId="11760"/>
    <cellStyle name="Separador de milhares 3 11 3 6 6 2" xfId="38002"/>
    <cellStyle name="Separador de milhares 3 11 3 6 7" xfId="29920"/>
    <cellStyle name="Separador de milhares 3 11 3 7" xfId="2724"/>
    <cellStyle name="Separador de milhares 3 11 3 7 2" xfId="7219"/>
    <cellStyle name="Separador de milhares 3 11 3 7 2 2" xfId="10363"/>
    <cellStyle name="Separador de milhares 3 11 3 7 2 2 2" xfId="28577"/>
    <cellStyle name="Separador de milhares 3 11 3 7 2 2 2 2" xfId="54807"/>
    <cellStyle name="Separador de milhares 3 11 3 7 2 2 3" xfId="22663"/>
    <cellStyle name="Separador de milhares 3 11 3 7 2 2 3 2" xfId="48899"/>
    <cellStyle name="Separador de milhares 3 11 3 7 2 2 4" xfId="16749"/>
    <cellStyle name="Separador de milhares 3 11 3 7 2 2 4 2" xfId="42991"/>
    <cellStyle name="Separador de milhares 3 11 3 7 2 2 5" xfId="36605"/>
    <cellStyle name="Separador de milhares 3 11 3 7 2 3" xfId="25620"/>
    <cellStyle name="Separador de milhares 3 11 3 7 2 3 2" xfId="51853"/>
    <cellStyle name="Separador de milhares 3 11 3 7 2 4" xfId="19706"/>
    <cellStyle name="Separador de milhares 3 11 3 7 2 4 2" xfId="45945"/>
    <cellStyle name="Separador de milhares 3 11 3 7 2 5" xfId="13608"/>
    <cellStyle name="Separador de milhares 3 11 3 7 2 5 2" xfId="39850"/>
    <cellStyle name="Separador de milhares 3 11 3 7 2 6" xfId="33464"/>
    <cellStyle name="Separador de milhares 3 11 3 7 3" xfId="8895"/>
    <cellStyle name="Separador de milhares 3 11 3 7 3 2" xfId="27109"/>
    <cellStyle name="Separador de milhares 3 11 3 7 3 2 2" xfId="53339"/>
    <cellStyle name="Separador de milhares 3 11 3 7 3 3" xfId="21195"/>
    <cellStyle name="Separador de milhares 3 11 3 7 3 3 2" xfId="47431"/>
    <cellStyle name="Separador de milhares 3 11 3 7 3 4" xfId="15281"/>
    <cellStyle name="Separador de milhares 3 11 3 7 3 4 2" xfId="41523"/>
    <cellStyle name="Separador de milhares 3 11 3 7 3 5" xfId="35137"/>
    <cellStyle name="Separador de milhares 3 11 3 7 4" xfId="5520"/>
    <cellStyle name="Separador de milhares 3 11 3 7 4 2" xfId="24152"/>
    <cellStyle name="Separador de milhares 3 11 3 7 4 2 2" xfId="50385"/>
    <cellStyle name="Separador de milhares 3 11 3 7 4 3" xfId="31765"/>
    <cellStyle name="Separador de milhares 3 11 3 7 5" xfId="18238"/>
    <cellStyle name="Separador de milhares 3 11 3 7 5 2" xfId="44477"/>
    <cellStyle name="Separador de milhares 3 11 3 7 6" xfId="11907"/>
    <cellStyle name="Separador de milhares 3 11 3 7 6 2" xfId="38149"/>
    <cellStyle name="Separador de milhares 3 11 3 7 7" xfId="30067"/>
    <cellStyle name="Separador de milhares 3 11 3 8" xfId="3251"/>
    <cellStyle name="Separador de milhares 3 11 3 8 2" xfId="7366"/>
    <cellStyle name="Separador de milhares 3 11 3 8 2 2" xfId="10510"/>
    <cellStyle name="Separador de milhares 3 11 3 8 2 2 2" xfId="28724"/>
    <cellStyle name="Separador de milhares 3 11 3 8 2 2 2 2" xfId="54954"/>
    <cellStyle name="Separador de milhares 3 11 3 8 2 2 3" xfId="22810"/>
    <cellStyle name="Separador de milhares 3 11 3 8 2 2 3 2" xfId="49046"/>
    <cellStyle name="Separador de milhares 3 11 3 8 2 2 4" xfId="16896"/>
    <cellStyle name="Separador de milhares 3 11 3 8 2 2 4 2" xfId="43138"/>
    <cellStyle name="Separador de milhares 3 11 3 8 2 2 5" xfId="36752"/>
    <cellStyle name="Separador de milhares 3 11 3 8 2 3" xfId="25767"/>
    <cellStyle name="Separador de milhares 3 11 3 8 2 3 2" xfId="52000"/>
    <cellStyle name="Separador de milhares 3 11 3 8 2 4" xfId="19853"/>
    <cellStyle name="Separador de milhares 3 11 3 8 2 4 2" xfId="46092"/>
    <cellStyle name="Separador de milhares 3 11 3 8 2 5" xfId="13755"/>
    <cellStyle name="Separador de milhares 3 11 3 8 2 5 2" xfId="39997"/>
    <cellStyle name="Separador de milhares 3 11 3 8 2 6" xfId="33611"/>
    <cellStyle name="Separador de milhares 3 11 3 8 3" xfId="9042"/>
    <cellStyle name="Separador de milhares 3 11 3 8 3 2" xfId="27256"/>
    <cellStyle name="Separador de milhares 3 11 3 8 3 2 2" xfId="53486"/>
    <cellStyle name="Separador de milhares 3 11 3 8 3 3" xfId="21342"/>
    <cellStyle name="Separador de milhares 3 11 3 8 3 3 2" xfId="47578"/>
    <cellStyle name="Separador de milhares 3 11 3 8 3 4" xfId="15428"/>
    <cellStyle name="Separador de milhares 3 11 3 8 3 4 2" xfId="41670"/>
    <cellStyle name="Separador de milhares 3 11 3 8 3 5" xfId="35284"/>
    <cellStyle name="Separador de milhares 3 11 3 8 4" xfId="5667"/>
    <cellStyle name="Separador de milhares 3 11 3 8 4 2" xfId="24299"/>
    <cellStyle name="Separador de milhares 3 11 3 8 4 2 2" xfId="50532"/>
    <cellStyle name="Separador de milhares 3 11 3 8 4 3" xfId="31912"/>
    <cellStyle name="Separador de milhares 3 11 3 8 5" xfId="18385"/>
    <cellStyle name="Separador de milhares 3 11 3 8 5 2" xfId="44624"/>
    <cellStyle name="Separador de milhares 3 11 3 8 6" xfId="12054"/>
    <cellStyle name="Separador de milhares 3 11 3 8 6 2" xfId="38296"/>
    <cellStyle name="Separador de milhares 3 11 3 8 7" xfId="30214"/>
    <cellStyle name="Separador de milhares 3 11 3 9" xfId="3778"/>
    <cellStyle name="Separador de milhares 3 11 3 9 2" xfId="7513"/>
    <cellStyle name="Separador de milhares 3 11 3 9 2 2" xfId="10657"/>
    <cellStyle name="Separador de milhares 3 11 3 9 2 2 2" xfId="28871"/>
    <cellStyle name="Separador de milhares 3 11 3 9 2 2 2 2" xfId="55101"/>
    <cellStyle name="Separador de milhares 3 11 3 9 2 2 3" xfId="22957"/>
    <cellStyle name="Separador de milhares 3 11 3 9 2 2 3 2" xfId="49193"/>
    <cellStyle name="Separador de milhares 3 11 3 9 2 2 4" xfId="17043"/>
    <cellStyle name="Separador de milhares 3 11 3 9 2 2 4 2" xfId="43285"/>
    <cellStyle name="Separador de milhares 3 11 3 9 2 2 5" xfId="36899"/>
    <cellStyle name="Separador de milhares 3 11 3 9 2 3" xfId="25914"/>
    <cellStyle name="Separador de milhares 3 11 3 9 2 3 2" xfId="52147"/>
    <cellStyle name="Separador de milhares 3 11 3 9 2 4" xfId="20000"/>
    <cellStyle name="Separador de milhares 3 11 3 9 2 4 2" xfId="46239"/>
    <cellStyle name="Separador de milhares 3 11 3 9 2 5" xfId="13902"/>
    <cellStyle name="Separador de milhares 3 11 3 9 2 5 2" xfId="40144"/>
    <cellStyle name="Separador de milhares 3 11 3 9 2 6" xfId="33758"/>
    <cellStyle name="Separador de milhares 3 11 3 9 3" xfId="9189"/>
    <cellStyle name="Separador de milhares 3 11 3 9 3 2" xfId="27403"/>
    <cellStyle name="Separador de milhares 3 11 3 9 3 2 2" xfId="53633"/>
    <cellStyle name="Separador de milhares 3 11 3 9 3 3" xfId="21489"/>
    <cellStyle name="Separador de milhares 3 11 3 9 3 3 2" xfId="47725"/>
    <cellStyle name="Separador de milhares 3 11 3 9 3 4" xfId="15575"/>
    <cellStyle name="Separador de milhares 3 11 3 9 3 4 2" xfId="41817"/>
    <cellStyle name="Separador de milhares 3 11 3 9 3 5" xfId="35431"/>
    <cellStyle name="Separador de milhares 3 11 3 9 4" xfId="5814"/>
    <cellStyle name="Separador de milhares 3 11 3 9 4 2" xfId="24446"/>
    <cellStyle name="Separador de milhares 3 11 3 9 4 2 2" xfId="50679"/>
    <cellStyle name="Separador de milhares 3 11 3 9 4 3" xfId="32059"/>
    <cellStyle name="Separador de milhares 3 11 3 9 5" xfId="18532"/>
    <cellStyle name="Separador de milhares 3 11 3 9 5 2" xfId="44771"/>
    <cellStyle name="Separador de milhares 3 11 3 9 6" xfId="12201"/>
    <cellStyle name="Separador de milhares 3 11 3 9 6 2" xfId="38443"/>
    <cellStyle name="Separador de milhares 3 11 3 9 7" xfId="30361"/>
    <cellStyle name="Separador de milhares 3 11 4" xfId="414"/>
    <cellStyle name="Separador de milhares 3 11 4 10" xfId="6560"/>
    <cellStyle name="Separador de milhares 3 11 4 10 2" xfId="9708"/>
    <cellStyle name="Separador de milhares 3 11 4 10 2 2" xfId="27922"/>
    <cellStyle name="Separador de milhares 3 11 4 10 2 2 2" xfId="54152"/>
    <cellStyle name="Separador de milhares 3 11 4 10 2 3" xfId="22008"/>
    <cellStyle name="Separador de milhares 3 11 4 10 2 3 2" xfId="48244"/>
    <cellStyle name="Separador de milhares 3 11 4 10 2 4" xfId="16094"/>
    <cellStyle name="Separador de milhares 3 11 4 10 2 4 2" xfId="42336"/>
    <cellStyle name="Separador de milhares 3 11 4 10 2 5" xfId="35950"/>
    <cellStyle name="Separador de milhares 3 11 4 10 3" xfId="24965"/>
    <cellStyle name="Separador de milhares 3 11 4 10 3 2" xfId="51198"/>
    <cellStyle name="Separador de milhares 3 11 4 10 4" xfId="19051"/>
    <cellStyle name="Separador de milhares 3 11 4 10 4 2" xfId="45290"/>
    <cellStyle name="Separador de milhares 3 11 4 10 5" xfId="12949"/>
    <cellStyle name="Separador de milhares 3 11 4 10 5 2" xfId="39191"/>
    <cellStyle name="Separador de milhares 3 11 4 10 6" xfId="32805"/>
    <cellStyle name="Separador de milhares 3 11 4 11" xfId="8237"/>
    <cellStyle name="Separador de milhares 3 11 4 11 2" xfId="26451"/>
    <cellStyle name="Separador de milhares 3 11 4 11 2 2" xfId="52684"/>
    <cellStyle name="Separador de milhares 3 11 4 11 3" xfId="20537"/>
    <cellStyle name="Separador de milhares 3 11 4 11 3 2" xfId="46776"/>
    <cellStyle name="Separador de milhares 3 11 4 11 4" xfId="14626"/>
    <cellStyle name="Separador de milhares 3 11 4 11 4 2" xfId="40868"/>
    <cellStyle name="Separador de milhares 3 11 4 11 5" xfId="34482"/>
    <cellStyle name="Separador de milhares 3 11 4 12" xfId="4859"/>
    <cellStyle name="Separador de milhares 3 11 4 12 2" xfId="23494"/>
    <cellStyle name="Separador de milhares 3 11 4 12 2 2" xfId="49730"/>
    <cellStyle name="Separador de milhares 3 11 4 12 3" xfId="31106"/>
    <cellStyle name="Separador de milhares 3 11 4 13" xfId="17580"/>
    <cellStyle name="Separador de milhares 3 11 4 13 2" xfId="43822"/>
    <cellStyle name="Separador de milhares 3 11 4 14" xfId="11248"/>
    <cellStyle name="Separador de milhares 3 11 4 14 2" xfId="37490"/>
    <cellStyle name="Separador de milhares 3 11 4 15" xfId="29408"/>
    <cellStyle name="Separador de milhares 3 11 4 2" xfId="1059"/>
    <cellStyle name="Separador de milhares 3 11 4 2 2" xfId="6757"/>
    <cellStyle name="Separador de milhares 3 11 4 2 2 2" xfId="9904"/>
    <cellStyle name="Separador de milhares 3 11 4 2 2 2 2" xfId="28118"/>
    <cellStyle name="Separador de milhares 3 11 4 2 2 2 2 2" xfId="54348"/>
    <cellStyle name="Separador de milhares 3 11 4 2 2 2 3" xfId="22204"/>
    <cellStyle name="Separador de milhares 3 11 4 2 2 2 3 2" xfId="48440"/>
    <cellStyle name="Separador de milhares 3 11 4 2 2 2 4" xfId="16290"/>
    <cellStyle name="Separador de milhares 3 11 4 2 2 2 4 2" xfId="42532"/>
    <cellStyle name="Separador de milhares 3 11 4 2 2 2 5" xfId="36146"/>
    <cellStyle name="Separador de milhares 3 11 4 2 2 3" xfId="25161"/>
    <cellStyle name="Separador de milhares 3 11 4 2 2 3 2" xfId="51394"/>
    <cellStyle name="Separador de milhares 3 11 4 2 2 4" xfId="19247"/>
    <cellStyle name="Separador de milhares 3 11 4 2 2 4 2" xfId="45486"/>
    <cellStyle name="Separador de milhares 3 11 4 2 2 5" xfId="13146"/>
    <cellStyle name="Separador de milhares 3 11 4 2 2 5 2" xfId="39388"/>
    <cellStyle name="Separador de milhares 3 11 4 2 2 6" xfId="33002"/>
    <cellStyle name="Separador de milhares 3 11 4 2 3" xfId="8436"/>
    <cellStyle name="Separador de milhares 3 11 4 2 3 2" xfId="26650"/>
    <cellStyle name="Separador de milhares 3 11 4 2 3 2 2" xfId="52880"/>
    <cellStyle name="Separador de milhares 3 11 4 2 3 3" xfId="20736"/>
    <cellStyle name="Separador de milhares 3 11 4 2 3 3 2" xfId="46972"/>
    <cellStyle name="Separador de milhares 3 11 4 2 3 4" xfId="14822"/>
    <cellStyle name="Separador de milhares 3 11 4 2 3 4 2" xfId="41064"/>
    <cellStyle name="Separador de milhares 3 11 4 2 3 5" xfId="34678"/>
    <cellStyle name="Separador de milhares 3 11 4 2 4" xfId="5058"/>
    <cellStyle name="Separador de milhares 3 11 4 2 4 2" xfId="23693"/>
    <cellStyle name="Separador de milhares 3 11 4 2 4 2 2" xfId="49926"/>
    <cellStyle name="Separador de milhares 3 11 4 2 4 3" xfId="31303"/>
    <cellStyle name="Separador de milhares 3 11 4 2 5" xfId="17779"/>
    <cellStyle name="Separador de milhares 3 11 4 2 5 2" xfId="44018"/>
    <cellStyle name="Separador de milhares 3 11 4 2 6" xfId="11445"/>
    <cellStyle name="Separador de milhares 3 11 4 2 6 2" xfId="37687"/>
    <cellStyle name="Separador de milhares 3 11 4 2 7" xfId="29605"/>
    <cellStyle name="Separador de milhares 3 11 4 3" xfId="1410"/>
    <cellStyle name="Separador de milhares 3 11 4 3 2" xfId="6855"/>
    <cellStyle name="Separador de milhares 3 11 4 3 2 2" xfId="10002"/>
    <cellStyle name="Separador de milhares 3 11 4 3 2 2 2" xfId="28216"/>
    <cellStyle name="Separador de milhares 3 11 4 3 2 2 2 2" xfId="54446"/>
    <cellStyle name="Separador de milhares 3 11 4 3 2 2 3" xfId="22302"/>
    <cellStyle name="Separador de milhares 3 11 4 3 2 2 3 2" xfId="48538"/>
    <cellStyle name="Separador de milhares 3 11 4 3 2 2 4" xfId="16388"/>
    <cellStyle name="Separador de milhares 3 11 4 3 2 2 4 2" xfId="42630"/>
    <cellStyle name="Separador de milhares 3 11 4 3 2 2 5" xfId="36244"/>
    <cellStyle name="Separador de milhares 3 11 4 3 2 3" xfId="25259"/>
    <cellStyle name="Separador de milhares 3 11 4 3 2 3 2" xfId="51492"/>
    <cellStyle name="Separador de milhares 3 11 4 3 2 4" xfId="19345"/>
    <cellStyle name="Separador de milhares 3 11 4 3 2 4 2" xfId="45584"/>
    <cellStyle name="Separador de milhares 3 11 4 3 2 5" xfId="13244"/>
    <cellStyle name="Separador de milhares 3 11 4 3 2 5 2" xfId="39486"/>
    <cellStyle name="Separador de milhares 3 11 4 3 2 6" xfId="33100"/>
    <cellStyle name="Separador de milhares 3 11 4 3 3" xfId="8534"/>
    <cellStyle name="Separador de milhares 3 11 4 3 3 2" xfId="26748"/>
    <cellStyle name="Separador de milhares 3 11 4 3 3 2 2" xfId="52978"/>
    <cellStyle name="Separador de milhares 3 11 4 3 3 3" xfId="20834"/>
    <cellStyle name="Separador de milhares 3 11 4 3 3 3 2" xfId="47070"/>
    <cellStyle name="Separador de milhares 3 11 4 3 3 4" xfId="14920"/>
    <cellStyle name="Separador de milhares 3 11 4 3 3 4 2" xfId="41162"/>
    <cellStyle name="Separador de milhares 3 11 4 3 3 5" xfId="34776"/>
    <cellStyle name="Separador de milhares 3 11 4 3 4" xfId="5156"/>
    <cellStyle name="Separador de milhares 3 11 4 3 4 2" xfId="23791"/>
    <cellStyle name="Separador de milhares 3 11 4 3 4 2 2" xfId="50024"/>
    <cellStyle name="Separador de milhares 3 11 4 3 4 3" xfId="31401"/>
    <cellStyle name="Separador de milhares 3 11 4 3 5" xfId="17877"/>
    <cellStyle name="Separador de milhares 3 11 4 3 5 2" xfId="44116"/>
    <cellStyle name="Separador de milhares 3 11 4 3 6" xfId="11543"/>
    <cellStyle name="Separador de milhares 3 11 4 3 6 2" xfId="37785"/>
    <cellStyle name="Separador de milhares 3 11 4 3 7" xfId="29703"/>
    <cellStyle name="Separador de milhares 3 11 4 4" xfId="1845"/>
    <cellStyle name="Separador de milhares 3 11 4 4 2" xfId="6974"/>
    <cellStyle name="Separador de milhares 3 11 4 4 2 2" xfId="10121"/>
    <cellStyle name="Separador de milhares 3 11 4 4 2 2 2" xfId="28335"/>
    <cellStyle name="Separador de milhares 3 11 4 4 2 2 2 2" xfId="54565"/>
    <cellStyle name="Separador de milhares 3 11 4 4 2 2 3" xfId="22421"/>
    <cellStyle name="Separador de milhares 3 11 4 4 2 2 3 2" xfId="48657"/>
    <cellStyle name="Separador de milhares 3 11 4 4 2 2 4" xfId="16507"/>
    <cellStyle name="Separador de milhares 3 11 4 4 2 2 4 2" xfId="42749"/>
    <cellStyle name="Separador de milhares 3 11 4 4 2 2 5" xfId="36363"/>
    <cellStyle name="Separador de milhares 3 11 4 4 2 3" xfId="25378"/>
    <cellStyle name="Separador de milhares 3 11 4 4 2 3 2" xfId="51611"/>
    <cellStyle name="Separador de milhares 3 11 4 4 2 4" xfId="19464"/>
    <cellStyle name="Separador de milhares 3 11 4 4 2 4 2" xfId="45703"/>
    <cellStyle name="Separador de milhares 3 11 4 4 2 5" xfId="13363"/>
    <cellStyle name="Separador de milhares 3 11 4 4 2 5 2" xfId="39605"/>
    <cellStyle name="Separador de milhares 3 11 4 4 2 6" xfId="33219"/>
    <cellStyle name="Separador de milhares 3 11 4 4 3" xfId="8653"/>
    <cellStyle name="Separador de milhares 3 11 4 4 3 2" xfId="26867"/>
    <cellStyle name="Separador de milhares 3 11 4 4 3 2 2" xfId="53097"/>
    <cellStyle name="Separador de milhares 3 11 4 4 3 3" xfId="20953"/>
    <cellStyle name="Separador de milhares 3 11 4 4 3 3 2" xfId="47189"/>
    <cellStyle name="Separador de milhares 3 11 4 4 3 4" xfId="15039"/>
    <cellStyle name="Separador de milhares 3 11 4 4 3 4 2" xfId="41281"/>
    <cellStyle name="Separador de milhares 3 11 4 4 3 5" xfId="34895"/>
    <cellStyle name="Separador de milhares 3 11 4 4 4" xfId="5275"/>
    <cellStyle name="Separador de milhares 3 11 4 4 4 2" xfId="23910"/>
    <cellStyle name="Separador de milhares 3 11 4 4 4 2 2" xfId="50143"/>
    <cellStyle name="Separador de milhares 3 11 4 4 4 3" xfId="31520"/>
    <cellStyle name="Separador de milhares 3 11 4 4 5" xfId="17996"/>
    <cellStyle name="Separador de milhares 3 11 4 4 5 2" xfId="44235"/>
    <cellStyle name="Separador de milhares 3 11 4 4 6" xfId="11662"/>
    <cellStyle name="Separador de milhares 3 11 4 4 6 2" xfId="37904"/>
    <cellStyle name="Separador de milhares 3 11 4 4 7" xfId="29822"/>
    <cellStyle name="Separador de milhares 3 11 4 5" xfId="2375"/>
    <cellStyle name="Separador de milhares 3 11 4 5 2" xfId="7124"/>
    <cellStyle name="Separador de milhares 3 11 4 5 2 2" xfId="10268"/>
    <cellStyle name="Separador de milhares 3 11 4 5 2 2 2" xfId="28482"/>
    <cellStyle name="Separador de milhares 3 11 4 5 2 2 2 2" xfId="54712"/>
    <cellStyle name="Separador de milhares 3 11 4 5 2 2 3" xfId="22568"/>
    <cellStyle name="Separador de milhares 3 11 4 5 2 2 3 2" xfId="48804"/>
    <cellStyle name="Separador de milhares 3 11 4 5 2 2 4" xfId="16654"/>
    <cellStyle name="Separador de milhares 3 11 4 5 2 2 4 2" xfId="42896"/>
    <cellStyle name="Separador de milhares 3 11 4 5 2 2 5" xfId="36510"/>
    <cellStyle name="Separador de milhares 3 11 4 5 2 3" xfId="25525"/>
    <cellStyle name="Separador de milhares 3 11 4 5 2 3 2" xfId="51758"/>
    <cellStyle name="Separador de milhares 3 11 4 5 2 4" xfId="19611"/>
    <cellStyle name="Separador de milhares 3 11 4 5 2 4 2" xfId="45850"/>
    <cellStyle name="Separador de milhares 3 11 4 5 2 5" xfId="13513"/>
    <cellStyle name="Separador de milhares 3 11 4 5 2 5 2" xfId="39755"/>
    <cellStyle name="Separador de milhares 3 11 4 5 2 6" xfId="33369"/>
    <cellStyle name="Separador de milhares 3 11 4 5 3" xfId="8800"/>
    <cellStyle name="Separador de milhares 3 11 4 5 3 2" xfId="27014"/>
    <cellStyle name="Separador de milhares 3 11 4 5 3 2 2" xfId="53244"/>
    <cellStyle name="Separador de milhares 3 11 4 5 3 3" xfId="21100"/>
    <cellStyle name="Separador de milhares 3 11 4 5 3 3 2" xfId="47336"/>
    <cellStyle name="Separador de milhares 3 11 4 5 3 4" xfId="15186"/>
    <cellStyle name="Separador de milhares 3 11 4 5 3 4 2" xfId="41428"/>
    <cellStyle name="Separador de milhares 3 11 4 5 3 5" xfId="35042"/>
    <cellStyle name="Separador de milhares 3 11 4 5 4" xfId="5425"/>
    <cellStyle name="Separador de milhares 3 11 4 5 4 2" xfId="24057"/>
    <cellStyle name="Separador de milhares 3 11 4 5 4 2 2" xfId="50290"/>
    <cellStyle name="Separador de milhares 3 11 4 5 4 3" xfId="31670"/>
    <cellStyle name="Separador de milhares 3 11 4 5 5" xfId="18143"/>
    <cellStyle name="Separador de milhares 3 11 4 5 5 2" xfId="44382"/>
    <cellStyle name="Separador de milhares 3 11 4 5 6" xfId="11812"/>
    <cellStyle name="Separador de milhares 3 11 4 5 6 2" xfId="38054"/>
    <cellStyle name="Separador de milhares 3 11 4 5 7" xfId="29972"/>
    <cellStyle name="Separador de milhares 3 11 4 6" xfId="2902"/>
    <cellStyle name="Separador de milhares 3 11 4 6 2" xfId="7271"/>
    <cellStyle name="Separador de milhares 3 11 4 6 2 2" xfId="10415"/>
    <cellStyle name="Separador de milhares 3 11 4 6 2 2 2" xfId="28629"/>
    <cellStyle name="Separador de milhares 3 11 4 6 2 2 2 2" xfId="54859"/>
    <cellStyle name="Separador de milhares 3 11 4 6 2 2 3" xfId="22715"/>
    <cellStyle name="Separador de milhares 3 11 4 6 2 2 3 2" xfId="48951"/>
    <cellStyle name="Separador de milhares 3 11 4 6 2 2 4" xfId="16801"/>
    <cellStyle name="Separador de milhares 3 11 4 6 2 2 4 2" xfId="43043"/>
    <cellStyle name="Separador de milhares 3 11 4 6 2 2 5" xfId="36657"/>
    <cellStyle name="Separador de milhares 3 11 4 6 2 3" xfId="25672"/>
    <cellStyle name="Separador de milhares 3 11 4 6 2 3 2" xfId="51905"/>
    <cellStyle name="Separador de milhares 3 11 4 6 2 4" xfId="19758"/>
    <cellStyle name="Separador de milhares 3 11 4 6 2 4 2" xfId="45997"/>
    <cellStyle name="Separador de milhares 3 11 4 6 2 5" xfId="13660"/>
    <cellStyle name="Separador de milhares 3 11 4 6 2 5 2" xfId="39902"/>
    <cellStyle name="Separador de milhares 3 11 4 6 2 6" xfId="33516"/>
    <cellStyle name="Separador de milhares 3 11 4 6 3" xfId="8947"/>
    <cellStyle name="Separador de milhares 3 11 4 6 3 2" xfId="27161"/>
    <cellStyle name="Separador de milhares 3 11 4 6 3 2 2" xfId="53391"/>
    <cellStyle name="Separador de milhares 3 11 4 6 3 3" xfId="21247"/>
    <cellStyle name="Separador de milhares 3 11 4 6 3 3 2" xfId="47483"/>
    <cellStyle name="Separador de milhares 3 11 4 6 3 4" xfId="15333"/>
    <cellStyle name="Separador de milhares 3 11 4 6 3 4 2" xfId="41575"/>
    <cellStyle name="Separador de milhares 3 11 4 6 3 5" xfId="35189"/>
    <cellStyle name="Separador de milhares 3 11 4 6 4" xfId="5572"/>
    <cellStyle name="Separador de milhares 3 11 4 6 4 2" xfId="24204"/>
    <cellStyle name="Separador de milhares 3 11 4 6 4 2 2" xfId="50437"/>
    <cellStyle name="Separador de milhares 3 11 4 6 4 3" xfId="31817"/>
    <cellStyle name="Separador de milhares 3 11 4 6 5" xfId="18290"/>
    <cellStyle name="Separador de milhares 3 11 4 6 5 2" xfId="44529"/>
    <cellStyle name="Separador de milhares 3 11 4 6 6" xfId="11959"/>
    <cellStyle name="Separador de milhares 3 11 4 6 6 2" xfId="38201"/>
    <cellStyle name="Separador de milhares 3 11 4 6 7" xfId="30119"/>
    <cellStyle name="Separador de milhares 3 11 4 7" xfId="3429"/>
    <cellStyle name="Separador de milhares 3 11 4 7 2" xfId="7418"/>
    <cellStyle name="Separador de milhares 3 11 4 7 2 2" xfId="10562"/>
    <cellStyle name="Separador de milhares 3 11 4 7 2 2 2" xfId="28776"/>
    <cellStyle name="Separador de milhares 3 11 4 7 2 2 2 2" xfId="55006"/>
    <cellStyle name="Separador de milhares 3 11 4 7 2 2 3" xfId="22862"/>
    <cellStyle name="Separador de milhares 3 11 4 7 2 2 3 2" xfId="49098"/>
    <cellStyle name="Separador de milhares 3 11 4 7 2 2 4" xfId="16948"/>
    <cellStyle name="Separador de milhares 3 11 4 7 2 2 4 2" xfId="43190"/>
    <cellStyle name="Separador de milhares 3 11 4 7 2 2 5" xfId="36804"/>
    <cellStyle name="Separador de milhares 3 11 4 7 2 3" xfId="25819"/>
    <cellStyle name="Separador de milhares 3 11 4 7 2 3 2" xfId="52052"/>
    <cellStyle name="Separador de milhares 3 11 4 7 2 4" xfId="19905"/>
    <cellStyle name="Separador de milhares 3 11 4 7 2 4 2" xfId="46144"/>
    <cellStyle name="Separador de milhares 3 11 4 7 2 5" xfId="13807"/>
    <cellStyle name="Separador de milhares 3 11 4 7 2 5 2" xfId="40049"/>
    <cellStyle name="Separador de milhares 3 11 4 7 2 6" xfId="33663"/>
    <cellStyle name="Separador de milhares 3 11 4 7 3" xfId="9094"/>
    <cellStyle name="Separador de milhares 3 11 4 7 3 2" xfId="27308"/>
    <cellStyle name="Separador de milhares 3 11 4 7 3 2 2" xfId="53538"/>
    <cellStyle name="Separador de milhares 3 11 4 7 3 3" xfId="21394"/>
    <cellStyle name="Separador de milhares 3 11 4 7 3 3 2" xfId="47630"/>
    <cellStyle name="Separador de milhares 3 11 4 7 3 4" xfId="15480"/>
    <cellStyle name="Separador de milhares 3 11 4 7 3 4 2" xfId="41722"/>
    <cellStyle name="Separador de milhares 3 11 4 7 3 5" xfId="35336"/>
    <cellStyle name="Separador de milhares 3 11 4 7 4" xfId="5719"/>
    <cellStyle name="Separador de milhares 3 11 4 7 4 2" xfId="24351"/>
    <cellStyle name="Separador de milhares 3 11 4 7 4 2 2" xfId="50584"/>
    <cellStyle name="Separador de milhares 3 11 4 7 4 3" xfId="31964"/>
    <cellStyle name="Separador de milhares 3 11 4 7 5" xfId="18437"/>
    <cellStyle name="Separador de milhares 3 11 4 7 5 2" xfId="44676"/>
    <cellStyle name="Separador de milhares 3 11 4 7 6" xfId="12106"/>
    <cellStyle name="Separador de milhares 3 11 4 7 6 2" xfId="38348"/>
    <cellStyle name="Separador de milhares 3 11 4 7 7" xfId="30266"/>
    <cellStyle name="Separador de milhares 3 11 4 8" xfId="3956"/>
    <cellStyle name="Separador de milhares 3 11 4 8 2" xfId="7565"/>
    <cellStyle name="Separador de milhares 3 11 4 8 2 2" xfId="10709"/>
    <cellStyle name="Separador de milhares 3 11 4 8 2 2 2" xfId="28923"/>
    <cellStyle name="Separador de milhares 3 11 4 8 2 2 2 2" xfId="55153"/>
    <cellStyle name="Separador de milhares 3 11 4 8 2 2 3" xfId="23009"/>
    <cellStyle name="Separador de milhares 3 11 4 8 2 2 3 2" xfId="49245"/>
    <cellStyle name="Separador de milhares 3 11 4 8 2 2 4" xfId="17095"/>
    <cellStyle name="Separador de milhares 3 11 4 8 2 2 4 2" xfId="43337"/>
    <cellStyle name="Separador de milhares 3 11 4 8 2 2 5" xfId="36951"/>
    <cellStyle name="Separador de milhares 3 11 4 8 2 3" xfId="25966"/>
    <cellStyle name="Separador de milhares 3 11 4 8 2 3 2" xfId="52199"/>
    <cellStyle name="Separador de milhares 3 11 4 8 2 4" xfId="20052"/>
    <cellStyle name="Separador de milhares 3 11 4 8 2 4 2" xfId="46291"/>
    <cellStyle name="Separador de milhares 3 11 4 8 2 5" xfId="13954"/>
    <cellStyle name="Separador de milhares 3 11 4 8 2 5 2" xfId="40196"/>
    <cellStyle name="Separador de milhares 3 11 4 8 2 6" xfId="33810"/>
    <cellStyle name="Separador de milhares 3 11 4 8 3" xfId="9241"/>
    <cellStyle name="Separador de milhares 3 11 4 8 3 2" xfId="27455"/>
    <cellStyle name="Separador de milhares 3 11 4 8 3 2 2" xfId="53685"/>
    <cellStyle name="Separador de milhares 3 11 4 8 3 3" xfId="21541"/>
    <cellStyle name="Separador de milhares 3 11 4 8 3 3 2" xfId="47777"/>
    <cellStyle name="Separador de milhares 3 11 4 8 3 4" xfId="15627"/>
    <cellStyle name="Separador de milhares 3 11 4 8 3 4 2" xfId="41869"/>
    <cellStyle name="Separador de milhares 3 11 4 8 3 5" xfId="35483"/>
    <cellStyle name="Separador de milhares 3 11 4 8 4" xfId="5866"/>
    <cellStyle name="Separador de milhares 3 11 4 8 4 2" xfId="24498"/>
    <cellStyle name="Separador de milhares 3 11 4 8 4 2 2" xfId="50731"/>
    <cellStyle name="Separador de milhares 3 11 4 8 4 3" xfId="32111"/>
    <cellStyle name="Separador de milhares 3 11 4 8 5" xfId="18584"/>
    <cellStyle name="Separador de milhares 3 11 4 8 5 2" xfId="44823"/>
    <cellStyle name="Separador de milhares 3 11 4 8 6" xfId="12253"/>
    <cellStyle name="Separador de milhares 3 11 4 8 6 2" xfId="38495"/>
    <cellStyle name="Separador de milhares 3 11 4 8 7" xfId="30413"/>
    <cellStyle name="Separador de milhares 3 11 4 9" xfId="724"/>
    <cellStyle name="Separador de milhares 3 11 4 9 2" xfId="6659"/>
    <cellStyle name="Separador de milhares 3 11 4 9 2 2" xfId="9806"/>
    <cellStyle name="Separador de milhares 3 11 4 9 2 2 2" xfId="28020"/>
    <cellStyle name="Separador de milhares 3 11 4 9 2 2 2 2" xfId="54250"/>
    <cellStyle name="Separador de milhares 3 11 4 9 2 2 3" xfId="22106"/>
    <cellStyle name="Separador de milhares 3 11 4 9 2 2 3 2" xfId="48342"/>
    <cellStyle name="Separador de milhares 3 11 4 9 2 2 4" xfId="16192"/>
    <cellStyle name="Separador de milhares 3 11 4 9 2 2 4 2" xfId="42434"/>
    <cellStyle name="Separador de milhares 3 11 4 9 2 2 5" xfId="36048"/>
    <cellStyle name="Separador de milhares 3 11 4 9 2 3" xfId="25063"/>
    <cellStyle name="Separador de milhares 3 11 4 9 2 3 2" xfId="51296"/>
    <cellStyle name="Separador de milhares 3 11 4 9 2 4" xfId="19149"/>
    <cellStyle name="Separador de milhares 3 11 4 9 2 4 2" xfId="45388"/>
    <cellStyle name="Separador de milhares 3 11 4 9 2 5" xfId="13048"/>
    <cellStyle name="Separador de milhares 3 11 4 9 2 5 2" xfId="39290"/>
    <cellStyle name="Separador de milhares 3 11 4 9 2 6" xfId="32904"/>
    <cellStyle name="Separador de milhares 3 11 4 9 3" xfId="8338"/>
    <cellStyle name="Separador de milhares 3 11 4 9 3 2" xfId="26552"/>
    <cellStyle name="Separador de milhares 3 11 4 9 3 2 2" xfId="52782"/>
    <cellStyle name="Separador de milhares 3 11 4 9 3 3" xfId="20638"/>
    <cellStyle name="Separador de milhares 3 11 4 9 3 3 2" xfId="46874"/>
    <cellStyle name="Separador de milhares 3 11 4 9 3 4" xfId="14724"/>
    <cellStyle name="Separador de milhares 3 11 4 9 3 4 2" xfId="40966"/>
    <cellStyle name="Separador de milhares 3 11 4 9 3 5" xfId="34580"/>
    <cellStyle name="Separador de milhares 3 11 4 9 4" xfId="4960"/>
    <cellStyle name="Separador de milhares 3 11 4 9 4 2" xfId="23595"/>
    <cellStyle name="Separador de milhares 3 11 4 9 4 2 2" xfId="49828"/>
    <cellStyle name="Separador de milhares 3 11 4 9 4 3" xfId="31205"/>
    <cellStyle name="Separador de milhares 3 11 4 9 5" xfId="17681"/>
    <cellStyle name="Separador de milhares 3 11 4 9 5 2" xfId="43920"/>
    <cellStyle name="Separador de milhares 3 11 4 9 6" xfId="11347"/>
    <cellStyle name="Separador de milhares 3 11 4 9 6 2" xfId="37589"/>
    <cellStyle name="Separador de milhares 3 11 4 9 7" xfId="29507"/>
    <cellStyle name="Separador de milhares 3 11 5" xfId="671"/>
    <cellStyle name="Separador de milhares 3 11 5 10" xfId="4924"/>
    <cellStyle name="Separador de milhares 3 11 5 10 2" xfId="23558"/>
    <cellStyle name="Separador de milhares 3 11 5 10 2 2" xfId="49794"/>
    <cellStyle name="Separador de milhares 3 11 5 10 3" xfId="31171"/>
    <cellStyle name="Separador de milhares 3 11 5 11" xfId="17644"/>
    <cellStyle name="Separador de milhares 3 11 5 11 2" xfId="43886"/>
    <cellStyle name="Separador de milhares 3 11 5 12" xfId="11313"/>
    <cellStyle name="Separador de milhares 3 11 5 12 2" xfId="37555"/>
    <cellStyle name="Separador de milhares 3 11 5 13" xfId="29473"/>
    <cellStyle name="Separador de milhares 3 11 5 2" xfId="1494"/>
    <cellStyle name="Separador de milhares 3 11 5 2 2" xfId="6876"/>
    <cellStyle name="Separador de milhares 3 11 5 2 2 2" xfId="10023"/>
    <cellStyle name="Separador de milhares 3 11 5 2 2 2 2" xfId="28237"/>
    <cellStyle name="Separador de milhares 3 11 5 2 2 2 2 2" xfId="54467"/>
    <cellStyle name="Separador de milhares 3 11 5 2 2 2 3" xfId="22323"/>
    <cellStyle name="Separador de milhares 3 11 5 2 2 2 3 2" xfId="48559"/>
    <cellStyle name="Separador de milhares 3 11 5 2 2 2 4" xfId="16409"/>
    <cellStyle name="Separador de milhares 3 11 5 2 2 2 4 2" xfId="42651"/>
    <cellStyle name="Separador de milhares 3 11 5 2 2 2 5" xfId="36265"/>
    <cellStyle name="Separador de milhares 3 11 5 2 2 3" xfId="25280"/>
    <cellStyle name="Separador de milhares 3 11 5 2 2 3 2" xfId="51513"/>
    <cellStyle name="Separador de milhares 3 11 5 2 2 4" xfId="19366"/>
    <cellStyle name="Separador de milhares 3 11 5 2 2 4 2" xfId="45605"/>
    <cellStyle name="Separador de milhares 3 11 5 2 2 5" xfId="13265"/>
    <cellStyle name="Separador de milhares 3 11 5 2 2 5 2" xfId="39507"/>
    <cellStyle name="Separador de milhares 3 11 5 2 2 6" xfId="33121"/>
    <cellStyle name="Separador de milhares 3 11 5 2 3" xfId="8555"/>
    <cellStyle name="Separador de milhares 3 11 5 2 3 2" xfId="26769"/>
    <cellStyle name="Separador de milhares 3 11 5 2 3 2 2" xfId="52999"/>
    <cellStyle name="Separador de milhares 3 11 5 2 3 3" xfId="20855"/>
    <cellStyle name="Separador de milhares 3 11 5 2 3 3 2" xfId="47091"/>
    <cellStyle name="Separador de milhares 3 11 5 2 3 4" xfId="14941"/>
    <cellStyle name="Separador de milhares 3 11 5 2 3 4 2" xfId="41183"/>
    <cellStyle name="Separador de milhares 3 11 5 2 3 5" xfId="34797"/>
    <cellStyle name="Separador de milhares 3 11 5 2 4" xfId="5177"/>
    <cellStyle name="Separador de milhares 3 11 5 2 4 2" xfId="23812"/>
    <cellStyle name="Separador de milhares 3 11 5 2 4 2 2" xfId="50045"/>
    <cellStyle name="Separador de milhares 3 11 5 2 4 3" xfId="31422"/>
    <cellStyle name="Separador de milhares 3 11 5 2 5" xfId="17898"/>
    <cellStyle name="Separador de milhares 3 11 5 2 5 2" xfId="44137"/>
    <cellStyle name="Separador de milhares 3 11 5 2 6" xfId="11564"/>
    <cellStyle name="Separador de milhares 3 11 5 2 6 2" xfId="37806"/>
    <cellStyle name="Separador de milhares 3 11 5 2 7" xfId="29724"/>
    <cellStyle name="Separador de milhares 3 11 5 3" xfId="1929"/>
    <cellStyle name="Separador de milhares 3 11 5 3 2" xfId="6995"/>
    <cellStyle name="Separador de milhares 3 11 5 3 2 2" xfId="10142"/>
    <cellStyle name="Separador de milhares 3 11 5 3 2 2 2" xfId="28356"/>
    <cellStyle name="Separador de milhares 3 11 5 3 2 2 2 2" xfId="54586"/>
    <cellStyle name="Separador de milhares 3 11 5 3 2 2 3" xfId="22442"/>
    <cellStyle name="Separador de milhares 3 11 5 3 2 2 3 2" xfId="48678"/>
    <cellStyle name="Separador de milhares 3 11 5 3 2 2 4" xfId="16528"/>
    <cellStyle name="Separador de milhares 3 11 5 3 2 2 4 2" xfId="42770"/>
    <cellStyle name="Separador de milhares 3 11 5 3 2 2 5" xfId="36384"/>
    <cellStyle name="Separador de milhares 3 11 5 3 2 3" xfId="25399"/>
    <cellStyle name="Separador de milhares 3 11 5 3 2 3 2" xfId="51632"/>
    <cellStyle name="Separador de milhares 3 11 5 3 2 4" xfId="19485"/>
    <cellStyle name="Separador de milhares 3 11 5 3 2 4 2" xfId="45724"/>
    <cellStyle name="Separador de milhares 3 11 5 3 2 5" xfId="13384"/>
    <cellStyle name="Separador de milhares 3 11 5 3 2 5 2" xfId="39626"/>
    <cellStyle name="Separador de milhares 3 11 5 3 2 6" xfId="33240"/>
    <cellStyle name="Separador de milhares 3 11 5 3 3" xfId="8674"/>
    <cellStyle name="Separador de milhares 3 11 5 3 3 2" xfId="26888"/>
    <cellStyle name="Separador de milhares 3 11 5 3 3 2 2" xfId="53118"/>
    <cellStyle name="Separador de milhares 3 11 5 3 3 3" xfId="20974"/>
    <cellStyle name="Separador de milhares 3 11 5 3 3 3 2" xfId="47210"/>
    <cellStyle name="Separador de milhares 3 11 5 3 3 4" xfId="15060"/>
    <cellStyle name="Separador de milhares 3 11 5 3 3 4 2" xfId="41302"/>
    <cellStyle name="Separador de milhares 3 11 5 3 3 5" xfId="34916"/>
    <cellStyle name="Separador de milhares 3 11 5 3 4" xfId="5296"/>
    <cellStyle name="Separador de milhares 3 11 5 3 4 2" xfId="23931"/>
    <cellStyle name="Separador de milhares 3 11 5 3 4 2 2" xfId="50164"/>
    <cellStyle name="Separador de milhares 3 11 5 3 4 3" xfId="31541"/>
    <cellStyle name="Separador de milhares 3 11 5 3 5" xfId="18017"/>
    <cellStyle name="Separador de milhares 3 11 5 3 5 2" xfId="44256"/>
    <cellStyle name="Separador de milhares 3 11 5 3 6" xfId="11683"/>
    <cellStyle name="Separador de milhares 3 11 5 3 6 2" xfId="37925"/>
    <cellStyle name="Separador de milhares 3 11 5 3 7" xfId="29843"/>
    <cellStyle name="Separador de milhares 3 11 5 4" xfId="2459"/>
    <cellStyle name="Separador de milhares 3 11 5 4 2" xfId="7145"/>
    <cellStyle name="Separador de milhares 3 11 5 4 2 2" xfId="10289"/>
    <cellStyle name="Separador de milhares 3 11 5 4 2 2 2" xfId="28503"/>
    <cellStyle name="Separador de milhares 3 11 5 4 2 2 2 2" xfId="54733"/>
    <cellStyle name="Separador de milhares 3 11 5 4 2 2 3" xfId="22589"/>
    <cellStyle name="Separador de milhares 3 11 5 4 2 2 3 2" xfId="48825"/>
    <cellStyle name="Separador de milhares 3 11 5 4 2 2 4" xfId="16675"/>
    <cellStyle name="Separador de milhares 3 11 5 4 2 2 4 2" xfId="42917"/>
    <cellStyle name="Separador de milhares 3 11 5 4 2 2 5" xfId="36531"/>
    <cellStyle name="Separador de milhares 3 11 5 4 2 3" xfId="25546"/>
    <cellStyle name="Separador de milhares 3 11 5 4 2 3 2" xfId="51779"/>
    <cellStyle name="Separador de milhares 3 11 5 4 2 4" xfId="19632"/>
    <cellStyle name="Separador de milhares 3 11 5 4 2 4 2" xfId="45871"/>
    <cellStyle name="Separador de milhares 3 11 5 4 2 5" xfId="13534"/>
    <cellStyle name="Separador de milhares 3 11 5 4 2 5 2" xfId="39776"/>
    <cellStyle name="Separador de milhares 3 11 5 4 2 6" xfId="33390"/>
    <cellStyle name="Separador de milhares 3 11 5 4 3" xfId="8821"/>
    <cellStyle name="Separador de milhares 3 11 5 4 3 2" xfId="27035"/>
    <cellStyle name="Separador de milhares 3 11 5 4 3 2 2" xfId="53265"/>
    <cellStyle name="Separador de milhares 3 11 5 4 3 3" xfId="21121"/>
    <cellStyle name="Separador de milhares 3 11 5 4 3 3 2" xfId="47357"/>
    <cellStyle name="Separador de milhares 3 11 5 4 3 4" xfId="15207"/>
    <cellStyle name="Separador de milhares 3 11 5 4 3 4 2" xfId="41449"/>
    <cellStyle name="Separador de milhares 3 11 5 4 3 5" xfId="35063"/>
    <cellStyle name="Separador de milhares 3 11 5 4 4" xfId="5446"/>
    <cellStyle name="Separador de milhares 3 11 5 4 4 2" xfId="24078"/>
    <cellStyle name="Separador de milhares 3 11 5 4 4 2 2" xfId="50311"/>
    <cellStyle name="Separador de milhares 3 11 5 4 4 3" xfId="31691"/>
    <cellStyle name="Separador de milhares 3 11 5 4 5" xfId="18164"/>
    <cellStyle name="Separador de milhares 3 11 5 4 5 2" xfId="44403"/>
    <cellStyle name="Separador de milhares 3 11 5 4 6" xfId="11833"/>
    <cellStyle name="Separador de milhares 3 11 5 4 6 2" xfId="38075"/>
    <cellStyle name="Separador de milhares 3 11 5 4 7" xfId="29993"/>
    <cellStyle name="Separador de milhares 3 11 5 5" xfId="2986"/>
    <cellStyle name="Separador de milhares 3 11 5 5 2" xfId="7292"/>
    <cellStyle name="Separador de milhares 3 11 5 5 2 2" xfId="10436"/>
    <cellStyle name="Separador de milhares 3 11 5 5 2 2 2" xfId="28650"/>
    <cellStyle name="Separador de milhares 3 11 5 5 2 2 2 2" xfId="54880"/>
    <cellStyle name="Separador de milhares 3 11 5 5 2 2 3" xfId="22736"/>
    <cellStyle name="Separador de milhares 3 11 5 5 2 2 3 2" xfId="48972"/>
    <cellStyle name="Separador de milhares 3 11 5 5 2 2 4" xfId="16822"/>
    <cellStyle name="Separador de milhares 3 11 5 5 2 2 4 2" xfId="43064"/>
    <cellStyle name="Separador de milhares 3 11 5 5 2 2 5" xfId="36678"/>
    <cellStyle name="Separador de milhares 3 11 5 5 2 3" xfId="25693"/>
    <cellStyle name="Separador de milhares 3 11 5 5 2 3 2" xfId="51926"/>
    <cellStyle name="Separador de milhares 3 11 5 5 2 4" xfId="19779"/>
    <cellStyle name="Separador de milhares 3 11 5 5 2 4 2" xfId="46018"/>
    <cellStyle name="Separador de milhares 3 11 5 5 2 5" xfId="13681"/>
    <cellStyle name="Separador de milhares 3 11 5 5 2 5 2" xfId="39923"/>
    <cellStyle name="Separador de milhares 3 11 5 5 2 6" xfId="33537"/>
    <cellStyle name="Separador de milhares 3 11 5 5 3" xfId="8968"/>
    <cellStyle name="Separador de milhares 3 11 5 5 3 2" xfId="27182"/>
    <cellStyle name="Separador de milhares 3 11 5 5 3 2 2" xfId="53412"/>
    <cellStyle name="Separador de milhares 3 11 5 5 3 3" xfId="21268"/>
    <cellStyle name="Separador de milhares 3 11 5 5 3 3 2" xfId="47504"/>
    <cellStyle name="Separador de milhares 3 11 5 5 3 4" xfId="15354"/>
    <cellStyle name="Separador de milhares 3 11 5 5 3 4 2" xfId="41596"/>
    <cellStyle name="Separador de milhares 3 11 5 5 3 5" xfId="35210"/>
    <cellStyle name="Separador de milhares 3 11 5 5 4" xfId="5593"/>
    <cellStyle name="Separador de milhares 3 11 5 5 4 2" xfId="24225"/>
    <cellStyle name="Separador de milhares 3 11 5 5 4 2 2" xfId="50458"/>
    <cellStyle name="Separador de milhares 3 11 5 5 4 3" xfId="31838"/>
    <cellStyle name="Separador de milhares 3 11 5 5 5" xfId="18311"/>
    <cellStyle name="Separador de milhares 3 11 5 5 5 2" xfId="44550"/>
    <cellStyle name="Separador de milhares 3 11 5 5 6" xfId="11980"/>
    <cellStyle name="Separador de milhares 3 11 5 5 6 2" xfId="38222"/>
    <cellStyle name="Separador de milhares 3 11 5 5 7" xfId="30140"/>
    <cellStyle name="Separador de milhares 3 11 5 6" xfId="3513"/>
    <cellStyle name="Separador de milhares 3 11 5 6 2" xfId="7439"/>
    <cellStyle name="Separador de milhares 3 11 5 6 2 2" xfId="10583"/>
    <cellStyle name="Separador de milhares 3 11 5 6 2 2 2" xfId="28797"/>
    <cellStyle name="Separador de milhares 3 11 5 6 2 2 2 2" xfId="55027"/>
    <cellStyle name="Separador de milhares 3 11 5 6 2 2 3" xfId="22883"/>
    <cellStyle name="Separador de milhares 3 11 5 6 2 2 3 2" xfId="49119"/>
    <cellStyle name="Separador de milhares 3 11 5 6 2 2 4" xfId="16969"/>
    <cellStyle name="Separador de milhares 3 11 5 6 2 2 4 2" xfId="43211"/>
    <cellStyle name="Separador de milhares 3 11 5 6 2 2 5" xfId="36825"/>
    <cellStyle name="Separador de milhares 3 11 5 6 2 3" xfId="25840"/>
    <cellStyle name="Separador de milhares 3 11 5 6 2 3 2" xfId="52073"/>
    <cellStyle name="Separador de milhares 3 11 5 6 2 4" xfId="19926"/>
    <cellStyle name="Separador de milhares 3 11 5 6 2 4 2" xfId="46165"/>
    <cellStyle name="Separador de milhares 3 11 5 6 2 5" xfId="13828"/>
    <cellStyle name="Separador de milhares 3 11 5 6 2 5 2" xfId="40070"/>
    <cellStyle name="Separador de milhares 3 11 5 6 2 6" xfId="33684"/>
    <cellStyle name="Separador de milhares 3 11 5 6 3" xfId="9115"/>
    <cellStyle name="Separador de milhares 3 11 5 6 3 2" xfId="27329"/>
    <cellStyle name="Separador de milhares 3 11 5 6 3 2 2" xfId="53559"/>
    <cellStyle name="Separador de milhares 3 11 5 6 3 3" xfId="21415"/>
    <cellStyle name="Separador de milhares 3 11 5 6 3 3 2" xfId="47651"/>
    <cellStyle name="Separador de milhares 3 11 5 6 3 4" xfId="15501"/>
    <cellStyle name="Separador de milhares 3 11 5 6 3 4 2" xfId="41743"/>
    <cellStyle name="Separador de milhares 3 11 5 6 3 5" xfId="35357"/>
    <cellStyle name="Separador de milhares 3 11 5 6 4" xfId="5740"/>
    <cellStyle name="Separador de milhares 3 11 5 6 4 2" xfId="24372"/>
    <cellStyle name="Separador de milhares 3 11 5 6 4 2 2" xfId="50605"/>
    <cellStyle name="Separador de milhares 3 11 5 6 4 3" xfId="31985"/>
    <cellStyle name="Separador de milhares 3 11 5 6 5" xfId="18458"/>
    <cellStyle name="Separador de milhares 3 11 5 6 5 2" xfId="44697"/>
    <cellStyle name="Separador de milhares 3 11 5 6 6" xfId="12127"/>
    <cellStyle name="Separador de milhares 3 11 5 6 6 2" xfId="38369"/>
    <cellStyle name="Separador de milhares 3 11 5 6 7" xfId="30287"/>
    <cellStyle name="Separador de milhares 3 11 5 7" xfId="4040"/>
    <cellStyle name="Separador de milhares 3 11 5 7 2" xfId="7586"/>
    <cellStyle name="Separador de milhares 3 11 5 7 2 2" xfId="10730"/>
    <cellStyle name="Separador de milhares 3 11 5 7 2 2 2" xfId="28944"/>
    <cellStyle name="Separador de milhares 3 11 5 7 2 2 2 2" xfId="55174"/>
    <cellStyle name="Separador de milhares 3 11 5 7 2 2 3" xfId="23030"/>
    <cellStyle name="Separador de milhares 3 11 5 7 2 2 3 2" xfId="49266"/>
    <cellStyle name="Separador de milhares 3 11 5 7 2 2 4" xfId="17116"/>
    <cellStyle name="Separador de milhares 3 11 5 7 2 2 4 2" xfId="43358"/>
    <cellStyle name="Separador de milhares 3 11 5 7 2 2 5" xfId="36972"/>
    <cellStyle name="Separador de milhares 3 11 5 7 2 3" xfId="25987"/>
    <cellStyle name="Separador de milhares 3 11 5 7 2 3 2" xfId="52220"/>
    <cellStyle name="Separador de milhares 3 11 5 7 2 4" xfId="20073"/>
    <cellStyle name="Separador de milhares 3 11 5 7 2 4 2" xfId="46312"/>
    <cellStyle name="Separador de milhares 3 11 5 7 2 5" xfId="13975"/>
    <cellStyle name="Separador de milhares 3 11 5 7 2 5 2" xfId="40217"/>
    <cellStyle name="Separador de milhares 3 11 5 7 2 6" xfId="33831"/>
    <cellStyle name="Separador de milhares 3 11 5 7 3" xfId="9262"/>
    <cellStyle name="Separador de milhares 3 11 5 7 3 2" xfId="27476"/>
    <cellStyle name="Separador de milhares 3 11 5 7 3 2 2" xfId="53706"/>
    <cellStyle name="Separador de milhares 3 11 5 7 3 3" xfId="21562"/>
    <cellStyle name="Separador de milhares 3 11 5 7 3 3 2" xfId="47798"/>
    <cellStyle name="Separador de milhares 3 11 5 7 3 4" xfId="15648"/>
    <cellStyle name="Separador de milhares 3 11 5 7 3 4 2" xfId="41890"/>
    <cellStyle name="Separador de milhares 3 11 5 7 3 5" xfId="35504"/>
    <cellStyle name="Separador de milhares 3 11 5 7 4" xfId="5887"/>
    <cellStyle name="Separador de milhares 3 11 5 7 4 2" xfId="24519"/>
    <cellStyle name="Separador de milhares 3 11 5 7 4 2 2" xfId="50752"/>
    <cellStyle name="Separador de milhares 3 11 5 7 4 3" xfId="32132"/>
    <cellStyle name="Separador de milhares 3 11 5 7 5" xfId="18605"/>
    <cellStyle name="Separador de milhares 3 11 5 7 5 2" xfId="44844"/>
    <cellStyle name="Separador de milhares 3 11 5 7 6" xfId="12274"/>
    <cellStyle name="Separador de milhares 3 11 5 7 6 2" xfId="38516"/>
    <cellStyle name="Separador de milhares 3 11 5 7 7" xfId="30434"/>
    <cellStyle name="Separador de milhares 3 11 5 8" xfId="6625"/>
    <cellStyle name="Separador de milhares 3 11 5 8 2" xfId="9772"/>
    <cellStyle name="Separador de milhares 3 11 5 8 2 2" xfId="27986"/>
    <cellStyle name="Separador de milhares 3 11 5 8 2 2 2" xfId="54216"/>
    <cellStyle name="Separador de milhares 3 11 5 8 2 3" xfId="22072"/>
    <cellStyle name="Separador de milhares 3 11 5 8 2 3 2" xfId="48308"/>
    <cellStyle name="Separador de milhares 3 11 5 8 2 4" xfId="16158"/>
    <cellStyle name="Separador de milhares 3 11 5 8 2 4 2" xfId="42400"/>
    <cellStyle name="Separador de milhares 3 11 5 8 2 5" xfId="36014"/>
    <cellStyle name="Separador de milhares 3 11 5 8 3" xfId="25029"/>
    <cellStyle name="Separador de milhares 3 11 5 8 3 2" xfId="51262"/>
    <cellStyle name="Separador de milhares 3 11 5 8 4" xfId="19115"/>
    <cellStyle name="Separador de milhares 3 11 5 8 4 2" xfId="45354"/>
    <cellStyle name="Separador de milhares 3 11 5 8 5" xfId="13014"/>
    <cellStyle name="Separador de milhares 3 11 5 8 5 2" xfId="39256"/>
    <cellStyle name="Separador de milhares 3 11 5 8 6" xfId="32870"/>
    <cellStyle name="Separador de milhares 3 11 5 9" xfId="8301"/>
    <cellStyle name="Separador de milhares 3 11 5 9 2" xfId="26515"/>
    <cellStyle name="Separador de milhares 3 11 5 9 2 2" xfId="52748"/>
    <cellStyle name="Separador de milhares 3 11 5 9 3" xfId="20601"/>
    <cellStyle name="Separador de milhares 3 11 5 9 3 2" xfId="46840"/>
    <cellStyle name="Separador de milhares 3 11 5 9 4" xfId="14690"/>
    <cellStyle name="Separador de milhares 3 11 5 9 4 2" xfId="40932"/>
    <cellStyle name="Separador de milhares 3 11 5 9 5" xfId="34546"/>
    <cellStyle name="Separador de milhares 3 11 6" xfId="792"/>
    <cellStyle name="Separador de milhares 3 11 6 2" xfId="4216"/>
    <cellStyle name="Separador de milhares 3 11 6 2 2" xfId="7635"/>
    <cellStyle name="Separador de milhares 3 11 6 2 2 2" xfId="10779"/>
    <cellStyle name="Separador de milhares 3 11 6 2 2 2 2" xfId="28993"/>
    <cellStyle name="Separador de milhares 3 11 6 2 2 2 2 2" xfId="55223"/>
    <cellStyle name="Separador de milhares 3 11 6 2 2 2 3" xfId="23079"/>
    <cellStyle name="Separador de milhares 3 11 6 2 2 2 3 2" xfId="49315"/>
    <cellStyle name="Separador de milhares 3 11 6 2 2 2 4" xfId="17165"/>
    <cellStyle name="Separador de milhares 3 11 6 2 2 2 4 2" xfId="43407"/>
    <cellStyle name="Separador de milhares 3 11 6 2 2 2 5" xfId="37021"/>
    <cellStyle name="Separador de milhares 3 11 6 2 2 3" xfId="26036"/>
    <cellStyle name="Separador de milhares 3 11 6 2 2 3 2" xfId="52269"/>
    <cellStyle name="Separador de milhares 3 11 6 2 2 4" xfId="20122"/>
    <cellStyle name="Separador de milhares 3 11 6 2 2 4 2" xfId="46361"/>
    <cellStyle name="Separador de milhares 3 11 6 2 2 5" xfId="14024"/>
    <cellStyle name="Separador de milhares 3 11 6 2 2 5 2" xfId="40266"/>
    <cellStyle name="Separador de milhares 3 11 6 2 2 6" xfId="33880"/>
    <cellStyle name="Separador de milhares 3 11 6 2 3" xfId="9311"/>
    <cellStyle name="Separador de milhares 3 11 6 2 3 2" xfId="27525"/>
    <cellStyle name="Separador de milhares 3 11 6 2 3 2 2" xfId="53755"/>
    <cellStyle name="Separador de milhares 3 11 6 2 3 3" xfId="21611"/>
    <cellStyle name="Separador de milhares 3 11 6 2 3 3 2" xfId="47847"/>
    <cellStyle name="Separador de milhares 3 11 6 2 3 4" xfId="15697"/>
    <cellStyle name="Separador de milhares 3 11 6 2 3 4 2" xfId="41939"/>
    <cellStyle name="Separador de milhares 3 11 6 2 3 5" xfId="35553"/>
    <cellStyle name="Separador de milhares 3 11 6 2 4" xfId="5936"/>
    <cellStyle name="Separador de milhares 3 11 6 2 4 2" xfId="24568"/>
    <cellStyle name="Separador de milhares 3 11 6 2 4 2 2" xfId="50801"/>
    <cellStyle name="Separador de milhares 3 11 6 2 4 3" xfId="32181"/>
    <cellStyle name="Separador de milhares 3 11 6 2 5" xfId="18654"/>
    <cellStyle name="Separador de milhares 3 11 6 2 5 2" xfId="44893"/>
    <cellStyle name="Separador de milhares 3 11 6 2 6" xfId="12323"/>
    <cellStyle name="Separador de milhares 3 11 6 2 6 2" xfId="38565"/>
    <cellStyle name="Separador de milhares 3 11 6 2 7" xfId="30483"/>
    <cellStyle name="Separador de milhares 3 11 6 3" xfId="6680"/>
    <cellStyle name="Separador de milhares 3 11 6 3 2" xfId="9827"/>
    <cellStyle name="Separador de milhares 3 11 6 3 2 2" xfId="28041"/>
    <cellStyle name="Separador de milhares 3 11 6 3 2 2 2" xfId="54271"/>
    <cellStyle name="Separador de milhares 3 11 6 3 2 3" xfId="22127"/>
    <cellStyle name="Separador de milhares 3 11 6 3 2 3 2" xfId="48363"/>
    <cellStyle name="Separador de milhares 3 11 6 3 2 4" xfId="16213"/>
    <cellStyle name="Separador de milhares 3 11 6 3 2 4 2" xfId="42455"/>
    <cellStyle name="Separador de milhares 3 11 6 3 2 5" xfId="36069"/>
    <cellStyle name="Separador de milhares 3 11 6 3 3" xfId="25084"/>
    <cellStyle name="Separador de milhares 3 11 6 3 3 2" xfId="51317"/>
    <cellStyle name="Separador de milhares 3 11 6 3 4" xfId="19170"/>
    <cellStyle name="Separador de milhares 3 11 6 3 4 2" xfId="45409"/>
    <cellStyle name="Separador de milhares 3 11 6 3 5" xfId="13069"/>
    <cellStyle name="Separador de milhares 3 11 6 3 5 2" xfId="39311"/>
    <cellStyle name="Separador de milhares 3 11 6 3 6" xfId="32925"/>
    <cellStyle name="Separador de milhares 3 11 6 4" xfId="8359"/>
    <cellStyle name="Separador de milhares 3 11 6 4 2" xfId="26573"/>
    <cellStyle name="Separador de milhares 3 11 6 4 2 2" xfId="52803"/>
    <cellStyle name="Separador de milhares 3 11 6 4 3" xfId="20659"/>
    <cellStyle name="Separador de milhares 3 11 6 4 3 2" xfId="46895"/>
    <cellStyle name="Separador de milhares 3 11 6 4 4" xfId="14745"/>
    <cellStyle name="Separador de milhares 3 11 6 4 4 2" xfId="40987"/>
    <cellStyle name="Separador de milhares 3 11 6 4 5" xfId="34601"/>
    <cellStyle name="Separador de milhares 3 11 6 5" xfId="4981"/>
    <cellStyle name="Separador de milhares 3 11 6 5 2" xfId="23616"/>
    <cellStyle name="Separador de milhares 3 11 6 5 2 2" xfId="49849"/>
    <cellStyle name="Separador de milhares 3 11 6 5 3" xfId="31226"/>
    <cellStyle name="Separador de milhares 3 11 6 6" xfId="17702"/>
    <cellStyle name="Separador de milhares 3 11 6 6 2" xfId="43941"/>
    <cellStyle name="Separador de milhares 3 11 6 7" xfId="11368"/>
    <cellStyle name="Separador de milhares 3 11 6 7 2" xfId="37610"/>
    <cellStyle name="Separador de milhares 3 11 6 8" xfId="29528"/>
    <cellStyle name="Separador de milhares 3 11 7" xfId="1143"/>
    <cellStyle name="Separador de milhares 3 11 7 2" xfId="6778"/>
    <cellStyle name="Separador de milhares 3 11 7 2 2" xfId="9925"/>
    <cellStyle name="Separador de milhares 3 11 7 2 2 2" xfId="28139"/>
    <cellStyle name="Separador de milhares 3 11 7 2 2 2 2" xfId="54369"/>
    <cellStyle name="Separador de milhares 3 11 7 2 2 3" xfId="22225"/>
    <cellStyle name="Separador de milhares 3 11 7 2 2 3 2" xfId="48461"/>
    <cellStyle name="Separador de milhares 3 11 7 2 2 4" xfId="16311"/>
    <cellStyle name="Separador de milhares 3 11 7 2 2 4 2" xfId="42553"/>
    <cellStyle name="Separador de milhares 3 11 7 2 2 5" xfId="36167"/>
    <cellStyle name="Separador de milhares 3 11 7 2 3" xfId="25182"/>
    <cellStyle name="Separador de milhares 3 11 7 2 3 2" xfId="51415"/>
    <cellStyle name="Separador de milhares 3 11 7 2 4" xfId="19268"/>
    <cellStyle name="Separador de milhares 3 11 7 2 4 2" xfId="45507"/>
    <cellStyle name="Separador de milhares 3 11 7 2 5" xfId="13167"/>
    <cellStyle name="Separador de milhares 3 11 7 2 5 2" xfId="39409"/>
    <cellStyle name="Separador de milhares 3 11 7 2 6" xfId="33023"/>
    <cellStyle name="Separador de milhares 3 11 7 3" xfId="8457"/>
    <cellStyle name="Separador de milhares 3 11 7 3 2" xfId="26671"/>
    <cellStyle name="Separador de milhares 3 11 7 3 2 2" xfId="52901"/>
    <cellStyle name="Separador de milhares 3 11 7 3 3" xfId="20757"/>
    <cellStyle name="Separador de milhares 3 11 7 3 3 2" xfId="46993"/>
    <cellStyle name="Separador de milhares 3 11 7 3 4" xfId="14843"/>
    <cellStyle name="Separador de milhares 3 11 7 3 4 2" xfId="41085"/>
    <cellStyle name="Separador de milhares 3 11 7 3 5" xfId="34699"/>
    <cellStyle name="Separador de milhares 3 11 7 4" xfId="5079"/>
    <cellStyle name="Separador de milhares 3 11 7 4 2" xfId="23714"/>
    <cellStyle name="Separador de milhares 3 11 7 4 2 2" xfId="49947"/>
    <cellStyle name="Separador de milhares 3 11 7 4 3" xfId="31324"/>
    <cellStyle name="Separador de milhares 3 11 7 5" xfId="17800"/>
    <cellStyle name="Separador de milhares 3 11 7 5 2" xfId="44039"/>
    <cellStyle name="Separador de milhares 3 11 7 6" xfId="11466"/>
    <cellStyle name="Separador de milhares 3 11 7 6 2" xfId="37708"/>
    <cellStyle name="Separador de milhares 3 11 7 7" xfId="29626"/>
    <cellStyle name="Separador de milhares 3 11 8" xfId="1578"/>
    <cellStyle name="Separador de milhares 3 11 8 2" xfId="6897"/>
    <cellStyle name="Separador de milhares 3 11 8 2 2" xfId="10044"/>
    <cellStyle name="Separador de milhares 3 11 8 2 2 2" xfId="28258"/>
    <cellStyle name="Separador de milhares 3 11 8 2 2 2 2" xfId="54488"/>
    <cellStyle name="Separador de milhares 3 11 8 2 2 3" xfId="22344"/>
    <cellStyle name="Separador de milhares 3 11 8 2 2 3 2" xfId="48580"/>
    <cellStyle name="Separador de milhares 3 11 8 2 2 4" xfId="16430"/>
    <cellStyle name="Separador de milhares 3 11 8 2 2 4 2" xfId="42672"/>
    <cellStyle name="Separador de milhares 3 11 8 2 2 5" xfId="36286"/>
    <cellStyle name="Separador de milhares 3 11 8 2 3" xfId="25301"/>
    <cellStyle name="Separador de milhares 3 11 8 2 3 2" xfId="51534"/>
    <cellStyle name="Separador de milhares 3 11 8 2 4" xfId="19387"/>
    <cellStyle name="Separador de milhares 3 11 8 2 4 2" xfId="45626"/>
    <cellStyle name="Separador de milhares 3 11 8 2 5" xfId="13286"/>
    <cellStyle name="Separador de milhares 3 11 8 2 5 2" xfId="39528"/>
    <cellStyle name="Separador de milhares 3 11 8 2 6" xfId="33142"/>
    <cellStyle name="Separador de milhares 3 11 8 3" xfId="8576"/>
    <cellStyle name="Separador de milhares 3 11 8 3 2" xfId="26790"/>
    <cellStyle name="Separador de milhares 3 11 8 3 2 2" xfId="53020"/>
    <cellStyle name="Separador de milhares 3 11 8 3 3" xfId="20876"/>
    <cellStyle name="Separador de milhares 3 11 8 3 3 2" xfId="47112"/>
    <cellStyle name="Separador de milhares 3 11 8 3 4" xfId="14962"/>
    <cellStyle name="Separador de milhares 3 11 8 3 4 2" xfId="41204"/>
    <cellStyle name="Separador de milhares 3 11 8 3 5" xfId="34818"/>
    <cellStyle name="Separador de milhares 3 11 8 4" xfId="5198"/>
    <cellStyle name="Separador de milhares 3 11 8 4 2" xfId="23833"/>
    <cellStyle name="Separador de milhares 3 11 8 4 2 2" xfId="50066"/>
    <cellStyle name="Separador de milhares 3 11 8 4 3" xfId="31443"/>
    <cellStyle name="Separador de milhares 3 11 8 5" xfId="17919"/>
    <cellStyle name="Separador de milhares 3 11 8 5 2" xfId="44158"/>
    <cellStyle name="Separador de milhares 3 11 8 6" xfId="11585"/>
    <cellStyle name="Separador de milhares 3 11 8 6 2" xfId="37827"/>
    <cellStyle name="Separador de milhares 3 11 8 7" xfId="29745"/>
    <cellStyle name="Separador de milhares 3 11 9" xfId="2108"/>
    <cellStyle name="Separador de milhares 3 11 9 2" xfId="7047"/>
    <cellStyle name="Separador de milhares 3 11 9 2 2" xfId="10191"/>
    <cellStyle name="Separador de milhares 3 11 9 2 2 2" xfId="28405"/>
    <cellStyle name="Separador de milhares 3 11 9 2 2 2 2" xfId="54635"/>
    <cellStyle name="Separador de milhares 3 11 9 2 2 3" xfId="22491"/>
    <cellStyle name="Separador de milhares 3 11 9 2 2 3 2" xfId="48727"/>
    <cellStyle name="Separador de milhares 3 11 9 2 2 4" xfId="16577"/>
    <cellStyle name="Separador de milhares 3 11 9 2 2 4 2" xfId="42819"/>
    <cellStyle name="Separador de milhares 3 11 9 2 2 5" xfId="36433"/>
    <cellStyle name="Separador de milhares 3 11 9 2 3" xfId="25448"/>
    <cellStyle name="Separador de milhares 3 11 9 2 3 2" xfId="51681"/>
    <cellStyle name="Separador de milhares 3 11 9 2 4" xfId="19534"/>
    <cellStyle name="Separador de milhares 3 11 9 2 4 2" xfId="45773"/>
    <cellStyle name="Separador de milhares 3 11 9 2 5" xfId="13436"/>
    <cellStyle name="Separador de milhares 3 11 9 2 5 2" xfId="39678"/>
    <cellStyle name="Separador de milhares 3 11 9 2 6" xfId="33292"/>
    <cellStyle name="Separador de milhares 3 11 9 3" xfId="8723"/>
    <cellStyle name="Separador de milhares 3 11 9 3 2" xfId="26937"/>
    <cellStyle name="Separador de milhares 3 11 9 3 2 2" xfId="53167"/>
    <cellStyle name="Separador de milhares 3 11 9 3 3" xfId="21023"/>
    <cellStyle name="Separador de milhares 3 11 9 3 3 2" xfId="47259"/>
    <cellStyle name="Separador de milhares 3 11 9 3 4" xfId="15109"/>
    <cellStyle name="Separador de milhares 3 11 9 3 4 2" xfId="41351"/>
    <cellStyle name="Separador de milhares 3 11 9 3 5" xfId="34965"/>
    <cellStyle name="Separador de milhares 3 11 9 4" xfId="5348"/>
    <cellStyle name="Separador de milhares 3 11 9 4 2" xfId="23980"/>
    <cellStyle name="Separador de milhares 3 11 9 4 2 2" xfId="50213"/>
    <cellStyle name="Separador de milhares 3 11 9 4 3" xfId="31593"/>
    <cellStyle name="Separador de milhares 3 11 9 5" xfId="18066"/>
    <cellStyle name="Separador de milhares 3 11 9 5 2" xfId="44305"/>
    <cellStyle name="Separador de milhares 3 11 9 6" xfId="11735"/>
    <cellStyle name="Separador de milhares 3 11 9 6 2" xfId="37977"/>
    <cellStyle name="Separador de milhares 3 11 9 7" xfId="29895"/>
    <cellStyle name="Separador de milhares 3 12" xfId="140"/>
    <cellStyle name="Separador de milhares 3 12 10" xfId="2643"/>
    <cellStyle name="Separador de milhares 3 12 10 2" xfId="7196"/>
    <cellStyle name="Separador de milhares 3 12 10 2 2" xfId="10340"/>
    <cellStyle name="Separador de milhares 3 12 10 2 2 2" xfId="28554"/>
    <cellStyle name="Separador de milhares 3 12 10 2 2 2 2" xfId="54784"/>
    <cellStyle name="Separador de milhares 3 12 10 2 2 3" xfId="22640"/>
    <cellStyle name="Separador de milhares 3 12 10 2 2 3 2" xfId="48876"/>
    <cellStyle name="Separador de milhares 3 12 10 2 2 4" xfId="16726"/>
    <cellStyle name="Separador de milhares 3 12 10 2 2 4 2" xfId="42968"/>
    <cellStyle name="Separador de milhares 3 12 10 2 2 5" xfId="36582"/>
    <cellStyle name="Separador de milhares 3 12 10 2 3" xfId="25597"/>
    <cellStyle name="Separador de milhares 3 12 10 2 3 2" xfId="51830"/>
    <cellStyle name="Separador de milhares 3 12 10 2 4" xfId="19683"/>
    <cellStyle name="Separador de milhares 3 12 10 2 4 2" xfId="45922"/>
    <cellStyle name="Separador de milhares 3 12 10 2 5" xfId="13585"/>
    <cellStyle name="Separador de milhares 3 12 10 2 5 2" xfId="39827"/>
    <cellStyle name="Separador de milhares 3 12 10 2 6" xfId="33441"/>
    <cellStyle name="Separador de milhares 3 12 10 3" xfId="8872"/>
    <cellStyle name="Separador de milhares 3 12 10 3 2" xfId="27086"/>
    <cellStyle name="Separador de milhares 3 12 10 3 2 2" xfId="53316"/>
    <cellStyle name="Separador de milhares 3 12 10 3 3" xfId="21172"/>
    <cellStyle name="Separador de milhares 3 12 10 3 3 2" xfId="47408"/>
    <cellStyle name="Separador de milhares 3 12 10 3 4" xfId="15258"/>
    <cellStyle name="Separador de milhares 3 12 10 3 4 2" xfId="41500"/>
    <cellStyle name="Separador de milhares 3 12 10 3 5" xfId="35114"/>
    <cellStyle name="Separador de milhares 3 12 10 4" xfId="5497"/>
    <cellStyle name="Separador de milhares 3 12 10 4 2" xfId="24129"/>
    <cellStyle name="Separador de milhares 3 12 10 4 2 2" xfId="50362"/>
    <cellStyle name="Separador de milhares 3 12 10 4 3" xfId="31742"/>
    <cellStyle name="Separador de milhares 3 12 10 5" xfId="18215"/>
    <cellStyle name="Separador de milhares 3 12 10 5 2" xfId="44454"/>
    <cellStyle name="Separador de milhares 3 12 10 6" xfId="11884"/>
    <cellStyle name="Separador de milhares 3 12 10 6 2" xfId="38126"/>
    <cellStyle name="Separador de milhares 3 12 10 7" xfId="30044"/>
    <cellStyle name="Separador de milhares 3 12 11" xfId="3170"/>
    <cellStyle name="Separador de milhares 3 12 11 2" xfId="7343"/>
    <cellStyle name="Separador de milhares 3 12 11 2 2" xfId="10487"/>
    <cellStyle name="Separador de milhares 3 12 11 2 2 2" xfId="28701"/>
    <cellStyle name="Separador de milhares 3 12 11 2 2 2 2" xfId="54931"/>
    <cellStyle name="Separador de milhares 3 12 11 2 2 3" xfId="22787"/>
    <cellStyle name="Separador de milhares 3 12 11 2 2 3 2" xfId="49023"/>
    <cellStyle name="Separador de milhares 3 12 11 2 2 4" xfId="16873"/>
    <cellStyle name="Separador de milhares 3 12 11 2 2 4 2" xfId="43115"/>
    <cellStyle name="Separador de milhares 3 12 11 2 2 5" xfId="36729"/>
    <cellStyle name="Separador de milhares 3 12 11 2 3" xfId="25744"/>
    <cellStyle name="Separador de milhares 3 12 11 2 3 2" xfId="51977"/>
    <cellStyle name="Separador de milhares 3 12 11 2 4" xfId="19830"/>
    <cellStyle name="Separador de milhares 3 12 11 2 4 2" xfId="46069"/>
    <cellStyle name="Separador de milhares 3 12 11 2 5" xfId="13732"/>
    <cellStyle name="Separador de milhares 3 12 11 2 5 2" xfId="39974"/>
    <cellStyle name="Separador de milhares 3 12 11 2 6" xfId="33588"/>
    <cellStyle name="Separador de milhares 3 12 11 3" xfId="9019"/>
    <cellStyle name="Separador de milhares 3 12 11 3 2" xfId="27233"/>
    <cellStyle name="Separador de milhares 3 12 11 3 2 2" xfId="53463"/>
    <cellStyle name="Separador de milhares 3 12 11 3 3" xfId="21319"/>
    <cellStyle name="Separador de milhares 3 12 11 3 3 2" xfId="47555"/>
    <cellStyle name="Separador de milhares 3 12 11 3 4" xfId="15405"/>
    <cellStyle name="Separador de milhares 3 12 11 3 4 2" xfId="41647"/>
    <cellStyle name="Separador de milhares 3 12 11 3 5" xfId="35261"/>
    <cellStyle name="Separador de milhares 3 12 11 4" xfId="5644"/>
    <cellStyle name="Separador de milhares 3 12 11 4 2" xfId="24276"/>
    <cellStyle name="Separador de milhares 3 12 11 4 2 2" xfId="50509"/>
    <cellStyle name="Separador de milhares 3 12 11 4 3" xfId="31889"/>
    <cellStyle name="Separador de milhares 3 12 11 5" xfId="18362"/>
    <cellStyle name="Separador de milhares 3 12 11 5 2" xfId="44601"/>
    <cellStyle name="Separador de milhares 3 12 11 6" xfId="12031"/>
    <cellStyle name="Separador de milhares 3 12 11 6 2" xfId="38273"/>
    <cellStyle name="Separador de milhares 3 12 11 7" xfId="30191"/>
    <cellStyle name="Separador de milhares 3 12 12" xfId="3697"/>
    <cellStyle name="Separador de milhares 3 12 12 2" xfId="7490"/>
    <cellStyle name="Separador de milhares 3 12 12 2 2" xfId="10634"/>
    <cellStyle name="Separador de milhares 3 12 12 2 2 2" xfId="28848"/>
    <cellStyle name="Separador de milhares 3 12 12 2 2 2 2" xfId="55078"/>
    <cellStyle name="Separador de milhares 3 12 12 2 2 3" xfId="22934"/>
    <cellStyle name="Separador de milhares 3 12 12 2 2 3 2" xfId="49170"/>
    <cellStyle name="Separador de milhares 3 12 12 2 2 4" xfId="17020"/>
    <cellStyle name="Separador de milhares 3 12 12 2 2 4 2" xfId="43262"/>
    <cellStyle name="Separador de milhares 3 12 12 2 2 5" xfId="36876"/>
    <cellStyle name="Separador de milhares 3 12 12 2 3" xfId="25891"/>
    <cellStyle name="Separador de milhares 3 12 12 2 3 2" xfId="52124"/>
    <cellStyle name="Separador de milhares 3 12 12 2 4" xfId="19977"/>
    <cellStyle name="Separador de milhares 3 12 12 2 4 2" xfId="46216"/>
    <cellStyle name="Separador de milhares 3 12 12 2 5" xfId="13879"/>
    <cellStyle name="Separador de milhares 3 12 12 2 5 2" xfId="40121"/>
    <cellStyle name="Separador de milhares 3 12 12 2 6" xfId="33735"/>
    <cellStyle name="Separador de milhares 3 12 12 3" xfId="9166"/>
    <cellStyle name="Separador de milhares 3 12 12 3 2" xfId="27380"/>
    <cellStyle name="Separador de milhares 3 12 12 3 2 2" xfId="53610"/>
    <cellStyle name="Separador de milhares 3 12 12 3 3" xfId="21466"/>
    <cellStyle name="Separador de milhares 3 12 12 3 3 2" xfId="47702"/>
    <cellStyle name="Separador de milhares 3 12 12 3 4" xfId="15552"/>
    <cellStyle name="Separador de milhares 3 12 12 3 4 2" xfId="41794"/>
    <cellStyle name="Separador de milhares 3 12 12 3 5" xfId="35408"/>
    <cellStyle name="Separador de milhares 3 12 12 4" xfId="5791"/>
    <cellStyle name="Separador de milhares 3 12 12 4 2" xfId="24423"/>
    <cellStyle name="Separador de milhares 3 12 12 4 2 2" xfId="50656"/>
    <cellStyle name="Separador de milhares 3 12 12 4 3" xfId="32036"/>
    <cellStyle name="Separador de milhares 3 12 12 5" xfId="18509"/>
    <cellStyle name="Separador de milhares 3 12 12 5 2" xfId="44748"/>
    <cellStyle name="Separador de milhares 3 12 12 6" xfId="12178"/>
    <cellStyle name="Separador de milhares 3 12 12 6 2" xfId="38420"/>
    <cellStyle name="Separador de milhares 3 12 12 7" xfId="30338"/>
    <cellStyle name="Separador de milhares 3 12 13" xfId="6474"/>
    <cellStyle name="Separador de milhares 3 12 13 2" xfId="9630"/>
    <cellStyle name="Separador de milhares 3 12 13 2 2" xfId="27844"/>
    <cellStyle name="Separador de milhares 3 12 13 2 2 2" xfId="54074"/>
    <cellStyle name="Separador de milhares 3 12 13 2 3" xfId="21930"/>
    <cellStyle name="Separador de milhares 3 12 13 2 3 2" xfId="48166"/>
    <cellStyle name="Separador de milhares 3 12 13 2 4" xfId="16016"/>
    <cellStyle name="Separador de milhares 3 12 13 2 4 2" xfId="42258"/>
    <cellStyle name="Separador de milhares 3 12 13 2 5" xfId="35872"/>
    <cellStyle name="Separador de milhares 3 12 13 3" xfId="24887"/>
    <cellStyle name="Separador de milhares 3 12 13 3 2" xfId="51120"/>
    <cellStyle name="Separador de milhares 3 12 13 4" xfId="18973"/>
    <cellStyle name="Separador de milhares 3 12 13 4 2" xfId="45212"/>
    <cellStyle name="Separador de milhares 3 12 13 5" xfId="12863"/>
    <cellStyle name="Separador de milhares 3 12 13 5 2" xfId="39105"/>
    <cellStyle name="Separador de milhares 3 12 13 6" xfId="32719"/>
    <cellStyle name="Separador de milhares 3 12 14" xfId="8159"/>
    <cellStyle name="Separador de milhares 3 12 14 2" xfId="26373"/>
    <cellStyle name="Separador de milhares 3 12 14 2 2" xfId="52606"/>
    <cellStyle name="Separador de milhares 3 12 14 3" xfId="20459"/>
    <cellStyle name="Separador de milhares 3 12 14 3 2" xfId="46698"/>
    <cellStyle name="Separador de milhares 3 12 14 4" xfId="14548"/>
    <cellStyle name="Separador de milhares 3 12 14 4 2" xfId="40790"/>
    <cellStyle name="Separador de milhares 3 12 14 5" xfId="34404"/>
    <cellStyle name="Separador de milhares 3 12 15" xfId="4772"/>
    <cellStyle name="Separador de milhares 3 12 15 2" xfId="23416"/>
    <cellStyle name="Separador de milhares 3 12 15 2 2" xfId="49652"/>
    <cellStyle name="Separador de milhares 3 12 15 3" xfId="31020"/>
    <cellStyle name="Separador de milhares 3 12 16" xfId="17502"/>
    <cellStyle name="Separador de milhares 3 12 16 2" xfId="43744"/>
    <cellStyle name="Separador de milhares 3 12 17" xfId="11162"/>
    <cellStyle name="Separador de milhares 3 12 17 2" xfId="37404"/>
    <cellStyle name="Separador de milhares 3 12 18" xfId="29322"/>
    <cellStyle name="Separador de milhares 3 12 2" xfId="234"/>
    <cellStyle name="Separador de milhares 3 12 2 10" xfId="6503"/>
    <cellStyle name="Separador de milhares 3 12 2 10 2" xfId="9657"/>
    <cellStyle name="Separador de milhares 3 12 2 10 2 2" xfId="27871"/>
    <cellStyle name="Separador de milhares 3 12 2 10 2 2 2" xfId="54101"/>
    <cellStyle name="Separador de milhares 3 12 2 10 2 3" xfId="21957"/>
    <cellStyle name="Separador de milhares 3 12 2 10 2 3 2" xfId="48193"/>
    <cellStyle name="Separador de milhares 3 12 2 10 2 4" xfId="16043"/>
    <cellStyle name="Separador de milhares 3 12 2 10 2 4 2" xfId="42285"/>
    <cellStyle name="Separador de milhares 3 12 2 10 2 5" xfId="35899"/>
    <cellStyle name="Separador de milhares 3 12 2 10 3" xfId="24914"/>
    <cellStyle name="Separador de milhares 3 12 2 10 3 2" xfId="51147"/>
    <cellStyle name="Separador de milhares 3 12 2 10 4" xfId="19000"/>
    <cellStyle name="Separador de milhares 3 12 2 10 4 2" xfId="45239"/>
    <cellStyle name="Separador de milhares 3 12 2 10 5" xfId="12892"/>
    <cellStyle name="Separador de milhares 3 12 2 10 5 2" xfId="39134"/>
    <cellStyle name="Separador de milhares 3 12 2 10 6" xfId="32748"/>
    <cellStyle name="Separador de milhares 3 12 2 11" xfId="8186"/>
    <cellStyle name="Separador de milhares 3 12 2 11 2" xfId="26400"/>
    <cellStyle name="Separador de milhares 3 12 2 11 2 2" xfId="52633"/>
    <cellStyle name="Separador de milhares 3 12 2 11 3" xfId="20486"/>
    <cellStyle name="Separador de milhares 3 12 2 11 3 2" xfId="46725"/>
    <cellStyle name="Separador de milhares 3 12 2 11 4" xfId="14575"/>
    <cellStyle name="Separador de milhares 3 12 2 11 4 2" xfId="40817"/>
    <cellStyle name="Separador de milhares 3 12 2 11 5" xfId="34431"/>
    <cellStyle name="Separador de milhares 3 12 2 12" xfId="4802"/>
    <cellStyle name="Separador de milhares 3 12 2 12 2" xfId="23443"/>
    <cellStyle name="Separador de milhares 3 12 2 12 2 2" xfId="49679"/>
    <cellStyle name="Separador de milhares 3 12 2 12 3" xfId="31049"/>
    <cellStyle name="Separador de milhares 3 12 2 13" xfId="17529"/>
    <cellStyle name="Separador de milhares 3 12 2 13 2" xfId="43771"/>
    <cellStyle name="Separador de milhares 3 12 2 14" xfId="11191"/>
    <cellStyle name="Separador de milhares 3 12 2 14 2" xfId="37433"/>
    <cellStyle name="Separador de milhares 3 12 2 15" xfId="29352"/>
    <cellStyle name="Separador de milhares 3 12 2 2" xfId="507"/>
    <cellStyle name="Separador de milhares 3 12 2 2 10" xfId="17603"/>
    <cellStyle name="Separador de milhares 3 12 2 2 10 2" xfId="43845"/>
    <cellStyle name="Separador de milhares 3 12 2 2 11" xfId="11272"/>
    <cellStyle name="Separador de milhares 3 12 2 2 11 2" xfId="37514"/>
    <cellStyle name="Separador de milhares 3 12 2 2 12" xfId="29432"/>
    <cellStyle name="Separador de milhares 3 12 2 2 2" xfId="2026"/>
    <cellStyle name="Separador de milhares 3 12 2 2 2 2" xfId="7022"/>
    <cellStyle name="Separador de milhares 3 12 2 2 2 2 2" xfId="10169"/>
    <cellStyle name="Separador de milhares 3 12 2 2 2 2 2 2" xfId="28383"/>
    <cellStyle name="Separador de milhares 3 12 2 2 2 2 2 2 2" xfId="54613"/>
    <cellStyle name="Separador de milhares 3 12 2 2 2 2 2 3" xfId="22469"/>
    <cellStyle name="Separador de milhares 3 12 2 2 2 2 2 3 2" xfId="48705"/>
    <cellStyle name="Separador de milhares 3 12 2 2 2 2 2 4" xfId="16555"/>
    <cellStyle name="Separador de milhares 3 12 2 2 2 2 2 4 2" xfId="42797"/>
    <cellStyle name="Separador de milhares 3 12 2 2 2 2 2 5" xfId="36411"/>
    <cellStyle name="Separador de milhares 3 12 2 2 2 2 3" xfId="25426"/>
    <cellStyle name="Separador de milhares 3 12 2 2 2 2 3 2" xfId="51659"/>
    <cellStyle name="Separador de milhares 3 12 2 2 2 2 4" xfId="19512"/>
    <cellStyle name="Separador de milhares 3 12 2 2 2 2 4 2" xfId="45751"/>
    <cellStyle name="Separador de milhares 3 12 2 2 2 2 5" xfId="13411"/>
    <cellStyle name="Separador de milhares 3 12 2 2 2 2 5 2" xfId="39653"/>
    <cellStyle name="Separador de milhares 3 12 2 2 2 2 6" xfId="33267"/>
    <cellStyle name="Separador de milhares 3 12 2 2 2 3" xfId="8701"/>
    <cellStyle name="Separador de milhares 3 12 2 2 2 3 2" xfId="26915"/>
    <cellStyle name="Separador de milhares 3 12 2 2 2 3 2 2" xfId="53145"/>
    <cellStyle name="Separador de milhares 3 12 2 2 2 3 3" xfId="21001"/>
    <cellStyle name="Separador de milhares 3 12 2 2 2 3 3 2" xfId="47237"/>
    <cellStyle name="Separador de milhares 3 12 2 2 2 3 4" xfId="15087"/>
    <cellStyle name="Separador de milhares 3 12 2 2 2 3 4 2" xfId="41329"/>
    <cellStyle name="Separador de milhares 3 12 2 2 2 3 5" xfId="34943"/>
    <cellStyle name="Separador de milhares 3 12 2 2 2 4" xfId="5323"/>
    <cellStyle name="Separador de milhares 3 12 2 2 2 4 2" xfId="23958"/>
    <cellStyle name="Separador de milhares 3 12 2 2 2 4 2 2" xfId="50191"/>
    <cellStyle name="Separador de milhares 3 12 2 2 2 4 3" xfId="31568"/>
    <cellStyle name="Separador de milhares 3 12 2 2 2 5" xfId="18044"/>
    <cellStyle name="Separador de milhares 3 12 2 2 2 5 2" xfId="44283"/>
    <cellStyle name="Separador de milhares 3 12 2 2 2 6" xfId="11710"/>
    <cellStyle name="Separador de milhares 3 12 2 2 2 6 2" xfId="37952"/>
    <cellStyle name="Separador de milhares 3 12 2 2 2 7" xfId="29870"/>
    <cellStyle name="Separador de milhares 3 12 2 2 3" xfId="2556"/>
    <cellStyle name="Separador de milhares 3 12 2 2 3 2" xfId="7172"/>
    <cellStyle name="Separador de milhares 3 12 2 2 3 2 2" xfId="10316"/>
    <cellStyle name="Separador de milhares 3 12 2 2 3 2 2 2" xfId="28530"/>
    <cellStyle name="Separador de milhares 3 12 2 2 3 2 2 2 2" xfId="54760"/>
    <cellStyle name="Separador de milhares 3 12 2 2 3 2 2 3" xfId="22616"/>
    <cellStyle name="Separador de milhares 3 12 2 2 3 2 2 3 2" xfId="48852"/>
    <cellStyle name="Separador de milhares 3 12 2 2 3 2 2 4" xfId="16702"/>
    <cellStyle name="Separador de milhares 3 12 2 2 3 2 2 4 2" xfId="42944"/>
    <cellStyle name="Separador de milhares 3 12 2 2 3 2 2 5" xfId="36558"/>
    <cellStyle name="Separador de milhares 3 12 2 2 3 2 3" xfId="25573"/>
    <cellStyle name="Separador de milhares 3 12 2 2 3 2 3 2" xfId="51806"/>
    <cellStyle name="Separador de milhares 3 12 2 2 3 2 4" xfId="19659"/>
    <cellStyle name="Separador de milhares 3 12 2 2 3 2 4 2" xfId="45898"/>
    <cellStyle name="Separador de milhares 3 12 2 2 3 2 5" xfId="13561"/>
    <cellStyle name="Separador de milhares 3 12 2 2 3 2 5 2" xfId="39803"/>
    <cellStyle name="Separador de milhares 3 12 2 2 3 2 6" xfId="33417"/>
    <cellStyle name="Separador de milhares 3 12 2 2 3 3" xfId="8848"/>
    <cellStyle name="Separador de milhares 3 12 2 2 3 3 2" xfId="27062"/>
    <cellStyle name="Separador de milhares 3 12 2 2 3 3 2 2" xfId="53292"/>
    <cellStyle name="Separador de milhares 3 12 2 2 3 3 3" xfId="21148"/>
    <cellStyle name="Separador de milhares 3 12 2 2 3 3 3 2" xfId="47384"/>
    <cellStyle name="Separador de milhares 3 12 2 2 3 3 4" xfId="15234"/>
    <cellStyle name="Separador de milhares 3 12 2 2 3 3 4 2" xfId="41476"/>
    <cellStyle name="Separador de milhares 3 12 2 2 3 3 5" xfId="35090"/>
    <cellStyle name="Separador de milhares 3 12 2 2 3 4" xfId="5473"/>
    <cellStyle name="Separador de milhares 3 12 2 2 3 4 2" xfId="24105"/>
    <cellStyle name="Separador de milhares 3 12 2 2 3 4 2 2" xfId="50338"/>
    <cellStyle name="Separador de milhares 3 12 2 2 3 4 3" xfId="31718"/>
    <cellStyle name="Separador de milhares 3 12 2 2 3 5" xfId="18191"/>
    <cellStyle name="Separador de milhares 3 12 2 2 3 5 2" xfId="44430"/>
    <cellStyle name="Separador de milhares 3 12 2 2 3 6" xfId="11860"/>
    <cellStyle name="Separador de milhares 3 12 2 2 3 6 2" xfId="38102"/>
    <cellStyle name="Separador de milhares 3 12 2 2 3 7" xfId="30020"/>
    <cellStyle name="Separador de milhares 3 12 2 2 4" xfId="3083"/>
    <cellStyle name="Separador de milhares 3 12 2 2 4 2" xfId="7319"/>
    <cellStyle name="Separador de milhares 3 12 2 2 4 2 2" xfId="10463"/>
    <cellStyle name="Separador de milhares 3 12 2 2 4 2 2 2" xfId="28677"/>
    <cellStyle name="Separador de milhares 3 12 2 2 4 2 2 2 2" xfId="54907"/>
    <cellStyle name="Separador de milhares 3 12 2 2 4 2 2 3" xfId="22763"/>
    <cellStyle name="Separador de milhares 3 12 2 2 4 2 2 3 2" xfId="48999"/>
    <cellStyle name="Separador de milhares 3 12 2 2 4 2 2 4" xfId="16849"/>
    <cellStyle name="Separador de milhares 3 12 2 2 4 2 2 4 2" xfId="43091"/>
    <cellStyle name="Separador de milhares 3 12 2 2 4 2 2 5" xfId="36705"/>
    <cellStyle name="Separador de milhares 3 12 2 2 4 2 3" xfId="25720"/>
    <cellStyle name="Separador de milhares 3 12 2 2 4 2 3 2" xfId="51953"/>
    <cellStyle name="Separador de milhares 3 12 2 2 4 2 4" xfId="19806"/>
    <cellStyle name="Separador de milhares 3 12 2 2 4 2 4 2" xfId="46045"/>
    <cellStyle name="Separador de milhares 3 12 2 2 4 2 5" xfId="13708"/>
    <cellStyle name="Separador de milhares 3 12 2 2 4 2 5 2" xfId="39950"/>
    <cellStyle name="Separador de milhares 3 12 2 2 4 2 6" xfId="33564"/>
    <cellStyle name="Separador de milhares 3 12 2 2 4 3" xfId="8995"/>
    <cellStyle name="Separador de milhares 3 12 2 2 4 3 2" xfId="27209"/>
    <cellStyle name="Separador de milhares 3 12 2 2 4 3 2 2" xfId="53439"/>
    <cellStyle name="Separador de milhares 3 12 2 2 4 3 3" xfId="21295"/>
    <cellStyle name="Separador de milhares 3 12 2 2 4 3 3 2" xfId="47531"/>
    <cellStyle name="Separador de milhares 3 12 2 2 4 3 4" xfId="15381"/>
    <cellStyle name="Separador de milhares 3 12 2 2 4 3 4 2" xfId="41623"/>
    <cellStyle name="Separador de milhares 3 12 2 2 4 3 5" xfId="35237"/>
    <cellStyle name="Separador de milhares 3 12 2 2 4 4" xfId="5620"/>
    <cellStyle name="Separador de milhares 3 12 2 2 4 4 2" xfId="24252"/>
    <cellStyle name="Separador de milhares 3 12 2 2 4 4 2 2" xfId="50485"/>
    <cellStyle name="Separador de milhares 3 12 2 2 4 4 3" xfId="31865"/>
    <cellStyle name="Separador de milhares 3 12 2 2 4 5" xfId="18338"/>
    <cellStyle name="Separador de milhares 3 12 2 2 4 5 2" xfId="44577"/>
    <cellStyle name="Separador de milhares 3 12 2 2 4 6" xfId="12007"/>
    <cellStyle name="Separador de milhares 3 12 2 2 4 6 2" xfId="38249"/>
    <cellStyle name="Separador de milhares 3 12 2 2 4 7" xfId="30167"/>
    <cellStyle name="Separador de milhares 3 12 2 2 5" xfId="3610"/>
    <cellStyle name="Separador de milhares 3 12 2 2 5 2" xfId="7466"/>
    <cellStyle name="Separador de milhares 3 12 2 2 5 2 2" xfId="10610"/>
    <cellStyle name="Separador de milhares 3 12 2 2 5 2 2 2" xfId="28824"/>
    <cellStyle name="Separador de milhares 3 12 2 2 5 2 2 2 2" xfId="55054"/>
    <cellStyle name="Separador de milhares 3 12 2 2 5 2 2 3" xfId="22910"/>
    <cellStyle name="Separador de milhares 3 12 2 2 5 2 2 3 2" xfId="49146"/>
    <cellStyle name="Separador de milhares 3 12 2 2 5 2 2 4" xfId="16996"/>
    <cellStyle name="Separador de milhares 3 12 2 2 5 2 2 4 2" xfId="43238"/>
    <cellStyle name="Separador de milhares 3 12 2 2 5 2 2 5" xfId="36852"/>
    <cellStyle name="Separador de milhares 3 12 2 2 5 2 3" xfId="25867"/>
    <cellStyle name="Separador de milhares 3 12 2 2 5 2 3 2" xfId="52100"/>
    <cellStyle name="Separador de milhares 3 12 2 2 5 2 4" xfId="19953"/>
    <cellStyle name="Separador de milhares 3 12 2 2 5 2 4 2" xfId="46192"/>
    <cellStyle name="Separador de milhares 3 12 2 2 5 2 5" xfId="13855"/>
    <cellStyle name="Separador de milhares 3 12 2 2 5 2 5 2" xfId="40097"/>
    <cellStyle name="Separador de milhares 3 12 2 2 5 2 6" xfId="33711"/>
    <cellStyle name="Separador de milhares 3 12 2 2 5 3" xfId="9142"/>
    <cellStyle name="Separador de milhares 3 12 2 2 5 3 2" xfId="27356"/>
    <cellStyle name="Separador de milhares 3 12 2 2 5 3 2 2" xfId="53586"/>
    <cellStyle name="Separador de milhares 3 12 2 2 5 3 3" xfId="21442"/>
    <cellStyle name="Separador de milhares 3 12 2 2 5 3 3 2" xfId="47678"/>
    <cellStyle name="Separador de milhares 3 12 2 2 5 3 4" xfId="15528"/>
    <cellStyle name="Separador de milhares 3 12 2 2 5 3 4 2" xfId="41770"/>
    <cellStyle name="Separador de milhares 3 12 2 2 5 3 5" xfId="35384"/>
    <cellStyle name="Separador de milhares 3 12 2 2 5 4" xfId="5767"/>
    <cellStyle name="Separador de milhares 3 12 2 2 5 4 2" xfId="24399"/>
    <cellStyle name="Separador de milhares 3 12 2 2 5 4 2 2" xfId="50632"/>
    <cellStyle name="Separador de milhares 3 12 2 2 5 4 3" xfId="32012"/>
    <cellStyle name="Separador de milhares 3 12 2 2 5 5" xfId="18485"/>
    <cellStyle name="Separador de milhares 3 12 2 2 5 5 2" xfId="44724"/>
    <cellStyle name="Separador de milhares 3 12 2 2 5 6" xfId="12154"/>
    <cellStyle name="Separador de milhares 3 12 2 2 5 6 2" xfId="38396"/>
    <cellStyle name="Separador de milhares 3 12 2 2 5 7" xfId="30314"/>
    <cellStyle name="Separador de milhares 3 12 2 2 6" xfId="4137"/>
    <cellStyle name="Separador de milhares 3 12 2 2 6 2" xfId="7613"/>
    <cellStyle name="Separador de milhares 3 12 2 2 6 2 2" xfId="10757"/>
    <cellStyle name="Separador de milhares 3 12 2 2 6 2 2 2" xfId="28971"/>
    <cellStyle name="Separador de milhares 3 12 2 2 6 2 2 2 2" xfId="55201"/>
    <cellStyle name="Separador de milhares 3 12 2 2 6 2 2 3" xfId="23057"/>
    <cellStyle name="Separador de milhares 3 12 2 2 6 2 2 3 2" xfId="49293"/>
    <cellStyle name="Separador de milhares 3 12 2 2 6 2 2 4" xfId="17143"/>
    <cellStyle name="Separador de milhares 3 12 2 2 6 2 2 4 2" xfId="43385"/>
    <cellStyle name="Separador de milhares 3 12 2 2 6 2 2 5" xfId="36999"/>
    <cellStyle name="Separador de milhares 3 12 2 2 6 2 3" xfId="26014"/>
    <cellStyle name="Separador de milhares 3 12 2 2 6 2 3 2" xfId="52247"/>
    <cellStyle name="Separador de milhares 3 12 2 2 6 2 4" xfId="20100"/>
    <cellStyle name="Separador de milhares 3 12 2 2 6 2 4 2" xfId="46339"/>
    <cellStyle name="Separador de milhares 3 12 2 2 6 2 5" xfId="14002"/>
    <cellStyle name="Separador de milhares 3 12 2 2 6 2 5 2" xfId="40244"/>
    <cellStyle name="Separador de milhares 3 12 2 2 6 2 6" xfId="33858"/>
    <cellStyle name="Separador de milhares 3 12 2 2 6 3" xfId="9289"/>
    <cellStyle name="Separador de milhares 3 12 2 2 6 3 2" xfId="27503"/>
    <cellStyle name="Separador de milhares 3 12 2 2 6 3 2 2" xfId="53733"/>
    <cellStyle name="Separador de milhares 3 12 2 2 6 3 3" xfId="21589"/>
    <cellStyle name="Separador de milhares 3 12 2 2 6 3 3 2" xfId="47825"/>
    <cellStyle name="Separador de milhares 3 12 2 2 6 3 4" xfId="15675"/>
    <cellStyle name="Separador de milhares 3 12 2 2 6 3 4 2" xfId="41917"/>
    <cellStyle name="Separador de milhares 3 12 2 2 6 3 5" xfId="35531"/>
    <cellStyle name="Separador de milhares 3 12 2 2 6 4" xfId="5914"/>
    <cellStyle name="Separador de milhares 3 12 2 2 6 4 2" xfId="24546"/>
    <cellStyle name="Separador de milhares 3 12 2 2 6 4 2 2" xfId="50779"/>
    <cellStyle name="Separador de milhares 3 12 2 2 6 4 3" xfId="32159"/>
    <cellStyle name="Separador de milhares 3 12 2 2 6 5" xfId="18632"/>
    <cellStyle name="Separador de milhares 3 12 2 2 6 5 2" xfId="44871"/>
    <cellStyle name="Separador de milhares 3 12 2 2 6 6" xfId="12301"/>
    <cellStyle name="Separador de milhares 3 12 2 2 6 6 2" xfId="38543"/>
    <cellStyle name="Separador de milhares 3 12 2 2 6 7" xfId="30461"/>
    <cellStyle name="Separador de milhares 3 12 2 2 7" xfId="6584"/>
    <cellStyle name="Separador de milhares 3 12 2 2 7 2" xfId="9731"/>
    <cellStyle name="Separador de milhares 3 12 2 2 7 2 2" xfId="27945"/>
    <cellStyle name="Separador de milhares 3 12 2 2 7 2 2 2" xfId="54175"/>
    <cellStyle name="Separador de milhares 3 12 2 2 7 2 3" xfId="22031"/>
    <cellStyle name="Separador de milhares 3 12 2 2 7 2 3 2" xfId="48267"/>
    <cellStyle name="Separador de milhares 3 12 2 2 7 2 4" xfId="16117"/>
    <cellStyle name="Separador de milhares 3 12 2 2 7 2 4 2" xfId="42359"/>
    <cellStyle name="Separador de milhares 3 12 2 2 7 2 5" xfId="35973"/>
    <cellStyle name="Separador de milhares 3 12 2 2 7 3" xfId="24988"/>
    <cellStyle name="Separador de milhares 3 12 2 2 7 3 2" xfId="51221"/>
    <cellStyle name="Separador de milhares 3 12 2 2 7 4" xfId="19074"/>
    <cellStyle name="Separador de milhares 3 12 2 2 7 4 2" xfId="45313"/>
    <cellStyle name="Separador de milhares 3 12 2 2 7 5" xfId="12973"/>
    <cellStyle name="Separador de milhares 3 12 2 2 7 5 2" xfId="39215"/>
    <cellStyle name="Separador de milhares 3 12 2 2 7 6" xfId="32829"/>
    <cellStyle name="Separador de milhares 3 12 2 2 8" xfId="8260"/>
    <cellStyle name="Separador de milhares 3 12 2 2 8 2" xfId="26474"/>
    <cellStyle name="Separador de milhares 3 12 2 2 8 2 2" xfId="52707"/>
    <cellStyle name="Separador de milhares 3 12 2 2 8 3" xfId="20560"/>
    <cellStyle name="Separador de milhares 3 12 2 2 8 3 2" xfId="46799"/>
    <cellStyle name="Separador de milhares 3 12 2 2 8 4" xfId="14649"/>
    <cellStyle name="Separador de milhares 3 12 2 2 8 4 2" xfId="40891"/>
    <cellStyle name="Separador de milhares 3 12 2 2 8 5" xfId="34505"/>
    <cellStyle name="Separador de milhares 3 12 2 2 9" xfId="4883"/>
    <cellStyle name="Separador de milhares 3 12 2 2 9 2" xfId="23517"/>
    <cellStyle name="Separador de milhares 3 12 2 2 9 2 2" xfId="49753"/>
    <cellStyle name="Separador de milhares 3 12 2 2 9 3" xfId="31130"/>
    <cellStyle name="Separador de milhares 3 12 2 3" xfId="980"/>
    <cellStyle name="Separador de milhares 3 12 2 3 2" xfId="6735"/>
    <cellStyle name="Separador de milhares 3 12 2 3 2 2" xfId="9882"/>
    <cellStyle name="Separador de milhares 3 12 2 3 2 2 2" xfId="28096"/>
    <cellStyle name="Separador de milhares 3 12 2 3 2 2 2 2" xfId="54326"/>
    <cellStyle name="Separador de milhares 3 12 2 3 2 2 3" xfId="22182"/>
    <cellStyle name="Separador de milhares 3 12 2 3 2 2 3 2" xfId="48418"/>
    <cellStyle name="Separador de milhares 3 12 2 3 2 2 4" xfId="16268"/>
    <cellStyle name="Separador de milhares 3 12 2 3 2 2 4 2" xfId="42510"/>
    <cellStyle name="Separador de milhares 3 12 2 3 2 2 5" xfId="36124"/>
    <cellStyle name="Separador de milhares 3 12 2 3 2 3" xfId="25139"/>
    <cellStyle name="Separador de milhares 3 12 2 3 2 3 2" xfId="51372"/>
    <cellStyle name="Separador de milhares 3 12 2 3 2 4" xfId="19225"/>
    <cellStyle name="Separador de milhares 3 12 2 3 2 4 2" xfId="45464"/>
    <cellStyle name="Separador de milhares 3 12 2 3 2 5" xfId="13124"/>
    <cellStyle name="Separador de milhares 3 12 2 3 2 5 2" xfId="39366"/>
    <cellStyle name="Separador de milhares 3 12 2 3 2 6" xfId="32980"/>
    <cellStyle name="Separador de milhares 3 12 2 3 3" xfId="8414"/>
    <cellStyle name="Separador de milhares 3 12 2 3 3 2" xfId="26628"/>
    <cellStyle name="Separador de milhares 3 12 2 3 3 2 2" xfId="52858"/>
    <cellStyle name="Separador de milhares 3 12 2 3 3 3" xfId="20714"/>
    <cellStyle name="Separador de milhares 3 12 2 3 3 3 2" xfId="46950"/>
    <cellStyle name="Separador de milhares 3 12 2 3 3 4" xfId="14800"/>
    <cellStyle name="Separador de milhares 3 12 2 3 3 4 2" xfId="41042"/>
    <cellStyle name="Separador de milhares 3 12 2 3 3 5" xfId="34656"/>
    <cellStyle name="Separador de milhares 3 12 2 3 4" xfId="5036"/>
    <cellStyle name="Separador de milhares 3 12 2 3 4 2" xfId="23671"/>
    <cellStyle name="Separador de milhares 3 12 2 3 4 2 2" xfId="49904"/>
    <cellStyle name="Separador de milhares 3 12 2 3 4 3" xfId="31281"/>
    <cellStyle name="Separador de milhares 3 12 2 3 5" xfId="17757"/>
    <cellStyle name="Separador de milhares 3 12 2 3 5 2" xfId="43996"/>
    <cellStyle name="Separador de milhares 3 12 2 3 6" xfId="11423"/>
    <cellStyle name="Separador de milhares 3 12 2 3 6 2" xfId="37665"/>
    <cellStyle name="Separador de milhares 3 12 2 3 7" xfId="29583"/>
    <cellStyle name="Separador de milhares 3 12 2 4" xfId="1331"/>
    <cellStyle name="Separador de milhares 3 12 2 4 2" xfId="6833"/>
    <cellStyle name="Separador de milhares 3 12 2 4 2 2" xfId="9980"/>
    <cellStyle name="Separador de milhares 3 12 2 4 2 2 2" xfId="28194"/>
    <cellStyle name="Separador de milhares 3 12 2 4 2 2 2 2" xfId="54424"/>
    <cellStyle name="Separador de milhares 3 12 2 4 2 2 3" xfId="22280"/>
    <cellStyle name="Separador de milhares 3 12 2 4 2 2 3 2" xfId="48516"/>
    <cellStyle name="Separador de milhares 3 12 2 4 2 2 4" xfId="16366"/>
    <cellStyle name="Separador de milhares 3 12 2 4 2 2 4 2" xfId="42608"/>
    <cellStyle name="Separador de milhares 3 12 2 4 2 2 5" xfId="36222"/>
    <cellStyle name="Separador de milhares 3 12 2 4 2 3" xfId="25237"/>
    <cellStyle name="Separador de milhares 3 12 2 4 2 3 2" xfId="51470"/>
    <cellStyle name="Separador de milhares 3 12 2 4 2 4" xfId="19323"/>
    <cellStyle name="Separador de milhares 3 12 2 4 2 4 2" xfId="45562"/>
    <cellStyle name="Separador de milhares 3 12 2 4 2 5" xfId="13222"/>
    <cellStyle name="Separador de milhares 3 12 2 4 2 5 2" xfId="39464"/>
    <cellStyle name="Separador de milhares 3 12 2 4 2 6" xfId="33078"/>
    <cellStyle name="Separador de milhares 3 12 2 4 3" xfId="8512"/>
    <cellStyle name="Separador de milhares 3 12 2 4 3 2" xfId="26726"/>
    <cellStyle name="Separador de milhares 3 12 2 4 3 2 2" xfId="52956"/>
    <cellStyle name="Separador de milhares 3 12 2 4 3 3" xfId="20812"/>
    <cellStyle name="Separador de milhares 3 12 2 4 3 3 2" xfId="47048"/>
    <cellStyle name="Separador de milhares 3 12 2 4 3 4" xfId="14898"/>
    <cellStyle name="Separador de milhares 3 12 2 4 3 4 2" xfId="41140"/>
    <cellStyle name="Separador de milhares 3 12 2 4 3 5" xfId="34754"/>
    <cellStyle name="Separador de milhares 3 12 2 4 4" xfId="5134"/>
    <cellStyle name="Separador de milhares 3 12 2 4 4 2" xfId="23769"/>
    <cellStyle name="Separador de milhares 3 12 2 4 4 2 2" xfId="50002"/>
    <cellStyle name="Separador de milhares 3 12 2 4 4 3" xfId="31379"/>
    <cellStyle name="Separador de milhares 3 12 2 4 5" xfId="17855"/>
    <cellStyle name="Separador de milhares 3 12 2 4 5 2" xfId="44094"/>
    <cellStyle name="Separador de milhares 3 12 2 4 6" xfId="11521"/>
    <cellStyle name="Separador de milhares 3 12 2 4 6 2" xfId="37763"/>
    <cellStyle name="Separador de milhares 3 12 2 4 7" xfId="29681"/>
    <cellStyle name="Separador de milhares 3 12 2 5" xfId="1766"/>
    <cellStyle name="Separador de milhares 3 12 2 5 2" xfId="6952"/>
    <cellStyle name="Separador de milhares 3 12 2 5 2 2" xfId="10099"/>
    <cellStyle name="Separador de milhares 3 12 2 5 2 2 2" xfId="28313"/>
    <cellStyle name="Separador de milhares 3 12 2 5 2 2 2 2" xfId="54543"/>
    <cellStyle name="Separador de milhares 3 12 2 5 2 2 3" xfId="22399"/>
    <cellStyle name="Separador de milhares 3 12 2 5 2 2 3 2" xfId="48635"/>
    <cellStyle name="Separador de milhares 3 12 2 5 2 2 4" xfId="16485"/>
    <cellStyle name="Separador de milhares 3 12 2 5 2 2 4 2" xfId="42727"/>
    <cellStyle name="Separador de milhares 3 12 2 5 2 2 5" xfId="36341"/>
    <cellStyle name="Separador de milhares 3 12 2 5 2 3" xfId="25356"/>
    <cellStyle name="Separador de milhares 3 12 2 5 2 3 2" xfId="51589"/>
    <cellStyle name="Separador de milhares 3 12 2 5 2 4" xfId="19442"/>
    <cellStyle name="Separador de milhares 3 12 2 5 2 4 2" xfId="45681"/>
    <cellStyle name="Separador de milhares 3 12 2 5 2 5" xfId="13341"/>
    <cellStyle name="Separador de milhares 3 12 2 5 2 5 2" xfId="39583"/>
    <cellStyle name="Separador de milhares 3 12 2 5 2 6" xfId="33197"/>
    <cellStyle name="Separador de milhares 3 12 2 5 3" xfId="8631"/>
    <cellStyle name="Separador de milhares 3 12 2 5 3 2" xfId="26845"/>
    <cellStyle name="Separador de milhares 3 12 2 5 3 2 2" xfId="53075"/>
    <cellStyle name="Separador de milhares 3 12 2 5 3 3" xfId="20931"/>
    <cellStyle name="Separador de milhares 3 12 2 5 3 3 2" xfId="47167"/>
    <cellStyle name="Separador de milhares 3 12 2 5 3 4" xfId="15017"/>
    <cellStyle name="Separador de milhares 3 12 2 5 3 4 2" xfId="41259"/>
    <cellStyle name="Separador de milhares 3 12 2 5 3 5" xfId="34873"/>
    <cellStyle name="Separador de milhares 3 12 2 5 4" xfId="5253"/>
    <cellStyle name="Separador de milhares 3 12 2 5 4 2" xfId="23888"/>
    <cellStyle name="Separador de milhares 3 12 2 5 4 2 2" xfId="50121"/>
    <cellStyle name="Separador de milhares 3 12 2 5 4 3" xfId="31498"/>
    <cellStyle name="Separador de milhares 3 12 2 5 5" xfId="17974"/>
    <cellStyle name="Separador de milhares 3 12 2 5 5 2" xfId="44213"/>
    <cellStyle name="Separador de milhares 3 12 2 5 6" xfId="11640"/>
    <cellStyle name="Separador de milhares 3 12 2 5 6 2" xfId="37882"/>
    <cellStyle name="Separador de milhares 3 12 2 5 7" xfId="29800"/>
    <cellStyle name="Separador de milhares 3 12 2 6" xfId="2296"/>
    <cellStyle name="Separador de milhares 3 12 2 6 2" xfId="7102"/>
    <cellStyle name="Separador de milhares 3 12 2 6 2 2" xfId="10246"/>
    <cellStyle name="Separador de milhares 3 12 2 6 2 2 2" xfId="28460"/>
    <cellStyle name="Separador de milhares 3 12 2 6 2 2 2 2" xfId="54690"/>
    <cellStyle name="Separador de milhares 3 12 2 6 2 2 3" xfId="22546"/>
    <cellStyle name="Separador de milhares 3 12 2 6 2 2 3 2" xfId="48782"/>
    <cellStyle name="Separador de milhares 3 12 2 6 2 2 4" xfId="16632"/>
    <cellStyle name="Separador de milhares 3 12 2 6 2 2 4 2" xfId="42874"/>
    <cellStyle name="Separador de milhares 3 12 2 6 2 2 5" xfId="36488"/>
    <cellStyle name="Separador de milhares 3 12 2 6 2 3" xfId="25503"/>
    <cellStyle name="Separador de milhares 3 12 2 6 2 3 2" xfId="51736"/>
    <cellStyle name="Separador de milhares 3 12 2 6 2 4" xfId="19589"/>
    <cellStyle name="Separador de milhares 3 12 2 6 2 4 2" xfId="45828"/>
    <cellStyle name="Separador de milhares 3 12 2 6 2 5" xfId="13491"/>
    <cellStyle name="Separador de milhares 3 12 2 6 2 5 2" xfId="39733"/>
    <cellStyle name="Separador de milhares 3 12 2 6 2 6" xfId="33347"/>
    <cellStyle name="Separador de milhares 3 12 2 6 3" xfId="8778"/>
    <cellStyle name="Separador de milhares 3 12 2 6 3 2" xfId="26992"/>
    <cellStyle name="Separador de milhares 3 12 2 6 3 2 2" xfId="53222"/>
    <cellStyle name="Separador de milhares 3 12 2 6 3 3" xfId="21078"/>
    <cellStyle name="Separador de milhares 3 12 2 6 3 3 2" xfId="47314"/>
    <cellStyle name="Separador de milhares 3 12 2 6 3 4" xfId="15164"/>
    <cellStyle name="Separador de milhares 3 12 2 6 3 4 2" xfId="41406"/>
    <cellStyle name="Separador de milhares 3 12 2 6 3 5" xfId="35020"/>
    <cellStyle name="Separador de milhares 3 12 2 6 4" xfId="5403"/>
    <cellStyle name="Separador de milhares 3 12 2 6 4 2" xfId="24035"/>
    <cellStyle name="Separador de milhares 3 12 2 6 4 2 2" xfId="50268"/>
    <cellStyle name="Separador de milhares 3 12 2 6 4 3" xfId="31648"/>
    <cellStyle name="Separador de milhares 3 12 2 6 5" xfId="18121"/>
    <cellStyle name="Separador de milhares 3 12 2 6 5 2" xfId="44360"/>
    <cellStyle name="Separador de milhares 3 12 2 6 6" xfId="11790"/>
    <cellStyle name="Separador de milhares 3 12 2 6 6 2" xfId="38032"/>
    <cellStyle name="Separador de milhares 3 12 2 6 7" xfId="29950"/>
    <cellStyle name="Separador de milhares 3 12 2 7" xfId="2823"/>
    <cellStyle name="Separador de milhares 3 12 2 7 2" xfId="7249"/>
    <cellStyle name="Separador de milhares 3 12 2 7 2 2" xfId="10393"/>
    <cellStyle name="Separador de milhares 3 12 2 7 2 2 2" xfId="28607"/>
    <cellStyle name="Separador de milhares 3 12 2 7 2 2 2 2" xfId="54837"/>
    <cellStyle name="Separador de milhares 3 12 2 7 2 2 3" xfId="22693"/>
    <cellStyle name="Separador de milhares 3 12 2 7 2 2 3 2" xfId="48929"/>
    <cellStyle name="Separador de milhares 3 12 2 7 2 2 4" xfId="16779"/>
    <cellStyle name="Separador de milhares 3 12 2 7 2 2 4 2" xfId="43021"/>
    <cellStyle name="Separador de milhares 3 12 2 7 2 2 5" xfId="36635"/>
    <cellStyle name="Separador de milhares 3 12 2 7 2 3" xfId="25650"/>
    <cellStyle name="Separador de milhares 3 12 2 7 2 3 2" xfId="51883"/>
    <cellStyle name="Separador de milhares 3 12 2 7 2 4" xfId="19736"/>
    <cellStyle name="Separador de milhares 3 12 2 7 2 4 2" xfId="45975"/>
    <cellStyle name="Separador de milhares 3 12 2 7 2 5" xfId="13638"/>
    <cellStyle name="Separador de milhares 3 12 2 7 2 5 2" xfId="39880"/>
    <cellStyle name="Separador de milhares 3 12 2 7 2 6" xfId="33494"/>
    <cellStyle name="Separador de milhares 3 12 2 7 3" xfId="8925"/>
    <cellStyle name="Separador de milhares 3 12 2 7 3 2" xfId="27139"/>
    <cellStyle name="Separador de milhares 3 12 2 7 3 2 2" xfId="53369"/>
    <cellStyle name="Separador de milhares 3 12 2 7 3 3" xfId="21225"/>
    <cellStyle name="Separador de milhares 3 12 2 7 3 3 2" xfId="47461"/>
    <cellStyle name="Separador de milhares 3 12 2 7 3 4" xfId="15311"/>
    <cellStyle name="Separador de milhares 3 12 2 7 3 4 2" xfId="41553"/>
    <cellStyle name="Separador de milhares 3 12 2 7 3 5" xfId="35167"/>
    <cellStyle name="Separador de milhares 3 12 2 7 4" xfId="5550"/>
    <cellStyle name="Separador de milhares 3 12 2 7 4 2" xfId="24182"/>
    <cellStyle name="Separador de milhares 3 12 2 7 4 2 2" xfId="50415"/>
    <cellStyle name="Separador de milhares 3 12 2 7 4 3" xfId="31795"/>
    <cellStyle name="Separador de milhares 3 12 2 7 5" xfId="18268"/>
    <cellStyle name="Separador de milhares 3 12 2 7 5 2" xfId="44507"/>
    <cellStyle name="Separador de milhares 3 12 2 7 6" xfId="11937"/>
    <cellStyle name="Separador de milhares 3 12 2 7 6 2" xfId="38179"/>
    <cellStyle name="Separador de milhares 3 12 2 7 7" xfId="30097"/>
    <cellStyle name="Separador de milhares 3 12 2 8" xfId="3350"/>
    <cellStyle name="Separador de milhares 3 12 2 8 2" xfId="7396"/>
    <cellStyle name="Separador de milhares 3 12 2 8 2 2" xfId="10540"/>
    <cellStyle name="Separador de milhares 3 12 2 8 2 2 2" xfId="28754"/>
    <cellStyle name="Separador de milhares 3 12 2 8 2 2 2 2" xfId="54984"/>
    <cellStyle name="Separador de milhares 3 12 2 8 2 2 3" xfId="22840"/>
    <cellStyle name="Separador de milhares 3 12 2 8 2 2 3 2" xfId="49076"/>
    <cellStyle name="Separador de milhares 3 12 2 8 2 2 4" xfId="16926"/>
    <cellStyle name="Separador de milhares 3 12 2 8 2 2 4 2" xfId="43168"/>
    <cellStyle name="Separador de milhares 3 12 2 8 2 2 5" xfId="36782"/>
    <cellStyle name="Separador de milhares 3 12 2 8 2 3" xfId="25797"/>
    <cellStyle name="Separador de milhares 3 12 2 8 2 3 2" xfId="52030"/>
    <cellStyle name="Separador de milhares 3 12 2 8 2 4" xfId="19883"/>
    <cellStyle name="Separador de milhares 3 12 2 8 2 4 2" xfId="46122"/>
    <cellStyle name="Separador de milhares 3 12 2 8 2 5" xfId="13785"/>
    <cellStyle name="Separador de milhares 3 12 2 8 2 5 2" xfId="40027"/>
    <cellStyle name="Separador de milhares 3 12 2 8 2 6" xfId="33641"/>
    <cellStyle name="Separador de milhares 3 12 2 8 3" xfId="9072"/>
    <cellStyle name="Separador de milhares 3 12 2 8 3 2" xfId="27286"/>
    <cellStyle name="Separador de milhares 3 12 2 8 3 2 2" xfId="53516"/>
    <cellStyle name="Separador de milhares 3 12 2 8 3 3" xfId="21372"/>
    <cellStyle name="Separador de milhares 3 12 2 8 3 3 2" xfId="47608"/>
    <cellStyle name="Separador de milhares 3 12 2 8 3 4" xfId="15458"/>
    <cellStyle name="Separador de milhares 3 12 2 8 3 4 2" xfId="41700"/>
    <cellStyle name="Separador de milhares 3 12 2 8 3 5" xfId="35314"/>
    <cellStyle name="Separador de milhares 3 12 2 8 4" xfId="5697"/>
    <cellStyle name="Separador de milhares 3 12 2 8 4 2" xfId="24329"/>
    <cellStyle name="Separador de milhares 3 12 2 8 4 2 2" xfId="50562"/>
    <cellStyle name="Separador de milhares 3 12 2 8 4 3" xfId="31942"/>
    <cellStyle name="Separador de milhares 3 12 2 8 5" xfId="18415"/>
    <cellStyle name="Separador de milhares 3 12 2 8 5 2" xfId="44654"/>
    <cellStyle name="Separador de milhares 3 12 2 8 6" xfId="12084"/>
    <cellStyle name="Separador de milhares 3 12 2 8 6 2" xfId="38326"/>
    <cellStyle name="Separador de milhares 3 12 2 8 7" xfId="30244"/>
    <cellStyle name="Separador de milhares 3 12 2 9" xfId="3877"/>
    <cellStyle name="Separador de milhares 3 12 2 9 2" xfId="7543"/>
    <cellStyle name="Separador de milhares 3 12 2 9 2 2" xfId="10687"/>
    <cellStyle name="Separador de milhares 3 12 2 9 2 2 2" xfId="28901"/>
    <cellStyle name="Separador de milhares 3 12 2 9 2 2 2 2" xfId="55131"/>
    <cellStyle name="Separador de milhares 3 12 2 9 2 2 3" xfId="22987"/>
    <cellStyle name="Separador de milhares 3 12 2 9 2 2 3 2" xfId="49223"/>
    <cellStyle name="Separador de milhares 3 12 2 9 2 2 4" xfId="17073"/>
    <cellStyle name="Separador de milhares 3 12 2 9 2 2 4 2" xfId="43315"/>
    <cellStyle name="Separador de milhares 3 12 2 9 2 2 5" xfId="36929"/>
    <cellStyle name="Separador de milhares 3 12 2 9 2 3" xfId="25944"/>
    <cellStyle name="Separador de milhares 3 12 2 9 2 3 2" xfId="52177"/>
    <cellStyle name="Separador de milhares 3 12 2 9 2 4" xfId="20030"/>
    <cellStyle name="Separador de milhares 3 12 2 9 2 4 2" xfId="46269"/>
    <cellStyle name="Separador de milhares 3 12 2 9 2 5" xfId="13932"/>
    <cellStyle name="Separador de milhares 3 12 2 9 2 5 2" xfId="40174"/>
    <cellStyle name="Separador de milhares 3 12 2 9 2 6" xfId="33788"/>
    <cellStyle name="Separador de milhares 3 12 2 9 3" xfId="9219"/>
    <cellStyle name="Separador de milhares 3 12 2 9 3 2" xfId="27433"/>
    <cellStyle name="Separador de milhares 3 12 2 9 3 2 2" xfId="53663"/>
    <cellStyle name="Separador de milhares 3 12 2 9 3 3" xfId="21519"/>
    <cellStyle name="Separador de milhares 3 12 2 9 3 3 2" xfId="47755"/>
    <cellStyle name="Separador de milhares 3 12 2 9 3 4" xfId="15605"/>
    <cellStyle name="Separador de milhares 3 12 2 9 3 4 2" xfId="41847"/>
    <cellStyle name="Separador de milhares 3 12 2 9 3 5" xfId="35461"/>
    <cellStyle name="Separador de milhares 3 12 2 9 4" xfId="5844"/>
    <cellStyle name="Separador de milhares 3 12 2 9 4 2" xfId="24476"/>
    <cellStyle name="Separador de milhares 3 12 2 9 4 2 2" xfId="50709"/>
    <cellStyle name="Separador de milhares 3 12 2 9 4 3" xfId="32089"/>
    <cellStyle name="Separador de milhares 3 12 2 9 5" xfId="18562"/>
    <cellStyle name="Separador de milhares 3 12 2 9 5 2" xfId="44801"/>
    <cellStyle name="Separador de milhares 3 12 2 9 6" xfId="12231"/>
    <cellStyle name="Separador de milhares 3 12 2 9 6 2" xfId="38473"/>
    <cellStyle name="Separador de milhares 3 12 2 9 7" xfId="30391"/>
    <cellStyle name="Separador de milhares 3 12 3" xfId="329"/>
    <cellStyle name="Separador de milhares 3 12 3 10" xfId="6534"/>
    <cellStyle name="Separador de milhares 3 12 3 10 2" xfId="9685"/>
    <cellStyle name="Separador de milhares 3 12 3 10 2 2" xfId="27899"/>
    <cellStyle name="Separador de milhares 3 12 3 10 2 2 2" xfId="54129"/>
    <cellStyle name="Separador de milhares 3 12 3 10 2 3" xfId="21985"/>
    <cellStyle name="Separador de milhares 3 12 3 10 2 3 2" xfId="48221"/>
    <cellStyle name="Separador de milhares 3 12 3 10 2 4" xfId="16071"/>
    <cellStyle name="Separador de milhares 3 12 3 10 2 4 2" xfId="42313"/>
    <cellStyle name="Separador de milhares 3 12 3 10 2 5" xfId="35927"/>
    <cellStyle name="Separador de milhares 3 12 3 10 3" xfId="24942"/>
    <cellStyle name="Separador de milhares 3 12 3 10 3 2" xfId="51175"/>
    <cellStyle name="Separador de milhares 3 12 3 10 4" xfId="19028"/>
    <cellStyle name="Separador de milhares 3 12 3 10 4 2" xfId="45267"/>
    <cellStyle name="Separador de milhares 3 12 3 10 5" xfId="12923"/>
    <cellStyle name="Separador de milhares 3 12 3 10 5 2" xfId="39165"/>
    <cellStyle name="Separador de milhares 3 12 3 10 6" xfId="32779"/>
    <cellStyle name="Separador de milhares 3 12 3 11" xfId="8214"/>
    <cellStyle name="Separador de milhares 3 12 3 11 2" xfId="26428"/>
    <cellStyle name="Separador de milhares 3 12 3 11 2 2" xfId="52661"/>
    <cellStyle name="Separador de milhares 3 12 3 11 3" xfId="20514"/>
    <cellStyle name="Separador de milhares 3 12 3 11 3 2" xfId="46753"/>
    <cellStyle name="Separador de milhares 3 12 3 11 4" xfId="14603"/>
    <cellStyle name="Separador de milhares 3 12 3 11 4 2" xfId="40845"/>
    <cellStyle name="Separador de milhares 3 12 3 11 5" xfId="34459"/>
    <cellStyle name="Separador de milhares 3 12 3 12" xfId="4833"/>
    <cellStyle name="Separador de milhares 3 12 3 12 2" xfId="23471"/>
    <cellStyle name="Separador de milhares 3 12 3 12 2 2" xfId="49707"/>
    <cellStyle name="Separador de milhares 3 12 3 12 3" xfId="31080"/>
    <cellStyle name="Separador de milhares 3 12 3 13" xfId="17557"/>
    <cellStyle name="Separador de milhares 3 12 3 13 2" xfId="43799"/>
    <cellStyle name="Separador de milhares 3 12 3 14" xfId="11222"/>
    <cellStyle name="Separador de milhares 3 12 3 14 2" xfId="37464"/>
    <cellStyle name="Separador de milhares 3 12 3 15" xfId="29382"/>
    <cellStyle name="Separador de milhares 3 12 3 2" xfId="592"/>
    <cellStyle name="Separador de milhares 3 12 3 2 2" xfId="6605"/>
    <cellStyle name="Separador de milhares 3 12 3 2 2 2" xfId="9752"/>
    <cellStyle name="Separador de milhares 3 12 3 2 2 2 2" xfId="27966"/>
    <cellStyle name="Separador de milhares 3 12 3 2 2 2 2 2" xfId="54196"/>
    <cellStyle name="Separador de milhares 3 12 3 2 2 2 3" xfId="22052"/>
    <cellStyle name="Separador de milhares 3 12 3 2 2 2 3 2" xfId="48288"/>
    <cellStyle name="Separador de milhares 3 12 3 2 2 2 4" xfId="16138"/>
    <cellStyle name="Separador de milhares 3 12 3 2 2 2 4 2" xfId="42380"/>
    <cellStyle name="Separador de milhares 3 12 3 2 2 2 5" xfId="35994"/>
    <cellStyle name="Separador de milhares 3 12 3 2 2 3" xfId="25009"/>
    <cellStyle name="Separador de milhares 3 12 3 2 2 3 2" xfId="51242"/>
    <cellStyle name="Separador de milhares 3 12 3 2 2 4" xfId="19095"/>
    <cellStyle name="Separador de milhares 3 12 3 2 2 4 2" xfId="45334"/>
    <cellStyle name="Separador de milhares 3 12 3 2 2 5" xfId="12994"/>
    <cellStyle name="Separador de milhares 3 12 3 2 2 5 2" xfId="39236"/>
    <cellStyle name="Separador de milhares 3 12 3 2 2 6" xfId="32850"/>
    <cellStyle name="Separador de milhares 3 12 3 2 3" xfId="8281"/>
    <cellStyle name="Separador de milhares 3 12 3 2 3 2" xfId="26495"/>
    <cellStyle name="Separador de milhares 3 12 3 2 3 2 2" xfId="52728"/>
    <cellStyle name="Separador de milhares 3 12 3 2 3 3" xfId="20581"/>
    <cellStyle name="Separador de milhares 3 12 3 2 3 3 2" xfId="46820"/>
    <cellStyle name="Separador de milhares 3 12 3 2 3 4" xfId="14670"/>
    <cellStyle name="Separador de milhares 3 12 3 2 3 4 2" xfId="40912"/>
    <cellStyle name="Separador de milhares 3 12 3 2 3 5" xfId="34526"/>
    <cellStyle name="Separador de milhares 3 12 3 2 4" xfId="4904"/>
    <cellStyle name="Separador de milhares 3 12 3 2 4 2" xfId="23538"/>
    <cellStyle name="Separador de milhares 3 12 3 2 4 2 2" xfId="49774"/>
    <cellStyle name="Separador de milhares 3 12 3 2 4 3" xfId="31151"/>
    <cellStyle name="Separador de milhares 3 12 3 2 5" xfId="17624"/>
    <cellStyle name="Separador de milhares 3 12 3 2 5 2" xfId="43866"/>
    <cellStyle name="Separador de milhares 3 12 3 2 6" xfId="11293"/>
    <cellStyle name="Separador de milhares 3 12 3 2 6 2" xfId="37535"/>
    <cellStyle name="Separador de milhares 3 12 3 2 7" xfId="29453"/>
    <cellStyle name="Separador de milhares 3 12 3 3" xfId="889"/>
    <cellStyle name="Separador de milhares 3 12 3 3 2" xfId="6707"/>
    <cellStyle name="Separador de milhares 3 12 3 3 2 2" xfId="9854"/>
    <cellStyle name="Separador de milhares 3 12 3 3 2 2 2" xfId="28068"/>
    <cellStyle name="Separador de milhares 3 12 3 3 2 2 2 2" xfId="54298"/>
    <cellStyle name="Separador de milhares 3 12 3 3 2 2 3" xfId="22154"/>
    <cellStyle name="Separador de milhares 3 12 3 3 2 2 3 2" xfId="48390"/>
    <cellStyle name="Separador de milhares 3 12 3 3 2 2 4" xfId="16240"/>
    <cellStyle name="Separador de milhares 3 12 3 3 2 2 4 2" xfId="42482"/>
    <cellStyle name="Separador de milhares 3 12 3 3 2 2 5" xfId="36096"/>
    <cellStyle name="Separador de milhares 3 12 3 3 2 3" xfId="25111"/>
    <cellStyle name="Separador de milhares 3 12 3 3 2 3 2" xfId="51344"/>
    <cellStyle name="Separador de milhares 3 12 3 3 2 4" xfId="19197"/>
    <cellStyle name="Separador de milhares 3 12 3 3 2 4 2" xfId="45436"/>
    <cellStyle name="Separador de milhares 3 12 3 3 2 5" xfId="13096"/>
    <cellStyle name="Separador de milhares 3 12 3 3 2 5 2" xfId="39338"/>
    <cellStyle name="Separador de milhares 3 12 3 3 2 6" xfId="32952"/>
    <cellStyle name="Separador de milhares 3 12 3 3 3" xfId="8386"/>
    <cellStyle name="Separador de milhares 3 12 3 3 3 2" xfId="26600"/>
    <cellStyle name="Separador de milhares 3 12 3 3 3 2 2" xfId="52830"/>
    <cellStyle name="Separador de milhares 3 12 3 3 3 3" xfId="20686"/>
    <cellStyle name="Separador de milhares 3 12 3 3 3 3 2" xfId="46922"/>
    <cellStyle name="Separador de milhares 3 12 3 3 3 4" xfId="14772"/>
    <cellStyle name="Separador de milhares 3 12 3 3 3 4 2" xfId="41014"/>
    <cellStyle name="Separador de milhares 3 12 3 3 3 5" xfId="34628"/>
    <cellStyle name="Separador de milhares 3 12 3 3 4" xfId="5008"/>
    <cellStyle name="Separador de milhares 3 12 3 3 4 2" xfId="23643"/>
    <cellStyle name="Separador de milhares 3 12 3 3 4 2 2" xfId="49876"/>
    <cellStyle name="Separador de milhares 3 12 3 3 4 3" xfId="31253"/>
    <cellStyle name="Separador de milhares 3 12 3 3 5" xfId="17729"/>
    <cellStyle name="Separador de milhares 3 12 3 3 5 2" xfId="43968"/>
    <cellStyle name="Separador de milhares 3 12 3 3 6" xfId="11395"/>
    <cellStyle name="Separador de milhares 3 12 3 3 6 2" xfId="37637"/>
    <cellStyle name="Separador de milhares 3 12 3 3 7" xfId="29555"/>
    <cellStyle name="Separador de milhares 3 12 3 4" xfId="1240"/>
    <cellStyle name="Separador de milhares 3 12 3 4 2" xfId="6805"/>
    <cellStyle name="Separador de milhares 3 12 3 4 2 2" xfId="9952"/>
    <cellStyle name="Separador de milhares 3 12 3 4 2 2 2" xfId="28166"/>
    <cellStyle name="Separador de milhares 3 12 3 4 2 2 2 2" xfId="54396"/>
    <cellStyle name="Separador de milhares 3 12 3 4 2 2 3" xfId="22252"/>
    <cellStyle name="Separador de milhares 3 12 3 4 2 2 3 2" xfId="48488"/>
    <cellStyle name="Separador de milhares 3 12 3 4 2 2 4" xfId="16338"/>
    <cellStyle name="Separador de milhares 3 12 3 4 2 2 4 2" xfId="42580"/>
    <cellStyle name="Separador de milhares 3 12 3 4 2 2 5" xfId="36194"/>
    <cellStyle name="Separador de milhares 3 12 3 4 2 3" xfId="25209"/>
    <cellStyle name="Separador de milhares 3 12 3 4 2 3 2" xfId="51442"/>
    <cellStyle name="Separador de milhares 3 12 3 4 2 4" xfId="19295"/>
    <cellStyle name="Separador de milhares 3 12 3 4 2 4 2" xfId="45534"/>
    <cellStyle name="Separador de milhares 3 12 3 4 2 5" xfId="13194"/>
    <cellStyle name="Separador de milhares 3 12 3 4 2 5 2" xfId="39436"/>
    <cellStyle name="Separador de milhares 3 12 3 4 2 6" xfId="33050"/>
    <cellStyle name="Separador de milhares 3 12 3 4 3" xfId="8484"/>
    <cellStyle name="Separador de milhares 3 12 3 4 3 2" xfId="26698"/>
    <cellStyle name="Separador de milhares 3 12 3 4 3 2 2" xfId="52928"/>
    <cellStyle name="Separador de milhares 3 12 3 4 3 3" xfId="20784"/>
    <cellStyle name="Separador de milhares 3 12 3 4 3 3 2" xfId="47020"/>
    <cellStyle name="Separador de milhares 3 12 3 4 3 4" xfId="14870"/>
    <cellStyle name="Separador de milhares 3 12 3 4 3 4 2" xfId="41112"/>
    <cellStyle name="Separador de milhares 3 12 3 4 3 5" xfId="34726"/>
    <cellStyle name="Separador de milhares 3 12 3 4 4" xfId="5106"/>
    <cellStyle name="Separador de milhares 3 12 3 4 4 2" xfId="23741"/>
    <cellStyle name="Separador de milhares 3 12 3 4 4 2 2" xfId="49974"/>
    <cellStyle name="Separador de milhares 3 12 3 4 4 3" xfId="31351"/>
    <cellStyle name="Separador de milhares 3 12 3 4 5" xfId="17827"/>
    <cellStyle name="Separador de milhares 3 12 3 4 5 2" xfId="44066"/>
    <cellStyle name="Separador de milhares 3 12 3 4 6" xfId="11493"/>
    <cellStyle name="Separador de milhares 3 12 3 4 6 2" xfId="37735"/>
    <cellStyle name="Separador de milhares 3 12 3 4 7" xfId="29653"/>
    <cellStyle name="Separador de milhares 3 12 3 5" xfId="1675"/>
    <cellStyle name="Separador de milhares 3 12 3 5 2" xfId="6924"/>
    <cellStyle name="Separador de milhares 3 12 3 5 2 2" xfId="10071"/>
    <cellStyle name="Separador de milhares 3 12 3 5 2 2 2" xfId="28285"/>
    <cellStyle name="Separador de milhares 3 12 3 5 2 2 2 2" xfId="54515"/>
    <cellStyle name="Separador de milhares 3 12 3 5 2 2 3" xfId="22371"/>
    <cellStyle name="Separador de milhares 3 12 3 5 2 2 3 2" xfId="48607"/>
    <cellStyle name="Separador de milhares 3 12 3 5 2 2 4" xfId="16457"/>
    <cellStyle name="Separador de milhares 3 12 3 5 2 2 4 2" xfId="42699"/>
    <cellStyle name="Separador de milhares 3 12 3 5 2 2 5" xfId="36313"/>
    <cellStyle name="Separador de milhares 3 12 3 5 2 3" xfId="25328"/>
    <cellStyle name="Separador de milhares 3 12 3 5 2 3 2" xfId="51561"/>
    <cellStyle name="Separador de milhares 3 12 3 5 2 4" xfId="19414"/>
    <cellStyle name="Separador de milhares 3 12 3 5 2 4 2" xfId="45653"/>
    <cellStyle name="Separador de milhares 3 12 3 5 2 5" xfId="13313"/>
    <cellStyle name="Separador de milhares 3 12 3 5 2 5 2" xfId="39555"/>
    <cellStyle name="Separador de milhares 3 12 3 5 2 6" xfId="33169"/>
    <cellStyle name="Separador de milhares 3 12 3 5 3" xfId="8603"/>
    <cellStyle name="Separador de milhares 3 12 3 5 3 2" xfId="26817"/>
    <cellStyle name="Separador de milhares 3 12 3 5 3 2 2" xfId="53047"/>
    <cellStyle name="Separador de milhares 3 12 3 5 3 3" xfId="20903"/>
    <cellStyle name="Separador de milhares 3 12 3 5 3 3 2" xfId="47139"/>
    <cellStyle name="Separador de milhares 3 12 3 5 3 4" xfId="14989"/>
    <cellStyle name="Separador de milhares 3 12 3 5 3 4 2" xfId="41231"/>
    <cellStyle name="Separador de milhares 3 12 3 5 3 5" xfId="34845"/>
    <cellStyle name="Separador de milhares 3 12 3 5 4" xfId="5225"/>
    <cellStyle name="Separador de milhares 3 12 3 5 4 2" xfId="23860"/>
    <cellStyle name="Separador de milhares 3 12 3 5 4 2 2" xfId="50093"/>
    <cellStyle name="Separador de milhares 3 12 3 5 4 3" xfId="31470"/>
    <cellStyle name="Separador de milhares 3 12 3 5 5" xfId="17946"/>
    <cellStyle name="Separador de milhares 3 12 3 5 5 2" xfId="44185"/>
    <cellStyle name="Separador de milhares 3 12 3 5 6" xfId="11612"/>
    <cellStyle name="Separador de milhares 3 12 3 5 6 2" xfId="37854"/>
    <cellStyle name="Separador de milhares 3 12 3 5 7" xfId="29772"/>
    <cellStyle name="Separador de milhares 3 12 3 6" xfId="2205"/>
    <cellStyle name="Separador de milhares 3 12 3 6 2" xfId="7074"/>
    <cellStyle name="Separador de milhares 3 12 3 6 2 2" xfId="10218"/>
    <cellStyle name="Separador de milhares 3 12 3 6 2 2 2" xfId="28432"/>
    <cellStyle name="Separador de milhares 3 12 3 6 2 2 2 2" xfId="54662"/>
    <cellStyle name="Separador de milhares 3 12 3 6 2 2 3" xfId="22518"/>
    <cellStyle name="Separador de milhares 3 12 3 6 2 2 3 2" xfId="48754"/>
    <cellStyle name="Separador de milhares 3 12 3 6 2 2 4" xfId="16604"/>
    <cellStyle name="Separador de milhares 3 12 3 6 2 2 4 2" xfId="42846"/>
    <cellStyle name="Separador de milhares 3 12 3 6 2 2 5" xfId="36460"/>
    <cellStyle name="Separador de milhares 3 12 3 6 2 3" xfId="25475"/>
    <cellStyle name="Separador de milhares 3 12 3 6 2 3 2" xfId="51708"/>
    <cellStyle name="Separador de milhares 3 12 3 6 2 4" xfId="19561"/>
    <cellStyle name="Separador de milhares 3 12 3 6 2 4 2" xfId="45800"/>
    <cellStyle name="Separador de milhares 3 12 3 6 2 5" xfId="13463"/>
    <cellStyle name="Separador de milhares 3 12 3 6 2 5 2" xfId="39705"/>
    <cellStyle name="Separador de milhares 3 12 3 6 2 6" xfId="33319"/>
    <cellStyle name="Separador de milhares 3 12 3 6 3" xfId="8750"/>
    <cellStyle name="Separador de milhares 3 12 3 6 3 2" xfId="26964"/>
    <cellStyle name="Separador de milhares 3 12 3 6 3 2 2" xfId="53194"/>
    <cellStyle name="Separador de milhares 3 12 3 6 3 3" xfId="21050"/>
    <cellStyle name="Separador de milhares 3 12 3 6 3 3 2" xfId="47286"/>
    <cellStyle name="Separador de milhares 3 12 3 6 3 4" xfId="15136"/>
    <cellStyle name="Separador de milhares 3 12 3 6 3 4 2" xfId="41378"/>
    <cellStyle name="Separador de milhares 3 12 3 6 3 5" xfId="34992"/>
    <cellStyle name="Separador de milhares 3 12 3 6 4" xfId="5375"/>
    <cellStyle name="Separador de milhares 3 12 3 6 4 2" xfId="24007"/>
    <cellStyle name="Separador de milhares 3 12 3 6 4 2 2" xfId="50240"/>
    <cellStyle name="Separador de milhares 3 12 3 6 4 3" xfId="31620"/>
    <cellStyle name="Separador de milhares 3 12 3 6 5" xfId="18093"/>
    <cellStyle name="Separador de milhares 3 12 3 6 5 2" xfId="44332"/>
    <cellStyle name="Separador de milhares 3 12 3 6 6" xfId="11762"/>
    <cellStyle name="Separador de milhares 3 12 3 6 6 2" xfId="38004"/>
    <cellStyle name="Separador de milhares 3 12 3 6 7" xfId="29922"/>
    <cellStyle name="Separador de milhares 3 12 3 7" xfId="2732"/>
    <cellStyle name="Separador de milhares 3 12 3 7 2" xfId="7221"/>
    <cellStyle name="Separador de milhares 3 12 3 7 2 2" xfId="10365"/>
    <cellStyle name="Separador de milhares 3 12 3 7 2 2 2" xfId="28579"/>
    <cellStyle name="Separador de milhares 3 12 3 7 2 2 2 2" xfId="54809"/>
    <cellStyle name="Separador de milhares 3 12 3 7 2 2 3" xfId="22665"/>
    <cellStyle name="Separador de milhares 3 12 3 7 2 2 3 2" xfId="48901"/>
    <cellStyle name="Separador de milhares 3 12 3 7 2 2 4" xfId="16751"/>
    <cellStyle name="Separador de milhares 3 12 3 7 2 2 4 2" xfId="42993"/>
    <cellStyle name="Separador de milhares 3 12 3 7 2 2 5" xfId="36607"/>
    <cellStyle name="Separador de milhares 3 12 3 7 2 3" xfId="25622"/>
    <cellStyle name="Separador de milhares 3 12 3 7 2 3 2" xfId="51855"/>
    <cellStyle name="Separador de milhares 3 12 3 7 2 4" xfId="19708"/>
    <cellStyle name="Separador de milhares 3 12 3 7 2 4 2" xfId="45947"/>
    <cellStyle name="Separador de milhares 3 12 3 7 2 5" xfId="13610"/>
    <cellStyle name="Separador de milhares 3 12 3 7 2 5 2" xfId="39852"/>
    <cellStyle name="Separador de milhares 3 12 3 7 2 6" xfId="33466"/>
    <cellStyle name="Separador de milhares 3 12 3 7 3" xfId="8897"/>
    <cellStyle name="Separador de milhares 3 12 3 7 3 2" xfId="27111"/>
    <cellStyle name="Separador de milhares 3 12 3 7 3 2 2" xfId="53341"/>
    <cellStyle name="Separador de milhares 3 12 3 7 3 3" xfId="21197"/>
    <cellStyle name="Separador de milhares 3 12 3 7 3 3 2" xfId="47433"/>
    <cellStyle name="Separador de milhares 3 12 3 7 3 4" xfId="15283"/>
    <cellStyle name="Separador de milhares 3 12 3 7 3 4 2" xfId="41525"/>
    <cellStyle name="Separador de milhares 3 12 3 7 3 5" xfId="35139"/>
    <cellStyle name="Separador de milhares 3 12 3 7 4" xfId="5522"/>
    <cellStyle name="Separador de milhares 3 12 3 7 4 2" xfId="24154"/>
    <cellStyle name="Separador de milhares 3 12 3 7 4 2 2" xfId="50387"/>
    <cellStyle name="Separador de milhares 3 12 3 7 4 3" xfId="31767"/>
    <cellStyle name="Separador de milhares 3 12 3 7 5" xfId="18240"/>
    <cellStyle name="Separador de milhares 3 12 3 7 5 2" xfId="44479"/>
    <cellStyle name="Separador de milhares 3 12 3 7 6" xfId="11909"/>
    <cellStyle name="Separador de milhares 3 12 3 7 6 2" xfId="38151"/>
    <cellStyle name="Separador de milhares 3 12 3 7 7" xfId="30069"/>
    <cellStyle name="Separador de milhares 3 12 3 8" xfId="3259"/>
    <cellStyle name="Separador de milhares 3 12 3 8 2" xfId="7368"/>
    <cellStyle name="Separador de milhares 3 12 3 8 2 2" xfId="10512"/>
    <cellStyle name="Separador de milhares 3 12 3 8 2 2 2" xfId="28726"/>
    <cellStyle name="Separador de milhares 3 12 3 8 2 2 2 2" xfId="54956"/>
    <cellStyle name="Separador de milhares 3 12 3 8 2 2 3" xfId="22812"/>
    <cellStyle name="Separador de milhares 3 12 3 8 2 2 3 2" xfId="49048"/>
    <cellStyle name="Separador de milhares 3 12 3 8 2 2 4" xfId="16898"/>
    <cellStyle name="Separador de milhares 3 12 3 8 2 2 4 2" xfId="43140"/>
    <cellStyle name="Separador de milhares 3 12 3 8 2 2 5" xfId="36754"/>
    <cellStyle name="Separador de milhares 3 12 3 8 2 3" xfId="25769"/>
    <cellStyle name="Separador de milhares 3 12 3 8 2 3 2" xfId="52002"/>
    <cellStyle name="Separador de milhares 3 12 3 8 2 4" xfId="19855"/>
    <cellStyle name="Separador de milhares 3 12 3 8 2 4 2" xfId="46094"/>
    <cellStyle name="Separador de milhares 3 12 3 8 2 5" xfId="13757"/>
    <cellStyle name="Separador de milhares 3 12 3 8 2 5 2" xfId="39999"/>
    <cellStyle name="Separador de milhares 3 12 3 8 2 6" xfId="33613"/>
    <cellStyle name="Separador de milhares 3 12 3 8 3" xfId="9044"/>
    <cellStyle name="Separador de milhares 3 12 3 8 3 2" xfId="27258"/>
    <cellStyle name="Separador de milhares 3 12 3 8 3 2 2" xfId="53488"/>
    <cellStyle name="Separador de milhares 3 12 3 8 3 3" xfId="21344"/>
    <cellStyle name="Separador de milhares 3 12 3 8 3 3 2" xfId="47580"/>
    <cellStyle name="Separador de milhares 3 12 3 8 3 4" xfId="15430"/>
    <cellStyle name="Separador de milhares 3 12 3 8 3 4 2" xfId="41672"/>
    <cellStyle name="Separador de milhares 3 12 3 8 3 5" xfId="35286"/>
    <cellStyle name="Separador de milhares 3 12 3 8 4" xfId="5669"/>
    <cellStyle name="Separador de milhares 3 12 3 8 4 2" xfId="24301"/>
    <cellStyle name="Separador de milhares 3 12 3 8 4 2 2" xfId="50534"/>
    <cellStyle name="Separador de milhares 3 12 3 8 4 3" xfId="31914"/>
    <cellStyle name="Separador de milhares 3 12 3 8 5" xfId="18387"/>
    <cellStyle name="Separador de milhares 3 12 3 8 5 2" xfId="44626"/>
    <cellStyle name="Separador de milhares 3 12 3 8 6" xfId="12056"/>
    <cellStyle name="Separador de milhares 3 12 3 8 6 2" xfId="38298"/>
    <cellStyle name="Separador de milhares 3 12 3 8 7" xfId="30216"/>
    <cellStyle name="Separador de milhares 3 12 3 9" xfId="3786"/>
    <cellStyle name="Separador de milhares 3 12 3 9 2" xfId="7515"/>
    <cellStyle name="Separador de milhares 3 12 3 9 2 2" xfId="10659"/>
    <cellStyle name="Separador de milhares 3 12 3 9 2 2 2" xfId="28873"/>
    <cellStyle name="Separador de milhares 3 12 3 9 2 2 2 2" xfId="55103"/>
    <cellStyle name="Separador de milhares 3 12 3 9 2 2 3" xfId="22959"/>
    <cellStyle name="Separador de milhares 3 12 3 9 2 2 3 2" xfId="49195"/>
    <cellStyle name="Separador de milhares 3 12 3 9 2 2 4" xfId="17045"/>
    <cellStyle name="Separador de milhares 3 12 3 9 2 2 4 2" xfId="43287"/>
    <cellStyle name="Separador de milhares 3 12 3 9 2 2 5" xfId="36901"/>
    <cellStyle name="Separador de milhares 3 12 3 9 2 3" xfId="25916"/>
    <cellStyle name="Separador de milhares 3 12 3 9 2 3 2" xfId="52149"/>
    <cellStyle name="Separador de milhares 3 12 3 9 2 4" xfId="20002"/>
    <cellStyle name="Separador de milhares 3 12 3 9 2 4 2" xfId="46241"/>
    <cellStyle name="Separador de milhares 3 12 3 9 2 5" xfId="13904"/>
    <cellStyle name="Separador de milhares 3 12 3 9 2 5 2" xfId="40146"/>
    <cellStyle name="Separador de milhares 3 12 3 9 2 6" xfId="33760"/>
    <cellStyle name="Separador de milhares 3 12 3 9 3" xfId="9191"/>
    <cellStyle name="Separador de milhares 3 12 3 9 3 2" xfId="27405"/>
    <cellStyle name="Separador de milhares 3 12 3 9 3 2 2" xfId="53635"/>
    <cellStyle name="Separador de milhares 3 12 3 9 3 3" xfId="21491"/>
    <cellStyle name="Separador de milhares 3 12 3 9 3 3 2" xfId="47727"/>
    <cellStyle name="Separador de milhares 3 12 3 9 3 4" xfId="15577"/>
    <cellStyle name="Separador de milhares 3 12 3 9 3 4 2" xfId="41819"/>
    <cellStyle name="Separador de milhares 3 12 3 9 3 5" xfId="35433"/>
    <cellStyle name="Separador de milhares 3 12 3 9 4" xfId="5816"/>
    <cellStyle name="Separador de milhares 3 12 3 9 4 2" xfId="24448"/>
    <cellStyle name="Separador de milhares 3 12 3 9 4 2 2" xfId="50681"/>
    <cellStyle name="Separador de milhares 3 12 3 9 4 3" xfId="32061"/>
    <cellStyle name="Separador de milhares 3 12 3 9 5" xfId="18534"/>
    <cellStyle name="Separador de milhares 3 12 3 9 5 2" xfId="44773"/>
    <cellStyle name="Separador de milhares 3 12 3 9 6" xfId="12203"/>
    <cellStyle name="Separador de milhares 3 12 3 9 6 2" xfId="38445"/>
    <cellStyle name="Separador de milhares 3 12 3 9 7" xfId="30363"/>
    <cellStyle name="Separador de milhares 3 12 4" xfId="422"/>
    <cellStyle name="Separador de milhares 3 12 4 10" xfId="6562"/>
    <cellStyle name="Separador de milhares 3 12 4 10 2" xfId="9710"/>
    <cellStyle name="Separador de milhares 3 12 4 10 2 2" xfId="27924"/>
    <cellStyle name="Separador de milhares 3 12 4 10 2 2 2" xfId="54154"/>
    <cellStyle name="Separador de milhares 3 12 4 10 2 3" xfId="22010"/>
    <cellStyle name="Separador de milhares 3 12 4 10 2 3 2" xfId="48246"/>
    <cellStyle name="Separador de milhares 3 12 4 10 2 4" xfId="16096"/>
    <cellStyle name="Separador de milhares 3 12 4 10 2 4 2" xfId="42338"/>
    <cellStyle name="Separador de milhares 3 12 4 10 2 5" xfId="35952"/>
    <cellStyle name="Separador de milhares 3 12 4 10 3" xfId="24967"/>
    <cellStyle name="Separador de milhares 3 12 4 10 3 2" xfId="51200"/>
    <cellStyle name="Separador de milhares 3 12 4 10 4" xfId="19053"/>
    <cellStyle name="Separador de milhares 3 12 4 10 4 2" xfId="45292"/>
    <cellStyle name="Separador de milhares 3 12 4 10 5" xfId="12951"/>
    <cellStyle name="Separador de milhares 3 12 4 10 5 2" xfId="39193"/>
    <cellStyle name="Separador de milhares 3 12 4 10 6" xfId="32807"/>
    <cellStyle name="Separador de milhares 3 12 4 11" xfId="8239"/>
    <cellStyle name="Separador de milhares 3 12 4 11 2" xfId="26453"/>
    <cellStyle name="Separador de milhares 3 12 4 11 2 2" xfId="52686"/>
    <cellStyle name="Separador de milhares 3 12 4 11 3" xfId="20539"/>
    <cellStyle name="Separador de milhares 3 12 4 11 3 2" xfId="46778"/>
    <cellStyle name="Separador de milhares 3 12 4 11 4" xfId="14628"/>
    <cellStyle name="Separador de milhares 3 12 4 11 4 2" xfId="40870"/>
    <cellStyle name="Separador de milhares 3 12 4 11 5" xfId="34484"/>
    <cellStyle name="Separador de milhares 3 12 4 12" xfId="4861"/>
    <cellStyle name="Separador de milhares 3 12 4 12 2" xfId="23496"/>
    <cellStyle name="Separador de milhares 3 12 4 12 2 2" xfId="49732"/>
    <cellStyle name="Separador de milhares 3 12 4 12 3" xfId="31108"/>
    <cellStyle name="Separador de milhares 3 12 4 13" xfId="17582"/>
    <cellStyle name="Separador de milhares 3 12 4 13 2" xfId="43824"/>
    <cellStyle name="Separador de milhares 3 12 4 14" xfId="11250"/>
    <cellStyle name="Separador de milhares 3 12 4 14 2" xfId="37492"/>
    <cellStyle name="Separador de milhares 3 12 4 15" xfId="29410"/>
    <cellStyle name="Separador de milhares 3 12 4 2" xfId="1067"/>
    <cellStyle name="Separador de milhares 3 12 4 2 2" xfId="6759"/>
    <cellStyle name="Separador de milhares 3 12 4 2 2 2" xfId="9906"/>
    <cellStyle name="Separador de milhares 3 12 4 2 2 2 2" xfId="28120"/>
    <cellStyle name="Separador de milhares 3 12 4 2 2 2 2 2" xfId="54350"/>
    <cellStyle name="Separador de milhares 3 12 4 2 2 2 3" xfId="22206"/>
    <cellStyle name="Separador de milhares 3 12 4 2 2 2 3 2" xfId="48442"/>
    <cellStyle name="Separador de milhares 3 12 4 2 2 2 4" xfId="16292"/>
    <cellStyle name="Separador de milhares 3 12 4 2 2 2 4 2" xfId="42534"/>
    <cellStyle name="Separador de milhares 3 12 4 2 2 2 5" xfId="36148"/>
    <cellStyle name="Separador de milhares 3 12 4 2 2 3" xfId="25163"/>
    <cellStyle name="Separador de milhares 3 12 4 2 2 3 2" xfId="51396"/>
    <cellStyle name="Separador de milhares 3 12 4 2 2 4" xfId="19249"/>
    <cellStyle name="Separador de milhares 3 12 4 2 2 4 2" xfId="45488"/>
    <cellStyle name="Separador de milhares 3 12 4 2 2 5" xfId="13148"/>
    <cellStyle name="Separador de milhares 3 12 4 2 2 5 2" xfId="39390"/>
    <cellStyle name="Separador de milhares 3 12 4 2 2 6" xfId="33004"/>
    <cellStyle name="Separador de milhares 3 12 4 2 3" xfId="8438"/>
    <cellStyle name="Separador de milhares 3 12 4 2 3 2" xfId="26652"/>
    <cellStyle name="Separador de milhares 3 12 4 2 3 2 2" xfId="52882"/>
    <cellStyle name="Separador de milhares 3 12 4 2 3 3" xfId="20738"/>
    <cellStyle name="Separador de milhares 3 12 4 2 3 3 2" xfId="46974"/>
    <cellStyle name="Separador de milhares 3 12 4 2 3 4" xfId="14824"/>
    <cellStyle name="Separador de milhares 3 12 4 2 3 4 2" xfId="41066"/>
    <cellStyle name="Separador de milhares 3 12 4 2 3 5" xfId="34680"/>
    <cellStyle name="Separador de milhares 3 12 4 2 4" xfId="5060"/>
    <cellStyle name="Separador de milhares 3 12 4 2 4 2" xfId="23695"/>
    <cellStyle name="Separador de milhares 3 12 4 2 4 2 2" xfId="49928"/>
    <cellStyle name="Separador de milhares 3 12 4 2 4 3" xfId="31305"/>
    <cellStyle name="Separador de milhares 3 12 4 2 5" xfId="17781"/>
    <cellStyle name="Separador de milhares 3 12 4 2 5 2" xfId="44020"/>
    <cellStyle name="Separador de milhares 3 12 4 2 6" xfId="11447"/>
    <cellStyle name="Separador de milhares 3 12 4 2 6 2" xfId="37689"/>
    <cellStyle name="Separador de milhares 3 12 4 2 7" xfId="29607"/>
    <cellStyle name="Separador de milhares 3 12 4 3" xfId="1418"/>
    <cellStyle name="Separador de milhares 3 12 4 3 2" xfId="6857"/>
    <cellStyle name="Separador de milhares 3 12 4 3 2 2" xfId="10004"/>
    <cellStyle name="Separador de milhares 3 12 4 3 2 2 2" xfId="28218"/>
    <cellStyle name="Separador de milhares 3 12 4 3 2 2 2 2" xfId="54448"/>
    <cellStyle name="Separador de milhares 3 12 4 3 2 2 3" xfId="22304"/>
    <cellStyle name="Separador de milhares 3 12 4 3 2 2 3 2" xfId="48540"/>
    <cellStyle name="Separador de milhares 3 12 4 3 2 2 4" xfId="16390"/>
    <cellStyle name="Separador de milhares 3 12 4 3 2 2 4 2" xfId="42632"/>
    <cellStyle name="Separador de milhares 3 12 4 3 2 2 5" xfId="36246"/>
    <cellStyle name="Separador de milhares 3 12 4 3 2 3" xfId="25261"/>
    <cellStyle name="Separador de milhares 3 12 4 3 2 3 2" xfId="51494"/>
    <cellStyle name="Separador de milhares 3 12 4 3 2 4" xfId="19347"/>
    <cellStyle name="Separador de milhares 3 12 4 3 2 4 2" xfId="45586"/>
    <cellStyle name="Separador de milhares 3 12 4 3 2 5" xfId="13246"/>
    <cellStyle name="Separador de milhares 3 12 4 3 2 5 2" xfId="39488"/>
    <cellStyle name="Separador de milhares 3 12 4 3 2 6" xfId="33102"/>
    <cellStyle name="Separador de milhares 3 12 4 3 3" xfId="8536"/>
    <cellStyle name="Separador de milhares 3 12 4 3 3 2" xfId="26750"/>
    <cellStyle name="Separador de milhares 3 12 4 3 3 2 2" xfId="52980"/>
    <cellStyle name="Separador de milhares 3 12 4 3 3 3" xfId="20836"/>
    <cellStyle name="Separador de milhares 3 12 4 3 3 3 2" xfId="47072"/>
    <cellStyle name="Separador de milhares 3 12 4 3 3 4" xfId="14922"/>
    <cellStyle name="Separador de milhares 3 12 4 3 3 4 2" xfId="41164"/>
    <cellStyle name="Separador de milhares 3 12 4 3 3 5" xfId="34778"/>
    <cellStyle name="Separador de milhares 3 12 4 3 4" xfId="5158"/>
    <cellStyle name="Separador de milhares 3 12 4 3 4 2" xfId="23793"/>
    <cellStyle name="Separador de milhares 3 12 4 3 4 2 2" xfId="50026"/>
    <cellStyle name="Separador de milhares 3 12 4 3 4 3" xfId="31403"/>
    <cellStyle name="Separador de milhares 3 12 4 3 5" xfId="17879"/>
    <cellStyle name="Separador de milhares 3 12 4 3 5 2" xfId="44118"/>
    <cellStyle name="Separador de milhares 3 12 4 3 6" xfId="11545"/>
    <cellStyle name="Separador de milhares 3 12 4 3 6 2" xfId="37787"/>
    <cellStyle name="Separador de milhares 3 12 4 3 7" xfId="29705"/>
    <cellStyle name="Separador de milhares 3 12 4 4" xfId="1853"/>
    <cellStyle name="Separador de milhares 3 12 4 4 2" xfId="6976"/>
    <cellStyle name="Separador de milhares 3 12 4 4 2 2" xfId="10123"/>
    <cellStyle name="Separador de milhares 3 12 4 4 2 2 2" xfId="28337"/>
    <cellStyle name="Separador de milhares 3 12 4 4 2 2 2 2" xfId="54567"/>
    <cellStyle name="Separador de milhares 3 12 4 4 2 2 3" xfId="22423"/>
    <cellStyle name="Separador de milhares 3 12 4 4 2 2 3 2" xfId="48659"/>
    <cellStyle name="Separador de milhares 3 12 4 4 2 2 4" xfId="16509"/>
    <cellStyle name="Separador de milhares 3 12 4 4 2 2 4 2" xfId="42751"/>
    <cellStyle name="Separador de milhares 3 12 4 4 2 2 5" xfId="36365"/>
    <cellStyle name="Separador de milhares 3 12 4 4 2 3" xfId="25380"/>
    <cellStyle name="Separador de milhares 3 12 4 4 2 3 2" xfId="51613"/>
    <cellStyle name="Separador de milhares 3 12 4 4 2 4" xfId="19466"/>
    <cellStyle name="Separador de milhares 3 12 4 4 2 4 2" xfId="45705"/>
    <cellStyle name="Separador de milhares 3 12 4 4 2 5" xfId="13365"/>
    <cellStyle name="Separador de milhares 3 12 4 4 2 5 2" xfId="39607"/>
    <cellStyle name="Separador de milhares 3 12 4 4 2 6" xfId="33221"/>
    <cellStyle name="Separador de milhares 3 12 4 4 3" xfId="8655"/>
    <cellStyle name="Separador de milhares 3 12 4 4 3 2" xfId="26869"/>
    <cellStyle name="Separador de milhares 3 12 4 4 3 2 2" xfId="53099"/>
    <cellStyle name="Separador de milhares 3 12 4 4 3 3" xfId="20955"/>
    <cellStyle name="Separador de milhares 3 12 4 4 3 3 2" xfId="47191"/>
    <cellStyle name="Separador de milhares 3 12 4 4 3 4" xfId="15041"/>
    <cellStyle name="Separador de milhares 3 12 4 4 3 4 2" xfId="41283"/>
    <cellStyle name="Separador de milhares 3 12 4 4 3 5" xfId="34897"/>
    <cellStyle name="Separador de milhares 3 12 4 4 4" xfId="5277"/>
    <cellStyle name="Separador de milhares 3 12 4 4 4 2" xfId="23912"/>
    <cellStyle name="Separador de milhares 3 12 4 4 4 2 2" xfId="50145"/>
    <cellStyle name="Separador de milhares 3 12 4 4 4 3" xfId="31522"/>
    <cellStyle name="Separador de milhares 3 12 4 4 5" xfId="17998"/>
    <cellStyle name="Separador de milhares 3 12 4 4 5 2" xfId="44237"/>
    <cellStyle name="Separador de milhares 3 12 4 4 6" xfId="11664"/>
    <cellStyle name="Separador de milhares 3 12 4 4 6 2" xfId="37906"/>
    <cellStyle name="Separador de milhares 3 12 4 4 7" xfId="29824"/>
    <cellStyle name="Separador de milhares 3 12 4 5" xfId="2383"/>
    <cellStyle name="Separador de milhares 3 12 4 5 2" xfId="7126"/>
    <cellStyle name="Separador de milhares 3 12 4 5 2 2" xfId="10270"/>
    <cellStyle name="Separador de milhares 3 12 4 5 2 2 2" xfId="28484"/>
    <cellStyle name="Separador de milhares 3 12 4 5 2 2 2 2" xfId="54714"/>
    <cellStyle name="Separador de milhares 3 12 4 5 2 2 3" xfId="22570"/>
    <cellStyle name="Separador de milhares 3 12 4 5 2 2 3 2" xfId="48806"/>
    <cellStyle name="Separador de milhares 3 12 4 5 2 2 4" xfId="16656"/>
    <cellStyle name="Separador de milhares 3 12 4 5 2 2 4 2" xfId="42898"/>
    <cellStyle name="Separador de milhares 3 12 4 5 2 2 5" xfId="36512"/>
    <cellStyle name="Separador de milhares 3 12 4 5 2 3" xfId="25527"/>
    <cellStyle name="Separador de milhares 3 12 4 5 2 3 2" xfId="51760"/>
    <cellStyle name="Separador de milhares 3 12 4 5 2 4" xfId="19613"/>
    <cellStyle name="Separador de milhares 3 12 4 5 2 4 2" xfId="45852"/>
    <cellStyle name="Separador de milhares 3 12 4 5 2 5" xfId="13515"/>
    <cellStyle name="Separador de milhares 3 12 4 5 2 5 2" xfId="39757"/>
    <cellStyle name="Separador de milhares 3 12 4 5 2 6" xfId="33371"/>
    <cellStyle name="Separador de milhares 3 12 4 5 3" xfId="8802"/>
    <cellStyle name="Separador de milhares 3 12 4 5 3 2" xfId="27016"/>
    <cellStyle name="Separador de milhares 3 12 4 5 3 2 2" xfId="53246"/>
    <cellStyle name="Separador de milhares 3 12 4 5 3 3" xfId="21102"/>
    <cellStyle name="Separador de milhares 3 12 4 5 3 3 2" xfId="47338"/>
    <cellStyle name="Separador de milhares 3 12 4 5 3 4" xfId="15188"/>
    <cellStyle name="Separador de milhares 3 12 4 5 3 4 2" xfId="41430"/>
    <cellStyle name="Separador de milhares 3 12 4 5 3 5" xfId="35044"/>
    <cellStyle name="Separador de milhares 3 12 4 5 4" xfId="5427"/>
    <cellStyle name="Separador de milhares 3 12 4 5 4 2" xfId="24059"/>
    <cellStyle name="Separador de milhares 3 12 4 5 4 2 2" xfId="50292"/>
    <cellStyle name="Separador de milhares 3 12 4 5 4 3" xfId="31672"/>
    <cellStyle name="Separador de milhares 3 12 4 5 5" xfId="18145"/>
    <cellStyle name="Separador de milhares 3 12 4 5 5 2" xfId="44384"/>
    <cellStyle name="Separador de milhares 3 12 4 5 6" xfId="11814"/>
    <cellStyle name="Separador de milhares 3 12 4 5 6 2" xfId="38056"/>
    <cellStyle name="Separador de milhares 3 12 4 5 7" xfId="29974"/>
    <cellStyle name="Separador de milhares 3 12 4 6" xfId="2910"/>
    <cellStyle name="Separador de milhares 3 12 4 6 2" xfId="7273"/>
    <cellStyle name="Separador de milhares 3 12 4 6 2 2" xfId="10417"/>
    <cellStyle name="Separador de milhares 3 12 4 6 2 2 2" xfId="28631"/>
    <cellStyle name="Separador de milhares 3 12 4 6 2 2 2 2" xfId="54861"/>
    <cellStyle name="Separador de milhares 3 12 4 6 2 2 3" xfId="22717"/>
    <cellStyle name="Separador de milhares 3 12 4 6 2 2 3 2" xfId="48953"/>
    <cellStyle name="Separador de milhares 3 12 4 6 2 2 4" xfId="16803"/>
    <cellStyle name="Separador de milhares 3 12 4 6 2 2 4 2" xfId="43045"/>
    <cellStyle name="Separador de milhares 3 12 4 6 2 2 5" xfId="36659"/>
    <cellStyle name="Separador de milhares 3 12 4 6 2 3" xfId="25674"/>
    <cellStyle name="Separador de milhares 3 12 4 6 2 3 2" xfId="51907"/>
    <cellStyle name="Separador de milhares 3 12 4 6 2 4" xfId="19760"/>
    <cellStyle name="Separador de milhares 3 12 4 6 2 4 2" xfId="45999"/>
    <cellStyle name="Separador de milhares 3 12 4 6 2 5" xfId="13662"/>
    <cellStyle name="Separador de milhares 3 12 4 6 2 5 2" xfId="39904"/>
    <cellStyle name="Separador de milhares 3 12 4 6 2 6" xfId="33518"/>
    <cellStyle name="Separador de milhares 3 12 4 6 3" xfId="8949"/>
    <cellStyle name="Separador de milhares 3 12 4 6 3 2" xfId="27163"/>
    <cellStyle name="Separador de milhares 3 12 4 6 3 2 2" xfId="53393"/>
    <cellStyle name="Separador de milhares 3 12 4 6 3 3" xfId="21249"/>
    <cellStyle name="Separador de milhares 3 12 4 6 3 3 2" xfId="47485"/>
    <cellStyle name="Separador de milhares 3 12 4 6 3 4" xfId="15335"/>
    <cellStyle name="Separador de milhares 3 12 4 6 3 4 2" xfId="41577"/>
    <cellStyle name="Separador de milhares 3 12 4 6 3 5" xfId="35191"/>
    <cellStyle name="Separador de milhares 3 12 4 6 4" xfId="5574"/>
    <cellStyle name="Separador de milhares 3 12 4 6 4 2" xfId="24206"/>
    <cellStyle name="Separador de milhares 3 12 4 6 4 2 2" xfId="50439"/>
    <cellStyle name="Separador de milhares 3 12 4 6 4 3" xfId="31819"/>
    <cellStyle name="Separador de milhares 3 12 4 6 5" xfId="18292"/>
    <cellStyle name="Separador de milhares 3 12 4 6 5 2" xfId="44531"/>
    <cellStyle name="Separador de milhares 3 12 4 6 6" xfId="11961"/>
    <cellStyle name="Separador de milhares 3 12 4 6 6 2" xfId="38203"/>
    <cellStyle name="Separador de milhares 3 12 4 6 7" xfId="30121"/>
    <cellStyle name="Separador de milhares 3 12 4 7" xfId="3437"/>
    <cellStyle name="Separador de milhares 3 12 4 7 2" xfId="7420"/>
    <cellStyle name="Separador de milhares 3 12 4 7 2 2" xfId="10564"/>
    <cellStyle name="Separador de milhares 3 12 4 7 2 2 2" xfId="28778"/>
    <cellStyle name="Separador de milhares 3 12 4 7 2 2 2 2" xfId="55008"/>
    <cellStyle name="Separador de milhares 3 12 4 7 2 2 3" xfId="22864"/>
    <cellStyle name="Separador de milhares 3 12 4 7 2 2 3 2" xfId="49100"/>
    <cellStyle name="Separador de milhares 3 12 4 7 2 2 4" xfId="16950"/>
    <cellStyle name="Separador de milhares 3 12 4 7 2 2 4 2" xfId="43192"/>
    <cellStyle name="Separador de milhares 3 12 4 7 2 2 5" xfId="36806"/>
    <cellStyle name="Separador de milhares 3 12 4 7 2 3" xfId="25821"/>
    <cellStyle name="Separador de milhares 3 12 4 7 2 3 2" xfId="52054"/>
    <cellStyle name="Separador de milhares 3 12 4 7 2 4" xfId="19907"/>
    <cellStyle name="Separador de milhares 3 12 4 7 2 4 2" xfId="46146"/>
    <cellStyle name="Separador de milhares 3 12 4 7 2 5" xfId="13809"/>
    <cellStyle name="Separador de milhares 3 12 4 7 2 5 2" xfId="40051"/>
    <cellStyle name="Separador de milhares 3 12 4 7 2 6" xfId="33665"/>
    <cellStyle name="Separador de milhares 3 12 4 7 3" xfId="9096"/>
    <cellStyle name="Separador de milhares 3 12 4 7 3 2" xfId="27310"/>
    <cellStyle name="Separador de milhares 3 12 4 7 3 2 2" xfId="53540"/>
    <cellStyle name="Separador de milhares 3 12 4 7 3 3" xfId="21396"/>
    <cellStyle name="Separador de milhares 3 12 4 7 3 3 2" xfId="47632"/>
    <cellStyle name="Separador de milhares 3 12 4 7 3 4" xfId="15482"/>
    <cellStyle name="Separador de milhares 3 12 4 7 3 4 2" xfId="41724"/>
    <cellStyle name="Separador de milhares 3 12 4 7 3 5" xfId="35338"/>
    <cellStyle name="Separador de milhares 3 12 4 7 4" xfId="5721"/>
    <cellStyle name="Separador de milhares 3 12 4 7 4 2" xfId="24353"/>
    <cellStyle name="Separador de milhares 3 12 4 7 4 2 2" xfId="50586"/>
    <cellStyle name="Separador de milhares 3 12 4 7 4 3" xfId="31966"/>
    <cellStyle name="Separador de milhares 3 12 4 7 5" xfId="18439"/>
    <cellStyle name="Separador de milhares 3 12 4 7 5 2" xfId="44678"/>
    <cellStyle name="Separador de milhares 3 12 4 7 6" xfId="12108"/>
    <cellStyle name="Separador de milhares 3 12 4 7 6 2" xfId="38350"/>
    <cellStyle name="Separador de milhares 3 12 4 7 7" xfId="30268"/>
    <cellStyle name="Separador de milhares 3 12 4 8" xfId="3964"/>
    <cellStyle name="Separador de milhares 3 12 4 8 2" xfId="7567"/>
    <cellStyle name="Separador de milhares 3 12 4 8 2 2" xfId="10711"/>
    <cellStyle name="Separador de milhares 3 12 4 8 2 2 2" xfId="28925"/>
    <cellStyle name="Separador de milhares 3 12 4 8 2 2 2 2" xfId="55155"/>
    <cellStyle name="Separador de milhares 3 12 4 8 2 2 3" xfId="23011"/>
    <cellStyle name="Separador de milhares 3 12 4 8 2 2 3 2" xfId="49247"/>
    <cellStyle name="Separador de milhares 3 12 4 8 2 2 4" xfId="17097"/>
    <cellStyle name="Separador de milhares 3 12 4 8 2 2 4 2" xfId="43339"/>
    <cellStyle name="Separador de milhares 3 12 4 8 2 2 5" xfId="36953"/>
    <cellStyle name="Separador de milhares 3 12 4 8 2 3" xfId="25968"/>
    <cellStyle name="Separador de milhares 3 12 4 8 2 3 2" xfId="52201"/>
    <cellStyle name="Separador de milhares 3 12 4 8 2 4" xfId="20054"/>
    <cellStyle name="Separador de milhares 3 12 4 8 2 4 2" xfId="46293"/>
    <cellStyle name="Separador de milhares 3 12 4 8 2 5" xfId="13956"/>
    <cellStyle name="Separador de milhares 3 12 4 8 2 5 2" xfId="40198"/>
    <cellStyle name="Separador de milhares 3 12 4 8 2 6" xfId="33812"/>
    <cellStyle name="Separador de milhares 3 12 4 8 3" xfId="9243"/>
    <cellStyle name="Separador de milhares 3 12 4 8 3 2" xfId="27457"/>
    <cellStyle name="Separador de milhares 3 12 4 8 3 2 2" xfId="53687"/>
    <cellStyle name="Separador de milhares 3 12 4 8 3 3" xfId="21543"/>
    <cellStyle name="Separador de milhares 3 12 4 8 3 3 2" xfId="47779"/>
    <cellStyle name="Separador de milhares 3 12 4 8 3 4" xfId="15629"/>
    <cellStyle name="Separador de milhares 3 12 4 8 3 4 2" xfId="41871"/>
    <cellStyle name="Separador de milhares 3 12 4 8 3 5" xfId="35485"/>
    <cellStyle name="Separador de milhares 3 12 4 8 4" xfId="5868"/>
    <cellStyle name="Separador de milhares 3 12 4 8 4 2" xfId="24500"/>
    <cellStyle name="Separador de milhares 3 12 4 8 4 2 2" xfId="50733"/>
    <cellStyle name="Separador de milhares 3 12 4 8 4 3" xfId="32113"/>
    <cellStyle name="Separador de milhares 3 12 4 8 5" xfId="18586"/>
    <cellStyle name="Separador de milhares 3 12 4 8 5 2" xfId="44825"/>
    <cellStyle name="Separador de milhares 3 12 4 8 6" xfId="12255"/>
    <cellStyle name="Separador de milhares 3 12 4 8 6 2" xfId="38497"/>
    <cellStyle name="Separador de milhares 3 12 4 8 7" xfId="30415"/>
    <cellStyle name="Separador de milhares 3 12 4 9" xfId="726"/>
    <cellStyle name="Separador de milhares 3 12 4 9 2" xfId="6661"/>
    <cellStyle name="Separador de milhares 3 12 4 9 2 2" xfId="9808"/>
    <cellStyle name="Separador de milhares 3 12 4 9 2 2 2" xfId="28022"/>
    <cellStyle name="Separador de milhares 3 12 4 9 2 2 2 2" xfId="54252"/>
    <cellStyle name="Separador de milhares 3 12 4 9 2 2 3" xfId="22108"/>
    <cellStyle name="Separador de milhares 3 12 4 9 2 2 3 2" xfId="48344"/>
    <cellStyle name="Separador de milhares 3 12 4 9 2 2 4" xfId="16194"/>
    <cellStyle name="Separador de milhares 3 12 4 9 2 2 4 2" xfId="42436"/>
    <cellStyle name="Separador de milhares 3 12 4 9 2 2 5" xfId="36050"/>
    <cellStyle name="Separador de milhares 3 12 4 9 2 3" xfId="25065"/>
    <cellStyle name="Separador de milhares 3 12 4 9 2 3 2" xfId="51298"/>
    <cellStyle name="Separador de milhares 3 12 4 9 2 4" xfId="19151"/>
    <cellStyle name="Separador de milhares 3 12 4 9 2 4 2" xfId="45390"/>
    <cellStyle name="Separador de milhares 3 12 4 9 2 5" xfId="13050"/>
    <cellStyle name="Separador de milhares 3 12 4 9 2 5 2" xfId="39292"/>
    <cellStyle name="Separador de milhares 3 12 4 9 2 6" xfId="32906"/>
    <cellStyle name="Separador de milhares 3 12 4 9 3" xfId="8340"/>
    <cellStyle name="Separador de milhares 3 12 4 9 3 2" xfId="26554"/>
    <cellStyle name="Separador de milhares 3 12 4 9 3 2 2" xfId="52784"/>
    <cellStyle name="Separador de milhares 3 12 4 9 3 3" xfId="20640"/>
    <cellStyle name="Separador de milhares 3 12 4 9 3 3 2" xfId="46876"/>
    <cellStyle name="Separador de milhares 3 12 4 9 3 4" xfId="14726"/>
    <cellStyle name="Separador de milhares 3 12 4 9 3 4 2" xfId="40968"/>
    <cellStyle name="Separador de milhares 3 12 4 9 3 5" xfId="34582"/>
    <cellStyle name="Separador de milhares 3 12 4 9 4" xfId="4962"/>
    <cellStyle name="Separador de milhares 3 12 4 9 4 2" xfId="23597"/>
    <cellStyle name="Separador de milhares 3 12 4 9 4 2 2" xfId="49830"/>
    <cellStyle name="Separador de milhares 3 12 4 9 4 3" xfId="31207"/>
    <cellStyle name="Separador de milhares 3 12 4 9 5" xfId="17683"/>
    <cellStyle name="Separador de milhares 3 12 4 9 5 2" xfId="43922"/>
    <cellStyle name="Separador de milhares 3 12 4 9 6" xfId="11349"/>
    <cellStyle name="Separador de milhares 3 12 4 9 6 2" xfId="37591"/>
    <cellStyle name="Separador de milhares 3 12 4 9 7" xfId="29509"/>
    <cellStyle name="Separador de milhares 3 12 5" xfId="679"/>
    <cellStyle name="Separador de milhares 3 12 5 10" xfId="4926"/>
    <cellStyle name="Separador de milhares 3 12 5 10 2" xfId="23560"/>
    <cellStyle name="Separador de milhares 3 12 5 10 2 2" xfId="49796"/>
    <cellStyle name="Separador de milhares 3 12 5 10 3" xfId="31173"/>
    <cellStyle name="Separador de milhares 3 12 5 11" xfId="17646"/>
    <cellStyle name="Separador de milhares 3 12 5 11 2" xfId="43888"/>
    <cellStyle name="Separador de milhares 3 12 5 12" xfId="11315"/>
    <cellStyle name="Separador de milhares 3 12 5 12 2" xfId="37557"/>
    <cellStyle name="Separador de milhares 3 12 5 13" xfId="29475"/>
    <cellStyle name="Separador de milhares 3 12 5 2" xfId="1502"/>
    <cellStyle name="Separador de milhares 3 12 5 2 2" xfId="6878"/>
    <cellStyle name="Separador de milhares 3 12 5 2 2 2" xfId="10025"/>
    <cellStyle name="Separador de milhares 3 12 5 2 2 2 2" xfId="28239"/>
    <cellStyle name="Separador de milhares 3 12 5 2 2 2 2 2" xfId="54469"/>
    <cellStyle name="Separador de milhares 3 12 5 2 2 2 3" xfId="22325"/>
    <cellStyle name="Separador de milhares 3 12 5 2 2 2 3 2" xfId="48561"/>
    <cellStyle name="Separador de milhares 3 12 5 2 2 2 4" xfId="16411"/>
    <cellStyle name="Separador de milhares 3 12 5 2 2 2 4 2" xfId="42653"/>
    <cellStyle name="Separador de milhares 3 12 5 2 2 2 5" xfId="36267"/>
    <cellStyle name="Separador de milhares 3 12 5 2 2 3" xfId="25282"/>
    <cellStyle name="Separador de milhares 3 12 5 2 2 3 2" xfId="51515"/>
    <cellStyle name="Separador de milhares 3 12 5 2 2 4" xfId="19368"/>
    <cellStyle name="Separador de milhares 3 12 5 2 2 4 2" xfId="45607"/>
    <cellStyle name="Separador de milhares 3 12 5 2 2 5" xfId="13267"/>
    <cellStyle name="Separador de milhares 3 12 5 2 2 5 2" xfId="39509"/>
    <cellStyle name="Separador de milhares 3 12 5 2 2 6" xfId="33123"/>
    <cellStyle name="Separador de milhares 3 12 5 2 3" xfId="8557"/>
    <cellStyle name="Separador de milhares 3 12 5 2 3 2" xfId="26771"/>
    <cellStyle name="Separador de milhares 3 12 5 2 3 2 2" xfId="53001"/>
    <cellStyle name="Separador de milhares 3 12 5 2 3 3" xfId="20857"/>
    <cellStyle name="Separador de milhares 3 12 5 2 3 3 2" xfId="47093"/>
    <cellStyle name="Separador de milhares 3 12 5 2 3 4" xfId="14943"/>
    <cellStyle name="Separador de milhares 3 12 5 2 3 4 2" xfId="41185"/>
    <cellStyle name="Separador de milhares 3 12 5 2 3 5" xfId="34799"/>
    <cellStyle name="Separador de milhares 3 12 5 2 4" xfId="5179"/>
    <cellStyle name="Separador de milhares 3 12 5 2 4 2" xfId="23814"/>
    <cellStyle name="Separador de milhares 3 12 5 2 4 2 2" xfId="50047"/>
    <cellStyle name="Separador de milhares 3 12 5 2 4 3" xfId="31424"/>
    <cellStyle name="Separador de milhares 3 12 5 2 5" xfId="17900"/>
    <cellStyle name="Separador de milhares 3 12 5 2 5 2" xfId="44139"/>
    <cellStyle name="Separador de milhares 3 12 5 2 6" xfId="11566"/>
    <cellStyle name="Separador de milhares 3 12 5 2 6 2" xfId="37808"/>
    <cellStyle name="Separador de milhares 3 12 5 2 7" xfId="29726"/>
    <cellStyle name="Separador de milhares 3 12 5 3" xfId="1937"/>
    <cellStyle name="Separador de milhares 3 12 5 3 2" xfId="6997"/>
    <cellStyle name="Separador de milhares 3 12 5 3 2 2" xfId="10144"/>
    <cellStyle name="Separador de milhares 3 12 5 3 2 2 2" xfId="28358"/>
    <cellStyle name="Separador de milhares 3 12 5 3 2 2 2 2" xfId="54588"/>
    <cellStyle name="Separador de milhares 3 12 5 3 2 2 3" xfId="22444"/>
    <cellStyle name="Separador de milhares 3 12 5 3 2 2 3 2" xfId="48680"/>
    <cellStyle name="Separador de milhares 3 12 5 3 2 2 4" xfId="16530"/>
    <cellStyle name="Separador de milhares 3 12 5 3 2 2 4 2" xfId="42772"/>
    <cellStyle name="Separador de milhares 3 12 5 3 2 2 5" xfId="36386"/>
    <cellStyle name="Separador de milhares 3 12 5 3 2 3" xfId="25401"/>
    <cellStyle name="Separador de milhares 3 12 5 3 2 3 2" xfId="51634"/>
    <cellStyle name="Separador de milhares 3 12 5 3 2 4" xfId="19487"/>
    <cellStyle name="Separador de milhares 3 12 5 3 2 4 2" xfId="45726"/>
    <cellStyle name="Separador de milhares 3 12 5 3 2 5" xfId="13386"/>
    <cellStyle name="Separador de milhares 3 12 5 3 2 5 2" xfId="39628"/>
    <cellStyle name="Separador de milhares 3 12 5 3 2 6" xfId="33242"/>
    <cellStyle name="Separador de milhares 3 12 5 3 3" xfId="8676"/>
    <cellStyle name="Separador de milhares 3 12 5 3 3 2" xfId="26890"/>
    <cellStyle name="Separador de milhares 3 12 5 3 3 2 2" xfId="53120"/>
    <cellStyle name="Separador de milhares 3 12 5 3 3 3" xfId="20976"/>
    <cellStyle name="Separador de milhares 3 12 5 3 3 3 2" xfId="47212"/>
    <cellStyle name="Separador de milhares 3 12 5 3 3 4" xfId="15062"/>
    <cellStyle name="Separador de milhares 3 12 5 3 3 4 2" xfId="41304"/>
    <cellStyle name="Separador de milhares 3 12 5 3 3 5" xfId="34918"/>
    <cellStyle name="Separador de milhares 3 12 5 3 4" xfId="5298"/>
    <cellStyle name="Separador de milhares 3 12 5 3 4 2" xfId="23933"/>
    <cellStyle name="Separador de milhares 3 12 5 3 4 2 2" xfId="50166"/>
    <cellStyle name="Separador de milhares 3 12 5 3 4 3" xfId="31543"/>
    <cellStyle name="Separador de milhares 3 12 5 3 5" xfId="18019"/>
    <cellStyle name="Separador de milhares 3 12 5 3 5 2" xfId="44258"/>
    <cellStyle name="Separador de milhares 3 12 5 3 6" xfId="11685"/>
    <cellStyle name="Separador de milhares 3 12 5 3 6 2" xfId="37927"/>
    <cellStyle name="Separador de milhares 3 12 5 3 7" xfId="29845"/>
    <cellStyle name="Separador de milhares 3 12 5 4" xfId="2467"/>
    <cellStyle name="Separador de milhares 3 12 5 4 2" xfId="7147"/>
    <cellStyle name="Separador de milhares 3 12 5 4 2 2" xfId="10291"/>
    <cellStyle name="Separador de milhares 3 12 5 4 2 2 2" xfId="28505"/>
    <cellStyle name="Separador de milhares 3 12 5 4 2 2 2 2" xfId="54735"/>
    <cellStyle name="Separador de milhares 3 12 5 4 2 2 3" xfId="22591"/>
    <cellStyle name="Separador de milhares 3 12 5 4 2 2 3 2" xfId="48827"/>
    <cellStyle name="Separador de milhares 3 12 5 4 2 2 4" xfId="16677"/>
    <cellStyle name="Separador de milhares 3 12 5 4 2 2 4 2" xfId="42919"/>
    <cellStyle name="Separador de milhares 3 12 5 4 2 2 5" xfId="36533"/>
    <cellStyle name="Separador de milhares 3 12 5 4 2 3" xfId="25548"/>
    <cellStyle name="Separador de milhares 3 12 5 4 2 3 2" xfId="51781"/>
    <cellStyle name="Separador de milhares 3 12 5 4 2 4" xfId="19634"/>
    <cellStyle name="Separador de milhares 3 12 5 4 2 4 2" xfId="45873"/>
    <cellStyle name="Separador de milhares 3 12 5 4 2 5" xfId="13536"/>
    <cellStyle name="Separador de milhares 3 12 5 4 2 5 2" xfId="39778"/>
    <cellStyle name="Separador de milhares 3 12 5 4 2 6" xfId="33392"/>
    <cellStyle name="Separador de milhares 3 12 5 4 3" xfId="8823"/>
    <cellStyle name="Separador de milhares 3 12 5 4 3 2" xfId="27037"/>
    <cellStyle name="Separador de milhares 3 12 5 4 3 2 2" xfId="53267"/>
    <cellStyle name="Separador de milhares 3 12 5 4 3 3" xfId="21123"/>
    <cellStyle name="Separador de milhares 3 12 5 4 3 3 2" xfId="47359"/>
    <cellStyle name="Separador de milhares 3 12 5 4 3 4" xfId="15209"/>
    <cellStyle name="Separador de milhares 3 12 5 4 3 4 2" xfId="41451"/>
    <cellStyle name="Separador de milhares 3 12 5 4 3 5" xfId="35065"/>
    <cellStyle name="Separador de milhares 3 12 5 4 4" xfId="5448"/>
    <cellStyle name="Separador de milhares 3 12 5 4 4 2" xfId="24080"/>
    <cellStyle name="Separador de milhares 3 12 5 4 4 2 2" xfId="50313"/>
    <cellStyle name="Separador de milhares 3 12 5 4 4 3" xfId="31693"/>
    <cellStyle name="Separador de milhares 3 12 5 4 5" xfId="18166"/>
    <cellStyle name="Separador de milhares 3 12 5 4 5 2" xfId="44405"/>
    <cellStyle name="Separador de milhares 3 12 5 4 6" xfId="11835"/>
    <cellStyle name="Separador de milhares 3 12 5 4 6 2" xfId="38077"/>
    <cellStyle name="Separador de milhares 3 12 5 4 7" xfId="29995"/>
    <cellStyle name="Separador de milhares 3 12 5 5" xfId="2994"/>
    <cellStyle name="Separador de milhares 3 12 5 5 2" xfId="7294"/>
    <cellStyle name="Separador de milhares 3 12 5 5 2 2" xfId="10438"/>
    <cellStyle name="Separador de milhares 3 12 5 5 2 2 2" xfId="28652"/>
    <cellStyle name="Separador de milhares 3 12 5 5 2 2 2 2" xfId="54882"/>
    <cellStyle name="Separador de milhares 3 12 5 5 2 2 3" xfId="22738"/>
    <cellStyle name="Separador de milhares 3 12 5 5 2 2 3 2" xfId="48974"/>
    <cellStyle name="Separador de milhares 3 12 5 5 2 2 4" xfId="16824"/>
    <cellStyle name="Separador de milhares 3 12 5 5 2 2 4 2" xfId="43066"/>
    <cellStyle name="Separador de milhares 3 12 5 5 2 2 5" xfId="36680"/>
    <cellStyle name="Separador de milhares 3 12 5 5 2 3" xfId="25695"/>
    <cellStyle name="Separador de milhares 3 12 5 5 2 3 2" xfId="51928"/>
    <cellStyle name="Separador de milhares 3 12 5 5 2 4" xfId="19781"/>
    <cellStyle name="Separador de milhares 3 12 5 5 2 4 2" xfId="46020"/>
    <cellStyle name="Separador de milhares 3 12 5 5 2 5" xfId="13683"/>
    <cellStyle name="Separador de milhares 3 12 5 5 2 5 2" xfId="39925"/>
    <cellStyle name="Separador de milhares 3 12 5 5 2 6" xfId="33539"/>
    <cellStyle name="Separador de milhares 3 12 5 5 3" xfId="8970"/>
    <cellStyle name="Separador de milhares 3 12 5 5 3 2" xfId="27184"/>
    <cellStyle name="Separador de milhares 3 12 5 5 3 2 2" xfId="53414"/>
    <cellStyle name="Separador de milhares 3 12 5 5 3 3" xfId="21270"/>
    <cellStyle name="Separador de milhares 3 12 5 5 3 3 2" xfId="47506"/>
    <cellStyle name="Separador de milhares 3 12 5 5 3 4" xfId="15356"/>
    <cellStyle name="Separador de milhares 3 12 5 5 3 4 2" xfId="41598"/>
    <cellStyle name="Separador de milhares 3 12 5 5 3 5" xfId="35212"/>
    <cellStyle name="Separador de milhares 3 12 5 5 4" xfId="5595"/>
    <cellStyle name="Separador de milhares 3 12 5 5 4 2" xfId="24227"/>
    <cellStyle name="Separador de milhares 3 12 5 5 4 2 2" xfId="50460"/>
    <cellStyle name="Separador de milhares 3 12 5 5 4 3" xfId="31840"/>
    <cellStyle name="Separador de milhares 3 12 5 5 5" xfId="18313"/>
    <cellStyle name="Separador de milhares 3 12 5 5 5 2" xfId="44552"/>
    <cellStyle name="Separador de milhares 3 12 5 5 6" xfId="11982"/>
    <cellStyle name="Separador de milhares 3 12 5 5 6 2" xfId="38224"/>
    <cellStyle name="Separador de milhares 3 12 5 5 7" xfId="30142"/>
    <cellStyle name="Separador de milhares 3 12 5 6" xfId="3521"/>
    <cellStyle name="Separador de milhares 3 12 5 6 2" xfId="7441"/>
    <cellStyle name="Separador de milhares 3 12 5 6 2 2" xfId="10585"/>
    <cellStyle name="Separador de milhares 3 12 5 6 2 2 2" xfId="28799"/>
    <cellStyle name="Separador de milhares 3 12 5 6 2 2 2 2" xfId="55029"/>
    <cellStyle name="Separador de milhares 3 12 5 6 2 2 3" xfId="22885"/>
    <cellStyle name="Separador de milhares 3 12 5 6 2 2 3 2" xfId="49121"/>
    <cellStyle name="Separador de milhares 3 12 5 6 2 2 4" xfId="16971"/>
    <cellStyle name="Separador de milhares 3 12 5 6 2 2 4 2" xfId="43213"/>
    <cellStyle name="Separador de milhares 3 12 5 6 2 2 5" xfId="36827"/>
    <cellStyle name="Separador de milhares 3 12 5 6 2 3" xfId="25842"/>
    <cellStyle name="Separador de milhares 3 12 5 6 2 3 2" xfId="52075"/>
    <cellStyle name="Separador de milhares 3 12 5 6 2 4" xfId="19928"/>
    <cellStyle name="Separador de milhares 3 12 5 6 2 4 2" xfId="46167"/>
    <cellStyle name="Separador de milhares 3 12 5 6 2 5" xfId="13830"/>
    <cellStyle name="Separador de milhares 3 12 5 6 2 5 2" xfId="40072"/>
    <cellStyle name="Separador de milhares 3 12 5 6 2 6" xfId="33686"/>
    <cellStyle name="Separador de milhares 3 12 5 6 3" xfId="9117"/>
    <cellStyle name="Separador de milhares 3 12 5 6 3 2" xfId="27331"/>
    <cellStyle name="Separador de milhares 3 12 5 6 3 2 2" xfId="53561"/>
    <cellStyle name="Separador de milhares 3 12 5 6 3 3" xfId="21417"/>
    <cellStyle name="Separador de milhares 3 12 5 6 3 3 2" xfId="47653"/>
    <cellStyle name="Separador de milhares 3 12 5 6 3 4" xfId="15503"/>
    <cellStyle name="Separador de milhares 3 12 5 6 3 4 2" xfId="41745"/>
    <cellStyle name="Separador de milhares 3 12 5 6 3 5" xfId="35359"/>
    <cellStyle name="Separador de milhares 3 12 5 6 4" xfId="5742"/>
    <cellStyle name="Separador de milhares 3 12 5 6 4 2" xfId="24374"/>
    <cellStyle name="Separador de milhares 3 12 5 6 4 2 2" xfId="50607"/>
    <cellStyle name="Separador de milhares 3 12 5 6 4 3" xfId="31987"/>
    <cellStyle name="Separador de milhares 3 12 5 6 5" xfId="18460"/>
    <cellStyle name="Separador de milhares 3 12 5 6 5 2" xfId="44699"/>
    <cellStyle name="Separador de milhares 3 12 5 6 6" xfId="12129"/>
    <cellStyle name="Separador de milhares 3 12 5 6 6 2" xfId="38371"/>
    <cellStyle name="Separador de milhares 3 12 5 6 7" xfId="30289"/>
    <cellStyle name="Separador de milhares 3 12 5 7" xfId="4048"/>
    <cellStyle name="Separador de milhares 3 12 5 7 2" xfId="7588"/>
    <cellStyle name="Separador de milhares 3 12 5 7 2 2" xfId="10732"/>
    <cellStyle name="Separador de milhares 3 12 5 7 2 2 2" xfId="28946"/>
    <cellStyle name="Separador de milhares 3 12 5 7 2 2 2 2" xfId="55176"/>
    <cellStyle name="Separador de milhares 3 12 5 7 2 2 3" xfId="23032"/>
    <cellStyle name="Separador de milhares 3 12 5 7 2 2 3 2" xfId="49268"/>
    <cellStyle name="Separador de milhares 3 12 5 7 2 2 4" xfId="17118"/>
    <cellStyle name="Separador de milhares 3 12 5 7 2 2 4 2" xfId="43360"/>
    <cellStyle name="Separador de milhares 3 12 5 7 2 2 5" xfId="36974"/>
    <cellStyle name="Separador de milhares 3 12 5 7 2 3" xfId="25989"/>
    <cellStyle name="Separador de milhares 3 12 5 7 2 3 2" xfId="52222"/>
    <cellStyle name="Separador de milhares 3 12 5 7 2 4" xfId="20075"/>
    <cellStyle name="Separador de milhares 3 12 5 7 2 4 2" xfId="46314"/>
    <cellStyle name="Separador de milhares 3 12 5 7 2 5" xfId="13977"/>
    <cellStyle name="Separador de milhares 3 12 5 7 2 5 2" xfId="40219"/>
    <cellStyle name="Separador de milhares 3 12 5 7 2 6" xfId="33833"/>
    <cellStyle name="Separador de milhares 3 12 5 7 3" xfId="9264"/>
    <cellStyle name="Separador de milhares 3 12 5 7 3 2" xfId="27478"/>
    <cellStyle name="Separador de milhares 3 12 5 7 3 2 2" xfId="53708"/>
    <cellStyle name="Separador de milhares 3 12 5 7 3 3" xfId="21564"/>
    <cellStyle name="Separador de milhares 3 12 5 7 3 3 2" xfId="47800"/>
    <cellStyle name="Separador de milhares 3 12 5 7 3 4" xfId="15650"/>
    <cellStyle name="Separador de milhares 3 12 5 7 3 4 2" xfId="41892"/>
    <cellStyle name="Separador de milhares 3 12 5 7 3 5" xfId="35506"/>
    <cellStyle name="Separador de milhares 3 12 5 7 4" xfId="5889"/>
    <cellStyle name="Separador de milhares 3 12 5 7 4 2" xfId="24521"/>
    <cellStyle name="Separador de milhares 3 12 5 7 4 2 2" xfId="50754"/>
    <cellStyle name="Separador de milhares 3 12 5 7 4 3" xfId="32134"/>
    <cellStyle name="Separador de milhares 3 12 5 7 5" xfId="18607"/>
    <cellStyle name="Separador de milhares 3 12 5 7 5 2" xfId="44846"/>
    <cellStyle name="Separador de milhares 3 12 5 7 6" xfId="12276"/>
    <cellStyle name="Separador de milhares 3 12 5 7 6 2" xfId="38518"/>
    <cellStyle name="Separador de milhares 3 12 5 7 7" xfId="30436"/>
    <cellStyle name="Separador de milhares 3 12 5 8" xfId="6627"/>
    <cellStyle name="Separador de milhares 3 12 5 8 2" xfId="9774"/>
    <cellStyle name="Separador de milhares 3 12 5 8 2 2" xfId="27988"/>
    <cellStyle name="Separador de milhares 3 12 5 8 2 2 2" xfId="54218"/>
    <cellStyle name="Separador de milhares 3 12 5 8 2 3" xfId="22074"/>
    <cellStyle name="Separador de milhares 3 12 5 8 2 3 2" xfId="48310"/>
    <cellStyle name="Separador de milhares 3 12 5 8 2 4" xfId="16160"/>
    <cellStyle name="Separador de milhares 3 12 5 8 2 4 2" xfId="42402"/>
    <cellStyle name="Separador de milhares 3 12 5 8 2 5" xfId="36016"/>
    <cellStyle name="Separador de milhares 3 12 5 8 3" xfId="25031"/>
    <cellStyle name="Separador de milhares 3 12 5 8 3 2" xfId="51264"/>
    <cellStyle name="Separador de milhares 3 12 5 8 4" xfId="19117"/>
    <cellStyle name="Separador de milhares 3 12 5 8 4 2" xfId="45356"/>
    <cellStyle name="Separador de milhares 3 12 5 8 5" xfId="13016"/>
    <cellStyle name="Separador de milhares 3 12 5 8 5 2" xfId="39258"/>
    <cellStyle name="Separador de milhares 3 12 5 8 6" xfId="32872"/>
    <cellStyle name="Separador de milhares 3 12 5 9" xfId="8303"/>
    <cellStyle name="Separador de milhares 3 12 5 9 2" xfId="26517"/>
    <cellStyle name="Separador de milhares 3 12 5 9 2 2" xfId="52750"/>
    <cellStyle name="Separador de milhares 3 12 5 9 3" xfId="20603"/>
    <cellStyle name="Separador de milhares 3 12 5 9 3 2" xfId="46842"/>
    <cellStyle name="Separador de milhares 3 12 5 9 4" xfId="14692"/>
    <cellStyle name="Separador de milhares 3 12 5 9 4 2" xfId="40934"/>
    <cellStyle name="Separador de milhares 3 12 5 9 5" xfId="34548"/>
    <cellStyle name="Separador de milhares 3 12 6" xfId="800"/>
    <cellStyle name="Separador de milhares 3 12 6 2" xfId="4224"/>
    <cellStyle name="Separador de milhares 3 12 6 2 2" xfId="7637"/>
    <cellStyle name="Separador de milhares 3 12 6 2 2 2" xfId="10781"/>
    <cellStyle name="Separador de milhares 3 12 6 2 2 2 2" xfId="28995"/>
    <cellStyle name="Separador de milhares 3 12 6 2 2 2 2 2" xfId="55225"/>
    <cellStyle name="Separador de milhares 3 12 6 2 2 2 3" xfId="23081"/>
    <cellStyle name="Separador de milhares 3 12 6 2 2 2 3 2" xfId="49317"/>
    <cellStyle name="Separador de milhares 3 12 6 2 2 2 4" xfId="17167"/>
    <cellStyle name="Separador de milhares 3 12 6 2 2 2 4 2" xfId="43409"/>
    <cellStyle name="Separador de milhares 3 12 6 2 2 2 5" xfId="37023"/>
    <cellStyle name="Separador de milhares 3 12 6 2 2 3" xfId="26038"/>
    <cellStyle name="Separador de milhares 3 12 6 2 2 3 2" xfId="52271"/>
    <cellStyle name="Separador de milhares 3 12 6 2 2 4" xfId="20124"/>
    <cellStyle name="Separador de milhares 3 12 6 2 2 4 2" xfId="46363"/>
    <cellStyle name="Separador de milhares 3 12 6 2 2 5" xfId="14026"/>
    <cellStyle name="Separador de milhares 3 12 6 2 2 5 2" xfId="40268"/>
    <cellStyle name="Separador de milhares 3 12 6 2 2 6" xfId="33882"/>
    <cellStyle name="Separador de milhares 3 12 6 2 3" xfId="9313"/>
    <cellStyle name="Separador de milhares 3 12 6 2 3 2" xfId="27527"/>
    <cellStyle name="Separador de milhares 3 12 6 2 3 2 2" xfId="53757"/>
    <cellStyle name="Separador de milhares 3 12 6 2 3 3" xfId="21613"/>
    <cellStyle name="Separador de milhares 3 12 6 2 3 3 2" xfId="47849"/>
    <cellStyle name="Separador de milhares 3 12 6 2 3 4" xfId="15699"/>
    <cellStyle name="Separador de milhares 3 12 6 2 3 4 2" xfId="41941"/>
    <cellStyle name="Separador de milhares 3 12 6 2 3 5" xfId="35555"/>
    <cellStyle name="Separador de milhares 3 12 6 2 4" xfId="5938"/>
    <cellStyle name="Separador de milhares 3 12 6 2 4 2" xfId="24570"/>
    <cellStyle name="Separador de milhares 3 12 6 2 4 2 2" xfId="50803"/>
    <cellStyle name="Separador de milhares 3 12 6 2 4 3" xfId="32183"/>
    <cellStyle name="Separador de milhares 3 12 6 2 5" xfId="18656"/>
    <cellStyle name="Separador de milhares 3 12 6 2 5 2" xfId="44895"/>
    <cellStyle name="Separador de milhares 3 12 6 2 6" xfId="12325"/>
    <cellStyle name="Separador de milhares 3 12 6 2 6 2" xfId="38567"/>
    <cellStyle name="Separador de milhares 3 12 6 2 7" xfId="30485"/>
    <cellStyle name="Separador de milhares 3 12 6 3" xfId="6682"/>
    <cellStyle name="Separador de milhares 3 12 6 3 2" xfId="9829"/>
    <cellStyle name="Separador de milhares 3 12 6 3 2 2" xfId="28043"/>
    <cellStyle name="Separador de milhares 3 12 6 3 2 2 2" xfId="54273"/>
    <cellStyle name="Separador de milhares 3 12 6 3 2 3" xfId="22129"/>
    <cellStyle name="Separador de milhares 3 12 6 3 2 3 2" xfId="48365"/>
    <cellStyle name="Separador de milhares 3 12 6 3 2 4" xfId="16215"/>
    <cellStyle name="Separador de milhares 3 12 6 3 2 4 2" xfId="42457"/>
    <cellStyle name="Separador de milhares 3 12 6 3 2 5" xfId="36071"/>
    <cellStyle name="Separador de milhares 3 12 6 3 3" xfId="25086"/>
    <cellStyle name="Separador de milhares 3 12 6 3 3 2" xfId="51319"/>
    <cellStyle name="Separador de milhares 3 12 6 3 4" xfId="19172"/>
    <cellStyle name="Separador de milhares 3 12 6 3 4 2" xfId="45411"/>
    <cellStyle name="Separador de milhares 3 12 6 3 5" xfId="13071"/>
    <cellStyle name="Separador de milhares 3 12 6 3 5 2" xfId="39313"/>
    <cellStyle name="Separador de milhares 3 12 6 3 6" xfId="32927"/>
    <cellStyle name="Separador de milhares 3 12 6 4" xfId="8361"/>
    <cellStyle name="Separador de milhares 3 12 6 4 2" xfId="26575"/>
    <cellStyle name="Separador de milhares 3 12 6 4 2 2" xfId="52805"/>
    <cellStyle name="Separador de milhares 3 12 6 4 3" xfId="20661"/>
    <cellStyle name="Separador de milhares 3 12 6 4 3 2" xfId="46897"/>
    <cellStyle name="Separador de milhares 3 12 6 4 4" xfId="14747"/>
    <cellStyle name="Separador de milhares 3 12 6 4 4 2" xfId="40989"/>
    <cellStyle name="Separador de milhares 3 12 6 4 5" xfId="34603"/>
    <cellStyle name="Separador de milhares 3 12 6 5" xfId="4983"/>
    <cellStyle name="Separador de milhares 3 12 6 5 2" xfId="23618"/>
    <cellStyle name="Separador de milhares 3 12 6 5 2 2" xfId="49851"/>
    <cellStyle name="Separador de milhares 3 12 6 5 3" xfId="31228"/>
    <cellStyle name="Separador de milhares 3 12 6 6" xfId="17704"/>
    <cellStyle name="Separador de milhares 3 12 6 6 2" xfId="43943"/>
    <cellStyle name="Separador de milhares 3 12 6 7" xfId="11370"/>
    <cellStyle name="Separador de milhares 3 12 6 7 2" xfId="37612"/>
    <cellStyle name="Separador de milhares 3 12 6 8" xfId="29530"/>
    <cellStyle name="Separador de milhares 3 12 7" xfId="1151"/>
    <cellStyle name="Separador de milhares 3 12 7 2" xfId="6780"/>
    <cellStyle name="Separador de milhares 3 12 7 2 2" xfId="9927"/>
    <cellStyle name="Separador de milhares 3 12 7 2 2 2" xfId="28141"/>
    <cellStyle name="Separador de milhares 3 12 7 2 2 2 2" xfId="54371"/>
    <cellStyle name="Separador de milhares 3 12 7 2 2 3" xfId="22227"/>
    <cellStyle name="Separador de milhares 3 12 7 2 2 3 2" xfId="48463"/>
    <cellStyle name="Separador de milhares 3 12 7 2 2 4" xfId="16313"/>
    <cellStyle name="Separador de milhares 3 12 7 2 2 4 2" xfId="42555"/>
    <cellStyle name="Separador de milhares 3 12 7 2 2 5" xfId="36169"/>
    <cellStyle name="Separador de milhares 3 12 7 2 3" xfId="25184"/>
    <cellStyle name="Separador de milhares 3 12 7 2 3 2" xfId="51417"/>
    <cellStyle name="Separador de milhares 3 12 7 2 4" xfId="19270"/>
    <cellStyle name="Separador de milhares 3 12 7 2 4 2" xfId="45509"/>
    <cellStyle name="Separador de milhares 3 12 7 2 5" xfId="13169"/>
    <cellStyle name="Separador de milhares 3 12 7 2 5 2" xfId="39411"/>
    <cellStyle name="Separador de milhares 3 12 7 2 6" xfId="33025"/>
    <cellStyle name="Separador de milhares 3 12 7 3" xfId="8459"/>
    <cellStyle name="Separador de milhares 3 12 7 3 2" xfId="26673"/>
    <cellStyle name="Separador de milhares 3 12 7 3 2 2" xfId="52903"/>
    <cellStyle name="Separador de milhares 3 12 7 3 3" xfId="20759"/>
    <cellStyle name="Separador de milhares 3 12 7 3 3 2" xfId="46995"/>
    <cellStyle name="Separador de milhares 3 12 7 3 4" xfId="14845"/>
    <cellStyle name="Separador de milhares 3 12 7 3 4 2" xfId="41087"/>
    <cellStyle name="Separador de milhares 3 12 7 3 5" xfId="34701"/>
    <cellStyle name="Separador de milhares 3 12 7 4" xfId="5081"/>
    <cellStyle name="Separador de milhares 3 12 7 4 2" xfId="23716"/>
    <cellStyle name="Separador de milhares 3 12 7 4 2 2" xfId="49949"/>
    <cellStyle name="Separador de milhares 3 12 7 4 3" xfId="31326"/>
    <cellStyle name="Separador de milhares 3 12 7 5" xfId="17802"/>
    <cellStyle name="Separador de milhares 3 12 7 5 2" xfId="44041"/>
    <cellStyle name="Separador de milhares 3 12 7 6" xfId="11468"/>
    <cellStyle name="Separador de milhares 3 12 7 6 2" xfId="37710"/>
    <cellStyle name="Separador de milhares 3 12 7 7" xfId="29628"/>
    <cellStyle name="Separador de milhares 3 12 8" xfId="1586"/>
    <cellStyle name="Separador de milhares 3 12 8 2" xfId="6899"/>
    <cellStyle name="Separador de milhares 3 12 8 2 2" xfId="10046"/>
    <cellStyle name="Separador de milhares 3 12 8 2 2 2" xfId="28260"/>
    <cellStyle name="Separador de milhares 3 12 8 2 2 2 2" xfId="54490"/>
    <cellStyle name="Separador de milhares 3 12 8 2 2 3" xfId="22346"/>
    <cellStyle name="Separador de milhares 3 12 8 2 2 3 2" xfId="48582"/>
    <cellStyle name="Separador de milhares 3 12 8 2 2 4" xfId="16432"/>
    <cellStyle name="Separador de milhares 3 12 8 2 2 4 2" xfId="42674"/>
    <cellStyle name="Separador de milhares 3 12 8 2 2 5" xfId="36288"/>
    <cellStyle name="Separador de milhares 3 12 8 2 3" xfId="25303"/>
    <cellStyle name="Separador de milhares 3 12 8 2 3 2" xfId="51536"/>
    <cellStyle name="Separador de milhares 3 12 8 2 4" xfId="19389"/>
    <cellStyle name="Separador de milhares 3 12 8 2 4 2" xfId="45628"/>
    <cellStyle name="Separador de milhares 3 12 8 2 5" xfId="13288"/>
    <cellStyle name="Separador de milhares 3 12 8 2 5 2" xfId="39530"/>
    <cellStyle name="Separador de milhares 3 12 8 2 6" xfId="33144"/>
    <cellStyle name="Separador de milhares 3 12 8 3" xfId="8578"/>
    <cellStyle name="Separador de milhares 3 12 8 3 2" xfId="26792"/>
    <cellStyle name="Separador de milhares 3 12 8 3 2 2" xfId="53022"/>
    <cellStyle name="Separador de milhares 3 12 8 3 3" xfId="20878"/>
    <cellStyle name="Separador de milhares 3 12 8 3 3 2" xfId="47114"/>
    <cellStyle name="Separador de milhares 3 12 8 3 4" xfId="14964"/>
    <cellStyle name="Separador de milhares 3 12 8 3 4 2" xfId="41206"/>
    <cellStyle name="Separador de milhares 3 12 8 3 5" xfId="34820"/>
    <cellStyle name="Separador de milhares 3 12 8 4" xfId="5200"/>
    <cellStyle name="Separador de milhares 3 12 8 4 2" xfId="23835"/>
    <cellStyle name="Separador de milhares 3 12 8 4 2 2" xfId="50068"/>
    <cellStyle name="Separador de milhares 3 12 8 4 3" xfId="31445"/>
    <cellStyle name="Separador de milhares 3 12 8 5" xfId="17921"/>
    <cellStyle name="Separador de milhares 3 12 8 5 2" xfId="44160"/>
    <cellStyle name="Separador de milhares 3 12 8 6" xfId="11587"/>
    <cellStyle name="Separador de milhares 3 12 8 6 2" xfId="37829"/>
    <cellStyle name="Separador de milhares 3 12 8 7" xfId="29747"/>
    <cellStyle name="Separador de milhares 3 12 9" xfId="2116"/>
    <cellStyle name="Separador de milhares 3 12 9 2" xfId="7049"/>
    <cellStyle name="Separador de milhares 3 12 9 2 2" xfId="10193"/>
    <cellStyle name="Separador de milhares 3 12 9 2 2 2" xfId="28407"/>
    <cellStyle name="Separador de milhares 3 12 9 2 2 2 2" xfId="54637"/>
    <cellStyle name="Separador de milhares 3 12 9 2 2 3" xfId="22493"/>
    <cellStyle name="Separador de milhares 3 12 9 2 2 3 2" xfId="48729"/>
    <cellStyle name="Separador de milhares 3 12 9 2 2 4" xfId="16579"/>
    <cellStyle name="Separador de milhares 3 12 9 2 2 4 2" xfId="42821"/>
    <cellStyle name="Separador de milhares 3 12 9 2 2 5" xfId="36435"/>
    <cellStyle name="Separador de milhares 3 12 9 2 3" xfId="25450"/>
    <cellStyle name="Separador de milhares 3 12 9 2 3 2" xfId="51683"/>
    <cellStyle name="Separador de milhares 3 12 9 2 4" xfId="19536"/>
    <cellStyle name="Separador de milhares 3 12 9 2 4 2" xfId="45775"/>
    <cellStyle name="Separador de milhares 3 12 9 2 5" xfId="13438"/>
    <cellStyle name="Separador de milhares 3 12 9 2 5 2" xfId="39680"/>
    <cellStyle name="Separador de milhares 3 12 9 2 6" xfId="33294"/>
    <cellStyle name="Separador de milhares 3 12 9 3" xfId="8725"/>
    <cellStyle name="Separador de milhares 3 12 9 3 2" xfId="26939"/>
    <cellStyle name="Separador de milhares 3 12 9 3 2 2" xfId="53169"/>
    <cellStyle name="Separador de milhares 3 12 9 3 3" xfId="21025"/>
    <cellStyle name="Separador de milhares 3 12 9 3 3 2" xfId="47261"/>
    <cellStyle name="Separador de milhares 3 12 9 3 4" xfId="15111"/>
    <cellStyle name="Separador de milhares 3 12 9 3 4 2" xfId="41353"/>
    <cellStyle name="Separador de milhares 3 12 9 3 5" xfId="34967"/>
    <cellStyle name="Separador de milhares 3 12 9 4" xfId="5350"/>
    <cellStyle name="Separador de milhares 3 12 9 4 2" xfId="23982"/>
    <cellStyle name="Separador de milhares 3 12 9 4 2 2" xfId="50215"/>
    <cellStyle name="Separador de milhares 3 12 9 4 3" xfId="31595"/>
    <cellStyle name="Separador de milhares 3 12 9 5" xfId="18068"/>
    <cellStyle name="Separador de milhares 3 12 9 5 2" xfId="44307"/>
    <cellStyle name="Separador de milhares 3 12 9 6" xfId="11737"/>
    <cellStyle name="Separador de milhares 3 12 9 6 2" xfId="37979"/>
    <cellStyle name="Separador de milhares 3 12 9 7" xfId="29897"/>
    <cellStyle name="Separador de milhares 3 13" xfId="148"/>
    <cellStyle name="Separador de milhares 3 13 10" xfId="2651"/>
    <cellStyle name="Separador de milhares 3 13 10 2" xfId="7198"/>
    <cellStyle name="Separador de milhares 3 13 10 2 2" xfId="10342"/>
    <cellStyle name="Separador de milhares 3 13 10 2 2 2" xfId="28556"/>
    <cellStyle name="Separador de milhares 3 13 10 2 2 2 2" xfId="54786"/>
    <cellStyle name="Separador de milhares 3 13 10 2 2 3" xfId="22642"/>
    <cellStyle name="Separador de milhares 3 13 10 2 2 3 2" xfId="48878"/>
    <cellStyle name="Separador de milhares 3 13 10 2 2 4" xfId="16728"/>
    <cellStyle name="Separador de milhares 3 13 10 2 2 4 2" xfId="42970"/>
    <cellStyle name="Separador de milhares 3 13 10 2 2 5" xfId="36584"/>
    <cellStyle name="Separador de milhares 3 13 10 2 3" xfId="25599"/>
    <cellStyle name="Separador de milhares 3 13 10 2 3 2" xfId="51832"/>
    <cellStyle name="Separador de milhares 3 13 10 2 4" xfId="19685"/>
    <cellStyle name="Separador de milhares 3 13 10 2 4 2" xfId="45924"/>
    <cellStyle name="Separador de milhares 3 13 10 2 5" xfId="13587"/>
    <cellStyle name="Separador de milhares 3 13 10 2 5 2" xfId="39829"/>
    <cellStyle name="Separador de milhares 3 13 10 2 6" xfId="33443"/>
    <cellStyle name="Separador de milhares 3 13 10 3" xfId="8874"/>
    <cellStyle name="Separador de milhares 3 13 10 3 2" xfId="27088"/>
    <cellStyle name="Separador de milhares 3 13 10 3 2 2" xfId="53318"/>
    <cellStyle name="Separador de milhares 3 13 10 3 3" xfId="21174"/>
    <cellStyle name="Separador de milhares 3 13 10 3 3 2" xfId="47410"/>
    <cellStyle name="Separador de milhares 3 13 10 3 4" xfId="15260"/>
    <cellStyle name="Separador de milhares 3 13 10 3 4 2" xfId="41502"/>
    <cellStyle name="Separador de milhares 3 13 10 3 5" xfId="35116"/>
    <cellStyle name="Separador de milhares 3 13 10 4" xfId="5499"/>
    <cellStyle name="Separador de milhares 3 13 10 4 2" xfId="24131"/>
    <cellStyle name="Separador de milhares 3 13 10 4 2 2" xfId="50364"/>
    <cellStyle name="Separador de milhares 3 13 10 4 3" xfId="31744"/>
    <cellStyle name="Separador de milhares 3 13 10 5" xfId="18217"/>
    <cellStyle name="Separador de milhares 3 13 10 5 2" xfId="44456"/>
    <cellStyle name="Separador de milhares 3 13 10 6" xfId="11886"/>
    <cellStyle name="Separador de milhares 3 13 10 6 2" xfId="38128"/>
    <cellStyle name="Separador de milhares 3 13 10 7" xfId="30046"/>
    <cellStyle name="Separador de milhares 3 13 11" xfId="3178"/>
    <cellStyle name="Separador de milhares 3 13 11 2" xfId="7345"/>
    <cellStyle name="Separador de milhares 3 13 11 2 2" xfId="10489"/>
    <cellStyle name="Separador de milhares 3 13 11 2 2 2" xfId="28703"/>
    <cellStyle name="Separador de milhares 3 13 11 2 2 2 2" xfId="54933"/>
    <cellStyle name="Separador de milhares 3 13 11 2 2 3" xfId="22789"/>
    <cellStyle name="Separador de milhares 3 13 11 2 2 3 2" xfId="49025"/>
    <cellStyle name="Separador de milhares 3 13 11 2 2 4" xfId="16875"/>
    <cellStyle name="Separador de milhares 3 13 11 2 2 4 2" xfId="43117"/>
    <cellStyle name="Separador de milhares 3 13 11 2 2 5" xfId="36731"/>
    <cellStyle name="Separador de milhares 3 13 11 2 3" xfId="25746"/>
    <cellStyle name="Separador de milhares 3 13 11 2 3 2" xfId="51979"/>
    <cellStyle name="Separador de milhares 3 13 11 2 4" xfId="19832"/>
    <cellStyle name="Separador de milhares 3 13 11 2 4 2" xfId="46071"/>
    <cellStyle name="Separador de milhares 3 13 11 2 5" xfId="13734"/>
    <cellStyle name="Separador de milhares 3 13 11 2 5 2" xfId="39976"/>
    <cellStyle name="Separador de milhares 3 13 11 2 6" xfId="33590"/>
    <cellStyle name="Separador de milhares 3 13 11 3" xfId="9021"/>
    <cellStyle name="Separador de milhares 3 13 11 3 2" xfId="27235"/>
    <cellStyle name="Separador de milhares 3 13 11 3 2 2" xfId="53465"/>
    <cellStyle name="Separador de milhares 3 13 11 3 3" xfId="21321"/>
    <cellStyle name="Separador de milhares 3 13 11 3 3 2" xfId="47557"/>
    <cellStyle name="Separador de milhares 3 13 11 3 4" xfId="15407"/>
    <cellStyle name="Separador de milhares 3 13 11 3 4 2" xfId="41649"/>
    <cellStyle name="Separador de milhares 3 13 11 3 5" xfId="35263"/>
    <cellStyle name="Separador de milhares 3 13 11 4" xfId="5646"/>
    <cellStyle name="Separador de milhares 3 13 11 4 2" xfId="24278"/>
    <cellStyle name="Separador de milhares 3 13 11 4 2 2" xfId="50511"/>
    <cellStyle name="Separador de milhares 3 13 11 4 3" xfId="31891"/>
    <cellStyle name="Separador de milhares 3 13 11 5" xfId="18364"/>
    <cellStyle name="Separador de milhares 3 13 11 5 2" xfId="44603"/>
    <cellStyle name="Separador de milhares 3 13 11 6" xfId="12033"/>
    <cellStyle name="Separador de milhares 3 13 11 6 2" xfId="38275"/>
    <cellStyle name="Separador de milhares 3 13 11 7" xfId="30193"/>
    <cellStyle name="Separador de milhares 3 13 12" xfId="3705"/>
    <cellStyle name="Separador de milhares 3 13 12 2" xfId="7492"/>
    <cellStyle name="Separador de milhares 3 13 12 2 2" xfId="10636"/>
    <cellStyle name="Separador de milhares 3 13 12 2 2 2" xfId="28850"/>
    <cellStyle name="Separador de milhares 3 13 12 2 2 2 2" xfId="55080"/>
    <cellStyle name="Separador de milhares 3 13 12 2 2 3" xfId="22936"/>
    <cellStyle name="Separador de milhares 3 13 12 2 2 3 2" xfId="49172"/>
    <cellStyle name="Separador de milhares 3 13 12 2 2 4" xfId="17022"/>
    <cellStyle name="Separador de milhares 3 13 12 2 2 4 2" xfId="43264"/>
    <cellStyle name="Separador de milhares 3 13 12 2 2 5" xfId="36878"/>
    <cellStyle name="Separador de milhares 3 13 12 2 3" xfId="25893"/>
    <cellStyle name="Separador de milhares 3 13 12 2 3 2" xfId="52126"/>
    <cellStyle name="Separador de milhares 3 13 12 2 4" xfId="19979"/>
    <cellStyle name="Separador de milhares 3 13 12 2 4 2" xfId="46218"/>
    <cellStyle name="Separador de milhares 3 13 12 2 5" xfId="13881"/>
    <cellStyle name="Separador de milhares 3 13 12 2 5 2" xfId="40123"/>
    <cellStyle name="Separador de milhares 3 13 12 2 6" xfId="33737"/>
    <cellStyle name="Separador de milhares 3 13 12 3" xfId="9168"/>
    <cellStyle name="Separador de milhares 3 13 12 3 2" xfId="27382"/>
    <cellStyle name="Separador de milhares 3 13 12 3 2 2" xfId="53612"/>
    <cellStyle name="Separador de milhares 3 13 12 3 3" xfId="21468"/>
    <cellStyle name="Separador de milhares 3 13 12 3 3 2" xfId="47704"/>
    <cellStyle name="Separador de milhares 3 13 12 3 4" xfId="15554"/>
    <cellStyle name="Separador de milhares 3 13 12 3 4 2" xfId="41796"/>
    <cellStyle name="Separador de milhares 3 13 12 3 5" xfId="35410"/>
    <cellStyle name="Separador de milhares 3 13 12 4" xfId="5793"/>
    <cellStyle name="Separador de milhares 3 13 12 4 2" xfId="24425"/>
    <cellStyle name="Separador de milhares 3 13 12 4 2 2" xfId="50658"/>
    <cellStyle name="Separador de milhares 3 13 12 4 3" xfId="32038"/>
    <cellStyle name="Separador de milhares 3 13 12 5" xfId="18511"/>
    <cellStyle name="Separador de milhares 3 13 12 5 2" xfId="44750"/>
    <cellStyle name="Separador de milhares 3 13 12 6" xfId="12180"/>
    <cellStyle name="Separador de milhares 3 13 12 6 2" xfId="38422"/>
    <cellStyle name="Separador de milhares 3 13 12 7" xfId="30340"/>
    <cellStyle name="Separador de milhares 3 13 13" xfId="6476"/>
    <cellStyle name="Separador de milhares 3 13 13 2" xfId="9632"/>
    <cellStyle name="Separador de milhares 3 13 13 2 2" xfId="27846"/>
    <cellStyle name="Separador de milhares 3 13 13 2 2 2" xfId="54076"/>
    <cellStyle name="Separador de milhares 3 13 13 2 3" xfId="21932"/>
    <cellStyle name="Separador de milhares 3 13 13 2 3 2" xfId="48168"/>
    <cellStyle name="Separador de milhares 3 13 13 2 4" xfId="16018"/>
    <cellStyle name="Separador de milhares 3 13 13 2 4 2" xfId="42260"/>
    <cellStyle name="Separador de milhares 3 13 13 2 5" xfId="35874"/>
    <cellStyle name="Separador de milhares 3 13 13 3" xfId="24889"/>
    <cellStyle name="Separador de milhares 3 13 13 3 2" xfId="51122"/>
    <cellStyle name="Separador de milhares 3 13 13 4" xfId="18975"/>
    <cellStyle name="Separador de milhares 3 13 13 4 2" xfId="45214"/>
    <cellStyle name="Separador de milhares 3 13 13 5" xfId="12865"/>
    <cellStyle name="Separador de milhares 3 13 13 5 2" xfId="39107"/>
    <cellStyle name="Separador de milhares 3 13 13 6" xfId="32721"/>
    <cellStyle name="Separador de milhares 3 13 14" xfId="8161"/>
    <cellStyle name="Separador de milhares 3 13 14 2" xfId="26375"/>
    <cellStyle name="Separador de milhares 3 13 14 2 2" xfId="52608"/>
    <cellStyle name="Separador de milhares 3 13 14 3" xfId="20461"/>
    <cellStyle name="Separador de milhares 3 13 14 3 2" xfId="46700"/>
    <cellStyle name="Separador de milhares 3 13 14 4" xfId="14550"/>
    <cellStyle name="Separador de milhares 3 13 14 4 2" xfId="40792"/>
    <cellStyle name="Separador de milhares 3 13 14 5" xfId="34406"/>
    <cellStyle name="Separador de milhares 3 13 15" xfId="4774"/>
    <cellStyle name="Separador de milhares 3 13 15 2" xfId="23418"/>
    <cellStyle name="Separador de milhares 3 13 15 2 2" xfId="49654"/>
    <cellStyle name="Separador de milhares 3 13 15 3" xfId="31022"/>
    <cellStyle name="Separador de milhares 3 13 16" xfId="17504"/>
    <cellStyle name="Separador de milhares 3 13 16 2" xfId="43746"/>
    <cellStyle name="Separador de milhares 3 13 17" xfId="11164"/>
    <cellStyle name="Separador de milhares 3 13 17 2" xfId="37406"/>
    <cellStyle name="Separador de milhares 3 13 18" xfId="29324"/>
    <cellStyle name="Separador de milhares 3 13 2" xfId="242"/>
    <cellStyle name="Separador de milhares 3 13 2 10" xfId="6505"/>
    <cellStyle name="Separador de milhares 3 13 2 10 2" xfId="9659"/>
    <cellStyle name="Separador de milhares 3 13 2 10 2 2" xfId="27873"/>
    <cellStyle name="Separador de milhares 3 13 2 10 2 2 2" xfId="54103"/>
    <cellStyle name="Separador de milhares 3 13 2 10 2 3" xfId="21959"/>
    <cellStyle name="Separador de milhares 3 13 2 10 2 3 2" xfId="48195"/>
    <cellStyle name="Separador de milhares 3 13 2 10 2 4" xfId="16045"/>
    <cellStyle name="Separador de milhares 3 13 2 10 2 4 2" xfId="42287"/>
    <cellStyle name="Separador de milhares 3 13 2 10 2 5" xfId="35901"/>
    <cellStyle name="Separador de milhares 3 13 2 10 3" xfId="24916"/>
    <cellStyle name="Separador de milhares 3 13 2 10 3 2" xfId="51149"/>
    <cellStyle name="Separador de milhares 3 13 2 10 4" xfId="19002"/>
    <cellStyle name="Separador de milhares 3 13 2 10 4 2" xfId="45241"/>
    <cellStyle name="Separador de milhares 3 13 2 10 5" xfId="12894"/>
    <cellStyle name="Separador de milhares 3 13 2 10 5 2" xfId="39136"/>
    <cellStyle name="Separador de milhares 3 13 2 10 6" xfId="32750"/>
    <cellStyle name="Separador de milhares 3 13 2 11" xfId="8188"/>
    <cellStyle name="Separador de milhares 3 13 2 11 2" xfId="26402"/>
    <cellStyle name="Separador de milhares 3 13 2 11 2 2" xfId="52635"/>
    <cellStyle name="Separador de milhares 3 13 2 11 3" xfId="20488"/>
    <cellStyle name="Separador de milhares 3 13 2 11 3 2" xfId="46727"/>
    <cellStyle name="Separador de milhares 3 13 2 11 4" xfId="14577"/>
    <cellStyle name="Separador de milhares 3 13 2 11 4 2" xfId="40819"/>
    <cellStyle name="Separador de milhares 3 13 2 11 5" xfId="34433"/>
    <cellStyle name="Separador de milhares 3 13 2 12" xfId="4804"/>
    <cellStyle name="Separador de milhares 3 13 2 12 2" xfId="23445"/>
    <cellStyle name="Separador de milhares 3 13 2 12 2 2" xfId="49681"/>
    <cellStyle name="Separador de milhares 3 13 2 12 3" xfId="31051"/>
    <cellStyle name="Separador de milhares 3 13 2 13" xfId="17531"/>
    <cellStyle name="Separador de milhares 3 13 2 13 2" xfId="43773"/>
    <cellStyle name="Separador de milhares 3 13 2 14" xfId="11193"/>
    <cellStyle name="Separador de milhares 3 13 2 14 2" xfId="37435"/>
    <cellStyle name="Separador de milhares 3 13 2 15" xfId="29354"/>
    <cellStyle name="Separador de milhares 3 13 2 2" xfId="515"/>
    <cellStyle name="Separador de milhares 3 13 2 2 10" xfId="17605"/>
    <cellStyle name="Separador de milhares 3 13 2 2 10 2" xfId="43847"/>
    <cellStyle name="Separador de milhares 3 13 2 2 11" xfId="11274"/>
    <cellStyle name="Separador de milhares 3 13 2 2 11 2" xfId="37516"/>
    <cellStyle name="Separador de milhares 3 13 2 2 12" xfId="29434"/>
    <cellStyle name="Separador de milhares 3 13 2 2 2" xfId="2034"/>
    <cellStyle name="Separador de milhares 3 13 2 2 2 2" xfId="7024"/>
    <cellStyle name="Separador de milhares 3 13 2 2 2 2 2" xfId="10171"/>
    <cellStyle name="Separador de milhares 3 13 2 2 2 2 2 2" xfId="28385"/>
    <cellStyle name="Separador de milhares 3 13 2 2 2 2 2 2 2" xfId="54615"/>
    <cellStyle name="Separador de milhares 3 13 2 2 2 2 2 3" xfId="22471"/>
    <cellStyle name="Separador de milhares 3 13 2 2 2 2 2 3 2" xfId="48707"/>
    <cellStyle name="Separador de milhares 3 13 2 2 2 2 2 4" xfId="16557"/>
    <cellStyle name="Separador de milhares 3 13 2 2 2 2 2 4 2" xfId="42799"/>
    <cellStyle name="Separador de milhares 3 13 2 2 2 2 2 5" xfId="36413"/>
    <cellStyle name="Separador de milhares 3 13 2 2 2 2 3" xfId="25428"/>
    <cellStyle name="Separador de milhares 3 13 2 2 2 2 3 2" xfId="51661"/>
    <cellStyle name="Separador de milhares 3 13 2 2 2 2 4" xfId="19514"/>
    <cellStyle name="Separador de milhares 3 13 2 2 2 2 4 2" xfId="45753"/>
    <cellStyle name="Separador de milhares 3 13 2 2 2 2 5" xfId="13413"/>
    <cellStyle name="Separador de milhares 3 13 2 2 2 2 5 2" xfId="39655"/>
    <cellStyle name="Separador de milhares 3 13 2 2 2 2 6" xfId="33269"/>
    <cellStyle name="Separador de milhares 3 13 2 2 2 3" xfId="8703"/>
    <cellStyle name="Separador de milhares 3 13 2 2 2 3 2" xfId="26917"/>
    <cellStyle name="Separador de milhares 3 13 2 2 2 3 2 2" xfId="53147"/>
    <cellStyle name="Separador de milhares 3 13 2 2 2 3 3" xfId="21003"/>
    <cellStyle name="Separador de milhares 3 13 2 2 2 3 3 2" xfId="47239"/>
    <cellStyle name="Separador de milhares 3 13 2 2 2 3 4" xfId="15089"/>
    <cellStyle name="Separador de milhares 3 13 2 2 2 3 4 2" xfId="41331"/>
    <cellStyle name="Separador de milhares 3 13 2 2 2 3 5" xfId="34945"/>
    <cellStyle name="Separador de milhares 3 13 2 2 2 4" xfId="5325"/>
    <cellStyle name="Separador de milhares 3 13 2 2 2 4 2" xfId="23960"/>
    <cellStyle name="Separador de milhares 3 13 2 2 2 4 2 2" xfId="50193"/>
    <cellStyle name="Separador de milhares 3 13 2 2 2 4 3" xfId="31570"/>
    <cellStyle name="Separador de milhares 3 13 2 2 2 5" xfId="18046"/>
    <cellStyle name="Separador de milhares 3 13 2 2 2 5 2" xfId="44285"/>
    <cellStyle name="Separador de milhares 3 13 2 2 2 6" xfId="11712"/>
    <cellStyle name="Separador de milhares 3 13 2 2 2 6 2" xfId="37954"/>
    <cellStyle name="Separador de milhares 3 13 2 2 2 7" xfId="29872"/>
    <cellStyle name="Separador de milhares 3 13 2 2 3" xfId="2564"/>
    <cellStyle name="Separador de milhares 3 13 2 2 3 2" xfId="7174"/>
    <cellStyle name="Separador de milhares 3 13 2 2 3 2 2" xfId="10318"/>
    <cellStyle name="Separador de milhares 3 13 2 2 3 2 2 2" xfId="28532"/>
    <cellStyle name="Separador de milhares 3 13 2 2 3 2 2 2 2" xfId="54762"/>
    <cellStyle name="Separador de milhares 3 13 2 2 3 2 2 3" xfId="22618"/>
    <cellStyle name="Separador de milhares 3 13 2 2 3 2 2 3 2" xfId="48854"/>
    <cellStyle name="Separador de milhares 3 13 2 2 3 2 2 4" xfId="16704"/>
    <cellStyle name="Separador de milhares 3 13 2 2 3 2 2 4 2" xfId="42946"/>
    <cellStyle name="Separador de milhares 3 13 2 2 3 2 2 5" xfId="36560"/>
    <cellStyle name="Separador de milhares 3 13 2 2 3 2 3" xfId="25575"/>
    <cellStyle name="Separador de milhares 3 13 2 2 3 2 3 2" xfId="51808"/>
    <cellStyle name="Separador de milhares 3 13 2 2 3 2 4" xfId="19661"/>
    <cellStyle name="Separador de milhares 3 13 2 2 3 2 4 2" xfId="45900"/>
    <cellStyle name="Separador de milhares 3 13 2 2 3 2 5" xfId="13563"/>
    <cellStyle name="Separador de milhares 3 13 2 2 3 2 5 2" xfId="39805"/>
    <cellStyle name="Separador de milhares 3 13 2 2 3 2 6" xfId="33419"/>
    <cellStyle name="Separador de milhares 3 13 2 2 3 3" xfId="8850"/>
    <cellStyle name="Separador de milhares 3 13 2 2 3 3 2" xfId="27064"/>
    <cellStyle name="Separador de milhares 3 13 2 2 3 3 2 2" xfId="53294"/>
    <cellStyle name="Separador de milhares 3 13 2 2 3 3 3" xfId="21150"/>
    <cellStyle name="Separador de milhares 3 13 2 2 3 3 3 2" xfId="47386"/>
    <cellStyle name="Separador de milhares 3 13 2 2 3 3 4" xfId="15236"/>
    <cellStyle name="Separador de milhares 3 13 2 2 3 3 4 2" xfId="41478"/>
    <cellStyle name="Separador de milhares 3 13 2 2 3 3 5" xfId="35092"/>
    <cellStyle name="Separador de milhares 3 13 2 2 3 4" xfId="5475"/>
    <cellStyle name="Separador de milhares 3 13 2 2 3 4 2" xfId="24107"/>
    <cellStyle name="Separador de milhares 3 13 2 2 3 4 2 2" xfId="50340"/>
    <cellStyle name="Separador de milhares 3 13 2 2 3 4 3" xfId="31720"/>
    <cellStyle name="Separador de milhares 3 13 2 2 3 5" xfId="18193"/>
    <cellStyle name="Separador de milhares 3 13 2 2 3 5 2" xfId="44432"/>
    <cellStyle name="Separador de milhares 3 13 2 2 3 6" xfId="11862"/>
    <cellStyle name="Separador de milhares 3 13 2 2 3 6 2" xfId="38104"/>
    <cellStyle name="Separador de milhares 3 13 2 2 3 7" xfId="30022"/>
    <cellStyle name="Separador de milhares 3 13 2 2 4" xfId="3091"/>
    <cellStyle name="Separador de milhares 3 13 2 2 4 2" xfId="7321"/>
    <cellStyle name="Separador de milhares 3 13 2 2 4 2 2" xfId="10465"/>
    <cellStyle name="Separador de milhares 3 13 2 2 4 2 2 2" xfId="28679"/>
    <cellStyle name="Separador de milhares 3 13 2 2 4 2 2 2 2" xfId="54909"/>
    <cellStyle name="Separador de milhares 3 13 2 2 4 2 2 3" xfId="22765"/>
    <cellStyle name="Separador de milhares 3 13 2 2 4 2 2 3 2" xfId="49001"/>
    <cellStyle name="Separador de milhares 3 13 2 2 4 2 2 4" xfId="16851"/>
    <cellStyle name="Separador de milhares 3 13 2 2 4 2 2 4 2" xfId="43093"/>
    <cellStyle name="Separador de milhares 3 13 2 2 4 2 2 5" xfId="36707"/>
    <cellStyle name="Separador de milhares 3 13 2 2 4 2 3" xfId="25722"/>
    <cellStyle name="Separador de milhares 3 13 2 2 4 2 3 2" xfId="51955"/>
    <cellStyle name="Separador de milhares 3 13 2 2 4 2 4" xfId="19808"/>
    <cellStyle name="Separador de milhares 3 13 2 2 4 2 4 2" xfId="46047"/>
    <cellStyle name="Separador de milhares 3 13 2 2 4 2 5" xfId="13710"/>
    <cellStyle name="Separador de milhares 3 13 2 2 4 2 5 2" xfId="39952"/>
    <cellStyle name="Separador de milhares 3 13 2 2 4 2 6" xfId="33566"/>
    <cellStyle name="Separador de milhares 3 13 2 2 4 3" xfId="8997"/>
    <cellStyle name="Separador de milhares 3 13 2 2 4 3 2" xfId="27211"/>
    <cellStyle name="Separador de milhares 3 13 2 2 4 3 2 2" xfId="53441"/>
    <cellStyle name="Separador de milhares 3 13 2 2 4 3 3" xfId="21297"/>
    <cellStyle name="Separador de milhares 3 13 2 2 4 3 3 2" xfId="47533"/>
    <cellStyle name="Separador de milhares 3 13 2 2 4 3 4" xfId="15383"/>
    <cellStyle name="Separador de milhares 3 13 2 2 4 3 4 2" xfId="41625"/>
    <cellStyle name="Separador de milhares 3 13 2 2 4 3 5" xfId="35239"/>
    <cellStyle name="Separador de milhares 3 13 2 2 4 4" xfId="5622"/>
    <cellStyle name="Separador de milhares 3 13 2 2 4 4 2" xfId="24254"/>
    <cellStyle name="Separador de milhares 3 13 2 2 4 4 2 2" xfId="50487"/>
    <cellStyle name="Separador de milhares 3 13 2 2 4 4 3" xfId="31867"/>
    <cellStyle name="Separador de milhares 3 13 2 2 4 5" xfId="18340"/>
    <cellStyle name="Separador de milhares 3 13 2 2 4 5 2" xfId="44579"/>
    <cellStyle name="Separador de milhares 3 13 2 2 4 6" xfId="12009"/>
    <cellStyle name="Separador de milhares 3 13 2 2 4 6 2" xfId="38251"/>
    <cellStyle name="Separador de milhares 3 13 2 2 4 7" xfId="30169"/>
    <cellStyle name="Separador de milhares 3 13 2 2 5" xfId="3618"/>
    <cellStyle name="Separador de milhares 3 13 2 2 5 2" xfId="7468"/>
    <cellStyle name="Separador de milhares 3 13 2 2 5 2 2" xfId="10612"/>
    <cellStyle name="Separador de milhares 3 13 2 2 5 2 2 2" xfId="28826"/>
    <cellStyle name="Separador de milhares 3 13 2 2 5 2 2 2 2" xfId="55056"/>
    <cellStyle name="Separador de milhares 3 13 2 2 5 2 2 3" xfId="22912"/>
    <cellStyle name="Separador de milhares 3 13 2 2 5 2 2 3 2" xfId="49148"/>
    <cellStyle name="Separador de milhares 3 13 2 2 5 2 2 4" xfId="16998"/>
    <cellStyle name="Separador de milhares 3 13 2 2 5 2 2 4 2" xfId="43240"/>
    <cellStyle name="Separador de milhares 3 13 2 2 5 2 2 5" xfId="36854"/>
    <cellStyle name="Separador de milhares 3 13 2 2 5 2 3" xfId="25869"/>
    <cellStyle name="Separador de milhares 3 13 2 2 5 2 3 2" xfId="52102"/>
    <cellStyle name="Separador de milhares 3 13 2 2 5 2 4" xfId="19955"/>
    <cellStyle name="Separador de milhares 3 13 2 2 5 2 4 2" xfId="46194"/>
    <cellStyle name="Separador de milhares 3 13 2 2 5 2 5" xfId="13857"/>
    <cellStyle name="Separador de milhares 3 13 2 2 5 2 5 2" xfId="40099"/>
    <cellStyle name="Separador de milhares 3 13 2 2 5 2 6" xfId="33713"/>
    <cellStyle name="Separador de milhares 3 13 2 2 5 3" xfId="9144"/>
    <cellStyle name="Separador de milhares 3 13 2 2 5 3 2" xfId="27358"/>
    <cellStyle name="Separador de milhares 3 13 2 2 5 3 2 2" xfId="53588"/>
    <cellStyle name="Separador de milhares 3 13 2 2 5 3 3" xfId="21444"/>
    <cellStyle name="Separador de milhares 3 13 2 2 5 3 3 2" xfId="47680"/>
    <cellStyle name="Separador de milhares 3 13 2 2 5 3 4" xfId="15530"/>
    <cellStyle name="Separador de milhares 3 13 2 2 5 3 4 2" xfId="41772"/>
    <cellStyle name="Separador de milhares 3 13 2 2 5 3 5" xfId="35386"/>
    <cellStyle name="Separador de milhares 3 13 2 2 5 4" xfId="5769"/>
    <cellStyle name="Separador de milhares 3 13 2 2 5 4 2" xfId="24401"/>
    <cellStyle name="Separador de milhares 3 13 2 2 5 4 2 2" xfId="50634"/>
    <cellStyle name="Separador de milhares 3 13 2 2 5 4 3" xfId="32014"/>
    <cellStyle name="Separador de milhares 3 13 2 2 5 5" xfId="18487"/>
    <cellStyle name="Separador de milhares 3 13 2 2 5 5 2" xfId="44726"/>
    <cellStyle name="Separador de milhares 3 13 2 2 5 6" xfId="12156"/>
    <cellStyle name="Separador de milhares 3 13 2 2 5 6 2" xfId="38398"/>
    <cellStyle name="Separador de milhares 3 13 2 2 5 7" xfId="30316"/>
    <cellStyle name="Separador de milhares 3 13 2 2 6" xfId="4145"/>
    <cellStyle name="Separador de milhares 3 13 2 2 6 2" xfId="7615"/>
    <cellStyle name="Separador de milhares 3 13 2 2 6 2 2" xfId="10759"/>
    <cellStyle name="Separador de milhares 3 13 2 2 6 2 2 2" xfId="28973"/>
    <cellStyle name="Separador de milhares 3 13 2 2 6 2 2 2 2" xfId="55203"/>
    <cellStyle name="Separador de milhares 3 13 2 2 6 2 2 3" xfId="23059"/>
    <cellStyle name="Separador de milhares 3 13 2 2 6 2 2 3 2" xfId="49295"/>
    <cellStyle name="Separador de milhares 3 13 2 2 6 2 2 4" xfId="17145"/>
    <cellStyle name="Separador de milhares 3 13 2 2 6 2 2 4 2" xfId="43387"/>
    <cellStyle name="Separador de milhares 3 13 2 2 6 2 2 5" xfId="37001"/>
    <cellStyle name="Separador de milhares 3 13 2 2 6 2 3" xfId="26016"/>
    <cellStyle name="Separador de milhares 3 13 2 2 6 2 3 2" xfId="52249"/>
    <cellStyle name="Separador de milhares 3 13 2 2 6 2 4" xfId="20102"/>
    <cellStyle name="Separador de milhares 3 13 2 2 6 2 4 2" xfId="46341"/>
    <cellStyle name="Separador de milhares 3 13 2 2 6 2 5" xfId="14004"/>
    <cellStyle name="Separador de milhares 3 13 2 2 6 2 5 2" xfId="40246"/>
    <cellStyle name="Separador de milhares 3 13 2 2 6 2 6" xfId="33860"/>
    <cellStyle name="Separador de milhares 3 13 2 2 6 3" xfId="9291"/>
    <cellStyle name="Separador de milhares 3 13 2 2 6 3 2" xfId="27505"/>
    <cellStyle name="Separador de milhares 3 13 2 2 6 3 2 2" xfId="53735"/>
    <cellStyle name="Separador de milhares 3 13 2 2 6 3 3" xfId="21591"/>
    <cellStyle name="Separador de milhares 3 13 2 2 6 3 3 2" xfId="47827"/>
    <cellStyle name="Separador de milhares 3 13 2 2 6 3 4" xfId="15677"/>
    <cellStyle name="Separador de milhares 3 13 2 2 6 3 4 2" xfId="41919"/>
    <cellStyle name="Separador de milhares 3 13 2 2 6 3 5" xfId="35533"/>
    <cellStyle name="Separador de milhares 3 13 2 2 6 4" xfId="5916"/>
    <cellStyle name="Separador de milhares 3 13 2 2 6 4 2" xfId="24548"/>
    <cellStyle name="Separador de milhares 3 13 2 2 6 4 2 2" xfId="50781"/>
    <cellStyle name="Separador de milhares 3 13 2 2 6 4 3" xfId="32161"/>
    <cellStyle name="Separador de milhares 3 13 2 2 6 5" xfId="18634"/>
    <cellStyle name="Separador de milhares 3 13 2 2 6 5 2" xfId="44873"/>
    <cellStyle name="Separador de milhares 3 13 2 2 6 6" xfId="12303"/>
    <cellStyle name="Separador de milhares 3 13 2 2 6 6 2" xfId="38545"/>
    <cellStyle name="Separador de milhares 3 13 2 2 6 7" xfId="30463"/>
    <cellStyle name="Separador de milhares 3 13 2 2 7" xfId="6586"/>
    <cellStyle name="Separador de milhares 3 13 2 2 7 2" xfId="9733"/>
    <cellStyle name="Separador de milhares 3 13 2 2 7 2 2" xfId="27947"/>
    <cellStyle name="Separador de milhares 3 13 2 2 7 2 2 2" xfId="54177"/>
    <cellStyle name="Separador de milhares 3 13 2 2 7 2 3" xfId="22033"/>
    <cellStyle name="Separador de milhares 3 13 2 2 7 2 3 2" xfId="48269"/>
    <cellStyle name="Separador de milhares 3 13 2 2 7 2 4" xfId="16119"/>
    <cellStyle name="Separador de milhares 3 13 2 2 7 2 4 2" xfId="42361"/>
    <cellStyle name="Separador de milhares 3 13 2 2 7 2 5" xfId="35975"/>
    <cellStyle name="Separador de milhares 3 13 2 2 7 3" xfId="24990"/>
    <cellStyle name="Separador de milhares 3 13 2 2 7 3 2" xfId="51223"/>
    <cellStyle name="Separador de milhares 3 13 2 2 7 4" xfId="19076"/>
    <cellStyle name="Separador de milhares 3 13 2 2 7 4 2" xfId="45315"/>
    <cellStyle name="Separador de milhares 3 13 2 2 7 5" xfId="12975"/>
    <cellStyle name="Separador de milhares 3 13 2 2 7 5 2" xfId="39217"/>
    <cellStyle name="Separador de milhares 3 13 2 2 7 6" xfId="32831"/>
    <cellStyle name="Separador de milhares 3 13 2 2 8" xfId="8262"/>
    <cellStyle name="Separador de milhares 3 13 2 2 8 2" xfId="26476"/>
    <cellStyle name="Separador de milhares 3 13 2 2 8 2 2" xfId="52709"/>
    <cellStyle name="Separador de milhares 3 13 2 2 8 3" xfId="20562"/>
    <cellStyle name="Separador de milhares 3 13 2 2 8 3 2" xfId="46801"/>
    <cellStyle name="Separador de milhares 3 13 2 2 8 4" xfId="14651"/>
    <cellStyle name="Separador de milhares 3 13 2 2 8 4 2" xfId="40893"/>
    <cellStyle name="Separador de milhares 3 13 2 2 8 5" xfId="34507"/>
    <cellStyle name="Separador de milhares 3 13 2 2 9" xfId="4885"/>
    <cellStyle name="Separador de milhares 3 13 2 2 9 2" xfId="23519"/>
    <cellStyle name="Separador de milhares 3 13 2 2 9 2 2" xfId="49755"/>
    <cellStyle name="Separador de milhares 3 13 2 2 9 3" xfId="31132"/>
    <cellStyle name="Separador de milhares 3 13 2 3" xfId="988"/>
    <cellStyle name="Separador de milhares 3 13 2 3 2" xfId="6737"/>
    <cellStyle name="Separador de milhares 3 13 2 3 2 2" xfId="9884"/>
    <cellStyle name="Separador de milhares 3 13 2 3 2 2 2" xfId="28098"/>
    <cellStyle name="Separador de milhares 3 13 2 3 2 2 2 2" xfId="54328"/>
    <cellStyle name="Separador de milhares 3 13 2 3 2 2 3" xfId="22184"/>
    <cellStyle name="Separador de milhares 3 13 2 3 2 2 3 2" xfId="48420"/>
    <cellStyle name="Separador de milhares 3 13 2 3 2 2 4" xfId="16270"/>
    <cellStyle name="Separador de milhares 3 13 2 3 2 2 4 2" xfId="42512"/>
    <cellStyle name="Separador de milhares 3 13 2 3 2 2 5" xfId="36126"/>
    <cellStyle name="Separador de milhares 3 13 2 3 2 3" xfId="25141"/>
    <cellStyle name="Separador de milhares 3 13 2 3 2 3 2" xfId="51374"/>
    <cellStyle name="Separador de milhares 3 13 2 3 2 4" xfId="19227"/>
    <cellStyle name="Separador de milhares 3 13 2 3 2 4 2" xfId="45466"/>
    <cellStyle name="Separador de milhares 3 13 2 3 2 5" xfId="13126"/>
    <cellStyle name="Separador de milhares 3 13 2 3 2 5 2" xfId="39368"/>
    <cellStyle name="Separador de milhares 3 13 2 3 2 6" xfId="32982"/>
    <cellStyle name="Separador de milhares 3 13 2 3 3" xfId="8416"/>
    <cellStyle name="Separador de milhares 3 13 2 3 3 2" xfId="26630"/>
    <cellStyle name="Separador de milhares 3 13 2 3 3 2 2" xfId="52860"/>
    <cellStyle name="Separador de milhares 3 13 2 3 3 3" xfId="20716"/>
    <cellStyle name="Separador de milhares 3 13 2 3 3 3 2" xfId="46952"/>
    <cellStyle name="Separador de milhares 3 13 2 3 3 4" xfId="14802"/>
    <cellStyle name="Separador de milhares 3 13 2 3 3 4 2" xfId="41044"/>
    <cellStyle name="Separador de milhares 3 13 2 3 3 5" xfId="34658"/>
    <cellStyle name="Separador de milhares 3 13 2 3 4" xfId="5038"/>
    <cellStyle name="Separador de milhares 3 13 2 3 4 2" xfId="23673"/>
    <cellStyle name="Separador de milhares 3 13 2 3 4 2 2" xfId="49906"/>
    <cellStyle name="Separador de milhares 3 13 2 3 4 3" xfId="31283"/>
    <cellStyle name="Separador de milhares 3 13 2 3 5" xfId="17759"/>
    <cellStyle name="Separador de milhares 3 13 2 3 5 2" xfId="43998"/>
    <cellStyle name="Separador de milhares 3 13 2 3 6" xfId="11425"/>
    <cellStyle name="Separador de milhares 3 13 2 3 6 2" xfId="37667"/>
    <cellStyle name="Separador de milhares 3 13 2 3 7" xfId="29585"/>
    <cellStyle name="Separador de milhares 3 13 2 4" xfId="1339"/>
    <cellStyle name="Separador de milhares 3 13 2 4 2" xfId="6835"/>
    <cellStyle name="Separador de milhares 3 13 2 4 2 2" xfId="9982"/>
    <cellStyle name="Separador de milhares 3 13 2 4 2 2 2" xfId="28196"/>
    <cellStyle name="Separador de milhares 3 13 2 4 2 2 2 2" xfId="54426"/>
    <cellStyle name="Separador de milhares 3 13 2 4 2 2 3" xfId="22282"/>
    <cellStyle name="Separador de milhares 3 13 2 4 2 2 3 2" xfId="48518"/>
    <cellStyle name="Separador de milhares 3 13 2 4 2 2 4" xfId="16368"/>
    <cellStyle name="Separador de milhares 3 13 2 4 2 2 4 2" xfId="42610"/>
    <cellStyle name="Separador de milhares 3 13 2 4 2 2 5" xfId="36224"/>
    <cellStyle name="Separador de milhares 3 13 2 4 2 3" xfId="25239"/>
    <cellStyle name="Separador de milhares 3 13 2 4 2 3 2" xfId="51472"/>
    <cellStyle name="Separador de milhares 3 13 2 4 2 4" xfId="19325"/>
    <cellStyle name="Separador de milhares 3 13 2 4 2 4 2" xfId="45564"/>
    <cellStyle name="Separador de milhares 3 13 2 4 2 5" xfId="13224"/>
    <cellStyle name="Separador de milhares 3 13 2 4 2 5 2" xfId="39466"/>
    <cellStyle name="Separador de milhares 3 13 2 4 2 6" xfId="33080"/>
    <cellStyle name="Separador de milhares 3 13 2 4 3" xfId="8514"/>
    <cellStyle name="Separador de milhares 3 13 2 4 3 2" xfId="26728"/>
    <cellStyle name="Separador de milhares 3 13 2 4 3 2 2" xfId="52958"/>
    <cellStyle name="Separador de milhares 3 13 2 4 3 3" xfId="20814"/>
    <cellStyle name="Separador de milhares 3 13 2 4 3 3 2" xfId="47050"/>
    <cellStyle name="Separador de milhares 3 13 2 4 3 4" xfId="14900"/>
    <cellStyle name="Separador de milhares 3 13 2 4 3 4 2" xfId="41142"/>
    <cellStyle name="Separador de milhares 3 13 2 4 3 5" xfId="34756"/>
    <cellStyle name="Separador de milhares 3 13 2 4 4" xfId="5136"/>
    <cellStyle name="Separador de milhares 3 13 2 4 4 2" xfId="23771"/>
    <cellStyle name="Separador de milhares 3 13 2 4 4 2 2" xfId="50004"/>
    <cellStyle name="Separador de milhares 3 13 2 4 4 3" xfId="31381"/>
    <cellStyle name="Separador de milhares 3 13 2 4 5" xfId="17857"/>
    <cellStyle name="Separador de milhares 3 13 2 4 5 2" xfId="44096"/>
    <cellStyle name="Separador de milhares 3 13 2 4 6" xfId="11523"/>
    <cellStyle name="Separador de milhares 3 13 2 4 6 2" xfId="37765"/>
    <cellStyle name="Separador de milhares 3 13 2 4 7" xfId="29683"/>
    <cellStyle name="Separador de milhares 3 13 2 5" xfId="1774"/>
    <cellStyle name="Separador de milhares 3 13 2 5 2" xfId="6954"/>
    <cellStyle name="Separador de milhares 3 13 2 5 2 2" xfId="10101"/>
    <cellStyle name="Separador de milhares 3 13 2 5 2 2 2" xfId="28315"/>
    <cellStyle name="Separador de milhares 3 13 2 5 2 2 2 2" xfId="54545"/>
    <cellStyle name="Separador de milhares 3 13 2 5 2 2 3" xfId="22401"/>
    <cellStyle name="Separador de milhares 3 13 2 5 2 2 3 2" xfId="48637"/>
    <cellStyle name="Separador de milhares 3 13 2 5 2 2 4" xfId="16487"/>
    <cellStyle name="Separador de milhares 3 13 2 5 2 2 4 2" xfId="42729"/>
    <cellStyle name="Separador de milhares 3 13 2 5 2 2 5" xfId="36343"/>
    <cellStyle name="Separador de milhares 3 13 2 5 2 3" xfId="25358"/>
    <cellStyle name="Separador de milhares 3 13 2 5 2 3 2" xfId="51591"/>
    <cellStyle name="Separador de milhares 3 13 2 5 2 4" xfId="19444"/>
    <cellStyle name="Separador de milhares 3 13 2 5 2 4 2" xfId="45683"/>
    <cellStyle name="Separador de milhares 3 13 2 5 2 5" xfId="13343"/>
    <cellStyle name="Separador de milhares 3 13 2 5 2 5 2" xfId="39585"/>
    <cellStyle name="Separador de milhares 3 13 2 5 2 6" xfId="33199"/>
    <cellStyle name="Separador de milhares 3 13 2 5 3" xfId="8633"/>
    <cellStyle name="Separador de milhares 3 13 2 5 3 2" xfId="26847"/>
    <cellStyle name="Separador de milhares 3 13 2 5 3 2 2" xfId="53077"/>
    <cellStyle name="Separador de milhares 3 13 2 5 3 3" xfId="20933"/>
    <cellStyle name="Separador de milhares 3 13 2 5 3 3 2" xfId="47169"/>
    <cellStyle name="Separador de milhares 3 13 2 5 3 4" xfId="15019"/>
    <cellStyle name="Separador de milhares 3 13 2 5 3 4 2" xfId="41261"/>
    <cellStyle name="Separador de milhares 3 13 2 5 3 5" xfId="34875"/>
    <cellStyle name="Separador de milhares 3 13 2 5 4" xfId="5255"/>
    <cellStyle name="Separador de milhares 3 13 2 5 4 2" xfId="23890"/>
    <cellStyle name="Separador de milhares 3 13 2 5 4 2 2" xfId="50123"/>
    <cellStyle name="Separador de milhares 3 13 2 5 4 3" xfId="31500"/>
    <cellStyle name="Separador de milhares 3 13 2 5 5" xfId="17976"/>
    <cellStyle name="Separador de milhares 3 13 2 5 5 2" xfId="44215"/>
    <cellStyle name="Separador de milhares 3 13 2 5 6" xfId="11642"/>
    <cellStyle name="Separador de milhares 3 13 2 5 6 2" xfId="37884"/>
    <cellStyle name="Separador de milhares 3 13 2 5 7" xfId="29802"/>
    <cellStyle name="Separador de milhares 3 13 2 6" xfId="2304"/>
    <cellStyle name="Separador de milhares 3 13 2 6 2" xfId="7104"/>
    <cellStyle name="Separador de milhares 3 13 2 6 2 2" xfId="10248"/>
    <cellStyle name="Separador de milhares 3 13 2 6 2 2 2" xfId="28462"/>
    <cellStyle name="Separador de milhares 3 13 2 6 2 2 2 2" xfId="54692"/>
    <cellStyle name="Separador de milhares 3 13 2 6 2 2 3" xfId="22548"/>
    <cellStyle name="Separador de milhares 3 13 2 6 2 2 3 2" xfId="48784"/>
    <cellStyle name="Separador de milhares 3 13 2 6 2 2 4" xfId="16634"/>
    <cellStyle name="Separador de milhares 3 13 2 6 2 2 4 2" xfId="42876"/>
    <cellStyle name="Separador de milhares 3 13 2 6 2 2 5" xfId="36490"/>
    <cellStyle name="Separador de milhares 3 13 2 6 2 3" xfId="25505"/>
    <cellStyle name="Separador de milhares 3 13 2 6 2 3 2" xfId="51738"/>
    <cellStyle name="Separador de milhares 3 13 2 6 2 4" xfId="19591"/>
    <cellStyle name="Separador de milhares 3 13 2 6 2 4 2" xfId="45830"/>
    <cellStyle name="Separador de milhares 3 13 2 6 2 5" xfId="13493"/>
    <cellStyle name="Separador de milhares 3 13 2 6 2 5 2" xfId="39735"/>
    <cellStyle name="Separador de milhares 3 13 2 6 2 6" xfId="33349"/>
    <cellStyle name="Separador de milhares 3 13 2 6 3" xfId="8780"/>
    <cellStyle name="Separador de milhares 3 13 2 6 3 2" xfId="26994"/>
    <cellStyle name="Separador de milhares 3 13 2 6 3 2 2" xfId="53224"/>
    <cellStyle name="Separador de milhares 3 13 2 6 3 3" xfId="21080"/>
    <cellStyle name="Separador de milhares 3 13 2 6 3 3 2" xfId="47316"/>
    <cellStyle name="Separador de milhares 3 13 2 6 3 4" xfId="15166"/>
    <cellStyle name="Separador de milhares 3 13 2 6 3 4 2" xfId="41408"/>
    <cellStyle name="Separador de milhares 3 13 2 6 3 5" xfId="35022"/>
    <cellStyle name="Separador de milhares 3 13 2 6 4" xfId="5405"/>
    <cellStyle name="Separador de milhares 3 13 2 6 4 2" xfId="24037"/>
    <cellStyle name="Separador de milhares 3 13 2 6 4 2 2" xfId="50270"/>
    <cellStyle name="Separador de milhares 3 13 2 6 4 3" xfId="31650"/>
    <cellStyle name="Separador de milhares 3 13 2 6 5" xfId="18123"/>
    <cellStyle name="Separador de milhares 3 13 2 6 5 2" xfId="44362"/>
    <cellStyle name="Separador de milhares 3 13 2 6 6" xfId="11792"/>
    <cellStyle name="Separador de milhares 3 13 2 6 6 2" xfId="38034"/>
    <cellStyle name="Separador de milhares 3 13 2 6 7" xfId="29952"/>
    <cellStyle name="Separador de milhares 3 13 2 7" xfId="2831"/>
    <cellStyle name="Separador de milhares 3 13 2 7 2" xfId="7251"/>
    <cellStyle name="Separador de milhares 3 13 2 7 2 2" xfId="10395"/>
    <cellStyle name="Separador de milhares 3 13 2 7 2 2 2" xfId="28609"/>
    <cellStyle name="Separador de milhares 3 13 2 7 2 2 2 2" xfId="54839"/>
    <cellStyle name="Separador de milhares 3 13 2 7 2 2 3" xfId="22695"/>
    <cellStyle name="Separador de milhares 3 13 2 7 2 2 3 2" xfId="48931"/>
    <cellStyle name="Separador de milhares 3 13 2 7 2 2 4" xfId="16781"/>
    <cellStyle name="Separador de milhares 3 13 2 7 2 2 4 2" xfId="43023"/>
    <cellStyle name="Separador de milhares 3 13 2 7 2 2 5" xfId="36637"/>
    <cellStyle name="Separador de milhares 3 13 2 7 2 3" xfId="25652"/>
    <cellStyle name="Separador de milhares 3 13 2 7 2 3 2" xfId="51885"/>
    <cellStyle name="Separador de milhares 3 13 2 7 2 4" xfId="19738"/>
    <cellStyle name="Separador de milhares 3 13 2 7 2 4 2" xfId="45977"/>
    <cellStyle name="Separador de milhares 3 13 2 7 2 5" xfId="13640"/>
    <cellStyle name="Separador de milhares 3 13 2 7 2 5 2" xfId="39882"/>
    <cellStyle name="Separador de milhares 3 13 2 7 2 6" xfId="33496"/>
    <cellStyle name="Separador de milhares 3 13 2 7 3" xfId="8927"/>
    <cellStyle name="Separador de milhares 3 13 2 7 3 2" xfId="27141"/>
    <cellStyle name="Separador de milhares 3 13 2 7 3 2 2" xfId="53371"/>
    <cellStyle name="Separador de milhares 3 13 2 7 3 3" xfId="21227"/>
    <cellStyle name="Separador de milhares 3 13 2 7 3 3 2" xfId="47463"/>
    <cellStyle name="Separador de milhares 3 13 2 7 3 4" xfId="15313"/>
    <cellStyle name="Separador de milhares 3 13 2 7 3 4 2" xfId="41555"/>
    <cellStyle name="Separador de milhares 3 13 2 7 3 5" xfId="35169"/>
    <cellStyle name="Separador de milhares 3 13 2 7 4" xfId="5552"/>
    <cellStyle name="Separador de milhares 3 13 2 7 4 2" xfId="24184"/>
    <cellStyle name="Separador de milhares 3 13 2 7 4 2 2" xfId="50417"/>
    <cellStyle name="Separador de milhares 3 13 2 7 4 3" xfId="31797"/>
    <cellStyle name="Separador de milhares 3 13 2 7 5" xfId="18270"/>
    <cellStyle name="Separador de milhares 3 13 2 7 5 2" xfId="44509"/>
    <cellStyle name="Separador de milhares 3 13 2 7 6" xfId="11939"/>
    <cellStyle name="Separador de milhares 3 13 2 7 6 2" xfId="38181"/>
    <cellStyle name="Separador de milhares 3 13 2 7 7" xfId="30099"/>
    <cellStyle name="Separador de milhares 3 13 2 8" xfId="3358"/>
    <cellStyle name="Separador de milhares 3 13 2 8 2" xfId="7398"/>
    <cellStyle name="Separador de milhares 3 13 2 8 2 2" xfId="10542"/>
    <cellStyle name="Separador de milhares 3 13 2 8 2 2 2" xfId="28756"/>
    <cellStyle name="Separador de milhares 3 13 2 8 2 2 2 2" xfId="54986"/>
    <cellStyle name="Separador de milhares 3 13 2 8 2 2 3" xfId="22842"/>
    <cellStyle name="Separador de milhares 3 13 2 8 2 2 3 2" xfId="49078"/>
    <cellStyle name="Separador de milhares 3 13 2 8 2 2 4" xfId="16928"/>
    <cellStyle name="Separador de milhares 3 13 2 8 2 2 4 2" xfId="43170"/>
    <cellStyle name="Separador de milhares 3 13 2 8 2 2 5" xfId="36784"/>
    <cellStyle name="Separador de milhares 3 13 2 8 2 3" xfId="25799"/>
    <cellStyle name="Separador de milhares 3 13 2 8 2 3 2" xfId="52032"/>
    <cellStyle name="Separador de milhares 3 13 2 8 2 4" xfId="19885"/>
    <cellStyle name="Separador de milhares 3 13 2 8 2 4 2" xfId="46124"/>
    <cellStyle name="Separador de milhares 3 13 2 8 2 5" xfId="13787"/>
    <cellStyle name="Separador de milhares 3 13 2 8 2 5 2" xfId="40029"/>
    <cellStyle name="Separador de milhares 3 13 2 8 2 6" xfId="33643"/>
    <cellStyle name="Separador de milhares 3 13 2 8 3" xfId="9074"/>
    <cellStyle name="Separador de milhares 3 13 2 8 3 2" xfId="27288"/>
    <cellStyle name="Separador de milhares 3 13 2 8 3 2 2" xfId="53518"/>
    <cellStyle name="Separador de milhares 3 13 2 8 3 3" xfId="21374"/>
    <cellStyle name="Separador de milhares 3 13 2 8 3 3 2" xfId="47610"/>
    <cellStyle name="Separador de milhares 3 13 2 8 3 4" xfId="15460"/>
    <cellStyle name="Separador de milhares 3 13 2 8 3 4 2" xfId="41702"/>
    <cellStyle name="Separador de milhares 3 13 2 8 3 5" xfId="35316"/>
    <cellStyle name="Separador de milhares 3 13 2 8 4" xfId="5699"/>
    <cellStyle name="Separador de milhares 3 13 2 8 4 2" xfId="24331"/>
    <cellStyle name="Separador de milhares 3 13 2 8 4 2 2" xfId="50564"/>
    <cellStyle name="Separador de milhares 3 13 2 8 4 3" xfId="31944"/>
    <cellStyle name="Separador de milhares 3 13 2 8 5" xfId="18417"/>
    <cellStyle name="Separador de milhares 3 13 2 8 5 2" xfId="44656"/>
    <cellStyle name="Separador de milhares 3 13 2 8 6" xfId="12086"/>
    <cellStyle name="Separador de milhares 3 13 2 8 6 2" xfId="38328"/>
    <cellStyle name="Separador de milhares 3 13 2 8 7" xfId="30246"/>
    <cellStyle name="Separador de milhares 3 13 2 9" xfId="3885"/>
    <cellStyle name="Separador de milhares 3 13 2 9 2" xfId="7545"/>
    <cellStyle name="Separador de milhares 3 13 2 9 2 2" xfId="10689"/>
    <cellStyle name="Separador de milhares 3 13 2 9 2 2 2" xfId="28903"/>
    <cellStyle name="Separador de milhares 3 13 2 9 2 2 2 2" xfId="55133"/>
    <cellStyle name="Separador de milhares 3 13 2 9 2 2 3" xfId="22989"/>
    <cellStyle name="Separador de milhares 3 13 2 9 2 2 3 2" xfId="49225"/>
    <cellStyle name="Separador de milhares 3 13 2 9 2 2 4" xfId="17075"/>
    <cellStyle name="Separador de milhares 3 13 2 9 2 2 4 2" xfId="43317"/>
    <cellStyle name="Separador de milhares 3 13 2 9 2 2 5" xfId="36931"/>
    <cellStyle name="Separador de milhares 3 13 2 9 2 3" xfId="25946"/>
    <cellStyle name="Separador de milhares 3 13 2 9 2 3 2" xfId="52179"/>
    <cellStyle name="Separador de milhares 3 13 2 9 2 4" xfId="20032"/>
    <cellStyle name="Separador de milhares 3 13 2 9 2 4 2" xfId="46271"/>
    <cellStyle name="Separador de milhares 3 13 2 9 2 5" xfId="13934"/>
    <cellStyle name="Separador de milhares 3 13 2 9 2 5 2" xfId="40176"/>
    <cellStyle name="Separador de milhares 3 13 2 9 2 6" xfId="33790"/>
    <cellStyle name="Separador de milhares 3 13 2 9 3" xfId="9221"/>
    <cellStyle name="Separador de milhares 3 13 2 9 3 2" xfId="27435"/>
    <cellStyle name="Separador de milhares 3 13 2 9 3 2 2" xfId="53665"/>
    <cellStyle name="Separador de milhares 3 13 2 9 3 3" xfId="21521"/>
    <cellStyle name="Separador de milhares 3 13 2 9 3 3 2" xfId="47757"/>
    <cellStyle name="Separador de milhares 3 13 2 9 3 4" xfId="15607"/>
    <cellStyle name="Separador de milhares 3 13 2 9 3 4 2" xfId="41849"/>
    <cellStyle name="Separador de milhares 3 13 2 9 3 5" xfId="35463"/>
    <cellStyle name="Separador de milhares 3 13 2 9 4" xfId="5846"/>
    <cellStyle name="Separador de milhares 3 13 2 9 4 2" xfId="24478"/>
    <cellStyle name="Separador de milhares 3 13 2 9 4 2 2" xfId="50711"/>
    <cellStyle name="Separador de milhares 3 13 2 9 4 3" xfId="32091"/>
    <cellStyle name="Separador de milhares 3 13 2 9 5" xfId="18564"/>
    <cellStyle name="Separador de milhares 3 13 2 9 5 2" xfId="44803"/>
    <cellStyle name="Separador de milhares 3 13 2 9 6" xfId="12233"/>
    <cellStyle name="Separador de milhares 3 13 2 9 6 2" xfId="38475"/>
    <cellStyle name="Separador de milhares 3 13 2 9 7" xfId="30393"/>
    <cellStyle name="Separador de milhares 3 13 3" xfId="337"/>
    <cellStyle name="Separador de milhares 3 13 3 10" xfId="6536"/>
    <cellStyle name="Separador de milhares 3 13 3 10 2" xfId="9687"/>
    <cellStyle name="Separador de milhares 3 13 3 10 2 2" xfId="27901"/>
    <cellStyle name="Separador de milhares 3 13 3 10 2 2 2" xfId="54131"/>
    <cellStyle name="Separador de milhares 3 13 3 10 2 3" xfId="21987"/>
    <cellStyle name="Separador de milhares 3 13 3 10 2 3 2" xfId="48223"/>
    <cellStyle name="Separador de milhares 3 13 3 10 2 4" xfId="16073"/>
    <cellStyle name="Separador de milhares 3 13 3 10 2 4 2" xfId="42315"/>
    <cellStyle name="Separador de milhares 3 13 3 10 2 5" xfId="35929"/>
    <cellStyle name="Separador de milhares 3 13 3 10 3" xfId="24944"/>
    <cellStyle name="Separador de milhares 3 13 3 10 3 2" xfId="51177"/>
    <cellStyle name="Separador de milhares 3 13 3 10 4" xfId="19030"/>
    <cellStyle name="Separador de milhares 3 13 3 10 4 2" xfId="45269"/>
    <cellStyle name="Separador de milhares 3 13 3 10 5" xfId="12925"/>
    <cellStyle name="Separador de milhares 3 13 3 10 5 2" xfId="39167"/>
    <cellStyle name="Separador de milhares 3 13 3 10 6" xfId="32781"/>
    <cellStyle name="Separador de milhares 3 13 3 11" xfId="8216"/>
    <cellStyle name="Separador de milhares 3 13 3 11 2" xfId="26430"/>
    <cellStyle name="Separador de milhares 3 13 3 11 2 2" xfId="52663"/>
    <cellStyle name="Separador de milhares 3 13 3 11 3" xfId="20516"/>
    <cellStyle name="Separador de milhares 3 13 3 11 3 2" xfId="46755"/>
    <cellStyle name="Separador de milhares 3 13 3 11 4" xfId="14605"/>
    <cellStyle name="Separador de milhares 3 13 3 11 4 2" xfId="40847"/>
    <cellStyle name="Separador de milhares 3 13 3 11 5" xfId="34461"/>
    <cellStyle name="Separador de milhares 3 13 3 12" xfId="4835"/>
    <cellStyle name="Separador de milhares 3 13 3 12 2" xfId="23473"/>
    <cellStyle name="Separador de milhares 3 13 3 12 2 2" xfId="49709"/>
    <cellStyle name="Separador de milhares 3 13 3 12 3" xfId="31082"/>
    <cellStyle name="Separador de milhares 3 13 3 13" xfId="17559"/>
    <cellStyle name="Separador de milhares 3 13 3 13 2" xfId="43801"/>
    <cellStyle name="Separador de milhares 3 13 3 14" xfId="11224"/>
    <cellStyle name="Separador de milhares 3 13 3 14 2" xfId="37466"/>
    <cellStyle name="Separador de milhares 3 13 3 15" xfId="29384"/>
    <cellStyle name="Separador de milhares 3 13 3 2" xfId="600"/>
    <cellStyle name="Separador de milhares 3 13 3 2 2" xfId="6607"/>
    <cellStyle name="Separador de milhares 3 13 3 2 2 2" xfId="9754"/>
    <cellStyle name="Separador de milhares 3 13 3 2 2 2 2" xfId="27968"/>
    <cellStyle name="Separador de milhares 3 13 3 2 2 2 2 2" xfId="54198"/>
    <cellStyle name="Separador de milhares 3 13 3 2 2 2 3" xfId="22054"/>
    <cellStyle name="Separador de milhares 3 13 3 2 2 2 3 2" xfId="48290"/>
    <cellStyle name="Separador de milhares 3 13 3 2 2 2 4" xfId="16140"/>
    <cellStyle name="Separador de milhares 3 13 3 2 2 2 4 2" xfId="42382"/>
    <cellStyle name="Separador de milhares 3 13 3 2 2 2 5" xfId="35996"/>
    <cellStyle name="Separador de milhares 3 13 3 2 2 3" xfId="25011"/>
    <cellStyle name="Separador de milhares 3 13 3 2 2 3 2" xfId="51244"/>
    <cellStyle name="Separador de milhares 3 13 3 2 2 4" xfId="19097"/>
    <cellStyle name="Separador de milhares 3 13 3 2 2 4 2" xfId="45336"/>
    <cellStyle name="Separador de milhares 3 13 3 2 2 5" xfId="12996"/>
    <cellStyle name="Separador de milhares 3 13 3 2 2 5 2" xfId="39238"/>
    <cellStyle name="Separador de milhares 3 13 3 2 2 6" xfId="32852"/>
    <cellStyle name="Separador de milhares 3 13 3 2 3" xfId="8283"/>
    <cellStyle name="Separador de milhares 3 13 3 2 3 2" xfId="26497"/>
    <cellStyle name="Separador de milhares 3 13 3 2 3 2 2" xfId="52730"/>
    <cellStyle name="Separador de milhares 3 13 3 2 3 3" xfId="20583"/>
    <cellStyle name="Separador de milhares 3 13 3 2 3 3 2" xfId="46822"/>
    <cellStyle name="Separador de milhares 3 13 3 2 3 4" xfId="14672"/>
    <cellStyle name="Separador de milhares 3 13 3 2 3 4 2" xfId="40914"/>
    <cellStyle name="Separador de milhares 3 13 3 2 3 5" xfId="34528"/>
    <cellStyle name="Separador de milhares 3 13 3 2 4" xfId="4906"/>
    <cellStyle name="Separador de milhares 3 13 3 2 4 2" xfId="23540"/>
    <cellStyle name="Separador de milhares 3 13 3 2 4 2 2" xfId="49776"/>
    <cellStyle name="Separador de milhares 3 13 3 2 4 3" xfId="31153"/>
    <cellStyle name="Separador de milhares 3 13 3 2 5" xfId="17626"/>
    <cellStyle name="Separador de milhares 3 13 3 2 5 2" xfId="43868"/>
    <cellStyle name="Separador de milhares 3 13 3 2 6" xfId="11295"/>
    <cellStyle name="Separador de milhares 3 13 3 2 6 2" xfId="37537"/>
    <cellStyle name="Separador de milhares 3 13 3 2 7" xfId="29455"/>
    <cellStyle name="Separador de milhares 3 13 3 3" xfId="897"/>
    <cellStyle name="Separador de milhares 3 13 3 3 2" xfId="6709"/>
    <cellStyle name="Separador de milhares 3 13 3 3 2 2" xfId="9856"/>
    <cellStyle name="Separador de milhares 3 13 3 3 2 2 2" xfId="28070"/>
    <cellStyle name="Separador de milhares 3 13 3 3 2 2 2 2" xfId="54300"/>
    <cellStyle name="Separador de milhares 3 13 3 3 2 2 3" xfId="22156"/>
    <cellStyle name="Separador de milhares 3 13 3 3 2 2 3 2" xfId="48392"/>
    <cellStyle name="Separador de milhares 3 13 3 3 2 2 4" xfId="16242"/>
    <cellStyle name="Separador de milhares 3 13 3 3 2 2 4 2" xfId="42484"/>
    <cellStyle name="Separador de milhares 3 13 3 3 2 2 5" xfId="36098"/>
    <cellStyle name="Separador de milhares 3 13 3 3 2 3" xfId="25113"/>
    <cellStyle name="Separador de milhares 3 13 3 3 2 3 2" xfId="51346"/>
    <cellStyle name="Separador de milhares 3 13 3 3 2 4" xfId="19199"/>
    <cellStyle name="Separador de milhares 3 13 3 3 2 4 2" xfId="45438"/>
    <cellStyle name="Separador de milhares 3 13 3 3 2 5" xfId="13098"/>
    <cellStyle name="Separador de milhares 3 13 3 3 2 5 2" xfId="39340"/>
    <cellStyle name="Separador de milhares 3 13 3 3 2 6" xfId="32954"/>
    <cellStyle name="Separador de milhares 3 13 3 3 3" xfId="8388"/>
    <cellStyle name="Separador de milhares 3 13 3 3 3 2" xfId="26602"/>
    <cellStyle name="Separador de milhares 3 13 3 3 3 2 2" xfId="52832"/>
    <cellStyle name="Separador de milhares 3 13 3 3 3 3" xfId="20688"/>
    <cellStyle name="Separador de milhares 3 13 3 3 3 3 2" xfId="46924"/>
    <cellStyle name="Separador de milhares 3 13 3 3 3 4" xfId="14774"/>
    <cellStyle name="Separador de milhares 3 13 3 3 3 4 2" xfId="41016"/>
    <cellStyle name="Separador de milhares 3 13 3 3 3 5" xfId="34630"/>
    <cellStyle name="Separador de milhares 3 13 3 3 4" xfId="5010"/>
    <cellStyle name="Separador de milhares 3 13 3 3 4 2" xfId="23645"/>
    <cellStyle name="Separador de milhares 3 13 3 3 4 2 2" xfId="49878"/>
    <cellStyle name="Separador de milhares 3 13 3 3 4 3" xfId="31255"/>
    <cellStyle name="Separador de milhares 3 13 3 3 5" xfId="17731"/>
    <cellStyle name="Separador de milhares 3 13 3 3 5 2" xfId="43970"/>
    <cellStyle name="Separador de milhares 3 13 3 3 6" xfId="11397"/>
    <cellStyle name="Separador de milhares 3 13 3 3 6 2" xfId="37639"/>
    <cellStyle name="Separador de milhares 3 13 3 3 7" xfId="29557"/>
    <cellStyle name="Separador de milhares 3 13 3 4" xfId="1248"/>
    <cellStyle name="Separador de milhares 3 13 3 4 2" xfId="6807"/>
    <cellStyle name="Separador de milhares 3 13 3 4 2 2" xfId="9954"/>
    <cellStyle name="Separador de milhares 3 13 3 4 2 2 2" xfId="28168"/>
    <cellStyle name="Separador de milhares 3 13 3 4 2 2 2 2" xfId="54398"/>
    <cellStyle name="Separador de milhares 3 13 3 4 2 2 3" xfId="22254"/>
    <cellStyle name="Separador de milhares 3 13 3 4 2 2 3 2" xfId="48490"/>
    <cellStyle name="Separador de milhares 3 13 3 4 2 2 4" xfId="16340"/>
    <cellStyle name="Separador de milhares 3 13 3 4 2 2 4 2" xfId="42582"/>
    <cellStyle name="Separador de milhares 3 13 3 4 2 2 5" xfId="36196"/>
    <cellStyle name="Separador de milhares 3 13 3 4 2 3" xfId="25211"/>
    <cellStyle name="Separador de milhares 3 13 3 4 2 3 2" xfId="51444"/>
    <cellStyle name="Separador de milhares 3 13 3 4 2 4" xfId="19297"/>
    <cellStyle name="Separador de milhares 3 13 3 4 2 4 2" xfId="45536"/>
    <cellStyle name="Separador de milhares 3 13 3 4 2 5" xfId="13196"/>
    <cellStyle name="Separador de milhares 3 13 3 4 2 5 2" xfId="39438"/>
    <cellStyle name="Separador de milhares 3 13 3 4 2 6" xfId="33052"/>
    <cellStyle name="Separador de milhares 3 13 3 4 3" xfId="8486"/>
    <cellStyle name="Separador de milhares 3 13 3 4 3 2" xfId="26700"/>
    <cellStyle name="Separador de milhares 3 13 3 4 3 2 2" xfId="52930"/>
    <cellStyle name="Separador de milhares 3 13 3 4 3 3" xfId="20786"/>
    <cellStyle name="Separador de milhares 3 13 3 4 3 3 2" xfId="47022"/>
    <cellStyle name="Separador de milhares 3 13 3 4 3 4" xfId="14872"/>
    <cellStyle name="Separador de milhares 3 13 3 4 3 4 2" xfId="41114"/>
    <cellStyle name="Separador de milhares 3 13 3 4 3 5" xfId="34728"/>
    <cellStyle name="Separador de milhares 3 13 3 4 4" xfId="5108"/>
    <cellStyle name="Separador de milhares 3 13 3 4 4 2" xfId="23743"/>
    <cellStyle name="Separador de milhares 3 13 3 4 4 2 2" xfId="49976"/>
    <cellStyle name="Separador de milhares 3 13 3 4 4 3" xfId="31353"/>
    <cellStyle name="Separador de milhares 3 13 3 4 5" xfId="17829"/>
    <cellStyle name="Separador de milhares 3 13 3 4 5 2" xfId="44068"/>
    <cellStyle name="Separador de milhares 3 13 3 4 6" xfId="11495"/>
    <cellStyle name="Separador de milhares 3 13 3 4 6 2" xfId="37737"/>
    <cellStyle name="Separador de milhares 3 13 3 4 7" xfId="29655"/>
    <cellStyle name="Separador de milhares 3 13 3 5" xfId="1683"/>
    <cellStyle name="Separador de milhares 3 13 3 5 2" xfId="6926"/>
    <cellStyle name="Separador de milhares 3 13 3 5 2 2" xfId="10073"/>
    <cellStyle name="Separador de milhares 3 13 3 5 2 2 2" xfId="28287"/>
    <cellStyle name="Separador de milhares 3 13 3 5 2 2 2 2" xfId="54517"/>
    <cellStyle name="Separador de milhares 3 13 3 5 2 2 3" xfId="22373"/>
    <cellStyle name="Separador de milhares 3 13 3 5 2 2 3 2" xfId="48609"/>
    <cellStyle name="Separador de milhares 3 13 3 5 2 2 4" xfId="16459"/>
    <cellStyle name="Separador de milhares 3 13 3 5 2 2 4 2" xfId="42701"/>
    <cellStyle name="Separador de milhares 3 13 3 5 2 2 5" xfId="36315"/>
    <cellStyle name="Separador de milhares 3 13 3 5 2 3" xfId="25330"/>
    <cellStyle name="Separador de milhares 3 13 3 5 2 3 2" xfId="51563"/>
    <cellStyle name="Separador de milhares 3 13 3 5 2 4" xfId="19416"/>
    <cellStyle name="Separador de milhares 3 13 3 5 2 4 2" xfId="45655"/>
    <cellStyle name="Separador de milhares 3 13 3 5 2 5" xfId="13315"/>
    <cellStyle name="Separador de milhares 3 13 3 5 2 5 2" xfId="39557"/>
    <cellStyle name="Separador de milhares 3 13 3 5 2 6" xfId="33171"/>
    <cellStyle name="Separador de milhares 3 13 3 5 3" xfId="8605"/>
    <cellStyle name="Separador de milhares 3 13 3 5 3 2" xfId="26819"/>
    <cellStyle name="Separador de milhares 3 13 3 5 3 2 2" xfId="53049"/>
    <cellStyle name="Separador de milhares 3 13 3 5 3 3" xfId="20905"/>
    <cellStyle name="Separador de milhares 3 13 3 5 3 3 2" xfId="47141"/>
    <cellStyle name="Separador de milhares 3 13 3 5 3 4" xfId="14991"/>
    <cellStyle name="Separador de milhares 3 13 3 5 3 4 2" xfId="41233"/>
    <cellStyle name="Separador de milhares 3 13 3 5 3 5" xfId="34847"/>
    <cellStyle name="Separador de milhares 3 13 3 5 4" xfId="5227"/>
    <cellStyle name="Separador de milhares 3 13 3 5 4 2" xfId="23862"/>
    <cellStyle name="Separador de milhares 3 13 3 5 4 2 2" xfId="50095"/>
    <cellStyle name="Separador de milhares 3 13 3 5 4 3" xfId="31472"/>
    <cellStyle name="Separador de milhares 3 13 3 5 5" xfId="17948"/>
    <cellStyle name="Separador de milhares 3 13 3 5 5 2" xfId="44187"/>
    <cellStyle name="Separador de milhares 3 13 3 5 6" xfId="11614"/>
    <cellStyle name="Separador de milhares 3 13 3 5 6 2" xfId="37856"/>
    <cellStyle name="Separador de milhares 3 13 3 5 7" xfId="29774"/>
    <cellStyle name="Separador de milhares 3 13 3 6" xfId="2213"/>
    <cellStyle name="Separador de milhares 3 13 3 6 2" xfId="7076"/>
    <cellStyle name="Separador de milhares 3 13 3 6 2 2" xfId="10220"/>
    <cellStyle name="Separador de milhares 3 13 3 6 2 2 2" xfId="28434"/>
    <cellStyle name="Separador de milhares 3 13 3 6 2 2 2 2" xfId="54664"/>
    <cellStyle name="Separador de milhares 3 13 3 6 2 2 3" xfId="22520"/>
    <cellStyle name="Separador de milhares 3 13 3 6 2 2 3 2" xfId="48756"/>
    <cellStyle name="Separador de milhares 3 13 3 6 2 2 4" xfId="16606"/>
    <cellStyle name="Separador de milhares 3 13 3 6 2 2 4 2" xfId="42848"/>
    <cellStyle name="Separador de milhares 3 13 3 6 2 2 5" xfId="36462"/>
    <cellStyle name="Separador de milhares 3 13 3 6 2 3" xfId="25477"/>
    <cellStyle name="Separador de milhares 3 13 3 6 2 3 2" xfId="51710"/>
    <cellStyle name="Separador de milhares 3 13 3 6 2 4" xfId="19563"/>
    <cellStyle name="Separador de milhares 3 13 3 6 2 4 2" xfId="45802"/>
    <cellStyle name="Separador de milhares 3 13 3 6 2 5" xfId="13465"/>
    <cellStyle name="Separador de milhares 3 13 3 6 2 5 2" xfId="39707"/>
    <cellStyle name="Separador de milhares 3 13 3 6 2 6" xfId="33321"/>
    <cellStyle name="Separador de milhares 3 13 3 6 3" xfId="8752"/>
    <cellStyle name="Separador de milhares 3 13 3 6 3 2" xfId="26966"/>
    <cellStyle name="Separador de milhares 3 13 3 6 3 2 2" xfId="53196"/>
    <cellStyle name="Separador de milhares 3 13 3 6 3 3" xfId="21052"/>
    <cellStyle name="Separador de milhares 3 13 3 6 3 3 2" xfId="47288"/>
    <cellStyle name="Separador de milhares 3 13 3 6 3 4" xfId="15138"/>
    <cellStyle name="Separador de milhares 3 13 3 6 3 4 2" xfId="41380"/>
    <cellStyle name="Separador de milhares 3 13 3 6 3 5" xfId="34994"/>
    <cellStyle name="Separador de milhares 3 13 3 6 4" xfId="5377"/>
    <cellStyle name="Separador de milhares 3 13 3 6 4 2" xfId="24009"/>
    <cellStyle name="Separador de milhares 3 13 3 6 4 2 2" xfId="50242"/>
    <cellStyle name="Separador de milhares 3 13 3 6 4 3" xfId="31622"/>
    <cellStyle name="Separador de milhares 3 13 3 6 5" xfId="18095"/>
    <cellStyle name="Separador de milhares 3 13 3 6 5 2" xfId="44334"/>
    <cellStyle name="Separador de milhares 3 13 3 6 6" xfId="11764"/>
    <cellStyle name="Separador de milhares 3 13 3 6 6 2" xfId="38006"/>
    <cellStyle name="Separador de milhares 3 13 3 6 7" xfId="29924"/>
    <cellStyle name="Separador de milhares 3 13 3 7" xfId="2740"/>
    <cellStyle name="Separador de milhares 3 13 3 7 2" xfId="7223"/>
    <cellStyle name="Separador de milhares 3 13 3 7 2 2" xfId="10367"/>
    <cellStyle name="Separador de milhares 3 13 3 7 2 2 2" xfId="28581"/>
    <cellStyle name="Separador de milhares 3 13 3 7 2 2 2 2" xfId="54811"/>
    <cellStyle name="Separador de milhares 3 13 3 7 2 2 3" xfId="22667"/>
    <cellStyle name="Separador de milhares 3 13 3 7 2 2 3 2" xfId="48903"/>
    <cellStyle name="Separador de milhares 3 13 3 7 2 2 4" xfId="16753"/>
    <cellStyle name="Separador de milhares 3 13 3 7 2 2 4 2" xfId="42995"/>
    <cellStyle name="Separador de milhares 3 13 3 7 2 2 5" xfId="36609"/>
    <cellStyle name="Separador de milhares 3 13 3 7 2 3" xfId="25624"/>
    <cellStyle name="Separador de milhares 3 13 3 7 2 3 2" xfId="51857"/>
    <cellStyle name="Separador de milhares 3 13 3 7 2 4" xfId="19710"/>
    <cellStyle name="Separador de milhares 3 13 3 7 2 4 2" xfId="45949"/>
    <cellStyle name="Separador de milhares 3 13 3 7 2 5" xfId="13612"/>
    <cellStyle name="Separador de milhares 3 13 3 7 2 5 2" xfId="39854"/>
    <cellStyle name="Separador de milhares 3 13 3 7 2 6" xfId="33468"/>
    <cellStyle name="Separador de milhares 3 13 3 7 3" xfId="8899"/>
    <cellStyle name="Separador de milhares 3 13 3 7 3 2" xfId="27113"/>
    <cellStyle name="Separador de milhares 3 13 3 7 3 2 2" xfId="53343"/>
    <cellStyle name="Separador de milhares 3 13 3 7 3 3" xfId="21199"/>
    <cellStyle name="Separador de milhares 3 13 3 7 3 3 2" xfId="47435"/>
    <cellStyle name="Separador de milhares 3 13 3 7 3 4" xfId="15285"/>
    <cellStyle name="Separador de milhares 3 13 3 7 3 4 2" xfId="41527"/>
    <cellStyle name="Separador de milhares 3 13 3 7 3 5" xfId="35141"/>
    <cellStyle name="Separador de milhares 3 13 3 7 4" xfId="5524"/>
    <cellStyle name="Separador de milhares 3 13 3 7 4 2" xfId="24156"/>
    <cellStyle name="Separador de milhares 3 13 3 7 4 2 2" xfId="50389"/>
    <cellStyle name="Separador de milhares 3 13 3 7 4 3" xfId="31769"/>
    <cellStyle name="Separador de milhares 3 13 3 7 5" xfId="18242"/>
    <cellStyle name="Separador de milhares 3 13 3 7 5 2" xfId="44481"/>
    <cellStyle name="Separador de milhares 3 13 3 7 6" xfId="11911"/>
    <cellStyle name="Separador de milhares 3 13 3 7 6 2" xfId="38153"/>
    <cellStyle name="Separador de milhares 3 13 3 7 7" xfId="30071"/>
    <cellStyle name="Separador de milhares 3 13 3 8" xfId="3267"/>
    <cellStyle name="Separador de milhares 3 13 3 8 2" xfId="7370"/>
    <cellStyle name="Separador de milhares 3 13 3 8 2 2" xfId="10514"/>
    <cellStyle name="Separador de milhares 3 13 3 8 2 2 2" xfId="28728"/>
    <cellStyle name="Separador de milhares 3 13 3 8 2 2 2 2" xfId="54958"/>
    <cellStyle name="Separador de milhares 3 13 3 8 2 2 3" xfId="22814"/>
    <cellStyle name="Separador de milhares 3 13 3 8 2 2 3 2" xfId="49050"/>
    <cellStyle name="Separador de milhares 3 13 3 8 2 2 4" xfId="16900"/>
    <cellStyle name="Separador de milhares 3 13 3 8 2 2 4 2" xfId="43142"/>
    <cellStyle name="Separador de milhares 3 13 3 8 2 2 5" xfId="36756"/>
    <cellStyle name="Separador de milhares 3 13 3 8 2 3" xfId="25771"/>
    <cellStyle name="Separador de milhares 3 13 3 8 2 3 2" xfId="52004"/>
    <cellStyle name="Separador de milhares 3 13 3 8 2 4" xfId="19857"/>
    <cellStyle name="Separador de milhares 3 13 3 8 2 4 2" xfId="46096"/>
    <cellStyle name="Separador de milhares 3 13 3 8 2 5" xfId="13759"/>
    <cellStyle name="Separador de milhares 3 13 3 8 2 5 2" xfId="40001"/>
    <cellStyle name="Separador de milhares 3 13 3 8 2 6" xfId="33615"/>
    <cellStyle name="Separador de milhares 3 13 3 8 3" xfId="9046"/>
    <cellStyle name="Separador de milhares 3 13 3 8 3 2" xfId="27260"/>
    <cellStyle name="Separador de milhares 3 13 3 8 3 2 2" xfId="53490"/>
    <cellStyle name="Separador de milhares 3 13 3 8 3 3" xfId="21346"/>
    <cellStyle name="Separador de milhares 3 13 3 8 3 3 2" xfId="47582"/>
    <cellStyle name="Separador de milhares 3 13 3 8 3 4" xfId="15432"/>
    <cellStyle name="Separador de milhares 3 13 3 8 3 4 2" xfId="41674"/>
    <cellStyle name="Separador de milhares 3 13 3 8 3 5" xfId="35288"/>
    <cellStyle name="Separador de milhares 3 13 3 8 4" xfId="5671"/>
    <cellStyle name="Separador de milhares 3 13 3 8 4 2" xfId="24303"/>
    <cellStyle name="Separador de milhares 3 13 3 8 4 2 2" xfId="50536"/>
    <cellStyle name="Separador de milhares 3 13 3 8 4 3" xfId="31916"/>
    <cellStyle name="Separador de milhares 3 13 3 8 5" xfId="18389"/>
    <cellStyle name="Separador de milhares 3 13 3 8 5 2" xfId="44628"/>
    <cellStyle name="Separador de milhares 3 13 3 8 6" xfId="12058"/>
    <cellStyle name="Separador de milhares 3 13 3 8 6 2" xfId="38300"/>
    <cellStyle name="Separador de milhares 3 13 3 8 7" xfId="30218"/>
    <cellStyle name="Separador de milhares 3 13 3 9" xfId="3794"/>
    <cellStyle name="Separador de milhares 3 13 3 9 2" xfId="7517"/>
    <cellStyle name="Separador de milhares 3 13 3 9 2 2" xfId="10661"/>
    <cellStyle name="Separador de milhares 3 13 3 9 2 2 2" xfId="28875"/>
    <cellStyle name="Separador de milhares 3 13 3 9 2 2 2 2" xfId="55105"/>
    <cellStyle name="Separador de milhares 3 13 3 9 2 2 3" xfId="22961"/>
    <cellStyle name="Separador de milhares 3 13 3 9 2 2 3 2" xfId="49197"/>
    <cellStyle name="Separador de milhares 3 13 3 9 2 2 4" xfId="17047"/>
    <cellStyle name="Separador de milhares 3 13 3 9 2 2 4 2" xfId="43289"/>
    <cellStyle name="Separador de milhares 3 13 3 9 2 2 5" xfId="36903"/>
    <cellStyle name="Separador de milhares 3 13 3 9 2 3" xfId="25918"/>
    <cellStyle name="Separador de milhares 3 13 3 9 2 3 2" xfId="52151"/>
    <cellStyle name="Separador de milhares 3 13 3 9 2 4" xfId="20004"/>
    <cellStyle name="Separador de milhares 3 13 3 9 2 4 2" xfId="46243"/>
    <cellStyle name="Separador de milhares 3 13 3 9 2 5" xfId="13906"/>
    <cellStyle name="Separador de milhares 3 13 3 9 2 5 2" xfId="40148"/>
    <cellStyle name="Separador de milhares 3 13 3 9 2 6" xfId="33762"/>
    <cellStyle name="Separador de milhares 3 13 3 9 3" xfId="9193"/>
    <cellStyle name="Separador de milhares 3 13 3 9 3 2" xfId="27407"/>
    <cellStyle name="Separador de milhares 3 13 3 9 3 2 2" xfId="53637"/>
    <cellStyle name="Separador de milhares 3 13 3 9 3 3" xfId="21493"/>
    <cellStyle name="Separador de milhares 3 13 3 9 3 3 2" xfId="47729"/>
    <cellStyle name="Separador de milhares 3 13 3 9 3 4" xfId="15579"/>
    <cellStyle name="Separador de milhares 3 13 3 9 3 4 2" xfId="41821"/>
    <cellStyle name="Separador de milhares 3 13 3 9 3 5" xfId="35435"/>
    <cellStyle name="Separador de milhares 3 13 3 9 4" xfId="5818"/>
    <cellStyle name="Separador de milhares 3 13 3 9 4 2" xfId="24450"/>
    <cellStyle name="Separador de milhares 3 13 3 9 4 2 2" xfId="50683"/>
    <cellStyle name="Separador de milhares 3 13 3 9 4 3" xfId="32063"/>
    <cellStyle name="Separador de milhares 3 13 3 9 5" xfId="18536"/>
    <cellStyle name="Separador de milhares 3 13 3 9 5 2" xfId="44775"/>
    <cellStyle name="Separador de milhares 3 13 3 9 6" xfId="12205"/>
    <cellStyle name="Separador de milhares 3 13 3 9 6 2" xfId="38447"/>
    <cellStyle name="Separador de milhares 3 13 3 9 7" xfId="30365"/>
    <cellStyle name="Separador de milhares 3 13 4" xfId="430"/>
    <cellStyle name="Separador de milhares 3 13 4 10" xfId="6564"/>
    <cellStyle name="Separador de milhares 3 13 4 10 2" xfId="9712"/>
    <cellStyle name="Separador de milhares 3 13 4 10 2 2" xfId="27926"/>
    <cellStyle name="Separador de milhares 3 13 4 10 2 2 2" xfId="54156"/>
    <cellStyle name="Separador de milhares 3 13 4 10 2 3" xfId="22012"/>
    <cellStyle name="Separador de milhares 3 13 4 10 2 3 2" xfId="48248"/>
    <cellStyle name="Separador de milhares 3 13 4 10 2 4" xfId="16098"/>
    <cellStyle name="Separador de milhares 3 13 4 10 2 4 2" xfId="42340"/>
    <cellStyle name="Separador de milhares 3 13 4 10 2 5" xfId="35954"/>
    <cellStyle name="Separador de milhares 3 13 4 10 3" xfId="24969"/>
    <cellStyle name="Separador de milhares 3 13 4 10 3 2" xfId="51202"/>
    <cellStyle name="Separador de milhares 3 13 4 10 4" xfId="19055"/>
    <cellStyle name="Separador de milhares 3 13 4 10 4 2" xfId="45294"/>
    <cellStyle name="Separador de milhares 3 13 4 10 5" xfId="12953"/>
    <cellStyle name="Separador de milhares 3 13 4 10 5 2" xfId="39195"/>
    <cellStyle name="Separador de milhares 3 13 4 10 6" xfId="32809"/>
    <cellStyle name="Separador de milhares 3 13 4 11" xfId="8241"/>
    <cellStyle name="Separador de milhares 3 13 4 11 2" xfId="26455"/>
    <cellStyle name="Separador de milhares 3 13 4 11 2 2" xfId="52688"/>
    <cellStyle name="Separador de milhares 3 13 4 11 3" xfId="20541"/>
    <cellStyle name="Separador de milhares 3 13 4 11 3 2" xfId="46780"/>
    <cellStyle name="Separador de milhares 3 13 4 11 4" xfId="14630"/>
    <cellStyle name="Separador de milhares 3 13 4 11 4 2" xfId="40872"/>
    <cellStyle name="Separador de milhares 3 13 4 11 5" xfId="34486"/>
    <cellStyle name="Separador de milhares 3 13 4 12" xfId="4863"/>
    <cellStyle name="Separador de milhares 3 13 4 12 2" xfId="23498"/>
    <cellStyle name="Separador de milhares 3 13 4 12 2 2" xfId="49734"/>
    <cellStyle name="Separador de milhares 3 13 4 12 3" xfId="31110"/>
    <cellStyle name="Separador de milhares 3 13 4 13" xfId="17584"/>
    <cellStyle name="Separador de milhares 3 13 4 13 2" xfId="43826"/>
    <cellStyle name="Separador de milhares 3 13 4 14" xfId="11252"/>
    <cellStyle name="Separador de milhares 3 13 4 14 2" xfId="37494"/>
    <cellStyle name="Separador de milhares 3 13 4 15" xfId="29412"/>
    <cellStyle name="Separador de milhares 3 13 4 2" xfId="1075"/>
    <cellStyle name="Separador de milhares 3 13 4 2 2" xfId="6761"/>
    <cellStyle name="Separador de milhares 3 13 4 2 2 2" xfId="9908"/>
    <cellStyle name="Separador de milhares 3 13 4 2 2 2 2" xfId="28122"/>
    <cellStyle name="Separador de milhares 3 13 4 2 2 2 2 2" xfId="54352"/>
    <cellStyle name="Separador de milhares 3 13 4 2 2 2 3" xfId="22208"/>
    <cellStyle name="Separador de milhares 3 13 4 2 2 2 3 2" xfId="48444"/>
    <cellStyle name="Separador de milhares 3 13 4 2 2 2 4" xfId="16294"/>
    <cellStyle name="Separador de milhares 3 13 4 2 2 2 4 2" xfId="42536"/>
    <cellStyle name="Separador de milhares 3 13 4 2 2 2 5" xfId="36150"/>
    <cellStyle name="Separador de milhares 3 13 4 2 2 3" xfId="25165"/>
    <cellStyle name="Separador de milhares 3 13 4 2 2 3 2" xfId="51398"/>
    <cellStyle name="Separador de milhares 3 13 4 2 2 4" xfId="19251"/>
    <cellStyle name="Separador de milhares 3 13 4 2 2 4 2" xfId="45490"/>
    <cellStyle name="Separador de milhares 3 13 4 2 2 5" xfId="13150"/>
    <cellStyle name="Separador de milhares 3 13 4 2 2 5 2" xfId="39392"/>
    <cellStyle name="Separador de milhares 3 13 4 2 2 6" xfId="33006"/>
    <cellStyle name="Separador de milhares 3 13 4 2 3" xfId="8440"/>
    <cellStyle name="Separador de milhares 3 13 4 2 3 2" xfId="26654"/>
    <cellStyle name="Separador de milhares 3 13 4 2 3 2 2" xfId="52884"/>
    <cellStyle name="Separador de milhares 3 13 4 2 3 3" xfId="20740"/>
    <cellStyle name="Separador de milhares 3 13 4 2 3 3 2" xfId="46976"/>
    <cellStyle name="Separador de milhares 3 13 4 2 3 4" xfId="14826"/>
    <cellStyle name="Separador de milhares 3 13 4 2 3 4 2" xfId="41068"/>
    <cellStyle name="Separador de milhares 3 13 4 2 3 5" xfId="34682"/>
    <cellStyle name="Separador de milhares 3 13 4 2 4" xfId="5062"/>
    <cellStyle name="Separador de milhares 3 13 4 2 4 2" xfId="23697"/>
    <cellStyle name="Separador de milhares 3 13 4 2 4 2 2" xfId="49930"/>
    <cellStyle name="Separador de milhares 3 13 4 2 4 3" xfId="31307"/>
    <cellStyle name="Separador de milhares 3 13 4 2 5" xfId="17783"/>
    <cellStyle name="Separador de milhares 3 13 4 2 5 2" xfId="44022"/>
    <cellStyle name="Separador de milhares 3 13 4 2 6" xfId="11449"/>
    <cellStyle name="Separador de milhares 3 13 4 2 6 2" xfId="37691"/>
    <cellStyle name="Separador de milhares 3 13 4 2 7" xfId="29609"/>
    <cellStyle name="Separador de milhares 3 13 4 3" xfId="1426"/>
    <cellStyle name="Separador de milhares 3 13 4 3 2" xfId="6859"/>
    <cellStyle name="Separador de milhares 3 13 4 3 2 2" xfId="10006"/>
    <cellStyle name="Separador de milhares 3 13 4 3 2 2 2" xfId="28220"/>
    <cellStyle name="Separador de milhares 3 13 4 3 2 2 2 2" xfId="54450"/>
    <cellStyle name="Separador de milhares 3 13 4 3 2 2 3" xfId="22306"/>
    <cellStyle name="Separador de milhares 3 13 4 3 2 2 3 2" xfId="48542"/>
    <cellStyle name="Separador de milhares 3 13 4 3 2 2 4" xfId="16392"/>
    <cellStyle name="Separador de milhares 3 13 4 3 2 2 4 2" xfId="42634"/>
    <cellStyle name="Separador de milhares 3 13 4 3 2 2 5" xfId="36248"/>
    <cellStyle name="Separador de milhares 3 13 4 3 2 3" xfId="25263"/>
    <cellStyle name="Separador de milhares 3 13 4 3 2 3 2" xfId="51496"/>
    <cellStyle name="Separador de milhares 3 13 4 3 2 4" xfId="19349"/>
    <cellStyle name="Separador de milhares 3 13 4 3 2 4 2" xfId="45588"/>
    <cellStyle name="Separador de milhares 3 13 4 3 2 5" xfId="13248"/>
    <cellStyle name="Separador de milhares 3 13 4 3 2 5 2" xfId="39490"/>
    <cellStyle name="Separador de milhares 3 13 4 3 2 6" xfId="33104"/>
    <cellStyle name="Separador de milhares 3 13 4 3 3" xfId="8538"/>
    <cellStyle name="Separador de milhares 3 13 4 3 3 2" xfId="26752"/>
    <cellStyle name="Separador de milhares 3 13 4 3 3 2 2" xfId="52982"/>
    <cellStyle name="Separador de milhares 3 13 4 3 3 3" xfId="20838"/>
    <cellStyle name="Separador de milhares 3 13 4 3 3 3 2" xfId="47074"/>
    <cellStyle name="Separador de milhares 3 13 4 3 3 4" xfId="14924"/>
    <cellStyle name="Separador de milhares 3 13 4 3 3 4 2" xfId="41166"/>
    <cellStyle name="Separador de milhares 3 13 4 3 3 5" xfId="34780"/>
    <cellStyle name="Separador de milhares 3 13 4 3 4" xfId="5160"/>
    <cellStyle name="Separador de milhares 3 13 4 3 4 2" xfId="23795"/>
    <cellStyle name="Separador de milhares 3 13 4 3 4 2 2" xfId="50028"/>
    <cellStyle name="Separador de milhares 3 13 4 3 4 3" xfId="31405"/>
    <cellStyle name="Separador de milhares 3 13 4 3 5" xfId="17881"/>
    <cellStyle name="Separador de milhares 3 13 4 3 5 2" xfId="44120"/>
    <cellStyle name="Separador de milhares 3 13 4 3 6" xfId="11547"/>
    <cellStyle name="Separador de milhares 3 13 4 3 6 2" xfId="37789"/>
    <cellStyle name="Separador de milhares 3 13 4 3 7" xfId="29707"/>
    <cellStyle name="Separador de milhares 3 13 4 4" xfId="1861"/>
    <cellStyle name="Separador de milhares 3 13 4 4 2" xfId="6978"/>
    <cellStyle name="Separador de milhares 3 13 4 4 2 2" xfId="10125"/>
    <cellStyle name="Separador de milhares 3 13 4 4 2 2 2" xfId="28339"/>
    <cellStyle name="Separador de milhares 3 13 4 4 2 2 2 2" xfId="54569"/>
    <cellStyle name="Separador de milhares 3 13 4 4 2 2 3" xfId="22425"/>
    <cellStyle name="Separador de milhares 3 13 4 4 2 2 3 2" xfId="48661"/>
    <cellStyle name="Separador de milhares 3 13 4 4 2 2 4" xfId="16511"/>
    <cellStyle name="Separador de milhares 3 13 4 4 2 2 4 2" xfId="42753"/>
    <cellStyle name="Separador de milhares 3 13 4 4 2 2 5" xfId="36367"/>
    <cellStyle name="Separador de milhares 3 13 4 4 2 3" xfId="25382"/>
    <cellStyle name="Separador de milhares 3 13 4 4 2 3 2" xfId="51615"/>
    <cellStyle name="Separador de milhares 3 13 4 4 2 4" xfId="19468"/>
    <cellStyle name="Separador de milhares 3 13 4 4 2 4 2" xfId="45707"/>
    <cellStyle name="Separador de milhares 3 13 4 4 2 5" xfId="13367"/>
    <cellStyle name="Separador de milhares 3 13 4 4 2 5 2" xfId="39609"/>
    <cellStyle name="Separador de milhares 3 13 4 4 2 6" xfId="33223"/>
    <cellStyle name="Separador de milhares 3 13 4 4 3" xfId="8657"/>
    <cellStyle name="Separador de milhares 3 13 4 4 3 2" xfId="26871"/>
    <cellStyle name="Separador de milhares 3 13 4 4 3 2 2" xfId="53101"/>
    <cellStyle name="Separador de milhares 3 13 4 4 3 3" xfId="20957"/>
    <cellStyle name="Separador de milhares 3 13 4 4 3 3 2" xfId="47193"/>
    <cellStyle name="Separador de milhares 3 13 4 4 3 4" xfId="15043"/>
    <cellStyle name="Separador de milhares 3 13 4 4 3 4 2" xfId="41285"/>
    <cellStyle name="Separador de milhares 3 13 4 4 3 5" xfId="34899"/>
    <cellStyle name="Separador de milhares 3 13 4 4 4" xfId="5279"/>
    <cellStyle name="Separador de milhares 3 13 4 4 4 2" xfId="23914"/>
    <cellStyle name="Separador de milhares 3 13 4 4 4 2 2" xfId="50147"/>
    <cellStyle name="Separador de milhares 3 13 4 4 4 3" xfId="31524"/>
    <cellStyle name="Separador de milhares 3 13 4 4 5" xfId="18000"/>
    <cellStyle name="Separador de milhares 3 13 4 4 5 2" xfId="44239"/>
    <cellStyle name="Separador de milhares 3 13 4 4 6" xfId="11666"/>
    <cellStyle name="Separador de milhares 3 13 4 4 6 2" xfId="37908"/>
    <cellStyle name="Separador de milhares 3 13 4 4 7" xfId="29826"/>
    <cellStyle name="Separador de milhares 3 13 4 5" xfId="2391"/>
    <cellStyle name="Separador de milhares 3 13 4 5 2" xfId="7128"/>
    <cellStyle name="Separador de milhares 3 13 4 5 2 2" xfId="10272"/>
    <cellStyle name="Separador de milhares 3 13 4 5 2 2 2" xfId="28486"/>
    <cellStyle name="Separador de milhares 3 13 4 5 2 2 2 2" xfId="54716"/>
    <cellStyle name="Separador de milhares 3 13 4 5 2 2 3" xfId="22572"/>
    <cellStyle name="Separador de milhares 3 13 4 5 2 2 3 2" xfId="48808"/>
    <cellStyle name="Separador de milhares 3 13 4 5 2 2 4" xfId="16658"/>
    <cellStyle name="Separador de milhares 3 13 4 5 2 2 4 2" xfId="42900"/>
    <cellStyle name="Separador de milhares 3 13 4 5 2 2 5" xfId="36514"/>
    <cellStyle name="Separador de milhares 3 13 4 5 2 3" xfId="25529"/>
    <cellStyle name="Separador de milhares 3 13 4 5 2 3 2" xfId="51762"/>
    <cellStyle name="Separador de milhares 3 13 4 5 2 4" xfId="19615"/>
    <cellStyle name="Separador de milhares 3 13 4 5 2 4 2" xfId="45854"/>
    <cellStyle name="Separador de milhares 3 13 4 5 2 5" xfId="13517"/>
    <cellStyle name="Separador de milhares 3 13 4 5 2 5 2" xfId="39759"/>
    <cellStyle name="Separador de milhares 3 13 4 5 2 6" xfId="33373"/>
    <cellStyle name="Separador de milhares 3 13 4 5 3" xfId="8804"/>
    <cellStyle name="Separador de milhares 3 13 4 5 3 2" xfId="27018"/>
    <cellStyle name="Separador de milhares 3 13 4 5 3 2 2" xfId="53248"/>
    <cellStyle name="Separador de milhares 3 13 4 5 3 3" xfId="21104"/>
    <cellStyle name="Separador de milhares 3 13 4 5 3 3 2" xfId="47340"/>
    <cellStyle name="Separador de milhares 3 13 4 5 3 4" xfId="15190"/>
    <cellStyle name="Separador de milhares 3 13 4 5 3 4 2" xfId="41432"/>
    <cellStyle name="Separador de milhares 3 13 4 5 3 5" xfId="35046"/>
    <cellStyle name="Separador de milhares 3 13 4 5 4" xfId="5429"/>
    <cellStyle name="Separador de milhares 3 13 4 5 4 2" xfId="24061"/>
    <cellStyle name="Separador de milhares 3 13 4 5 4 2 2" xfId="50294"/>
    <cellStyle name="Separador de milhares 3 13 4 5 4 3" xfId="31674"/>
    <cellStyle name="Separador de milhares 3 13 4 5 5" xfId="18147"/>
    <cellStyle name="Separador de milhares 3 13 4 5 5 2" xfId="44386"/>
    <cellStyle name="Separador de milhares 3 13 4 5 6" xfId="11816"/>
    <cellStyle name="Separador de milhares 3 13 4 5 6 2" xfId="38058"/>
    <cellStyle name="Separador de milhares 3 13 4 5 7" xfId="29976"/>
    <cellStyle name="Separador de milhares 3 13 4 6" xfId="2918"/>
    <cellStyle name="Separador de milhares 3 13 4 6 2" xfId="7275"/>
    <cellStyle name="Separador de milhares 3 13 4 6 2 2" xfId="10419"/>
    <cellStyle name="Separador de milhares 3 13 4 6 2 2 2" xfId="28633"/>
    <cellStyle name="Separador de milhares 3 13 4 6 2 2 2 2" xfId="54863"/>
    <cellStyle name="Separador de milhares 3 13 4 6 2 2 3" xfId="22719"/>
    <cellStyle name="Separador de milhares 3 13 4 6 2 2 3 2" xfId="48955"/>
    <cellStyle name="Separador de milhares 3 13 4 6 2 2 4" xfId="16805"/>
    <cellStyle name="Separador de milhares 3 13 4 6 2 2 4 2" xfId="43047"/>
    <cellStyle name="Separador de milhares 3 13 4 6 2 2 5" xfId="36661"/>
    <cellStyle name="Separador de milhares 3 13 4 6 2 3" xfId="25676"/>
    <cellStyle name="Separador de milhares 3 13 4 6 2 3 2" xfId="51909"/>
    <cellStyle name="Separador de milhares 3 13 4 6 2 4" xfId="19762"/>
    <cellStyle name="Separador de milhares 3 13 4 6 2 4 2" xfId="46001"/>
    <cellStyle name="Separador de milhares 3 13 4 6 2 5" xfId="13664"/>
    <cellStyle name="Separador de milhares 3 13 4 6 2 5 2" xfId="39906"/>
    <cellStyle name="Separador de milhares 3 13 4 6 2 6" xfId="33520"/>
    <cellStyle name="Separador de milhares 3 13 4 6 3" xfId="8951"/>
    <cellStyle name="Separador de milhares 3 13 4 6 3 2" xfId="27165"/>
    <cellStyle name="Separador de milhares 3 13 4 6 3 2 2" xfId="53395"/>
    <cellStyle name="Separador de milhares 3 13 4 6 3 3" xfId="21251"/>
    <cellStyle name="Separador de milhares 3 13 4 6 3 3 2" xfId="47487"/>
    <cellStyle name="Separador de milhares 3 13 4 6 3 4" xfId="15337"/>
    <cellStyle name="Separador de milhares 3 13 4 6 3 4 2" xfId="41579"/>
    <cellStyle name="Separador de milhares 3 13 4 6 3 5" xfId="35193"/>
    <cellStyle name="Separador de milhares 3 13 4 6 4" xfId="5576"/>
    <cellStyle name="Separador de milhares 3 13 4 6 4 2" xfId="24208"/>
    <cellStyle name="Separador de milhares 3 13 4 6 4 2 2" xfId="50441"/>
    <cellStyle name="Separador de milhares 3 13 4 6 4 3" xfId="31821"/>
    <cellStyle name="Separador de milhares 3 13 4 6 5" xfId="18294"/>
    <cellStyle name="Separador de milhares 3 13 4 6 5 2" xfId="44533"/>
    <cellStyle name="Separador de milhares 3 13 4 6 6" xfId="11963"/>
    <cellStyle name="Separador de milhares 3 13 4 6 6 2" xfId="38205"/>
    <cellStyle name="Separador de milhares 3 13 4 6 7" xfId="30123"/>
    <cellStyle name="Separador de milhares 3 13 4 7" xfId="3445"/>
    <cellStyle name="Separador de milhares 3 13 4 7 2" xfId="7422"/>
    <cellStyle name="Separador de milhares 3 13 4 7 2 2" xfId="10566"/>
    <cellStyle name="Separador de milhares 3 13 4 7 2 2 2" xfId="28780"/>
    <cellStyle name="Separador de milhares 3 13 4 7 2 2 2 2" xfId="55010"/>
    <cellStyle name="Separador de milhares 3 13 4 7 2 2 3" xfId="22866"/>
    <cellStyle name="Separador de milhares 3 13 4 7 2 2 3 2" xfId="49102"/>
    <cellStyle name="Separador de milhares 3 13 4 7 2 2 4" xfId="16952"/>
    <cellStyle name="Separador de milhares 3 13 4 7 2 2 4 2" xfId="43194"/>
    <cellStyle name="Separador de milhares 3 13 4 7 2 2 5" xfId="36808"/>
    <cellStyle name="Separador de milhares 3 13 4 7 2 3" xfId="25823"/>
    <cellStyle name="Separador de milhares 3 13 4 7 2 3 2" xfId="52056"/>
    <cellStyle name="Separador de milhares 3 13 4 7 2 4" xfId="19909"/>
    <cellStyle name="Separador de milhares 3 13 4 7 2 4 2" xfId="46148"/>
    <cellStyle name="Separador de milhares 3 13 4 7 2 5" xfId="13811"/>
    <cellStyle name="Separador de milhares 3 13 4 7 2 5 2" xfId="40053"/>
    <cellStyle name="Separador de milhares 3 13 4 7 2 6" xfId="33667"/>
    <cellStyle name="Separador de milhares 3 13 4 7 3" xfId="9098"/>
    <cellStyle name="Separador de milhares 3 13 4 7 3 2" xfId="27312"/>
    <cellStyle name="Separador de milhares 3 13 4 7 3 2 2" xfId="53542"/>
    <cellStyle name="Separador de milhares 3 13 4 7 3 3" xfId="21398"/>
    <cellStyle name="Separador de milhares 3 13 4 7 3 3 2" xfId="47634"/>
    <cellStyle name="Separador de milhares 3 13 4 7 3 4" xfId="15484"/>
    <cellStyle name="Separador de milhares 3 13 4 7 3 4 2" xfId="41726"/>
    <cellStyle name="Separador de milhares 3 13 4 7 3 5" xfId="35340"/>
    <cellStyle name="Separador de milhares 3 13 4 7 4" xfId="5723"/>
    <cellStyle name="Separador de milhares 3 13 4 7 4 2" xfId="24355"/>
    <cellStyle name="Separador de milhares 3 13 4 7 4 2 2" xfId="50588"/>
    <cellStyle name="Separador de milhares 3 13 4 7 4 3" xfId="31968"/>
    <cellStyle name="Separador de milhares 3 13 4 7 5" xfId="18441"/>
    <cellStyle name="Separador de milhares 3 13 4 7 5 2" xfId="44680"/>
    <cellStyle name="Separador de milhares 3 13 4 7 6" xfId="12110"/>
    <cellStyle name="Separador de milhares 3 13 4 7 6 2" xfId="38352"/>
    <cellStyle name="Separador de milhares 3 13 4 7 7" xfId="30270"/>
    <cellStyle name="Separador de milhares 3 13 4 8" xfId="3972"/>
    <cellStyle name="Separador de milhares 3 13 4 8 2" xfId="7569"/>
    <cellStyle name="Separador de milhares 3 13 4 8 2 2" xfId="10713"/>
    <cellStyle name="Separador de milhares 3 13 4 8 2 2 2" xfId="28927"/>
    <cellStyle name="Separador de milhares 3 13 4 8 2 2 2 2" xfId="55157"/>
    <cellStyle name="Separador de milhares 3 13 4 8 2 2 3" xfId="23013"/>
    <cellStyle name="Separador de milhares 3 13 4 8 2 2 3 2" xfId="49249"/>
    <cellStyle name="Separador de milhares 3 13 4 8 2 2 4" xfId="17099"/>
    <cellStyle name="Separador de milhares 3 13 4 8 2 2 4 2" xfId="43341"/>
    <cellStyle name="Separador de milhares 3 13 4 8 2 2 5" xfId="36955"/>
    <cellStyle name="Separador de milhares 3 13 4 8 2 3" xfId="25970"/>
    <cellStyle name="Separador de milhares 3 13 4 8 2 3 2" xfId="52203"/>
    <cellStyle name="Separador de milhares 3 13 4 8 2 4" xfId="20056"/>
    <cellStyle name="Separador de milhares 3 13 4 8 2 4 2" xfId="46295"/>
    <cellStyle name="Separador de milhares 3 13 4 8 2 5" xfId="13958"/>
    <cellStyle name="Separador de milhares 3 13 4 8 2 5 2" xfId="40200"/>
    <cellStyle name="Separador de milhares 3 13 4 8 2 6" xfId="33814"/>
    <cellStyle name="Separador de milhares 3 13 4 8 3" xfId="9245"/>
    <cellStyle name="Separador de milhares 3 13 4 8 3 2" xfId="27459"/>
    <cellStyle name="Separador de milhares 3 13 4 8 3 2 2" xfId="53689"/>
    <cellStyle name="Separador de milhares 3 13 4 8 3 3" xfId="21545"/>
    <cellStyle name="Separador de milhares 3 13 4 8 3 3 2" xfId="47781"/>
    <cellStyle name="Separador de milhares 3 13 4 8 3 4" xfId="15631"/>
    <cellStyle name="Separador de milhares 3 13 4 8 3 4 2" xfId="41873"/>
    <cellStyle name="Separador de milhares 3 13 4 8 3 5" xfId="35487"/>
    <cellStyle name="Separador de milhares 3 13 4 8 4" xfId="5870"/>
    <cellStyle name="Separador de milhares 3 13 4 8 4 2" xfId="24502"/>
    <cellStyle name="Separador de milhares 3 13 4 8 4 2 2" xfId="50735"/>
    <cellStyle name="Separador de milhares 3 13 4 8 4 3" xfId="32115"/>
    <cellStyle name="Separador de milhares 3 13 4 8 5" xfId="18588"/>
    <cellStyle name="Separador de milhares 3 13 4 8 5 2" xfId="44827"/>
    <cellStyle name="Separador de milhares 3 13 4 8 6" xfId="12257"/>
    <cellStyle name="Separador de milhares 3 13 4 8 6 2" xfId="38499"/>
    <cellStyle name="Separador de milhares 3 13 4 8 7" xfId="30417"/>
    <cellStyle name="Separador de milhares 3 13 4 9" xfId="728"/>
    <cellStyle name="Separador de milhares 3 13 4 9 2" xfId="6663"/>
    <cellStyle name="Separador de milhares 3 13 4 9 2 2" xfId="9810"/>
    <cellStyle name="Separador de milhares 3 13 4 9 2 2 2" xfId="28024"/>
    <cellStyle name="Separador de milhares 3 13 4 9 2 2 2 2" xfId="54254"/>
    <cellStyle name="Separador de milhares 3 13 4 9 2 2 3" xfId="22110"/>
    <cellStyle name="Separador de milhares 3 13 4 9 2 2 3 2" xfId="48346"/>
    <cellStyle name="Separador de milhares 3 13 4 9 2 2 4" xfId="16196"/>
    <cellStyle name="Separador de milhares 3 13 4 9 2 2 4 2" xfId="42438"/>
    <cellStyle name="Separador de milhares 3 13 4 9 2 2 5" xfId="36052"/>
    <cellStyle name="Separador de milhares 3 13 4 9 2 3" xfId="25067"/>
    <cellStyle name="Separador de milhares 3 13 4 9 2 3 2" xfId="51300"/>
    <cellStyle name="Separador de milhares 3 13 4 9 2 4" xfId="19153"/>
    <cellStyle name="Separador de milhares 3 13 4 9 2 4 2" xfId="45392"/>
    <cellStyle name="Separador de milhares 3 13 4 9 2 5" xfId="13052"/>
    <cellStyle name="Separador de milhares 3 13 4 9 2 5 2" xfId="39294"/>
    <cellStyle name="Separador de milhares 3 13 4 9 2 6" xfId="32908"/>
    <cellStyle name="Separador de milhares 3 13 4 9 3" xfId="8342"/>
    <cellStyle name="Separador de milhares 3 13 4 9 3 2" xfId="26556"/>
    <cellStyle name="Separador de milhares 3 13 4 9 3 2 2" xfId="52786"/>
    <cellStyle name="Separador de milhares 3 13 4 9 3 3" xfId="20642"/>
    <cellStyle name="Separador de milhares 3 13 4 9 3 3 2" xfId="46878"/>
    <cellStyle name="Separador de milhares 3 13 4 9 3 4" xfId="14728"/>
    <cellStyle name="Separador de milhares 3 13 4 9 3 4 2" xfId="40970"/>
    <cellStyle name="Separador de milhares 3 13 4 9 3 5" xfId="34584"/>
    <cellStyle name="Separador de milhares 3 13 4 9 4" xfId="4964"/>
    <cellStyle name="Separador de milhares 3 13 4 9 4 2" xfId="23599"/>
    <cellStyle name="Separador de milhares 3 13 4 9 4 2 2" xfId="49832"/>
    <cellStyle name="Separador de milhares 3 13 4 9 4 3" xfId="31209"/>
    <cellStyle name="Separador de milhares 3 13 4 9 5" xfId="17685"/>
    <cellStyle name="Separador de milhares 3 13 4 9 5 2" xfId="43924"/>
    <cellStyle name="Separador de milhares 3 13 4 9 6" xfId="11351"/>
    <cellStyle name="Separador de milhares 3 13 4 9 6 2" xfId="37593"/>
    <cellStyle name="Separador de milhares 3 13 4 9 7" xfId="29511"/>
    <cellStyle name="Separador de milhares 3 13 5" xfId="687"/>
    <cellStyle name="Separador de milhares 3 13 5 10" xfId="4928"/>
    <cellStyle name="Separador de milhares 3 13 5 10 2" xfId="23562"/>
    <cellStyle name="Separador de milhares 3 13 5 10 2 2" xfId="49798"/>
    <cellStyle name="Separador de milhares 3 13 5 10 3" xfId="31175"/>
    <cellStyle name="Separador de milhares 3 13 5 11" xfId="17648"/>
    <cellStyle name="Separador de milhares 3 13 5 11 2" xfId="43890"/>
    <cellStyle name="Separador de milhares 3 13 5 12" xfId="11317"/>
    <cellStyle name="Separador de milhares 3 13 5 12 2" xfId="37559"/>
    <cellStyle name="Separador de milhares 3 13 5 13" xfId="29477"/>
    <cellStyle name="Separador de milhares 3 13 5 2" xfId="1510"/>
    <cellStyle name="Separador de milhares 3 13 5 2 2" xfId="6880"/>
    <cellStyle name="Separador de milhares 3 13 5 2 2 2" xfId="10027"/>
    <cellStyle name="Separador de milhares 3 13 5 2 2 2 2" xfId="28241"/>
    <cellStyle name="Separador de milhares 3 13 5 2 2 2 2 2" xfId="54471"/>
    <cellStyle name="Separador de milhares 3 13 5 2 2 2 3" xfId="22327"/>
    <cellStyle name="Separador de milhares 3 13 5 2 2 2 3 2" xfId="48563"/>
    <cellStyle name="Separador de milhares 3 13 5 2 2 2 4" xfId="16413"/>
    <cellStyle name="Separador de milhares 3 13 5 2 2 2 4 2" xfId="42655"/>
    <cellStyle name="Separador de milhares 3 13 5 2 2 2 5" xfId="36269"/>
    <cellStyle name="Separador de milhares 3 13 5 2 2 3" xfId="25284"/>
    <cellStyle name="Separador de milhares 3 13 5 2 2 3 2" xfId="51517"/>
    <cellStyle name="Separador de milhares 3 13 5 2 2 4" xfId="19370"/>
    <cellStyle name="Separador de milhares 3 13 5 2 2 4 2" xfId="45609"/>
    <cellStyle name="Separador de milhares 3 13 5 2 2 5" xfId="13269"/>
    <cellStyle name="Separador de milhares 3 13 5 2 2 5 2" xfId="39511"/>
    <cellStyle name="Separador de milhares 3 13 5 2 2 6" xfId="33125"/>
    <cellStyle name="Separador de milhares 3 13 5 2 3" xfId="8559"/>
    <cellStyle name="Separador de milhares 3 13 5 2 3 2" xfId="26773"/>
    <cellStyle name="Separador de milhares 3 13 5 2 3 2 2" xfId="53003"/>
    <cellStyle name="Separador de milhares 3 13 5 2 3 3" xfId="20859"/>
    <cellStyle name="Separador de milhares 3 13 5 2 3 3 2" xfId="47095"/>
    <cellStyle name="Separador de milhares 3 13 5 2 3 4" xfId="14945"/>
    <cellStyle name="Separador de milhares 3 13 5 2 3 4 2" xfId="41187"/>
    <cellStyle name="Separador de milhares 3 13 5 2 3 5" xfId="34801"/>
    <cellStyle name="Separador de milhares 3 13 5 2 4" xfId="5181"/>
    <cellStyle name="Separador de milhares 3 13 5 2 4 2" xfId="23816"/>
    <cellStyle name="Separador de milhares 3 13 5 2 4 2 2" xfId="50049"/>
    <cellStyle name="Separador de milhares 3 13 5 2 4 3" xfId="31426"/>
    <cellStyle name="Separador de milhares 3 13 5 2 5" xfId="17902"/>
    <cellStyle name="Separador de milhares 3 13 5 2 5 2" xfId="44141"/>
    <cellStyle name="Separador de milhares 3 13 5 2 6" xfId="11568"/>
    <cellStyle name="Separador de milhares 3 13 5 2 6 2" xfId="37810"/>
    <cellStyle name="Separador de milhares 3 13 5 2 7" xfId="29728"/>
    <cellStyle name="Separador de milhares 3 13 5 3" xfId="1945"/>
    <cellStyle name="Separador de milhares 3 13 5 3 2" xfId="6999"/>
    <cellStyle name="Separador de milhares 3 13 5 3 2 2" xfId="10146"/>
    <cellStyle name="Separador de milhares 3 13 5 3 2 2 2" xfId="28360"/>
    <cellStyle name="Separador de milhares 3 13 5 3 2 2 2 2" xfId="54590"/>
    <cellStyle name="Separador de milhares 3 13 5 3 2 2 3" xfId="22446"/>
    <cellStyle name="Separador de milhares 3 13 5 3 2 2 3 2" xfId="48682"/>
    <cellStyle name="Separador de milhares 3 13 5 3 2 2 4" xfId="16532"/>
    <cellStyle name="Separador de milhares 3 13 5 3 2 2 4 2" xfId="42774"/>
    <cellStyle name="Separador de milhares 3 13 5 3 2 2 5" xfId="36388"/>
    <cellStyle name="Separador de milhares 3 13 5 3 2 3" xfId="25403"/>
    <cellStyle name="Separador de milhares 3 13 5 3 2 3 2" xfId="51636"/>
    <cellStyle name="Separador de milhares 3 13 5 3 2 4" xfId="19489"/>
    <cellStyle name="Separador de milhares 3 13 5 3 2 4 2" xfId="45728"/>
    <cellStyle name="Separador de milhares 3 13 5 3 2 5" xfId="13388"/>
    <cellStyle name="Separador de milhares 3 13 5 3 2 5 2" xfId="39630"/>
    <cellStyle name="Separador de milhares 3 13 5 3 2 6" xfId="33244"/>
    <cellStyle name="Separador de milhares 3 13 5 3 3" xfId="8678"/>
    <cellStyle name="Separador de milhares 3 13 5 3 3 2" xfId="26892"/>
    <cellStyle name="Separador de milhares 3 13 5 3 3 2 2" xfId="53122"/>
    <cellStyle name="Separador de milhares 3 13 5 3 3 3" xfId="20978"/>
    <cellStyle name="Separador de milhares 3 13 5 3 3 3 2" xfId="47214"/>
    <cellStyle name="Separador de milhares 3 13 5 3 3 4" xfId="15064"/>
    <cellStyle name="Separador de milhares 3 13 5 3 3 4 2" xfId="41306"/>
    <cellStyle name="Separador de milhares 3 13 5 3 3 5" xfId="34920"/>
    <cellStyle name="Separador de milhares 3 13 5 3 4" xfId="5300"/>
    <cellStyle name="Separador de milhares 3 13 5 3 4 2" xfId="23935"/>
    <cellStyle name="Separador de milhares 3 13 5 3 4 2 2" xfId="50168"/>
    <cellStyle name="Separador de milhares 3 13 5 3 4 3" xfId="31545"/>
    <cellStyle name="Separador de milhares 3 13 5 3 5" xfId="18021"/>
    <cellStyle name="Separador de milhares 3 13 5 3 5 2" xfId="44260"/>
    <cellStyle name="Separador de milhares 3 13 5 3 6" xfId="11687"/>
    <cellStyle name="Separador de milhares 3 13 5 3 6 2" xfId="37929"/>
    <cellStyle name="Separador de milhares 3 13 5 3 7" xfId="29847"/>
    <cellStyle name="Separador de milhares 3 13 5 4" xfId="2475"/>
    <cellStyle name="Separador de milhares 3 13 5 4 2" xfId="7149"/>
    <cellStyle name="Separador de milhares 3 13 5 4 2 2" xfId="10293"/>
    <cellStyle name="Separador de milhares 3 13 5 4 2 2 2" xfId="28507"/>
    <cellStyle name="Separador de milhares 3 13 5 4 2 2 2 2" xfId="54737"/>
    <cellStyle name="Separador de milhares 3 13 5 4 2 2 3" xfId="22593"/>
    <cellStyle name="Separador de milhares 3 13 5 4 2 2 3 2" xfId="48829"/>
    <cellStyle name="Separador de milhares 3 13 5 4 2 2 4" xfId="16679"/>
    <cellStyle name="Separador de milhares 3 13 5 4 2 2 4 2" xfId="42921"/>
    <cellStyle name="Separador de milhares 3 13 5 4 2 2 5" xfId="36535"/>
    <cellStyle name="Separador de milhares 3 13 5 4 2 3" xfId="25550"/>
    <cellStyle name="Separador de milhares 3 13 5 4 2 3 2" xfId="51783"/>
    <cellStyle name="Separador de milhares 3 13 5 4 2 4" xfId="19636"/>
    <cellStyle name="Separador de milhares 3 13 5 4 2 4 2" xfId="45875"/>
    <cellStyle name="Separador de milhares 3 13 5 4 2 5" xfId="13538"/>
    <cellStyle name="Separador de milhares 3 13 5 4 2 5 2" xfId="39780"/>
    <cellStyle name="Separador de milhares 3 13 5 4 2 6" xfId="33394"/>
    <cellStyle name="Separador de milhares 3 13 5 4 3" xfId="8825"/>
    <cellStyle name="Separador de milhares 3 13 5 4 3 2" xfId="27039"/>
    <cellStyle name="Separador de milhares 3 13 5 4 3 2 2" xfId="53269"/>
    <cellStyle name="Separador de milhares 3 13 5 4 3 3" xfId="21125"/>
    <cellStyle name="Separador de milhares 3 13 5 4 3 3 2" xfId="47361"/>
    <cellStyle name="Separador de milhares 3 13 5 4 3 4" xfId="15211"/>
    <cellStyle name="Separador de milhares 3 13 5 4 3 4 2" xfId="41453"/>
    <cellStyle name="Separador de milhares 3 13 5 4 3 5" xfId="35067"/>
    <cellStyle name="Separador de milhares 3 13 5 4 4" xfId="5450"/>
    <cellStyle name="Separador de milhares 3 13 5 4 4 2" xfId="24082"/>
    <cellStyle name="Separador de milhares 3 13 5 4 4 2 2" xfId="50315"/>
    <cellStyle name="Separador de milhares 3 13 5 4 4 3" xfId="31695"/>
    <cellStyle name="Separador de milhares 3 13 5 4 5" xfId="18168"/>
    <cellStyle name="Separador de milhares 3 13 5 4 5 2" xfId="44407"/>
    <cellStyle name="Separador de milhares 3 13 5 4 6" xfId="11837"/>
    <cellStyle name="Separador de milhares 3 13 5 4 6 2" xfId="38079"/>
    <cellStyle name="Separador de milhares 3 13 5 4 7" xfId="29997"/>
    <cellStyle name="Separador de milhares 3 13 5 5" xfId="3002"/>
    <cellStyle name="Separador de milhares 3 13 5 5 2" xfId="7296"/>
    <cellStyle name="Separador de milhares 3 13 5 5 2 2" xfId="10440"/>
    <cellStyle name="Separador de milhares 3 13 5 5 2 2 2" xfId="28654"/>
    <cellStyle name="Separador de milhares 3 13 5 5 2 2 2 2" xfId="54884"/>
    <cellStyle name="Separador de milhares 3 13 5 5 2 2 3" xfId="22740"/>
    <cellStyle name="Separador de milhares 3 13 5 5 2 2 3 2" xfId="48976"/>
    <cellStyle name="Separador de milhares 3 13 5 5 2 2 4" xfId="16826"/>
    <cellStyle name="Separador de milhares 3 13 5 5 2 2 4 2" xfId="43068"/>
    <cellStyle name="Separador de milhares 3 13 5 5 2 2 5" xfId="36682"/>
    <cellStyle name="Separador de milhares 3 13 5 5 2 3" xfId="25697"/>
    <cellStyle name="Separador de milhares 3 13 5 5 2 3 2" xfId="51930"/>
    <cellStyle name="Separador de milhares 3 13 5 5 2 4" xfId="19783"/>
    <cellStyle name="Separador de milhares 3 13 5 5 2 4 2" xfId="46022"/>
    <cellStyle name="Separador de milhares 3 13 5 5 2 5" xfId="13685"/>
    <cellStyle name="Separador de milhares 3 13 5 5 2 5 2" xfId="39927"/>
    <cellStyle name="Separador de milhares 3 13 5 5 2 6" xfId="33541"/>
    <cellStyle name="Separador de milhares 3 13 5 5 3" xfId="8972"/>
    <cellStyle name="Separador de milhares 3 13 5 5 3 2" xfId="27186"/>
    <cellStyle name="Separador de milhares 3 13 5 5 3 2 2" xfId="53416"/>
    <cellStyle name="Separador de milhares 3 13 5 5 3 3" xfId="21272"/>
    <cellStyle name="Separador de milhares 3 13 5 5 3 3 2" xfId="47508"/>
    <cellStyle name="Separador de milhares 3 13 5 5 3 4" xfId="15358"/>
    <cellStyle name="Separador de milhares 3 13 5 5 3 4 2" xfId="41600"/>
    <cellStyle name="Separador de milhares 3 13 5 5 3 5" xfId="35214"/>
    <cellStyle name="Separador de milhares 3 13 5 5 4" xfId="5597"/>
    <cellStyle name="Separador de milhares 3 13 5 5 4 2" xfId="24229"/>
    <cellStyle name="Separador de milhares 3 13 5 5 4 2 2" xfId="50462"/>
    <cellStyle name="Separador de milhares 3 13 5 5 4 3" xfId="31842"/>
    <cellStyle name="Separador de milhares 3 13 5 5 5" xfId="18315"/>
    <cellStyle name="Separador de milhares 3 13 5 5 5 2" xfId="44554"/>
    <cellStyle name="Separador de milhares 3 13 5 5 6" xfId="11984"/>
    <cellStyle name="Separador de milhares 3 13 5 5 6 2" xfId="38226"/>
    <cellStyle name="Separador de milhares 3 13 5 5 7" xfId="30144"/>
    <cellStyle name="Separador de milhares 3 13 5 6" xfId="3529"/>
    <cellStyle name="Separador de milhares 3 13 5 6 2" xfId="7443"/>
    <cellStyle name="Separador de milhares 3 13 5 6 2 2" xfId="10587"/>
    <cellStyle name="Separador de milhares 3 13 5 6 2 2 2" xfId="28801"/>
    <cellStyle name="Separador de milhares 3 13 5 6 2 2 2 2" xfId="55031"/>
    <cellStyle name="Separador de milhares 3 13 5 6 2 2 3" xfId="22887"/>
    <cellStyle name="Separador de milhares 3 13 5 6 2 2 3 2" xfId="49123"/>
    <cellStyle name="Separador de milhares 3 13 5 6 2 2 4" xfId="16973"/>
    <cellStyle name="Separador de milhares 3 13 5 6 2 2 4 2" xfId="43215"/>
    <cellStyle name="Separador de milhares 3 13 5 6 2 2 5" xfId="36829"/>
    <cellStyle name="Separador de milhares 3 13 5 6 2 3" xfId="25844"/>
    <cellStyle name="Separador de milhares 3 13 5 6 2 3 2" xfId="52077"/>
    <cellStyle name="Separador de milhares 3 13 5 6 2 4" xfId="19930"/>
    <cellStyle name="Separador de milhares 3 13 5 6 2 4 2" xfId="46169"/>
    <cellStyle name="Separador de milhares 3 13 5 6 2 5" xfId="13832"/>
    <cellStyle name="Separador de milhares 3 13 5 6 2 5 2" xfId="40074"/>
    <cellStyle name="Separador de milhares 3 13 5 6 2 6" xfId="33688"/>
    <cellStyle name="Separador de milhares 3 13 5 6 3" xfId="9119"/>
    <cellStyle name="Separador de milhares 3 13 5 6 3 2" xfId="27333"/>
    <cellStyle name="Separador de milhares 3 13 5 6 3 2 2" xfId="53563"/>
    <cellStyle name="Separador de milhares 3 13 5 6 3 3" xfId="21419"/>
    <cellStyle name="Separador de milhares 3 13 5 6 3 3 2" xfId="47655"/>
    <cellStyle name="Separador de milhares 3 13 5 6 3 4" xfId="15505"/>
    <cellStyle name="Separador de milhares 3 13 5 6 3 4 2" xfId="41747"/>
    <cellStyle name="Separador de milhares 3 13 5 6 3 5" xfId="35361"/>
    <cellStyle name="Separador de milhares 3 13 5 6 4" xfId="5744"/>
    <cellStyle name="Separador de milhares 3 13 5 6 4 2" xfId="24376"/>
    <cellStyle name="Separador de milhares 3 13 5 6 4 2 2" xfId="50609"/>
    <cellStyle name="Separador de milhares 3 13 5 6 4 3" xfId="31989"/>
    <cellStyle name="Separador de milhares 3 13 5 6 5" xfId="18462"/>
    <cellStyle name="Separador de milhares 3 13 5 6 5 2" xfId="44701"/>
    <cellStyle name="Separador de milhares 3 13 5 6 6" xfId="12131"/>
    <cellStyle name="Separador de milhares 3 13 5 6 6 2" xfId="38373"/>
    <cellStyle name="Separador de milhares 3 13 5 6 7" xfId="30291"/>
    <cellStyle name="Separador de milhares 3 13 5 7" xfId="4056"/>
    <cellStyle name="Separador de milhares 3 13 5 7 2" xfId="7590"/>
    <cellStyle name="Separador de milhares 3 13 5 7 2 2" xfId="10734"/>
    <cellStyle name="Separador de milhares 3 13 5 7 2 2 2" xfId="28948"/>
    <cellStyle name="Separador de milhares 3 13 5 7 2 2 2 2" xfId="55178"/>
    <cellStyle name="Separador de milhares 3 13 5 7 2 2 3" xfId="23034"/>
    <cellStyle name="Separador de milhares 3 13 5 7 2 2 3 2" xfId="49270"/>
    <cellStyle name="Separador de milhares 3 13 5 7 2 2 4" xfId="17120"/>
    <cellStyle name="Separador de milhares 3 13 5 7 2 2 4 2" xfId="43362"/>
    <cellStyle name="Separador de milhares 3 13 5 7 2 2 5" xfId="36976"/>
    <cellStyle name="Separador de milhares 3 13 5 7 2 3" xfId="25991"/>
    <cellStyle name="Separador de milhares 3 13 5 7 2 3 2" xfId="52224"/>
    <cellStyle name="Separador de milhares 3 13 5 7 2 4" xfId="20077"/>
    <cellStyle name="Separador de milhares 3 13 5 7 2 4 2" xfId="46316"/>
    <cellStyle name="Separador de milhares 3 13 5 7 2 5" xfId="13979"/>
    <cellStyle name="Separador de milhares 3 13 5 7 2 5 2" xfId="40221"/>
    <cellStyle name="Separador de milhares 3 13 5 7 2 6" xfId="33835"/>
    <cellStyle name="Separador de milhares 3 13 5 7 3" xfId="9266"/>
    <cellStyle name="Separador de milhares 3 13 5 7 3 2" xfId="27480"/>
    <cellStyle name="Separador de milhares 3 13 5 7 3 2 2" xfId="53710"/>
    <cellStyle name="Separador de milhares 3 13 5 7 3 3" xfId="21566"/>
    <cellStyle name="Separador de milhares 3 13 5 7 3 3 2" xfId="47802"/>
    <cellStyle name="Separador de milhares 3 13 5 7 3 4" xfId="15652"/>
    <cellStyle name="Separador de milhares 3 13 5 7 3 4 2" xfId="41894"/>
    <cellStyle name="Separador de milhares 3 13 5 7 3 5" xfId="35508"/>
    <cellStyle name="Separador de milhares 3 13 5 7 4" xfId="5891"/>
    <cellStyle name="Separador de milhares 3 13 5 7 4 2" xfId="24523"/>
    <cellStyle name="Separador de milhares 3 13 5 7 4 2 2" xfId="50756"/>
    <cellStyle name="Separador de milhares 3 13 5 7 4 3" xfId="32136"/>
    <cellStyle name="Separador de milhares 3 13 5 7 5" xfId="18609"/>
    <cellStyle name="Separador de milhares 3 13 5 7 5 2" xfId="44848"/>
    <cellStyle name="Separador de milhares 3 13 5 7 6" xfId="12278"/>
    <cellStyle name="Separador de milhares 3 13 5 7 6 2" xfId="38520"/>
    <cellStyle name="Separador de milhares 3 13 5 7 7" xfId="30438"/>
    <cellStyle name="Separador de milhares 3 13 5 8" xfId="6629"/>
    <cellStyle name="Separador de milhares 3 13 5 8 2" xfId="9776"/>
    <cellStyle name="Separador de milhares 3 13 5 8 2 2" xfId="27990"/>
    <cellStyle name="Separador de milhares 3 13 5 8 2 2 2" xfId="54220"/>
    <cellStyle name="Separador de milhares 3 13 5 8 2 3" xfId="22076"/>
    <cellStyle name="Separador de milhares 3 13 5 8 2 3 2" xfId="48312"/>
    <cellStyle name="Separador de milhares 3 13 5 8 2 4" xfId="16162"/>
    <cellStyle name="Separador de milhares 3 13 5 8 2 4 2" xfId="42404"/>
    <cellStyle name="Separador de milhares 3 13 5 8 2 5" xfId="36018"/>
    <cellStyle name="Separador de milhares 3 13 5 8 3" xfId="25033"/>
    <cellStyle name="Separador de milhares 3 13 5 8 3 2" xfId="51266"/>
    <cellStyle name="Separador de milhares 3 13 5 8 4" xfId="19119"/>
    <cellStyle name="Separador de milhares 3 13 5 8 4 2" xfId="45358"/>
    <cellStyle name="Separador de milhares 3 13 5 8 5" xfId="13018"/>
    <cellStyle name="Separador de milhares 3 13 5 8 5 2" xfId="39260"/>
    <cellStyle name="Separador de milhares 3 13 5 8 6" xfId="32874"/>
    <cellStyle name="Separador de milhares 3 13 5 9" xfId="8305"/>
    <cellStyle name="Separador de milhares 3 13 5 9 2" xfId="26519"/>
    <cellStyle name="Separador de milhares 3 13 5 9 2 2" xfId="52752"/>
    <cellStyle name="Separador de milhares 3 13 5 9 3" xfId="20605"/>
    <cellStyle name="Separador de milhares 3 13 5 9 3 2" xfId="46844"/>
    <cellStyle name="Separador de milhares 3 13 5 9 4" xfId="14694"/>
    <cellStyle name="Separador de milhares 3 13 5 9 4 2" xfId="40936"/>
    <cellStyle name="Separador de milhares 3 13 5 9 5" xfId="34550"/>
    <cellStyle name="Separador de milhares 3 13 6" xfId="808"/>
    <cellStyle name="Separador de milhares 3 13 6 2" xfId="4232"/>
    <cellStyle name="Separador de milhares 3 13 6 2 2" xfId="7639"/>
    <cellStyle name="Separador de milhares 3 13 6 2 2 2" xfId="10783"/>
    <cellStyle name="Separador de milhares 3 13 6 2 2 2 2" xfId="28997"/>
    <cellStyle name="Separador de milhares 3 13 6 2 2 2 2 2" xfId="55227"/>
    <cellStyle name="Separador de milhares 3 13 6 2 2 2 3" xfId="23083"/>
    <cellStyle name="Separador de milhares 3 13 6 2 2 2 3 2" xfId="49319"/>
    <cellStyle name="Separador de milhares 3 13 6 2 2 2 4" xfId="17169"/>
    <cellStyle name="Separador de milhares 3 13 6 2 2 2 4 2" xfId="43411"/>
    <cellStyle name="Separador de milhares 3 13 6 2 2 2 5" xfId="37025"/>
    <cellStyle name="Separador de milhares 3 13 6 2 2 3" xfId="26040"/>
    <cellStyle name="Separador de milhares 3 13 6 2 2 3 2" xfId="52273"/>
    <cellStyle name="Separador de milhares 3 13 6 2 2 4" xfId="20126"/>
    <cellStyle name="Separador de milhares 3 13 6 2 2 4 2" xfId="46365"/>
    <cellStyle name="Separador de milhares 3 13 6 2 2 5" xfId="14028"/>
    <cellStyle name="Separador de milhares 3 13 6 2 2 5 2" xfId="40270"/>
    <cellStyle name="Separador de milhares 3 13 6 2 2 6" xfId="33884"/>
    <cellStyle name="Separador de milhares 3 13 6 2 3" xfId="9315"/>
    <cellStyle name="Separador de milhares 3 13 6 2 3 2" xfId="27529"/>
    <cellStyle name="Separador de milhares 3 13 6 2 3 2 2" xfId="53759"/>
    <cellStyle name="Separador de milhares 3 13 6 2 3 3" xfId="21615"/>
    <cellStyle name="Separador de milhares 3 13 6 2 3 3 2" xfId="47851"/>
    <cellStyle name="Separador de milhares 3 13 6 2 3 4" xfId="15701"/>
    <cellStyle name="Separador de milhares 3 13 6 2 3 4 2" xfId="41943"/>
    <cellStyle name="Separador de milhares 3 13 6 2 3 5" xfId="35557"/>
    <cellStyle name="Separador de milhares 3 13 6 2 4" xfId="5940"/>
    <cellStyle name="Separador de milhares 3 13 6 2 4 2" xfId="24572"/>
    <cellStyle name="Separador de milhares 3 13 6 2 4 2 2" xfId="50805"/>
    <cellStyle name="Separador de milhares 3 13 6 2 4 3" xfId="32185"/>
    <cellStyle name="Separador de milhares 3 13 6 2 5" xfId="18658"/>
    <cellStyle name="Separador de milhares 3 13 6 2 5 2" xfId="44897"/>
    <cellStyle name="Separador de milhares 3 13 6 2 6" xfId="12327"/>
    <cellStyle name="Separador de milhares 3 13 6 2 6 2" xfId="38569"/>
    <cellStyle name="Separador de milhares 3 13 6 2 7" xfId="30487"/>
    <cellStyle name="Separador de milhares 3 13 6 3" xfId="6684"/>
    <cellStyle name="Separador de milhares 3 13 6 3 2" xfId="9831"/>
    <cellStyle name="Separador de milhares 3 13 6 3 2 2" xfId="28045"/>
    <cellStyle name="Separador de milhares 3 13 6 3 2 2 2" xfId="54275"/>
    <cellStyle name="Separador de milhares 3 13 6 3 2 3" xfId="22131"/>
    <cellStyle name="Separador de milhares 3 13 6 3 2 3 2" xfId="48367"/>
    <cellStyle name="Separador de milhares 3 13 6 3 2 4" xfId="16217"/>
    <cellStyle name="Separador de milhares 3 13 6 3 2 4 2" xfId="42459"/>
    <cellStyle name="Separador de milhares 3 13 6 3 2 5" xfId="36073"/>
    <cellStyle name="Separador de milhares 3 13 6 3 3" xfId="25088"/>
    <cellStyle name="Separador de milhares 3 13 6 3 3 2" xfId="51321"/>
    <cellStyle name="Separador de milhares 3 13 6 3 4" xfId="19174"/>
    <cellStyle name="Separador de milhares 3 13 6 3 4 2" xfId="45413"/>
    <cellStyle name="Separador de milhares 3 13 6 3 5" xfId="13073"/>
    <cellStyle name="Separador de milhares 3 13 6 3 5 2" xfId="39315"/>
    <cellStyle name="Separador de milhares 3 13 6 3 6" xfId="32929"/>
    <cellStyle name="Separador de milhares 3 13 6 4" xfId="8363"/>
    <cellStyle name="Separador de milhares 3 13 6 4 2" xfId="26577"/>
    <cellStyle name="Separador de milhares 3 13 6 4 2 2" xfId="52807"/>
    <cellStyle name="Separador de milhares 3 13 6 4 3" xfId="20663"/>
    <cellStyle name="Separador de milhares 3 13 6 4 3 2" xfId="46899"/>
    <cellStyle name="Separador de milhares 3 13 6 4 4" xfId="14749"/>
    <cellStyle name="Separador de milhares 3 13 6 4 4 2" xfId="40991"/>
    <cellStyle name="Separador de milhares 3 13 6 4 5" xfId="34605"/>
    <cellStyle name="Separador de milhares 3 13 6 5" xfId="4985"/>
    <cellStyle name="Separador de milhares 3 13 6 5 2" xfId="23620"/>
    <cellStyle name="Separador de milhares 3 13 6 5 2 2" xfId="49853"/>
    <cellStyle name="Separador de milhares 3 13 6 5 3" xfId="31230"/>
    <cellStyle name="Separador de milhares 3 13 6 6" xfId="17706"/>
    <cellStyle name="Separador de milhares 3 13 6 6 2" xfId="43945"/>
    <cellStyle name="Separador de milhares 3 13 6 7" xfId="11372"/>
    <cellStyle name="Separador de milhares 3 13 6 7 2" xfId="37614"/>
    <cellStyle name="Separador de milhares 3 13 6 8" xfId="29532"/>
    <cellStyle name="Separador de milhares 3 13 7" xfId="1159"/>
    <cellStyle name="Separador de milhares 3 13 7 2" xfId="6782"/>
    <cellStyle name="Separador de milhares 3 13 7 2 2" xfId="9929"/>
    <cellStyle name="Separador de milhares 3 13 7 2 2 2" xfId="28143"/>
    <cellStyle name="Separador de milhares 3 13 7 2 2 2 2" xfId="54373"/>
    <cellStyle name="Separador de milhares 3 13 7 2 2 3" xfId="22229"/>
    <cellStyle name="Separador de milhares 3 13 7 2 2 3 2" xfId="48465"/>
    <cellStyle name="Separador de milhares 3 13 7 2 2 4" xfId="16315"/>
    <cellStyle name="Separador de milhares 3 13 7 2 2 4 2" xfId="42557"/>
    <cellStyle name="Separador de milhares 3 13 7 2 2 5" xfId="36171"/>
    <cellStyle name="Separador de milhares 3 13 7 2 3" xfId="25186"/>
    <cellStyle name="Separador de milhares 3 13 7 2 3 2" xfId="51419"/>
    <cellStyle name="Separador de milhares 3 13 7 2 4" xfId="19272"/>
    <cellStyle name="Separador de milhares 3 13 7 2 4 2" xfId="45511"/>
    <cellStyle name="Separador de milhares 3 13 7 2 5" xfId="13171"/>
    <cellStyle name="Separador de milhares 3 13 7 2 5 2" xfId="39413"/>
    <cellStyle name="Separador de milhares 3 13 7 2 6" xfId="33027"/>
    <cellStyle name="Separador de milhares 3 13 7 3" xfId="8461"/>
    <cellStyle name="Separador de milhares 3 13 7 3 2" xfId="26675"/>
    <cellStyle name="Separador de milhares 3 13 7 3 2 2" xfId="52905"/>
    <cellStyle name="Separador de milhares 3 13 7 3 3" xfId="20761"/>
    <cellStyle name="Separador de milhares 3 13 7 3 3 2" xfId="46997"/>
    <cellStyle name="Separador de milhares 3 13 7 3 4" xfId="14847"/>
    <cellStyle name="Separador de milhares 3 13 7 3 4 2" xfId="41089"/>
    <cellStyle name="Separador de milhares 3 13 7 3 5" xfId="34703"/>
    <cellStyle name="Separador de milhares 3 13 7 4" xfId="5083"/>
    <cellStyle name="Separador de milhares 3 13 7 4 2" xfId="23718"/>
    <cellStyle name="Separador de milhares 3 13 7 4 2 2" xfId="49951"/>
    <cellStyle name="Separador de milhares 3 13 7 4 3" xfId="31328"/>
    <cellStyle name="Separador de milhares 3 13 7 5" xfId="17804"/>
    <cellStyle name="Separador de milhares 3 13 7 5 2" xfId="44043"/>
    <cellStyle name="Separador de milhares 3 13 7 6" xfId="11470"/>
    <cellStyle name="Separador de milhares 3 13 7 6 2" xfId="37712"/>
    <cellStyle name="Separador de milhares 3 13 7 7" xfId="29630"/>
    <cellStyle name="Separador de milhares 3 13 8" xfId="1594"/>
    <cellStyle name="Separador de milhares 3 13 8 2" xfId="6901"/>
    <cellStyle name="Separador de milhares 3 13 8 2 2" xfId="10048"/>
    <cellStyle name="Separador de milhares 3 13 8 2 2 2" xfId="28262"/>
    <cellStyle name="Separador de milhares 3 13 8 2 2 2 2" xfId="54492"/>
    <cellStyle name="Separador de milhares 3 13 8 2 2 3" xfId="22348"/>
    <cellStyle name="Separador de milhares 3 13 8 2 2 3 2" xfId="48584"/>
    <cellStyle name="Separador de milhares 3 13 8 2 2 4" xfId="16434"/>
    <cellStyle name="Separador de milhares 3 13 8 2 2 4 2" xfId="42676"/>
    <cellStyle name="Separador de milhares 3 13 8 2 2 5" xfId="36290"/>
    <cellStyle name="Separador de milhares 3 13 8 2 3" xfId="25305"/>
    <cellStyle name="Separador de milhares 3 13 8 2 3 2" xfId="51538"/>
    <cellStyle name="Separador de milhares 3 13 8 2 4" xfId="19391"/>
    <cellStyle name="Separador de milhares 3 13 8 2 4 2" xfId="45630"/>
    <cellStyle name="Separador de milhares 3 13 8 2 5" xfId="13290"/>
    <cellStyle name="Separador de milhares 3 13 8 2 5 2" xfId="39532"/>
    <cellStyle name="Separador de milhares 3 13 8 2 6" xfId="33146"/>
    <cellStyle name="Separador de milhares 3 13 8 3" xfId="8580"/>
    <cellStyle name="Separador de milhares 3 13 8 3 2" xfId="26794"/>
    <cellStyle name="Separador de milhares 3 13 8 3 2 2" xfId="53024"/>
    <cellStyle name="Separador de milhares 3 13 8 3 3" xfId="20880"/>
    <cellStyle name="Separador de milhares 3 13 8 3 3 2" xfId="47116"/>
    <cellStyle name="Separador de milhares 3 13 8 3 4" xfId="14966"/>
    <cellStyle name="Separador de milhares 3 13 8 3 4 2" xfId="41208"/>
    <cellStyle name="Separador de milhares 3 13 8 3 5" xfId="34822"/>
    <cellStyle name="Separador de milhares 3 13 8 4" xfId="5202"/>
    <cellStyle name="Separador de milhares 3 13 8 4 2" xfId="23837"/>
    <cellStyle name="Separador de milhares 3 13 8 4 2 2" xfId="50070"/>
    <cellStyle name="Separador de milhares 3 13 8 4 3" xfId="31447"/>
    <cellStyle name="Separador de milhares 3 13 8 5" xfId="17923"/>
    <cellStyle name="Separador de milhares 3 13 8 5 2" xfId="44162"/>
    <cellStyle name="Separador de milhares 3 13 8 6" xfId="11589"/>
    <cellStyle name="Separador de milhares 3 13 8 6 2" xfId="37831"/>
    <cellStyle name="Separador de milhares 3 13 8 7" xfId="29749"/>
    <cellStyle name="Separador de milhares 3 13 9" xfId="2124"/>
    <cellStyle name="Separador de milhares 3 13 9 2" xfId="7051"/>
    <cellStyle name="Separador de milhares 3 13 9 2 2" xfId="10195"/>
    <cellStyle name="Separador de milhares 3 13 9 2 2 2" xfId="28409"/>
    <cellStyle name="Separador de milhares 3 13 9 2 2 2 2" xfId="54639"/>
    <cellStyle name="Separador de milhares 3 13 9 2 2 3" xfId="22495"/>
    <cellStyle name="Separador de milhares 3 13 9 2 2 3 2" xfId="48731"/>
    <cellStyle name="Separador de milhares 3 13 9 2 2 4" xfId="16581"/>
    <cellStyle name="Separador de milhares 3 13 9 2 2 4 2" xfId="42823"/>
    <cellStyle name="Separador de milhares 3 13 9 2 2 5" xfId="36437"/>
    <cellStyle name="Separador de milhares 3 13 9 2 3" xfId="25452"/>
    <cellStyle name="Separador de milhares 3 13 9 2 3 2" xfId="51685"/>
    <cellStyle name="Separador de milhares 3 13 9 2 4" xfId="19538"/>
    <cellStyle name="Separador de milhares 3 13 9 2 4 2" xfId="45777"/>
    <cellStyle name="Separador de milhares 3 13 9 2 5" xfId="13440"/>
    <cellStyle name="Separador de milhares 3 13 9 2 5 2" xfId="39682"/>
    <cellStyle name="Separador de milhares 3 13 9 2 6" xfId="33296"/>
    <cellStyle name="Separador de milhares 3 13 9 3" xfId="8727"/>
    <cellStyle name="Separador de milhares 3 13 9 3 2" xfId="26941"/>
    <cellStyle name="Separador de milhares 3 13 9 3 2 2" xfId="53171"/>
    <cellStyle name="Separador de milhares 3 13 9 3 3" xfId="21027"/>
    <cellStyle name="Separador de milhares 3 13 9 3 3 2" xfId="47263"/>
    <cellStyle name="Separador de milhares 3 13 9 3 4" xfId="15113"/>
    <cellStyle name="Separador de milhares 3 13 9 3 4 2" xfId="41355"/>
    <cellStyle name="Separador de milhares 3 13 9 3 5" xfId="34969"/>
    <cellStyle name="Separador de milhares 3 13 9 4" xfId="5352"/>
    <cellStyle name="Separador de milhares 3 13 9 4 2" xfId="23984"/>
    <cellStyle name="Separador de milhares 3 13 9 4 2 2" xfId="50217"/>
    <cellStyle name="Separador de milhares 3 13 9 4 3" xfId="31597"/>
    <cellStyle name="Separador de milhares 3 13 9 5" xfId="18070"/>
    <cellStyle name="Separador de milhares 3 13 9 5 2" xfId="44309"/>
    <cellStyle name="Separador de milhares 3 13 9 6" xfId="11739"/>
    <cellStyle name="Separador de milhares 3 13 9 6 2" xfId="37981"/>
    <cellStyle name="Separador de milhares 3 13 9 7" xfId="29899"/>
    <cellStyle name="Separador de milhares 3 14" xfId="80"/>
    <cellStyle name="Separador de milhares 3 14 10" xfId="2583"/>
    <cellStyle name="Separador de milhares 3 14 10 2" xfId="7181"/>
    <cellStyle name="Separador de milhares 3 14 10 2 2" xfId="10325"/>
    <cellStyle name="Separador de milhares 3 14 10 2 2 2" xfId="28539"/>
    <cellStyle name="Separador de milhares 3 14 10 2 2 2 2" xfId="54769"/>
    <cellStyle name="Separador de milhares 3 14 10 2 2 3" xfId="22625"/>
    <cellStyle name="Separador de milhares 3 14 10 2 2 3 2" xfId="48861"/>
    <cellStyle name="Separador de milhares 3 14 10 2 2 4" xfId="16711"/>
    <cellStyle name="Separador de milhares 3 14 10 2 2 4 2" xfId="42953"/>
    <cellStyle name="Separador de milhares 3 14 10 2 2 5" xfId="36567"/>
    <cellStyle name="Separador de milhares 3 14 10 2 3" xfId="25582"/>
    <cellStyle name="Separador de milhares 3 14 10 2 3 2" xfId="51815"/>
    <cellStyle name="Separador de milhares 3 14 10 2 4" xfId="19668"/>
    <cellStyle name="Separador de milhares 3 14 10 2 4 2" xfId="45907"/>
    <cellStyle name="Separador de milhares 3 14 10 2 5" xfId="13570"/>
    <cellStyle name="Separador de milhares 3 14 10 2 5 2" xfId="39812"/>
    <cellStyle name="Separador de milhares 3 14 10 2 6" xfId="33426"/>
    <cellStyle name="Separador de milhares 3 14 10 3" xfId="8857"/>
    <cellStyle name="Separador de milhares 3 14 10 3 2" xfId="27071"/>
    <cellStyle name="Separador de milhares 3 14 10 3 2 2" xfId="53301"/>
    <cellStyle name="Separador de milhares 3 14 10 3 3" xfId="21157"/>
    <cellStyle name="Separador de milhares 3 14 10 3 3 2" xfId="47393"/>
    <cellStyle name="Separador de milhares 3 14 10 3 4" xfId="15243"/>
    <cellStyle name="Separador de milhares 3 14 10 3 4 2" xfId="41485"/>
    <cellStyle name="Separador de milhares 3 14 10 3 5" xfId="35099"/>
    <cellStyle name="Separador de milhares 3 14 10 4" xfId="5482"/>
    <cellStyle name="Separador de milhares 3 14 10 4 2" xfId="24114"/>
    <cellStyle name="Separador de milhares 3 14 10 4 2 2" xfId="50347"/>
    <cellStyle name="Separador de milhares 3 14 10 4 3" xfId="31727"/>
    <cellStyle name="Separador de milhares 3 14 10 5" xfId="18200"/>
    <cellStyle name="Separador de milhares 3 14 10 5 2" xfId="44439"/>
    <cellStyle name="Separador de milhares 3 14 10 6" xfId="11869"/>
    <cellStyle name="Separador de milhares 3 14 10 6 2" xfId="38111"/>
    <cellStyle name="Separador de milhares 3 14 10 7" xfId="30029"/>
    <cellStyle name="Separador de milhares 3 14 11" xfId="3110"/>
    <cellStyle name="Separador de milhares 3 14 11 2" xfId="7328"/>
    <cellStyle name="Separador de milhares 3 14 11 2 2" xfId="10472"/>
    <cellStyle name="Separador de milhares 3 14 11 2 2 2" xfId="28686"/>
    <cellStyle name="Separador de milhares 3 14 11 2 2 2 2" xfId="54916"/>
    <cellStyle name="Separador de milhares 3 14 11 2 2 3" xfId="22772"/>
    <cellStyle name="Separador de milhares 3 14 11 2 2 3 2" xfId="49008"/>
    <cellStyle name="Separador de milhares 3 14 11 2 2 4" xfId="16858"/>
    <cellStyle name="Separador de milhares 3 14 11 2 2 4 2" xfId="43100"/>
    <cellStyle name="Separador de milhares 3 14 11 2 2 5" xfId="36714"/>
    <cellStyle name="Separador de milhares 3 14 11 2 3" xfId="25729"/>
    <cellStyle name="Separador de milhares 3 14 11 2 3 2" xfId="51962"/>
    <cellStyle name="Separador de milhares 3 14 11 2 4" xfId="19815"/>
    <cellStyle name="Separador de milhares 3 14 11 2 4 2" xfId="46054"/>
    <cellStyle name="Separador de milhares 3 14 11 2 5" xfId="13717"/>
    <cellStyle name="Separador de milhares 3 14 11 2 5 2" xfId="39959"/>
    <cellStyle name="Separador de milhares 3 14 11 2 6" xfId="33573"/>
    <cellStyle name="Separador de milhares 3 14 11 3" xfId="9004"/>
    <cellStyle name="Separador de milhares 3 14 11 3 2" xfId="27218"/>
    <cellStyle name="Separador de milhares 3 14 11 3 2 2" xfId="53448"/>
    <cellStyle name="Separador de milhares 3 14 11 3 3" xfId="21304"/>
    <cellStyle name="Separador de milhares 3 14 11 3 3 2" xfId="47540"/>
    <cellStyle name="Separador de milhares 3 14 11 3 4" xfId="15390"/>
    <cellStyle name="Separador de milhares 3 14 11 3 4 2" xfId="41632"/>
    <cellStyle name="Separador de milhares 3 14 11 3 5" xfId="35246"/>
    <cellStyle name="Separador de milhares 3 14 11 4" xfId="5629"/>
    <cellStyle name="Separador de milhares 3 14 11 4 2" xfId="24261"/>
    <cellStyle name="Separador de milhares 3 14 11 4 2 2" xfId="50494"/>
    <cellStyle name="Separador de milhares 3 14 11 4 3" xfId="31874"/>
    <cellStyle name="Separador de milhares 3 14 11 5" xfId="18347"/>
    <cellStyle name="Separador de milhares 3 14 11 5 2" xfId="44586"/>
    <cellStyle name="Separador de milhares 3 14 11 6" xfId="12016"/>
    <cellStyle name="Separador de milhares 3 14 11 6 2" xfId="38258"/>
    <cellStyle name="Separador de milhares 3 14 11 7" xfId="30176"/>
    <cellStyle name="Separador de milhares 3 14 12" xfId="3637"/>
    <cellStyle name="Separador de milhares 3 14 12 2" xfId="7475"/>
    <cellStyle name="Separador de milhares 3 14 12 2 2" xfId="10619"/>
    <cellStyle name="Separador de milhares 3 14 12 2 2 2" xfId="28833"/>
    <cellStyle name="Separador de milhares 3 14 12 2 2 2 2" xfId="55063"/>
    <cellStyle name="Separador de milhares 3 14 12 2 2 3" xfId="22919"/>
    <cellStyle name="Separador de milhares 3 14 12 2 2 3 2" xfId="49155"/>
    <cellStyle name="Separador de milhares 3 14 12 2 2 4" xfId="17005"/>
    <cellStyle name="Separador de milhares 3 14 12 2 2 4 2" xfId="43247"/>
    <cellStyle name="Separador de milhares 3 14 12 2 2 5" xfId="36861"/>
    <cellStyle name="Separador de milhares 3 14 12 2 3" xfId="25876"/>
    <cellStyle name="Separador de milhares 3 14 12 2 3 2" xfId="52109"/>
    <cellStyle name="Separador de milhares 3 14 12 2 4" xfId="19962"/>
    <cellStyle name="Separador de milhares 3 14 12 2 4 2" xfId="46201"/>
    <cellStyle name="Separador de milhares 3 14 12 2 5" xfId="13864"/>
    <cellStyle name="Separador de milhares 3 14 12 2 5 2" xfId="40106"/>
    <cellStyle name="Separador de milhares 3 14 12 2 6" xfId="33720"/>
    <cellStyle name="Separador de milhares 3 14 12 3" xfId="9151"/>
    <cellStyle name="Separador de milhares 3 14 12 3 2" xfId="27365"/>
    <cellStyle name="Separador de milhares 3 14 12 3 2 2" xfId="53595"/>
    <cellStyle name="Separador de milhares 3 14 12 3 3" xfId="21451"/>
    <cellStyle name="Separador de milhares 3 14 12 3 3 2" xfId="47687"/>
    <cellStyle name="Separador de milhares 3 14 12 3 4" xfId="15537"/>
    <cellStyle name="Separador de milhares 3 14 12 3 4 2" xfId="41779"/>
    <cellStyle name="Separador de milhares 3 14 12 3 5" xfId="35393"/>
    <cellStyle name="Separador de milhares 3 14 12 4" xfId="5776"/>
    <cellStyle name="Separador de milhares 3 14 12 4 2" xfId="24408"/>
    <cellStyle name="Separador de milhares 3 14 12 4 2 2" xfId="50641"/>
    <cellStyle name="Separador de milhares 3 14 12 4 3" xfId="32021"/>
    <cellStyle name="Separador de milhares 3 14 12 5" xfId="18494"/>
    <cellStyle name="Separador de milhares 3 14 12 5 2" xfId="44733"/>
    <cellStyle name="Separador de milhares 3 14 12 6" xfId="12163"/>
    <cellStyle name="Separador de milhares 3 14 12 6 2" xfId="38405"/>
    <cellStyle name="Separador de milhares 3 14 12 7" xfId="30323"/>
    <cellStyle name="Separador de milhares 3 14 13" xfId="6459"/>
    <cellStyle name="Separador de milhares 3 14 13 2" xfId="9615"/>
    <cellStyle name="Separador de milhares 3 14 13 2 2" xfId="27829"/>
    <cellStyle name="Separador de milhares 3 14 13 2 2 2" xfId="54059"/>
    <cellStyle name="Separador de milhares 3 14 13 2 3" xfId="21915"/>
    <cellStyle name="Separador de milhares 3 14 13 2 3 2" xfId="48151"/>
    <cellStyle name="Separador de milhares 3 14 13 2 4" xfId="16001"/>
    <cellStyle name="Separador de milhares 3 14 13 2 4 2" xfId="42243"/>
    <cellStyle name="Separador de milhares 3 14 13 2 5" xfId="35857"/>
    <cellStyle name="Separador de milhares 3 14 13 3" xfId="24872"/>
    <cellStyle name="Separador de milhares 3 14 13 3 2" xfId="51105"/>
    <cellStyle name="Separador de milhares 3 14 13 4" xfId="18958"/>
    <cellStyle name="Separador de milhares 3 14 13 4 2" xfId="45197"/>
    <cellStyle name="Separador de milhares 3 14 13 5" xfId="12848"/>
    <cellStyle name="Separador de milhares 3 14 13 5 2" xfId="39090"/>
    <cellStyle name="Separador de milhares 3 14 13 6" xfId="32704"/>
    <cellStyle name="Separador de milhares 3 14 14" xfId="8144"/>
    <cellStyle name="Separador de milhares 3 14 14 2" xfId="26358"/>
    <cellStyle name="Separador de milhares 3 14 14 2 2" xfId="52591"/>
    <cellStyle name="Separador de milhares 3 14 14 3" xfId="20444"/>
    <cellStyle name="Separador de milhares 3 14 14 3 2" xfId="46683"/>
    <cellStyle name="Separador de milhares 3 14 14 4" xfId="14533"/>
    <cellStyle name="Separador de milhares 3 14 14 4 2" xfId="40775"/>
    <cellStyle name="Separador de milhares 3 14 14 5" xfId="34389"/>
    <cellStyle name="Separador de milhares 3 14 15" xfId="4757"/>
    <cellStyle name="Separador de milhares 3 14 15 2" xfId="23401"/>
    <cellStyle name="Separador de milhares 3 14 15 2 2" xfId="49637"/>
    <cellStyle name="Separador de milhares 3 14 15 3" xfId="31005"/>
    <cellStyle name="Separador de milhares 3 14 16" xfId="17487"/>
    <cellStyle name="Separador de milhares 3 14 16 2" xfId="43729"/>
    <cellStyle name="Separador de milhares 3 14 17" xfId="11147"/>
    <cellStyle name="Separador de milhares 3 14 17 2" xfId="37389"/>
    <cellStyle name="Separador de milhares 3 14 18" xfId="29307"/>
    <cellStyle name="Separador de milhares 3 14 2" xfId="174"/>
    <cellStyle name="Separador de milhares 3 14 2 10" xfId="6488"/>
    <cellStyle name="Separador de milhares 3 14 2 10 2" xfId="9642"/>
    <cellStyle name="Separador de milhares 3 14 2 10 2 2" xfId="27856"/>
    <cellStyle name="Separador de milhares 3 14 2 10 2 2 2" xfId="54086"/>
    <cellStyle name="Separador de milhares 3 14 2 10 2 3" xfId="21942"/>
    <cellStyle name="Separador de milhares 3 14 2 10 2 3 2" xfId="48178"/>
    <cellStyle name="Separador de milhares 3 14 2 10 2 4" xfId="16028"/>
    <cellStyle name="Separador de milhares 3 14 2 10 2 4 2" xfId="42270"/>
    <cellStyle name="Separador de milhares 3 14 2 10 2 5" xfId="35884"/>
    <cellStyle name="Separador de milhares 3 14 2 10 3" xfId="24899"/>
    <cellStyle name="Separador de milhares 3 14 2 10 3 2" xfId="51132"/>
    <cellStyle name="Separador de milhares 3 14 2 10 4" xfId="18985"/>
    <cellStyle name="Separador de milhares 3 14 2 10 4 2" xfId="45224"/>
    <cellStyle name="Separador de milhares 3 14 2 10 5" xfId="12877"/>
    <cellStyle name="Separador de milhares 3 14 2 10 5 2" xfId="39119"/>
    <cellStyle name="Separador de milhares 3 14 2 10 6" xfId="32733"/>
    <cellStyle name="Separador de milhares 3 14 2 11" xfId="8171"/>
    <cellStyle name="Separador de milhares 3 14 2 11 2" xfId="26385"/>
    <cellStyle name="Separador de milhares 3 14 2 11 2 2" xfId="52618"/>
    <cellStyle name="Separador de milhares 3 14 2 11 3" xfId="20471"/>
    <cellStyle name="Separador de milhares 3 14 2 11 3 2" xfId="46710"/>
    <cellStyle name="Separador de milhares 3 14 2 11 4" xfId="14560"/>
    <cellStyle name="Separador de milhares 3 14 2 11 4 2" xfId="40802"/>
    <cellStyle name="Separador de milhares 3 14 2 11 5" xfId="34416"/>
    <cellStyle name="Separador de milhares 3 14 2 12" xfId="4787"/>
    <cellStyle name="Separador de milhares 3 14 2 12 2" xfId="23428"/>
    <cellStyle name="Separador de milhares 3 14 2 12 2 2" xfId="49664"/>
    <cellStyle name="Separador de milhares 3 14 2 12 3" xfId="31034"/>
    <cellStyle name="Separador de milhares 3 14 2 13" xfId="17514"/>
    <cellStyle name="Separador de milhares 3 14 2 13 2" xfId="43756"/>
    <cellStyle name="Separador de milhares 3 14 2 14" xfId="11176"/>
    <cellStyle name="Separador de milhares 3 14 2 14 2" xfId="37418"/>
    <cellStyle name="Separador de milhares 3 14 2 15" xfId="29337"/>
    <cellStyle name="Separador de milhares 3 14 2 2" xfId="447"/>
    <cellStyle name="Separador de milhares 3 14 2 2 10" xfId="17588"/>
    <cellStyle name="Separador de milhares 3 14 2 2 10 2" xfId="43830"/>
    <cellStyle name="Separador de milhares 3 14 2 2 11" xfId="11257"/>
    <cellStyle name="Separador de milhares 3 14 2 2 11 2" xfId="37499"/>
    <cellStyle name="Separador de milhares 3 14 2 2 12" xfId="29417"/>
    <cellStyle name="Separador de milhares 3 14 2 2 2" xfId="1966"/>
    <cellStyle name="Separador de milhares 3 14 2 2 2 2" xfId="7007"/>
    <cellStyle name="Separador de milhares 3 14 2 2 2 2 2" xfId="10154"/>
    <cellStyle name="Separador de milhares 3 14 2 2 2 2 2 2" xfId="28368"/>
    <cellStyle name="Separador de milhares 3 14 2 2 2 2 2 2 2" xfId="54598"/>
    <cellStyle name="Separador de milhares 3 14 2 2 2 2 2 3" xfId="22454"/>
    <cellStyle name="Separador de milhares 3 14 2 2 2 2 2 3 2" xfId="48690"/>
    <cellStyle name="Separador de milhares 3 14 2 2 2 2 2 4" xfId="16540"/>
    <cellStyle name="Separador de milhares 3 14 2 2 2 2 2 4 2" xfId="42782"/>
    <cellStyle name="Separador de milhares 3 14 2 2 2 2 2 5" xfId="36396"/>
    <cellStyle name="Separador de milhares 3 14 2 2 2 2 3" xfId="25411"/>
    <cellStyle name="Separador de milhares 3 14 2 2 2 2 3 2" xfId="51644"/>
    <cellStyle name="Separador de milhares 3 14 2 2 2 2 4" xfId="19497"/>
    <cellStyle name="Separador de milhares 3 14 2 2 2 2 4 2" xfId="45736"/>
    <cellStyle name="Separador de milhares 3 14 2 2 2 2 5" xfId="13396"/>
    <cellStyle name="Separador de milhares 3 14 2 2 2 2 5 2" xfId="39638"/>
    <cellStyle name="Separador de milhares 3 14 2 2 2 2 6" xfId="33252"/>
    <cellStyle name="Separador de milhares 3 14 2 2 2 3" xfId="8686"/>
    <cellStyle name="Separador de milhares 3 14 2 2 2 3 2" xfId="26900"/>
    <cellStyle name="Separador de milhares 3 14 2 2 2 3 2 2" xfId="53130"/>
    <cellStyle name="Separador de milhares 3 14 2 2 2 3 3" xfId="20986"/>
    <cellStyle name="Separador de milhares 3 14 2 2 2 3 3 2" xfId="47222"/>
    <cellStyle name="Separador de milhares 3 14 2 2 2 3 4" xfId="15072"/>
    <cellStyle name="Separador de milhares 3 14 2 2 2 3 4 2" xfId="41314"/>
    <cellStyle name="Separador de milhares 3 14 2 2 2 3 5" xfId="34928"/>
    <cellStyle name="Separador de milhares 3 14 2 2 2 4" xfId="5308"/>
    <cellStyle name="Separador de milhares 3 14 2 2 2 4 2" xfId="23943"/>
    <cellStyle name="Separador de milhares 3 14 2 2 2 4 2 2" xfId="50176"/>
    <cellStyle name="Separador de milhares 3 14 2 2 2 4 3" xfId="31553"/>
    <cellStyle name="Separador de milhares 3 14 2 2 2 5" xfId="18029"/>
    <cellStyle name="Separador de milhares 3 14 2 2 2 5 2" xfId="44268"/>
    <cellStyle name="Separador de milhares 3 14 2 2 2 6" xfId="11695"/>
    <cellStyle name="Separador de milhares 3 14 2 2 2 6 2" xfId="37937"/>
    <cellStyle name="Separador de milhares 3 14 2 2 2 7" xfId="29855"/>
    <cellStyle name="Separador de milhares 3 14 2 2 3" xfId="2496"/>
    <cellStyle name="Separador de milhares 3 14 2 2 3 2" xfId="7157"/>
    <cellStyle name="Separador de milhares 3 14 2 2 3 2 2" xfId="10301"/>
    <cellStyle name="Separador de milhares 3 14 2 2 3 2 2 2" xfId="28515"/>
    <cellStyle name="Separador de milhares 3 14 2 2 3 2 2 2 2" xfId="54745"/>
    <cellStyle name="Separador de milhares 3 14 2 2 3 2 2 3" xfId="22601"/>
    <cellStyle name="Separador de milhares 3 14 2 2 3 2 2 3 2" xfId="48837"/>
    <cellStyle name="Separador de milhares 3 14 2 2 3 2 2 4" xfId="16687"/>
    <cellStyle name="Separador de milhares 3 14 2 2 3 2 2 4 2" xfId="42929"/>
    <cellStyle name="Separador de milhares 3 14 2 2 3 2 2 5" xfId="36543"/>
    <cellStyle name="Separador de milhares 3 14 2 2 3 2 3" xfId="25558"/>
    <cellStyle name="Separador de milhares 3 14 2 2 3 2 3 2" xfId="51791"/>
    <cellStyle name="Separador de milhares 3 14 2 2 3 2 4" xfId="19644"/>
    <cellStyle name="Separador de milhares 3 14 2 2 3 2 4 2" xfId="45883"/>
    <cellStyle name="Separador de milhares 3 14 2 2 3 2 5" xfId="13546"/>
    <cellStyle name="Separador de milhares 3 14 2 2 3 2 5 2" xfId="39788"/>
    <cellStyle name="Separador de milhares 3 14 2 2 3 2 6" xfId="33402"/>
    <cellStyle name="Separador de milhares 3 14 2 2 3 3" xfId="8833"/>
    <cellStyle name="Separador de milhares 3 14 2 2 3 3 2" xfId="27047"/>
    <cellStyle name="Separador de milhares 3 14 2 2 3 3 2 2" xfId="53277"/>
    <cellStyle name="Separador de milhares 3 14 2 2 3 3 3" xfId="21133"/>
    <cellStyle name="Separador de milhares 3 14 2 2 3 3 3 2" xfId="47369"/>
    <cellStyle name="Separador de milhares 3 14 2 2 3 3 4" xfId="15219"/>
    <cellStyle name="Separador de milhares 3 14 2 2 3 3 4 2" xfId="41461"/>
    <cellStyle name="Separador de milhares 3 14 2 2 3 3 5" xfId="35075"/>
    <cellStyle name="Separador de milhares 3 14 2 2 3 4" xfId="5458"/>
    <cellStyle name="Separador de milhares 3 14 2 2 3 4 2" xfId="24090"/>
    <cellStyle name="Separador de milhares 3 14 2 2 3 4 2 2" xfId="50323"/>
    <cellStyle name="Separador de milhares 3 14 2 2 3 4 3" xfId="31703"/>
    <cellStyle name="Separador de milhares 3 14 2 2 3 5" xfId="18176"/>
    <cellStyle name="Separador de milhares 3 14 2 2 3 5 2" xfId="44415"/>
    <cellStyle name="Separador de milhares 3 14 2 2 3 6" xfId="11845"/>
    <cellStyle name="Separador de milhares 3 14 2 2 3 6 2" xfId="38087"/>
    <cellStyle name="Separador de milhares 3 14 2 2 3 7" xfId="30005"/>
    <cellStyle name="Separador de milhares 3 14 2 2 4" xfId="3023"/>
    <cellStyle name="Separador de milhares 3 14 2 2 4 2" xfId="7304"/>
    <cellStyle name="Separador de milhares 3 14 2 2 4 2 2" xfId="10448"/>
    <cellStyle name="Separador de milhares 3 14 2 2 4 2 2 2" xfId="28662"/>
    <cellStyle name="Separador de milhares 3 14 2 2 4 2 2 2 2" xfId="54892"/>
    <cellStyle name="Separador de milhares 3 14 2 2 4 2 2 3" xfId="22748"/>
    <cellStyle name="Separador de milhares 3 14 2 2 4 2 2 3 2" xfId="48984"/>
    <cellStyle name="Separador de milhares 3 14 2 2 4 2 2 4" xfId="16834"/>
    <cellStyle name="Separador de milhares 3 14 2 2 4 2 2 4 2" xfId="43076"/>
    <cellStyle name="Separador de milhares 3 14 2 2 4 2 2 5" xfId="36690"/>
    <cellStyle name="Separador de milhares 3 14 2 2 4 2 3" xfId="25705"/>
    <cellStyle name="Separador de milhares 3 14 2 2 4 2 3 2" xfId="51938"/>
    <cellStyle name="Separador de milhares 3 14 2 2 4 2 4" xfId="19791"/>
    <cellStyle name="Separador de milhares 3 14 2 2 4 2 4 2" xfId="46030"/>
    <cellStyle name="Separador de milhares 3 14 2 2 4 2 5" xfId="13693"/>
    <cellStyle name="Separador de milhares 3 14 2 2 4 2 5 2" xfId="39935"/>
    <cellStyle name="Separador de milhares 3 14 2 2 4 2 6" xfId="33549"/>
    <cellStyle name="Separador de milhares 3 14 2 2 4 3" xfId="8980"/>
    <cellStyle name="Separador de milhares 3 14 2 2 4 3 2" xfId="27194"/>
    <cellStyle name="Separador de milhares 3 14 2 2 4 3 2 2" xfId="53424"/>
    <cellStyle name="Separador de milhares 3 14 2 2 4 3 3" xfId="21280"/>
    <cellStyle name="Separador de milhares 3 14 2 2 4 3 3 2" xfId="47516"/>
    <cellStyle name="Separador de milhares 3 14 2 2 4 3 4" xfId="15366"/>
    <cellStyle name="Separador de milhares 3 14 2 2 4 3 4 2" xfId="41608"/>
    <cellStyle name="Separador de milhares 3 14 2 2 4 3 5" xfId="35222"/>
    <cellStyle name="Separador de milhares 3 14 2 2 4 4" xfId="5605"/>
    <cellStyle name="Separador de milhares 3 14 2 2 4 4 2" xfId="24237"/>
    <cellStyle name="Separador de milhares 3 14 2 2 4 4 2 2" xfId="50470"/>
    <cellStyle name="Separador de milhares 3 14 2 2 4 4 3" xfId="31850"/>
    <cellStyle name="Separador de milhares 3 14 2 2 4 5" xfId="18323"/>
    <cellStyle name="Separador de milhares 3 14 2 2 4 5 2" xfId="44562"/>
    <cellStyle name="Separador de milhares 3 14 2 2 4 6" xfId="11992"/>
    <cellStyle name="Separador de milhares 3 14 2 2 4 6 2" xfId="38234"/>
    <cellStyle name="Separador de milhares 3 14 2 2 4 7" xfId="30152"/>
    <cellStyle name="Separador de milhares 3 14 2 2 5" xfId="3550"/>
    <cellStyle name="Separador de milhares 3 14 2 2 5 2" xfId="7451"/>
    <cellStyle name="Separador de milhares 3 14 2 2 5 2 2" xfId="10595"/>
    <cellStyle name="Separador de milhares 3 14 2 2 5 2 2 2" xfId="28809"/>
    <cellStyle name="Separador de milhares 3 14 2 2 5 2 2 2 2" xfId="55039"/>
    <cellStyle name="Separador de milhares 3 14 2 2 5 2 2 3" xfId="22895"/>
    <cellStyle name="Separador de milhares 3 14 2 2 5 2 2 3 2" xfId="49131"/>
    <cellStyle name="Separador de milhares 3 14 2 2 5 2 2 4" xfId="16981"/>
    <cellStyle name="Separador de milhares 3 14 2 2 5 2 2 4 2" xfId="43223"/>
    <cellStyle name="Separador de milhares 3 14 2 2 5 2 2 5" xfId="36837"/>
    <cellStyle name="Separador de milhares 3 14 2 2 5 2 3" xfId="25852"/>
    <cellStyle name="Separador de milhares 3 14 2 2 5 2 3 2" xfId="52085"/>
    <cellStyle name="Separador de milhares 3 14 2 2 5 2 4" xfId="19938"/>
    <cellStyle name="Separador de milhares 3 14 2 2 5 2 4 2" xfId="46177"/>
    <cellStyle name="Separador de milhares 3 14 2 2 5 2 5" xfId="13840"/>
    <cellStyle name="Separador de milhares 3 14 2 2 5 2 5 2" xfId="40082"/>
    <cellStyle name="Separador de milhares 3 14 2 2 5 2 6" xfId="33696"/>
    <cellStyle name="Separador de milhares 3 14 2 2 5 3" xfId="9127"/>
    <cellStyle name="Separador de milhares 3 14 2 2 5 3 2" xfId="27341"/>
    <cellStyle name="Separador de milhares 3 14 2 2 5 3 2 2" xfId="53571"/>
    <cellStyle name="Separador de milhares 3 14 2 2 5 3 3" xfId="21427"/>
    <cellStyle name="Separador de milhares 3 14 2 2 5 3 3 2" xfId="47663"/>
    <cellStyle name="Separador de milhares 3 14 2 2 5 3 4" xfId="15513"/>
    <cellStyle name="Separador de milhares 3 14 2 2 5 3 4 2" xfId="41755"/>
    <cellStyle name="Separador de milhares 3 14 2 2 5 3 5" xfId="35369"/>
    <cellStyle name="Separador de milhares 3 14 2 2 5 4" xfId="5752"/>
    <cellStyle name="Separador de milhares 3 14 2 2 5 4 2" xfId="24384"/>
    <cellStyle name="Separador de milhares 3 14 2 2 5 4 2 2" xfId="50617"/>
    <cellStyle name="Separador de milhares 3 14 2 2 5 4 3" xfId="31997"/>
    <cellStyle name="Separador de milhares 3 14 2 2 5 5" xfId="18470"/>
    <cellStyle name="Separador de milhares 3 14 2 2 5 5 2" xfId="44709"/>
    <cellStyle name="Separador de milhares 3 14 2 2 5 6" xfId="12139"/>
    <cellStyle name="Separador de milhares 3 14 2 2 5 6 2" xfId="38381"/>
    <cellStyle name="Separador de milhares 3 14 2 2 5 7" xfId="30299"/>
    <cellStyle name="Separador de milhares 3 14 2 2 6" xfId="4077"/>
    <cellStyle name="Separador de milhares 3 14 2 2 6 2" xfId="7598"/>
    <cellStyle name="Separador de milhares 3 14 2 2 6 2 2" xfId="10742"/>
    <cellStyle name="Separador de milhares 3 14 2 2 6 2 2 2" xfId="28956"/>
    <cellStyle name="Separador de milhares 3 14 2 2 6 2 2 2 2" xfId="55186"/>
    <cellStyle name="Separador de milhares 3 14 2 2 6 2 2 3" xfId="23042"/>
    <cellStyle name="Separador de milhares 3 14 2 2 6 2 2 3 2" xfId="49278"/>
    <cellStyle name="Separador de milhares 3 14 2 2 6 2 2 4" xfId="17128"/>
    <cellStyle name="Separador de milhares 3 14 2 2 6 2 2 4 2" xfId="43370"/>
    <cellStyle name="Separador de milhares 3 14 2 2 6 2 2 5" xfId="36984"/>
    <cellStyle name="Separador de milhares 3 14 2 2 6 2 3" xfId="25999"/>
    <cellStyle name="Separador de milhares 3 14 2 2 6 2 3 2" xfId="52232"/>
    <cellStyle name="Separador de milhares 3 14 2 2 6 2 4" xfId="20085"/>
    <cellStyle name="Separador de milhares 3 14 2 2 6 2 4 2" xfId="46324"/>
    <cellStyle name="Separador de milhares 3 14 2 2 6 2 5" xfId="13987"/>
    <cellStyle name="Separador de milhares 3 14 2 2 6 2 5 2" xfId="40229"/>
    <cellStyle name="Separador de milhares 3 14 2 2 6 2 6" xfId="33843"/>
    <cellStyle name="Separador de milhares 3 14 2 2 6 3" xfId="9274"/>
    <cellStyle name="Separador de milhares 3 14 2 2 6 3 2" xfId="27488"/>
    <cellStyle name="Separador de milhares 3 14 2 2 6 3 2 2" xfId="53718"/>
    <cellStyle name="Separador de milhares 3 14 2 2 6 3 3" xfId="21574"/>
    <cellStyle name="Separador de milhares 3 14 2 2 6 3 3 2" xfId="47810"/>
    <cellStyle name="Separador de milhares 3 14 2 2 6 3 4" xfId="15660"/>
    <cellStyle name="Separador de milhares 3 14 2 2 6 3 4 2" xfId="41902"/>
    <cellStyle name="Separador de milhares 3 14 2 2 6 3 5" xfId="35516"/>
    <cellStyle name="Separador de milhares 3 14 2 2 6 4" xfId="5899"/>
    <cellStyle name="Separador de milhares 3 14 2 2 6 4 2" xfId="24531"/>
    <cellStyle name="Separador de milhares 3 14 2 2 6 4 2 2" xfId="50764"/>
    <cellStyle name="Separador de milhares 3 14 2 2 6 4 3" xfId="32144"/>
    <cellStyle name="Separador de milhares 3 14 2 2 6 5" xfId="18617"/>
    <cellStyle name="Separador de milhares 3 14 2 2 6 5 2" xfId="44856"/>
    <cellStyle name="Separador de milhares 3 14 2 2 6 6" xfId="12286"/>
    <cellStyle name="Separador de milhares 3 14 2 2 6 6 2" xfId="38528"/>
    <cellStyle name="Separador de milhares 3 14 2 2 6 7" xfId="30446"/>
    <cellStyle name="Separador de milhares 3 14 2 2 7" xfId="6569"/>
    <cellStyle name="Separador de milhares 3 14 2 2 7 2" xfId="9716"/>
    <cellStyle name="Separador de milhares 3 14 2 2 7 2 2" xfId="27930"/>
    <cellStyle name="Separador de milhares 3 14 2 2 7 2 2 2" xfId="54160"/>
    <cellStyle name="Separador de milhares 3 14 2 2 7 2 3" xfId="22016"/>
    <cellStyle name="Separador de milhares 3 14 2 2 7 2 3 2" xfId="48252"/>
    <cellStyle name="Separador de milhares 3 14 2 2 7 2 4" xfId="16102"/>
    <cellStyle name="Separador de milhares 3 14 2 2 7 2 4 2" xfId="42344"/>
    <cellStyle name="Separador de milhares 3 14 2 2 7 2 5" xfId="35958"/>
    <cellStyle name="Separador de milhares 3 14 2 2 7 3" xfId="24973"/>
    <cellStyle name="Separador de milhares 3 14 2 2 7 3 2" xfId="51206"/>
    <cellStyle name="Separador de milhares 3 14 2 2 7 4" xfId="19059"/>
    <cellStyle name="Separador de milhares 3 14 2 2 7 4 2" xfId="45298"/>
    <cellStyle name="Separador de milhares 3 14 2 2 7 5" xfId="12958"/>
    <cellStyle name="Separador de milhares 3 14 2 2 7 5 2" xfId="39200"/>
    <cellStyle name="Separador de milhares 3 14 2 2 7 6" xfId="32814"/>
    <cellStyle name="Separador de milhares 3 14 2 2 8" xfId="8245"/>
    <cellStyle name="Separador de milhares 3 14 2 2 8 2" xfId="26459"/>
    <cellStyle name="Separador de milhares 3 14 2 2 8 2 2" xfId="52692"/>
    <cellStyle name="Separador de milhares 3 14 2 2 8 3" xfId="20545"/>
    <cellStyle name="Separador de milhares 3 14 2 2 8 3 2" xfId="46784"/>
    <cellStyle name="Separador de milhares 3 14 2 2 8 4" xfId="14634"/>
    <cellStyle name="Separador de milhares 3 14 2 2 8 4 2" xfId="40876"/>
    <cellStyle name="Separador de milhares 3 14 2 2 8 5" xfId="34490"/>
    <cellStyle name="Separador de milhares 3 14 2 2 9" xfId="4868"/>
    <cellStyle name="Separador de milhares 3 14 2 2 9 2" xfId="23502"/>
    <cellStyle name="Separador de milhares 3 14 2 2 9 2 2" xfId="49738"/>
    <cellStyle name="Separador de milhares 3 14 2 2 9 3" xfId="31115"/>
    <cellStyle name="Separador de milhares 3 14 2 3" xfId="920"/>
    <cellStyle name="Separador de milhares 3 14 2 3 2" xfId="6720"/>
    <cellStyle name="Separador de milhares 3 14 2 3 2 2" xfId="9867"/>
    <cellStyle name="Separador de milhares 3 14 2 3 2 2 2" xfId="28081"/>
    <cellStyle name="Separador de milhares 3 14 2 3 2 2 2 2" xfId="54311"/>
    <cellStyle name="Separador de milhares 3 14 2 3 2 2 3" xfId="22167"/>
    <cellStyle name="Separador de milhares 3 14 2 3 2 2 3 2" xfId="48403"/>
    <cellStyle name="Separador de milhares 3 14 2 3 2 2 4" xfId="16253"/>
    <cellStyle name="Separador de milhares 3 14 2 3 2 2 4 2" xfId="42495"/>
    <cellStyle name="Separador de milhares 3 14 2 3 2 2 5" xfId="36109"/>
    <cellStyle name="Separador de milhares 3 14 2 3 2 3" xfId="25124"/>
    <cellStyle name="Separador de milhares 3 14 2 3 2 3 2" xfId="51357"/>
    <cellStyle name="Separador de milhares 3 14 2 3 2 4" xfId="19210"/>
    <cellStyle name="Separador de milhares 3 14 2 3 2 4 2" xfId="45449"/>
    <cellStyle name="Separador de milhares 3 14 2 3 2 5" xfId="13109"/>
    <cellStyle name="Separador de milhares 3 14 2 3 2 5 2" xfId="39351"/>
    <cellStyle name="Separador de milhares 3 14 2 3 2 6" xfId="32965"/>
    <cellStyle name="Separador de milhares 3 14 2 3 3" xfId="8399"/>
    <cellStyle name="Separador de milhares 3 14 2 3 3 2" xfId="26613"/>
    <cellStyle name="Separador de milhares 3 14 2 3 3 2 2" xfId="52843"/>
    <cellStyle name="Separador de milhares 3 14 2 3 3 3" xfId="20699"/>
    <cellStyle name="Separador de milhares 3 14 2 3 3 3 2" xfId="46935"/>
    <cellStyle name="Separador de milhares 3 14 2 3 3 4" xfId="14785"/>
    <cellStyle name="Separador de milhares 3 14 2 3 3 4 2" xfId="41027"/>
    <cellStyle name="Separador de milhares 3 14 2 3 3 5" xfId="34641"/>
    <cellStyle name="Separador de milhares 3 14 2 3 4" xfId="5021"/>
    <cellStyle name="Separador de milhares 3 14 2 3 4 2" xfId="23656"/>
    <cellStyle name="Separador de milhares 3 14 2 3 4 2 2" xfId="49889"/>
    <cellStyle name="Separador de milhares 3 14 2 3 4 3" xfId="31266"/>
    <cellStyle name="Separador de milhares 3 14 2 3 5" xfId="17742"/>
    <cellStyle name="Separador de milhares 3 14 2 3 5 2" xfId="43981"/>
    <cellStyle name="Separador de milhares 3 14 2 3 6" xfId="11408"/>
    <cellStyle name="Separador de milhares 3 14 2 3 6 2" xfId="37650"/>
    <cellStyle name="Separador de milhares 3 14 2 3 7" xfId="29568"/>
    <cellStyle name="Separador de milhares 3 14 2 4" xfId="1271"/>
    <cellStyle name="Separador de milhares 3 14 2 4 2" xfId="6818"/>
    <cellStyle name="Separador de milhares 3 14 2 4 2 2" xfId="9965"/>
    <cellStyle name="Separador de milhares 3 14 2 4 2 2 2" xfId="28179"/>
    <cellStyle name="Separador de milhares 3 14 2 4 2 2 2 2" xfId="54409"/>
    <cellStyle name="Separador de milhares 3 14 2 4 2 2 3" xfId="22265"/>
    <cellStyle name="Separador de milhares 3 14 2 4 2 2 3 2" xfId="48501"/>
    <cellStyle name="Separador de milhares 3 14 2 4 2 2 4" xfId="16351"/>
    <cellStyle name="Separador de milhares 3 14 2 4 2 2 4 2" xfId="42593"/>
    <cellStyle name="Separador de milhares 3 14 2 4 2 2 5" xfId="36207"/>
    <cellStyle name="Separador de milhares 3 14 2 4 2 3" xfId="25222"/>
    <cellStyle name="Separador de milhares 3 14 2 4 2 3 2" xfId="51455"/>
    <cellStyle name="Separador de milhares 3 14 2 4 2 4" xfId="19308"/>
    <cellStyle name="Separador de milhares 3 14 2 4 2 4 2" xfId="45547"/>
    <cellStyle name="Separador de milhares 3 14 2 4 2 5" xfId="13207"/>
    <cellStyle name="Separador de milhares 3 14 2 4 2 5 2" xfId="39449"/>
    <cellStyle name="Separador de milhares 3 14 2 4 2 6" xfId="33063"/>
    <cellStyle name="Separador de milhares 3 14 2 4 3" xfId="8497"/>
    <cellStyle name="Separador de milhares 3 14 2 4 3 2" xfId="26711"/>
    <cellStyle name="Separador de milhares 3 14 2 4 3 2 2" xfId="52941"/>
    <cellStyle name="Separador de milhares 3 14 2 4 3 3" xfId="20797"/>
    <cellStyle name="Separador de milhares 3 14 2 4 3 3 2" xfId="47033"/>
    <cellStyle name="Separador de milhares 3 14 2 4 3 4" xfId="14883"/>
    <cellStyle name="Separador de milhares 3 14 2 4 3 4 2" xfId="41125"/>
    <cellStyle name="Separador de milhares 3 14 2 4 3 5" xfId="34739"/>
    <cellStyle name="Separador de milhares 3 14 2 4 4" xfId="5119"/>
    <cellStyle name="Separador de milhares 3 14 2 4 4 2" xfId="23754"/>
    <cellStyle name="Separador de milhares 3 14 2 4 4 2 2" xfId="49987"/>
    <cellStyle name="Separador de milhares 3 14 2 4 4 3" xfId="31364"/>
    <cellStyle name="Separador de milhares 3 14 2 4 5" xfId="17840"/>
    <cellStyle name="Separador de milhares 3 14 2 4 5 2" xfId="44079"/>
    <cellStyle name="Separador de milhares 3 14 2 4 6" xfId="11506"/>
    <cellStyle name="Separador de milhares 3 14 2 4 6 2" xfId="37748"/>
    <cellStyle name="Separador de milhares 3 14 2 4 7" xfId="29666"/>
    <cellStyle name="Separador de milhares 3 14 2 5" xfId="1706"/>
    <cellStyle name="Separador de milhares 3 14 2 5 2" xfId="6937"/>
    <cellStyle name="Separador de milhares 3 14 2 5 2 2" xfId="10084"/>
    <cellStyle name="Separador de milhares 3 14 2 5 2 2 2" xfId="28298"/>
    <cellStyle name="Separador de milhares 3 14 2 5 2 2 2 2" xfId="54528"/>
    <cellStyle name="Separador de milhares 3 14 2 5 2 2 3" xfId="22384"/>
    <cellStyle name="Separador de milhares 3 14 2 5 2 2 3 2" xfId="48620"/>
    <cellStyle name="Separador de milhares 3 14 2 5 2 2 4" xfId="16470"/>
    <cellStyle name="Separador de milhares 3 14 2 5 2 2 4 2" xfId="42712"/>
    <cellStyle name="Separador de milhares 3 14 2 5 2 2 5" xfId="36326"/>
    <cellStyle name="Separador de milhares 3 14 2 5 2 3" xfId="25341"/>
    <cellStyle name="Separador de milhares 3 14 2 5 2 3 2" xfId="51574"/>
    <cellStyle name="Separador de milhares 3 14 2 5 2 4" xfId="19427"/>
    <cellStyle name="Separador de milhares 3 14 2 5 2 4 2" xfId="45666"/>
    <cellStyle name="Separador de milhares 3 14 2 5 2 5" xfId="13326"/>
    <cellStyle name="Separador de milhares 3 14 2 5 2 5 2" xfId="39568"/>
    <cellStyle name="Separador de milhares 3 14 2 5 2 6" xfId="33182"/>
    <cellStyle name="Separador de milhares 3 14 2 5 3" xfId="8616"/>
    <cellStyle name="Separador de milhares 3 14 2 5 3 2" xfId="26830"/>
    <cellStyle name="Separador de milhares 3 14 2 5 3 2 2" xfId="53060"/>
    <cellStyle name="Separador de milhares 3 14 2 5 3 3" xfId="20916"/>
    <cellStyle name="Separador de milhares 3 14 2 5 3 3 2" xfId="47152"/>
    <cellStyle name="Separador de milhares 3 14 2 5 3 4" xfId="15002"/>
    <cellStyle name="Separador de milhares 3 14 2 5 3 4 2" xfId="41244"/>
    <cellStyle name="Separador de milhares 3 14 2 5 3 5" xfId="34858"/>
    <cellStyle name="Separador de milhares 3 14 2 5 4" xfId="5238"/>
    <cellStyle name="Separador de milhares 3 14 2 5 4 2" xfId="23873"/>
    <cellStyle name="Separador de milhares 3 14 2 5 4 2 2" xfId="50106"/>
    <cellStyle name="Separador de milhares 3 14 2 5 4 3" xfId="31483"/>
    <cellStyle name="Separador de milhares 3 14 2 5 5" xfId="17959"/>
    <cellStyle name="Separador de milhares 3 14 2 5 5 2" xfId="44198"/>
    <cellStyle name="Separador de milhares 3 14 2 5 6" xfId="11625"/>
    <cellStyle name="Separador de milhares 3 14 2 5 6 2" xfId="37867"/>
    <cellStyle name="Separador de milhares 3 14 2 5 7" xfId="29785"/>
    <cellStyle name="Separador de milhares 3 14 2 6" xfId="2236"/>
    <cellStyle name="Separador de milhares 3 14 2 6 2" xfId="7087"/>
    <cellStyle name="Separador de milhares 3 14 2 6 2 2" xfId="10231"/>
    <cellStyle name="Separador de milhares 3 14 2 6 2 2 2" xfId="28445"/>
    <cellStyle name="Separador de milhares 3 14 2 6 2 2 2 2" xfId="54675"/>
    <cellStyle name="Separador de milhares 3 14 2 6 2 2 3" xfId="22531"/>
    <cellStyle name="Separador de milhares 3 14 2 6 2 2 3 2" xfId="48767"/>
    <cellStyle name="Separador de milhares 3 14 2 6 2 2 4" xfId="16617"/>
    <cellStyle name="Separador de milhares 3 14 2 6 2 2 4 2" xfId="42859"/>
    <cellStyle name="Separador de milhares 3 14 2 6 2 2 5" xfId="36473"/>
    <cellStyle name="Separador de milhares 3 14 2 6 2 3" xfId="25488"/>
    <cellStyle name="Separador de milhares 3 14 2 6 2 3 2" xfId="51721"/>
    <cellStyle name="Separador de milhares 3 14 2 6 2 4" xfId="19574"/>
    <cellStyle name="Separador de milhares 3 14 2 6 2 4 2" xfId="45813"/>
    <cellStyle name="Separador de milhares 3 14 2 6 2 5" xfId="13476"/>
    <cellStyle name="Separador de milhares 3 14 2 6 2 5 2" xfId="39718"/>
    <cellStyle name="Separador de milhares 3 14 2 6 2 6" xfId="33332"/>
    <cellStyle name="Separador de milhares 3 14 2 6 3" xfId="8763"/>
    <cellStyle name="Separador de milhares 3 14 2 6 3 2" xfId="26977"/>
    <cellStyle name="Separador de milhares 3 14 2 6 3 2 2" xfId="53207"/>
    <cellStyle name="Separador de milhares 3 14 2 6 3 3" xfId="21063"/>
    <cellStyle name="Separador de milhares 3 14 2 6 3 3 2" xfId="47299"/>
    <cellStyle name="Separador de milhares 3 14 2 6 3 4" xfId="15149"/>
    <cellStyle name="Separador de milhares 3 14 2 6 3 4 2" xfId="41391"/>
    <cellStyle name="Separador de milhares 3 14 2 6 3 5" xfId="35005"/>
    <cellStyle name="Separador de milhares 3 14 2 6 4" xfId="5388"/>
    <cellStyle name="Separador de milhares 3 14 2 6 4 2" xfId="24020"/>
    <cellStyle name="Separador de milhares 3 14 2 6 4 2 2" xfId="50253"/>
    <cellStyle name="Separador de milhares 3 14 2 6 4 3" xfId="31633"/>
    <cellStyle name="Separador de milhares 3 14 2 6 5" xfId="18106"/>
    <cellStyle name="Separador de milhares 3 14 2 6 5 2" xfId="44345"/>
    <cellStyle name="Separador de milhares 3 14 2 6 6" xfId="11775"/>
    <cellStyle name="Separador de milhares 3 14 2 6 6 2" xfId="38017"/>
    <cellStyle name="Separador de milhares 3 14 2 6 7" xfId="29935"/>
    <cellStyle name="Separador de milhares 3 14 2 7" xfId="2763"/>
    <cellStyle name="Separador de milhares 3 14 2 7 2" xfId="7234"/>
    <cellStyle name="Separador de milhares 3 14 2 7 2 2" xfId="10378"/>
    <cellStyle name="Separador de milhares 3 14 2 7 2 2 2" xfId="28592"/>
    <cellStyle name="Separador de milhares 3 14 2 7 2 2 2 2" xfId="54822"/>
    <cellStyle name="Separador de milhares 3 14 2 7 2 2 3" xfId="22678"/>
    <cellStyle name="Separador de milhares 3 14 2 7 2 2 3 2" xfId="48914"/>
    <cellStyle name="Separador de milhares 3 14 2 7 2 2 4" xfId="16764"/>
    <cellStyle name="Separador de milhares 3 14 2 7 2 2 4 2" xfId="43006"/>
    <cellStyle name="Separador de milhares 3 14 2 7 2 2 5" xfId="36620"/>
    <cellStyle name="Separador de milhares 3 14 2 7 2 3" xfId="25635"/>
    <cellStyle name="Separador de milhares 3 14 2 7 2 3 2" xfId="51868"/>
    <cellStyle name="Separador de milhares 3 14 2 7 2 4" xfId="19721"/>
    <cellStyle name="Separador de milhares 3 14 2 7 2 4 2" xfId="45960"/>
    <cellStyle name="Separador de milhares 3 14 2 7 2 5" xfId="13623"/>
    <cellStyle name="Separador de milhares 3 14 2 7 2 5 2" xfId="39865"/>
    <cellStyle name="Separador de milhares 3 14 2 7 2 6" xfId="33479"/>
    <cellStyle name="Separador de milhares 3 14 2 7 3" xfId="8910"/>
    <cellStyle name="Separador de milhares 3 14 2 7 3 2" xfId="27124"/>
    <cellStyle name="Separador de milhares 3 14 2 7 3 2 2" xfId="53354"/>
    <cellStyle name="Separador de milhares 3 14 2 7 3 3" xfId="21210"/>
    <cellStyle name="Separador de milhares 3 14 2 7 3 3 2" xfId="47446"/>
    <cellStyle name="Separador de milhares 3 14 2 7 3 4" xfId="15296"/>
    <cellStyle name="Separador de milhares 3 14 2 7 3 4 2" xfId="41538"/>
    <cellStyle name="Separador de milhares 3 14 2 7 3 5" xfId="35152"/>
    <cellStyle name="Separador de milhares 3 14 2 7 4" xfId="5535"/>
    <cellStyle name="Separador de milhares 3 14 2 7 4 2" xfId="24167"/>
    <cellStyle name="Separador de milhares 3 14 2 7 4 2 2" xfId="50400"/>
    <cellStyle name="Separador de milhares 3 14 2 7 4 3" xfId="31780"/>
    <cellStyle name="Separador de milhares 3 14 2 7 5" xfId="18253"/>
    <cellStyle name="Separador de milhares 3 14 2 7 5 2" xfId="44492"/>
    <cellStyle name="Separador de milhares 3 14 2 7 6" xfId="11922"/>
    <cellStyle name="Separador de milhares 3 14 2 7 6 2" xfId="38164"/>
    <cellStyle name="Separador de milhares 3 14 2 7 7" xfId="30082"/>
    <cellStyle name="Separador de milhares 3 14 2 8" xfId="3290"/>
    <cellStyle name="Separador de milhares 3 14 2 8 2" xfId="7381"/>
    <cellStyle name="Separador de milhares 3 14 2 8 2 2" xfId="10525"/>
    <cellStyle name="Separador de milhares 3 14 2 8 2 2 2" xfId="28739"/>
    <cellStyle name="Separador de milhares 3 14 2 8 2 2 2 2" xfId="54969"/>
    <cellStyle name="Separador de milhares 3 14 2 8 2 2 3" xfId="22825"/>
    <cellStyle name="Separador de milhares 3 14 2 8 2 2 3 2" xfId="49061"/>
    <cellStyle name="Separador de milhares 3 14 2 8 2 2 4" xfId="16911"/>
    <cellStyle name="Separador de milhares 3 14 2 8 2 2 4 2" xfId="43153"/>
    <cellStyle name="Separador de milhares 3 14 2 8 2 2 5" xfId="36767"/>
    <cellStyle name="Separador de milhares 3 14 2 8 2 3" xfId="25782"/>
    <cellStyle name="Separador de milhares 3 14 2 8 2 3 2" xfId="52015"/>
    <cellStyle name="Separador de milhares 3 14 2 8 2 4" xfId="19868"/>
    <cellStyle name="Separador de milhares 3 14 2 8 2 4 2" xfId="46107"/>
    <cellStyle name="Separador de milhares 3 14 2 8 2 5" xfId="13770"/>
    <cellStyle name="Separador de milhares 3 14 2 8 2 5 2" xfId="40012"/>
    <cellStyle name="Separador de milhares 3 14 2 8 2 6" xfId="33626"/>
    <cellStyle name="Separador de milhares 3 14 2 8 3" xfId="9057"/>
    <cellStyle name="Separador de milhares 3 14 2 8 3 2" xfId="27271"/>
    <cellStyle name="Separador de milhares 3 14 2 8 3 2 2" xfId="53501"/>
    <cellStyle name="Separador de milhares 3 14 2 8 3 3" xfId="21357"/>
    <cellStyle name="Separador de milhares 3 14 2 8 3 3 2" xfId="47593"/>
    <cellStyle name="Separador de milhares 3 14 2 8 3 4" xfId="15443"/>
    <cellStyle name="Separador de milhares 3 14 2 8 3 4 2" xfId="41685"/>
    <cellStyle name="Separador de milhares 3 14 2 8 3 5" xfId="35299"/>
    <cellStyle name="Separador de milhares 3 14 2 8 4" xfId="5682"/>
    <cellStyle name="Separador de milhares 3 14 2 8 4 2" xfId="24314"/>
    <cellStyle name="Separador de milhares 3 14 2 8 4 2 2" xfId="50547"/>
    <cellStyle name="Separador de milhares 3 14 2 8 4 3" xfId="31927"/>
    <cellStyle name="Separador de milhares 3 14 2 8 5" xfId="18400"/>
    <cellStyle name="Separador de milhares 3 14 2 8 5 2" xfId="44639"/>
    <cellStyle name="Separador de milhares 3 14 2 8 6" xfId="12069"/>
    <cellStyle name="Separador de milhares 3 14 2 8 6 2" xfId="38311"/>
    <cellStyle name="Separador de milhares 3 14 2 8 7" xfId="30229"/>
    <cellStyle name="Separador de milhares 3 14 2 9" xfId="3817"/>
    <cellStyle name="Separador de milhares 3 14 2 9 2" xfId="7528"/>
    <cellStyle name="Separador de milhares 3 14 2 9 2 2" xfId="10672"/>
    <cellStyle name="Separador de milhares 3 14 2 9 2 2 2" xfId="28886"/>
    <cellStyle name="Separador de milhares 3 14 2 9 2 2 2 2" xfId="55116"/>
    <cellStyle name="Separador de milhares 3 14 2 9 2 2 3" xfId="22972"/>
    <cellStyle name="Separador de milhares 3 14 2 9 2 2 3 2" xfId="49208"/>
    <cellStyle name="Separador de milhares 3 14 2 9 2 2 4" xfId="17058"/>
    <cellStyle name="Separador de milhares 3 14 2 9 2 2 4 2" xfId="43300"/>
    <cellStyle name="Separador de milhares 3 14 2 9 2 2 5" xfId="36914"/>
    <cellStyle name="Separador de milhares 3 14 2 9 2 3" xfId="25929"/>
    <cellStyle name="Separador de milhares 3 14 2 9 2 3 2" xfId="52162"/>
    <cellStyle name="Separador de milhares 3 14 2 9 2 4" xfId="20015"/>
    <cellStyle name="Separador de milhares 3 14 2 9 2 4 2" xfId="46254"/>
    <cellStyle name="Separador de milhares 3 14 2 9 2 5" xfId="13917"/>
    <cellStyle name="Separador de milhares 3 14 2 9 2 5 2" xfId="40159"/>
    <cellStyle name="Separador de milhares 3 14 2 9 2 6" xfId="33773"/>
    <cellStyle name="Separador de milhares 3 14 2 9 3" xfId="9204"/>
    <cellStyle name="Separador de milhares 3 14 2 9 3 2" xfId="27418"/>
    <cellStyle name="Separador de milhares 3 14 2 9 3 2 2" xfId="53648"/>
    <cellStyle name="Separador de milhares 3 14 2 9 3 3" xfId="21504"/>
    <cellStyle name="Separador de milhares 3 14 2 9 3 3 2" xfId="47740"/>
    <cellStyle name="Separador de milhares 3 14 2 9 3 4" xfId="15590"/>
    <cellStyle name="Separador de milhares 3 14 2 9 3 4 2" xfId="41832"/>
    <cellStyle name="Separador de milhares 3 14 2 9 3 5" xfId="35446"/>
    <cellStyle name="Separador de milhares 3 14 2 9 4" xfId="5829"/>
    <cellStyle name="Separador de milhares 3 14 2 9 4 2" xfId="24461"/>
    <cellStyle name="Separador de milhares 3 14 2 9 4 2 2" xfId="50694"/>
    <cellStyle name="Separador de milhares 3 14 2 9 4 3" xfId="32074"/>
    <cellStyle name="Separador de milhares 3 14 2 9 5" xfId="18547"/>
    <cellStyle name="Separador de milhares 3 14 2 9 5 2" xfId="44786"/>
    <cellStyle name="Separador de milhares 3 14 2 9 6" xfId="12216"/>
    <cellStyle name="Separador de milhares 3 14 2 9 6 2" xfId="38458"/>
    <cellStyle name="Separador de milhares 3 14 2 9 7" xfId="30376"/>
    <cellStyle name="Separador de milhares 3 14 3" xfId="269"/>
    <cellStyle name="Separador de milhares 3 14 3 10" xfId="6519"/>
    <cellStyle name="Separador de milhares 3 14 3 10 2" xfId="9670"/>
    <cellStyle name="Separador de milhares 3 14 3 10 2 2" xfId="27884"/>
    <cellStyle name="Separador de milhares 3 14 3 10 2 2 2" xfId="54114"/>
    <cellStyle name="Separador de milhares 3 14 3 10 2 3" xfId="21970"/>
    <cellStyle name="Separador de milhares 3 14 3 10 2 3 2" xfId="48206"/>
    <cellStyle name="Separador de milhares 3 14 3 10 2 4" xfId="16056"/>
    <cellStyle name="Separador de milhares 3 14 3 10 2 4 2" xfId="42298"/>
    <cellStyle name="Separador de milhares 3 14 3 10 2 5" xfId="35912"/>
    <cellStyle name="Separador de milhares 3 14 3 10 3" xfId="24927"/>
    <cellStyle name="Separador de milhares 3 14 3 10 3 2" xfId="51160"/>
    <cellStyle name="Separador de milhares 3 14 3 10 4" xfId="19013"/>
    <cellStyle name="Separador de milhares 3 14 3 10 4 2" xfId="45252"/>
    <cellStyle name="Separador de milhares 3 14 3 10 5" xfId="12908"/>
    <cellStyle name="Separador de milhares 3 14 3 10 5 2" xfId="39150"/>
    <cellStyle name="Separador de milhares 3 14 3 10 6" xfId="32764"/>
    <cellStyle name="Separador de milhares 3 14 3 11" xfId="8199"/>
    <cellStyle name="Separador de milhares 3 14 3 11 2" xfId="26413"/>
    <cellStyle name="Separador de milhares 3 14 3 11 2 2" xfId="52646"/>
    <cellStyle name="Separador de milhares 3 14 3 11 3" xfId="20499"/>
    <cellStyle name="Separador de milhares 3 14 3 11 3 2" xfId="46738"/>
    <cellStyle name="Separador de milhares 3 14 3 11 4" xfId="14588"/>
    <cellStyle name="Separador de milhares 3 14 3 11 4 2" xfId="40830"/>
    <cellStyle name="Separador de milhares 3 14 3 11 5" xfId="34444"/>
    <cellStyle name="Separador de milhares 3 14 3 12" xfId="4818"/>
    <cellStyle name="Separador de milhares 3 14 3 12 2" xfId="23456"/>
    <cellStyle name="Separador de milhares 3 14 3 12 2 2" xfId="49692"/>
    <cellStyle name="Separador de milhares 3 14 3 12 3" xfId="31065"/>
    <cellStyle name="Separador de milhares 3 14 3 13" xfId="17542"/>
    <cellStyle name="Separador de milhares 3 14 3 13 2" xfId="43784"/>
    <cellStyle name="Separador de milhares 3 14 3 14" xfId="11207"/>
    <cellStyle name="Separador de milhares 3 14 3 14 2" xfId="37449"/>
    <cellStyle name="Separador de milhares 3 14 3 15" xfId="29367"/>
    <cellStyle name="Separador de milhares 3 14 3 2" xfId="532"/>
    <cellStyle name="Separador de milhares 3 14 3 2 2" xfId="6590"/>
    <cellStyle name="Separador de milhares 3 14 3 2 2 2" xfId="9737"/>
    <cellStyle name="Separador de milhares 3 14 3 2 2 2 2" xfId="27951"/>
    <cellStyle name="Separador de milhares 3 14 3 2 2 2 2 2" xfId="54181"/>
    <cellStyle name="Separador de milhares 3 14 3 2 2 2 3" xfId="22037"/>
    <cellStyle name="Separador de milhares 3 14 3 2 2 2 3 2" xfId="48273"/>
    <cellStyle name="Separador de milhares 3 14 3 2 2 2 4" xfId="16123"/>
    <cellStyle name="Separador de milhares 3 14 3 2 2 2 4 2" xfId="42365"/>
    <cellStyle name="Separador de milhares 3 14 3 2 2 2 5" xfId="35979"/>
    <cellStyle name="Separador de milhares 3 14 3 2 2 3" xfId="24994"/>
    <cellStyle name="Separador de milhares 3 14 3 2 2 3 2" xfId="51227"/>
    <cellStyle name="Separador de milhares 3 14 3 2 2 4" xfId="19080"/>
    <cellStyle name="Separador de milhares 3 14 3 2 2 4 2" xfId="45319"/>
    <cellStyle name="Separador de milhares 3 14 3 2 2 5" xfId="12979"/>
    <cellStyle name="Separador de milhares 3 14 3 2 2 5 2" xfId="39221"/>
    <cellStyle name="Separador de milhares 3 14 3 2 2 6" xfId="32835"/>
    <cellStyle name="Separador de milhares 3 14 3 2 3" xfId="8266"/>
    <cellStyle name="Separador de milhares 3 14 3 2 3 2" xfId="26480"/>
    <cellStyle name="Separador de milhares 3 14 3 2 3 2 2" xfId="52713"/>
    <cellStyle name="Separador de milhares 3 14 3 2 3 3" xfId="20566"/>
    <cellStyle name="Separador de milhares 3 14 3 2 3 3 2" xfId="46805"/>
    <cellStyle name="Separador de milhares 3 14 3 2 3 4" xfId="14655"/>
    <cellStyle name="Separador de milhares 3 14 3 2 3 4 2" xfId="40897"/>
    <cellStyle name="Separador de milhares 3 14 3 2 3 5" xfId="34511"/>
    <cellStyle name="Separador de milhares 3 14 3 2 4" xfId="4889"/>
    <cellStyle name="Separador de milhares 3 14 3 2 4 2" xfId="23523"/>
    <cellStyle name="Separador de milhares 3 14 3 2 4 2 2" xfId="49759"/>
    <cellStyle name="Separador de milhares 3 14 3 2 4 3" xfId="31136"/>
    <cellStyle name="Separador de milhares 3 14 3 2 5" xfId="17609"/>
    <cellStyle name="Separador de milhares 3 14 3 2 5 2" xfId="43851"/>
    <cellStyle name="Separador de milhares 3 14 3 2 6" xfId="11278"/>
    <cellStyle name="Separador de milhares 3 14 3 2 6 2" xfId="37520"/>
    <cellStyle name="Separador de milhares 3 14 3 2 7" xfId="29438"/>
    <cellStyle name="Separador de milhares 3 14 3 3" xfId="829"/>
    <cellStyle name="Separador de milhares 3 14 3 3 2" xfId="6692"/>
    <cellStyle name="Separador de milhares 3 14 3 3 2 2" xfId="9839"/>
    <cellStyle name="Separador de milhares 3 14 3 3 2 2 2" xfId="28053"/>
    <cellStyle name="Separador de milhares 3 14 3 3 2 2 2 2" xfId="54283"/>
    <cellStyle name="Separador de milhares 3 14 3 3 2 2 3" xfId="22139"/>
    <cellStyle name="Separador de milhares 3 14 3 3 2 2 3 2" xfId="48375"/>
    <cellStyle name="Separador de milhares 3 14 3 3 2 2 4" xfId="16225"/>
    <cellStyle name="Separador de milhares 3 14 3 3 2 2 4 2" xfId="42467"/>
    <cellStyle name="Separador de milhares 3 14 3 3 2 2 5" xfId="36081"/>
    <cellStyle name="Separador de milhares 3 14 3 3 2 3" xfId="25096"/>
    <cellStyle name="Separador de milhares 3 14 3 3 2 3 2" xfId="51329"/>
    <cellStyle name="Separador de milhares 3 14 3 3 2 4" xfId="19182"/>
    <cellStyle name="Separador de milhares 3 14 3 3 2 4 2" xfId="45421"/>
    <cellStyle name="Separador de milhares 3 14 3 3 2 5" xfId="13081"/>
    <cellStyle name="Separador de milhares 3 14 3 3 2 5 2" xfId="39323"/>
    <cellStyle name="Separador de milhares 3 14 3 3 2 6" xfId="32937"/>
    <cellStyle name="Separador de milhares 3 14 3 3 3" xfId="8371"/>
    <cellStyle name="Separador de milhares 3 14 3 3 3 2" xfId="26585"/>
    <cellStyle name="Separador de milhares 3 14 3 3 3 2 2" xfId="52815"/>
    <cellStyle name="Separador de milhares 3 14 3 3 3 3" xfId="20671"/>
    <cellStyle name="Separador de milhares 3 14 3 3 3 3 2" xfId="46907"/>
    <cellStyle name="Separador de milhares 3 14 3 3 3 4" xfId="14757"/>
    <cellStyle name="Separador de milhares 3 14 3 3 3 4 2" xfId="40999"/>
    <cellStyle name="Separador de milhares 3 14 3 3 3 5" xfId="34613"/>
    <cellStyle name="Separador de milhares 3 14 3 3 4" xfId="4993"/>
    <cellStyle name="Separador de milhares 3 14 3 3 4 2" xfId="23628"/>
    <cellStyle name="Separador de milhares 3 14 3 3 4 2 2" xfId="49861"/>
    <cellStyle name="Separador de milhares 3 14 3 3 4 3" xfId="31238"/>
    <cellStyle name="Separador de milhares 3 14 3 3 5" xfId="17714"/>
    <cellStyle name="Separador de milhares 3 14 3 3 5 2" xfId="43953"/>
    <cellStyle name="Separador de milhares 3 14 3 3 6" xfId="11380"/>
    <cellStyle name="Separador de milhares 3 14 3 3 6 2" xfId="37622"/>
    <cellStyle name="Separador de milhares 3 14 3 3 7" xfId="29540"/>
    <cellStyle name="Separador de milhares 3 14 3 4" xfId="1180"/>
    <cellStyle name="Separador de milhares 3 14 3 4 2" xfId="6790"/>
    <cellStyle name="Separador de milhares 3 14 3 4 2 2" xfId="9937"/>
    <cellStyle name="Separador de milhares 3 14 3 4 2 2 2" xfId="28151"/>
    <cellStyle name="Separador de milhares 3 14 3 4 2 2 2 2" xfId="54381"/>
    <cellStyle name="Separador de milhares 3 14 3 4 2 2 3" xfId="22237"/>
    <cellStyle name="Separador de milhares 3 14 3 4 2 2 3 2" xfId="48473"/>
    <cellStyle name="Separador de milhares 3 14 3 4 2 2 4" xfId="16323"/>
    <cellStyle name="Separador de milhares 3 14 3 4 2 2 4 2" xfId="42565"/>
    <cellStyle name="Separador de milhares 3 14 3 4 2 2 5" xfId="36179"/>
    <cellStyle name="Separador de milhares 3 14 3 4 2 3" xfId="25194"/>
    <cellStyle name="Separador de milhares 3 14 3 4 2 3 2" xfId="51427"/>
    <cellStyle name="Separador de milhares 3 14 3 4 2 4" xfId="19280"/>
    <cellStyle name="Separador de milhares 3 14 3 4 2 4 2" xfId="45519"/>
    <cellStyle name="Separador de milhares 3 14 3 4 2 5" xfId="13179"/>
    <cellStyle name="Separador de milhares 3 14 3 4 2 5 2" xfId="39421"/>
    <cellStyle name="Separador de milhares 3 14 3 4 2 6" xfId="33035"/>
    <cellStyle name="Separador de milhares 3 14 3 4 3" xfId="8469"/>
    <cellStyle name="Separador de milhares 3 14 3 4 3 2" xfId="26683"/>
    <cellStyle name="Separador de milhares 3 14 3 4 3 2 2" xfId="52913"/>
    <cellStyle name="Separador de milhares 3 14 3 4 3 3" xfId="20769"/>
    <cellStyle name="Separador de milhares 3 14 3 4 3 3 2" xfId="47005"/>
    <cellStyle name="Separador de milhares 3 14 3 4 3 4" xfId="14855"/>
    <cellStyle name="Separador de milhares 3 14 3 4 3 4 2" xfId="41097"/>
    <cellStyle name="Separador de milhares 3 14 3 4 3 5" xfId="34711"/>
    <cellStyle name="Separador de milhares 3 14 3 4 4" xfId="5091"/>
    <cellStyle name="Separador de milhares 3 14 3 4 4 2" xfId="23726"/>
    <cellStyle name="Separador de milhares 3 14 3 4 4 2 2" xfId="49959"/>
    <cellStyle name="Separador de milhares 3 14 3 4 4 3" xfId="31336"/>
    <cellStyle name="Separador de milhares 3 14 3 4 5" xfId="17812"/>
    <cellStyle name="Separador de milhares 3 14 3 4 5 2" xfId="44051"/>
    <cellStyle name="Separador de milhares 3 14 3 4 6" xfId="11478"/>
    <cellStyle name="Separador de milhares 3 14 3 4 6 2" xfId="37720"/>
    <cellStyle name="Separador de milhares 3 14 3 4 7" xfId="29638"/>
    <cellStyle name="Separador de milhares 3 14 3 5" xfId="1615"/>
    <cellStyle name="Separador de milhares 3 14 3 5 2" xfId="6909"/>
    <cellStyle name="Separador de milhares 3 14 3 5 2 2" xfId="10056"/>
    <cellStyle name="Separador de milhares 3 14 3 5 2 2 2" xfId="28270"/>
    <cellStyle name="Separador de milhares 3 14 3 5 2 2 2 2" xfId="54500"/>
    <cellStyle name="Separador de milhares 3 14 3 5 2 2 3" xfId="22356"/>
    <cellStyle name="Separador de milhares 3 14 3 5 2 2 3 2" xfId="48592"/>
    <cellStyle name="Separador de milhares 3 14 3 5 2 2 4" xfId="16442"/>
    <cellStyle name="Separador de milhares 3 14 3 5 2 2 4 2" xfId="42684"/>
    <cellStyle name="Separador de milhares 3 14 3 5 2 2 5" xfId="36298"/>
    <cellStyle name="Separador de milhares 3 14 3 5 2 3" xfId="25313"/>
    <cellStyle name="Separador de milhares 3 14 3 5 2 3 2" xfId="51546"/>
    <cellStyle name="Separador de milhares 3 14 3 5 2 4" xfId="19399"/>
    <cellStyle name="Separador de milhares 3 14 3 5 2 4 2" xfId="45638"/>
    <cellStyle name="Separador de milhares 3 14 3 5 2 5" xfId="13298"/>
    <cellStyle name="Separador de milhares 3 14 3 5 2 5 2" xfId="39540"/>
    <cellStyle name="Separador de milhares 3 14 3 5 2 6" xfId="33154"/>
    <cellStyle name="Separador de milhares 3 14 3 5 3" xfId="8588"/>
    <cellStyle name="Separador de milhares 3 14 3 5 3 2" xfId="26802"/>
    <cellStyle name="Separador de milhares 3 14 3 5 3 2 2" xfId="53032"/>
    <cellStyle name="Separador de milhares 3 14 3 5 3 3" xfId="20888"/>
    <cellStyle name="Separador de milhares 3 14 3 5 3 3 2" xfId="47124"/>
    <cellStyle name="Separador de milhares 3 14 3 5 3 4" xfId="14974"/>
    <cellStyle name="Separador de milhares 3 14 3 5 3 4 2" xfId="41216"/>
    <cellStyle name="Separador de milhares 3 14 3 5 3 5" xfId="34830"/>
    <cellStyle name="Separador de milhares 3 14 3 5 4" xfId="5210"/>
    <cellStyle name="Separador de milhares 3 14 3 5 4 2" xfId="23845"/>
    <cellStyle name="Separador de milhares 3 14 3 5 4 2 2" xfId="50078"/>
    <cellStyle name="Separador de milhares 3 14 3 5 4 3" xfId="31455"/>
    <cellStyle name="Separador de milhares 3 14 3 5 5" xfId="17931"/>
    <cellStyle name="Separador de milhares 3 14 3 5 5 2" xfId="44170"/>
    <cellStyle name="Separador de milhares 3 14 3 5 6" xfId="11597"/>
    <cellStyle name="Separador de milhares 3 14 3 5 6 2" xfId="37839"/>
    <cellStyle name="Separador de milhares 3 14 3 5 7" xfId="29757"/>
    <cellStyle name="Separador de milhares 3 14 3 6" xfId="2145"/>
    <cellStyle name="Separador de milhares 3 14 3 6 2" xfId="7059"/>
    <cellStyle name="Separador de milhares 3 14 3 6 2 2" xfId="10203"/>
    <cellStyle name="Separador de milhares 3 14 3 6 2 2 2" xfId="28417"/>
    <cellStyle name="Separador de milhares 3 14 3 6 2 2 2 2" xfId="54647"/>
    <cellStyle name="Separador de milhares 3 14 3 6 2 2 3" xfId="22503"/>
    <cellStyle name="Separador de milhares 3 14 3 6 2 2 3 2" xfId="48739"/>
    <cellStyle name="Separador de milhares 3 14 3 6 2 2 4" xfId="16589"/>
    <cellStyle name="Separador de milhares 3 14 3 6 2 2 4 2" xfId="42831"/>
    <cellStyle name="Separador de milhares 3 14 3 6 2 2 5" xfId="36445"/>
    <cellStyle name="Separador de milhares 3 14 3 6 2 3" xfId="25460"/>
    <cellStyle name="Separador de milhares 3 14 3 6 2 3 2" xfId="51693"/>
    <cellStyle name="Separador de milhares 3 14 3 6 2 4" xfId="19546"/>
    <cellStyle name="Separador de milhares 3 14 3 6 2 4 2" xfId="45785"/>
    <cellStyle name="Separador de milhares 3 14 3 6 2 5" xfId="13448"/>
    <cellStyle name="Separador de milhares 3 14 3 6 2 5 2" xfId="39690"/>
    <cellStyle name="Separador de milhares 3 14 3 6 2 6" xfId="33304"/>
    <cellStyle name="Separador de milhares 3 14 3 6 3" xfId="8735"/>
    <cellStyle name="Separador de milhares 3 14 3 6 3 2" xfId="26949"/>
    <cellStyle name="Separador de milhares 3 14 3 6 3 2 2" xfId="53179"/>
    <cellStyle name="Separador de milhares 3 14 3 6 3 3" xfId="21035"/>
    <cellStyle name="Separador de milhares 3 14 3 6 3 3 2" xfId="47271"/>
    <cellStyle name="Separador de milhares 3 14 3 6 3 4" xfId="15121"/>
    <cellStyle name="Separador de milhares 3 14 3 6 3 4 2" xfId="41363"/>
    <cellStyle name="Separador de milhares 3 14 3 6 3 5" xfId="34977"/>
    <cellStyle name="Separador de milhares 3 14 3 6 4" xfId="5360"/>
    <cellStyle name="Separador de milhares 3 14 3 6 4 2" xfId="23992"/>
    <cellStyle name="Separador de milhares 3 14 3 6 4 2 2" xfId="50225"/>
    <cellStyle name="Separador de milhares 3 14 3 6 4 3" xfId="31605"/>
    <cellStyle name="Separador de milhares 3 14 3 6 5" xfId="18078"/>
    <cellStyle name="Separador de milhares 3 14 3 6 5 2" xfId="44317"/>
    <cellStyle name="Separador de milhares 3 14 3 6 6" xfId="11747"/>
    <cellStyle name="Separador de milhares 3 14 3 6 6 2" xfId="37989"/>
    <cellStyle name="Separador de milhares 3 14 3 6 7" xfId="29907"/>
    <cellStyle name="Separador de milhares 3 14 3 7" xfId="2672"/>
    <cellStyle name="Separador de milhares 3 14 3 7 2" xfId="7206"/>
    <cellStyle name="Separador de milhares 3 14 3 7 2 2" xfId="10350"/>
    <cellStyle name="Separador de milhares 3 14 3 7 2 2 2" xfId="28564"/>
    <cellStyle name="Separador de milhares 3 14 3 7 2 2 2 2" xfId="54794"/>
    <cellStyle name="Separador de milhares 3 14 3 7 2 2 3" xfId="22650"/>
    <cellStyle name="Separador de milhares 3 14 3 7 2 2 3 2" xfId="48886"/>
    <cellStyle name="Separador de milhares 3 14 3 7 2 2 4" xfId="16736"/>
    <cellStyle name="Separador de milhares 3 14 3 7 2 2 4 2" xfId="42978"/>
    <cellStyle name="Separador de milhares 3 14 3 7 2 2 5" xfId="36592"/>
    <cellStyle name="Separador de milhares 3 14 3 7 2 3" xfId="25607"/>
    <cellStyle name="Separador de milhares 3 14 3 7 2 3 2" xfId="51840"/>
    <cellStyle name="Separador de milhares 3 14 3 7 2 4" xfId="19693"/>
    <cellStyle name="Separador de milhares 3 14 3 7 2 4 2" xfId="45932"/>
    <cellStyle name="Separador de milhares 3 14 3 7 2 5" xfId="13595"/>
    <cellStyle name="Separador de milhares 3 14 3 7 2 5 2" xfId="39837"/>
    <cellStyle name="Separador de milhares 3 14 3 7 2 6" xfId="33451"/>
    <cellStyle name="Separador de milhares 3 14 3 7 3" xfId="8882"/>
    <cellStyle name="Separador de milhares 3 14 3 7 3 2" xfId="27096"/>
    <cellStyle name="Separador de milhares 3 14 3 7 3 2 2" xfId="53326"/>
    <cellStyle name="Separador de milhares 3 14 3 7 3 3" xfId="21182"/>
    <cellStyle name="Separador de milhares 3 14 3 7 3 3 2" xfId="47418"/>
    <cellStyle name="Separador de milhares 3 14 3 7 3 4" xfId="15268"/>
    <cellStyle name="Separador de milhares 3 14 3 7 3 4 2" xfId="41510"/>
    <cellStyle name="Separador de milhares 3 14 3 7 3 5" xfId="35124"/>
    <cellStyle name="Separador de milhares 3 14 3 7 4" xfId="5507"/>
    <cellStyle name="Separador de milhares 3 14 3 7 4 2" xfId="24139"/>
    <cellStyle name="Separador de milhares 3 14 3 7 4 2 2" xfId="50372"/>
    <cellStyle name="Separador de milhares 3 14 3 7 4 3" xfId="31752"/>
    <cellStyle name="Separador de milhares 3 14 3 7 5" xfId="18225"/>
    <cellStyle name="Separador de milhares 3 14 3 7 5 2" xfId="44464"/>
    <cellStyle name="Separador de milhares 3 14 3 7 6" xfId="11894"/>
    <cellStyle name="Separador de milhares 3 14 3 7 6 2" xfId="38136"/>
    <cellStyle name="Separador de milhares 3 14 3 7 7" xfId="30054"/>
    <cellStyle name="Separador de milhares 3 14 3 8" xfId="3199"/>
    <cellStyle name="Separador de milhares 3 14 3 8 2" xfId="7353"/>
    <cellStyle name="Separador de milhares 3 14 3 8 2 2" xfId="10497"/>
    <cellStyle name="Separador de milhares 3 14 3 8 2 2 2" xfId="28711"/>
    <cellStyle name="Separador de milhares 3 14 3 8 2 2 2 2" xfId="54941"/>
    <cellStyle name="Separador de milhares 3 14 3 8 2 2 3" xfId="22797"/>
    <cellStyle name="Separador de milhares 3 14 3 8 2 2 3 2" xfId="49033"/>
    <cellStyle name="Separador de milhares 3 14 3 8 2 2 4" xfId="16883"/>
    <cellStyle name="Separador de milhares 3 14 3 8 2 2 4 2" xfId="43125"/>
    <cellStyle name="Separador de milhares 3 14 3 8 2 2 5" xfId="36739"/>
    <cellStyle name="Separador de milhares 3 14 3 8 2 3" xfId="25754"/>
    <cellStyle name="Separador de milhares 3 14 3 8 2 3 2" xfId="51987"/>
    <cellStyle name="Separador de milhares 3 14 3 8 2 4" xfId="19840"/>
    <cellStyle name="Separador de milhares 3 14 3 8 2 4 2" xfId="46079"/>
    <cellStyle name="Separador de milhares 3 14 3 8 2 5" xfId="13742"/>
    <cellStyle name="Separador de milhares 3 14 3 8 2 5 2" xfId="39984"/>
    <cellStyle name="Separador de milhares 3 14 3 8 2 6" xfId="33598"/>
    <cellStyle name="Separador de milhares 3 14 3 8 3" xfId="9029"/>
    <cellStyle name="Separador de milhares 3 14 3 8 3 2" xfId="27243"/>
    <cellStyle name="Separador de milhares 3 14 3 8 3 2 2" xfId="53473"/>
    <cellStyle name="Separador de milhares 3 14 3 8 3 3" xfId="21329"/>
    <cellStyle name="Separador de milhares 3 14 3 8 3 3 2" xfId="47565"/>
    <cellStyle name="Separador de milhares 3 14 3 8 3 4" xfId="15415"/>
    <cellStyle name="Separador de milhares 3 14 3 8 3 4 2" xfId="41657"/>
    <cellStyle name="Separador de milhares 3 14 3 8 3 5" xfId="35271"/>
    <cellStyle name="Separador de milhares 3 14 3 8 4" xfId="5654"/>
    <cellStyle name="Separador de milhares 3 14 3 8 4 2" xfId="24286"/>
    <cellStyle name="Separador de milhares 3 14 3 8 4 2 2" xfId="50519"/>
    <cellStyle name="Separador de milhares 3 14 3 8 4 3" xfId="31899"/>
    <cellStyle name="Separador de milhares 3 14 3 8 5" xfId="18372"/>
    <cellStyle name="Separador de milhares 3 14 3 8 5 2" xfId="44611"/>
    <cellStyle name="Separador de milhares 3 14 3 8 6" xfId="12041"/>
    <cellStyle name="Separador de milhares 3 14 3 8 6 2" xfId="38283"/>
    <cellStyle name="Separador de milhares 3 14 3 8 7" xfId="30201"/>
    <cellStyle name="Separador de milhares 3 14 3 9" xfId="3726"/>
    <cellStyle name="Separador de milhares 3 14 3 9 2" xfId="7500"/>
    <cellStyle name="Separador de milhares 3 14 3 9 2 2" xfId="10644"/>
    <cellStyle name="Separador de milhares 3 14 3 9 2 2 2" xfId="28858"/>
    <cellStyle name="Separador de milhares 3 14 3 9 2 2 2 2" xfId="55088"/>
    <cellStyle name="Separador de milhares 3 14 3 9 2 2 3" xfId="22944"/>
    <cellStyle name="Separador de milhares 3 14 3 9 2 2 3 2" xfId="49180"/>
    <cellStyle name="Separador de milhares 3 14 3 9 2 2 4" xfId="17030"/>
    <cellStyle name="Separador de milhares 3 14 3 9 2 2 4 2" xfId="43272"/>
    <cellStyle name="Separador de milhares 3 14 3 9 2 2 5" xfId="36886"/>
    <cellStyle name="Separador de milhares 3 14 3 9 2 3" xfId="25901"/>
    <cellStyle name="Separador de milhares 3 14 3 9 2 3 2" xfId="52134"/>
    <cellStyle name="Separador de milhares 3 14 3 9 2 4" xfId="19987"/>
    <cellStyle name="Separador de milhares 3 14 3 9 2 4 2" xfId="46226"/>
    <cellStyle name="Separador de milhares 3 14 3 9 2 5" xfId="13889"/>
    <cellStyle name="Separador de milhares 3 14 3 9 2 5 2" xfId="40131"/>
    <cellStyle name="Separador de milhares 3 14 3 9 2 6" xfId="33745"/>
    <cellStyle name="Separador de milhares 3 14 3 9 3" xfId="9176"/>
    <cellStyle name="Separador de milhares 3 14 3 9 3 2" xfId="27390"/>
    <cellStyle name="Separador de milhares 3 14 3 9 3 2 2" xfId="53620"/>
    <cellStyle name="Separador de milhares 3 14 3 9 3 3" xfId="21476"/>
    <cellStyle name="Separador de milhares 3 14 3 9 3 3 2" xfId="47712"/>
    <cellStyle name="Separador de milhares 3 14 3 9 3 4" xfId="15562"/>
    <cellStyle name="Separador de milhares 3 14 3 9 3 4 2" xfId="41804"/>
    <cellStyle name="Separador de milhares 3 14 3 9 3 5" xfId="35418"/>
    <cellStyle name="Separador de milhares 3 14 3 9 4" xfId="5801"/>
    <cellStyle name="Separador de milhares 3 14 3 9 4 2" xfId="24433"/>
    <cellStyle name="Separador de milhares 3 14 3 9 4 2 2" xfId="50666"/>
    <cellStyle name="Separador de milhares 3 14 3 9 4 3" xfId="32046"/>
    <cellStyle name="Separador de milhares 3 14 3 9 5" xfId="18519"/>
    <cellStyle name="Separador de milhares 3 14 3 9 5 2" xfId="44758"/>
    <cellStyle name="Separador de milhares 3 14 3 9 6" xfId="12188"/>
    <cellStyle name="Separador de milhares 3 14 3 9 6 2" xfId="38430"/>
    <cellStyle name="Separador de milhares 3 14 3 9 7" xfId="30348"/>
    <cellStyle name="Separador de milhares 3 14 4" xfId="362"/>
    <cellStyle name="Separador de milhares 3 14 4 10" xfId="6547"/>
    <cellStyle name="Separador de milhares 3 14 4 10 2" xfId="9695"/>
    <cellStyle name="Separador de milhares 3 14 4 10 2 2" xfId="27909"/>
    <cellStyle name="Separador de milhares 3 14 4 10 2 2 2" xfId="54139"/>
    <cellStyle name="Separador de milhares 3 14 4 10 2 3" xfId="21995"/>
    <cellStyle name="Separador de milhares 3 14 4 10 2 3 2" xfId="48231"/>
    <cellStyle name="Separador de milhares 3 14 4 10 2 4" xfId="16081"/>
    <cellStyle name="Separador de milhares 3 14 4 10 2 4 2" xfId="42323"/>
    <cellStyle name="Separador de milhares 3 14 4 10 2 5" xfId="35937"/>
    <cellStyle name="Separador de milhares 3 14 4 10 3" xfId="24952"/>
    <cellStyle name="Separador de milhares 3 14 4 10 3 2" xfId="51185"/>
    <cellStyle name="Separador de milhares 3 14 4 10 4" xfId="19038"/>
    <cellStyle name="Separador de milhares 3 14 4 10 4 2" xfId="45277"/>
    <cellStyle name="Separador de milhares 3 14 4 10 5" xfId="12936"/>
    <cellStyle name="Separador de milhares 3 14 4 10 5 2" xfId="39178"/>
    <cellStyle name="Separador de milhares 3 14 4 10 6" xfId="32792"/>
    <cellStyle name="Separador de milhares 3 14 4 11" xfId="8224"/>
    <cellStyle name="Separador de milhares 3 14 4 11 2" xfId="26438"/>
    <cellStyle name="Separador de milhares 3 14 4 11 2 2" xfId="52671"/>
    <cellStyle name="Separador de milhares 3 14 4 11 3" xfId="20524"/>
    <cellStyle name="Separador de milhares 3 14 4 11 3 2" xfId="46763"/>
    <cellStyle name="Separador de milhares 3 14 4 11 4" xfId="14613"/>
    <cellStyle name="Separador de milhares 3 14 4 11 4 2" xfId="40855"/>
    <cellStyle name="Separador de milhares 3 14 4 11 5" xfId="34469"/>
    <cellStyle name="Separador de milhares 3 14 4 12" xfId="4846"/>
    <cellStyle name="Separador de milhares 3 14 4 12 2" xfId="23481"/>
    <cellStyle name="Separador de milhares 3 14 4 12 2 2" xfId="49717"/>
    <cellStyle name="Separador de milhares 3 14 4 12 3" xfId="31093"/>
    <cellStyle name="Separador de milhares 3 14 4 13" xfId="17567"/>
    <cellStyle name="Separador de milhares 3 14 4 13 2" xfId="43809"/>
    <cellStyle name="Separador de milhares 3 14 4 14" xfId="11235"/>
    <cellStyle name="Separador de milhares 3 14 4 14 2" xfId="37477"/>
    <cellStyle name="Separador de milhares 3 14 4 15" xfId="29395"/>
    <cellStyle name="Separador de milhares 3 14 4 2" xfId="1007"/>
    <cellStyle name="Separador de milhares 3 14 4 2 2" xfId="6744"/>
    <cellStyle name="Separador de milhares 3 14 4 2 2 2" xfId="9891"/>
    <cellStyle name="Separador de milhares 3 14 4 2 2 2 2" xfId="28105"/>
    <cellStyle name="Separador de milhares 3 14 4 2 2 2 2 2" xfId="54335"/>
    <cellStyle name="Separador de milhares 3 14 4 2 2 2 3" xfId="22191"/>
    <cellStyle name="Separador de milhares 3 14 4 2 2 2 3 2" xfId="48427"/>
    <cellStyle name="Separador de milhares 3 14 4 2 2 2 4" xfId="16277"/>
    <cellStyle name="Separador de milhares 3 14 4 2 2 2 4 2" xfId="42519"/>
    <cellStyle name="Separador de milhares 3 14 4 2 2 2 5" xfId="36133"/>
    <cellStyle name="Separador de milhares 3 14 4 2 2 3" xfId="25148"/>
    <cellStyle name="Separador de milhares 3 14 4 2 2 3 2" xfId="51381"/>
    <cellStyle name="Separador de milhares 3 14 4 2 2 4" xfId="19234"/>
    <cellStyle name="Separador de milhares 3 14 4 2 2 4 2" xfId="45473"/>
    <cellStyle name="Separador de milhares 3 14 4 2 2 5" xfId="13133"/>
    <cellStyle name="Separador de milhares 3 14 4 2 2 5 2" xfId="39375"/>
    <cellStyle name="Separador de milhares 3 14 4 2 2 6" xfId="32989"/>
    <cellStyle name="Separador de milhares 3 14 4 2 3" xfId="8423"/>
    <cellStyle name="Separador de milhares 3 14 4 2 3 2" xfId="26637"/>
    <cellStyle name="Separador de milhares 3 14 4 2 3 2 2" xfId="52867"/>
    <cellStyle name="Separador de milhares 3 14 4 2 3 3" xfId="20723"/>
    <cellStyle name="Separador de milhares 3 14 4 2 3 3 2" xfId="46959"/>
    <cellStyle name="Separador de milhares 3 14 4 2 3 4" xfId="14809"/>
    <cellStyle name="Separador de milhares 3 14 4 2 3 4 2" xfId="41051"/>
    <cellStyle name="Separador de milhares 3 14 4 2 3 5" xfId="34665"/>
    <cellStyle name="Separador de milhares 3 14 4 2 4" xfId="5045"/>
    <cellStyle name="Separador de milhares 3 14 4 2 4 2" xfId="23680"/>
    <cellStyle name="Separador de milhares 3 14 4 2 4 2 2" xfId="49913"/>
    <cellStyle name="Separador de milhares 3 14 4 2 4 3" xfId="31290"/>
    <cellStyle name="Separador de milhares 3 14 4 2 5" xfId="17766"/>
    <cellStyle name="Separador de milhares 3 14 4 2 5 2" xfId="44005"/>
    <cellStyle name="Separador de milhares 3 14 4 2 6" xfId="11432"/>
    <cellStyle name="Separador de milhares 3 14 4 2 6 2" xfId="37674"/>
    <cellStyle name="Separador de milhares 3 14 4 2 7" xfId="29592"/>
    <cellStyle name="Separador de milhares 3 14 4 3" xfId="1358"/>
    <cellStyle name="Separador de milhares 3 14 4 3 2" xfId="6842"/>
    <cellStyle name="Separador de milhares 3 14 4 3 2 2" xfId="9989"/>
    <cellStyle name="Separador de milhares 3 14 4 3 2 2 2" xfId="28203"/>
    <cellStyle name="Separador de milhares 3 14 4 3 2 2 2 2" xfId="54433"/>
    <cellStyle name="Separador de milhares 3 14 4 3 2 2 3" xfId="22289"/>
    <cellStyle name="Separador de milhares 3 14 4 3 2 2 3 2" xfId="48525"/>
    <cellStyle name="Separador de milhares 3 14 4 3 2 2 4" xfId="16375"/>
    <cellStyle name="Separador de milhares 3 14 4 3 2 2 4 2" xfId="42617"/>
    <cellStyle name="Separador de milhares 3 14 4 3 2 2 5" xfId="36231"/>
    <cellStyle name="Separador de milhares 3 14 4 3 2 3" xfId="25246"/>
    <cellStyle name="Separador de milhares 3 14 4 3 2 3 2" xfId="51479"/>
    <cellStyle name="Separador de milhares 3 14 4 3 2 4" xfId="19332"/>
    <cellStyle name="Separador de milhares 3 14 4 3 2 4 2" xfId="45571"/>
    <cellStyle name="Separador de milhares 3 14 4 3 2 5" xfId="13231"/>
    <cellStyle name="Separador de milhares 3 14 4 3 2 5 2" xfId="39473"/>
    <cellStyle name="Separador de milhares 3 14 4 3 2 6" xfId="33087"/>
    <cellStyle name="Separador de milhares 3 14 4 3 3" xfId="8521"/>
    <cellStyle name="Separador de milhares 3 14 4 3 3 2" xfId="26735"/>
    <cellStyle name="Separador de milhares 3 14 4 3 3 2 2" xfId="52965"/>
    <cellStyle name="Separador de milhares 3 14 4 3 3 3" xfId="20821"/>
    <cellStyle name="Separador de milhares 3 14 4 3 3 3 2" xfId="47057"/>
    <cellStyle name="Separador de milhares 3 14 4 3 3 4" xfId="14907"/>
    <cellStyle name="Separador de milhares 3 14 4 3 3 4 2" xfId="41149"/>
    <cellStyle name="Separador de milhares 3 14 4 3 3 5" xfId="34763"/>
    <cellStyle name="Separador de milhares 3 14 4 3 4" xfId="5143"/>
    <cellStyle name="Separador de milhares 3 14 4 3 4 2" xfId="23778"/>
    <cellStyle name="Separador de milhares 3 14 4 3 4 2 2" xfId="50011"/>
    <cellStyle name="Separador de milhares 3 14 4 3 4 3" xfId="31388"/>
    <cellStyle name="Separador de milhares 3 14 4 3 5" xfId="17864"/>
    <cellStyle name="Separador de milhares 3 14 4 3 5 2" xfId="44103"/>
    <cellStyle name="Separador de milhares 3 14 4 3 6" xfId="11530"/>
    <cellStyle name="Separador de milhares 3 14 4 3 6 2" xfId="37772"/>
    <cellStyle name="Separador de milhares 3 14 4 3 7" xfId="29690"/>
    <cellStyle name="Separador de milhares 3 14 4 4" xfId="1793"/>
    <cellStyle name="Separador de milhares 3 14 4 4 2" xfId="6961"/>
    <cellStyle name="Separador de milhares 3 14 4 4 2 2" xfId="10108"/>
    <cellStyle name="Separador de milhares 3 14 4 4 2 2 2" xfId="28322"/>
    <cellStyle name="Separador de milhares 3 14 4 4 2 2 2 2" xfId="54552"/>
    <cellStyle name="Separador de milhares 3 14 4 4 2 2 3" xfId="22408"/>
    <cellStyle name="Separador de milhares 3 14 4 4 2 2 3 2" xfId="48644"/>
    <cellStyle name="Separador de milhares 3 14 4 4 2 2 4" xfId="16494"/>
    <cellStyle name="Separador de milhares 3 14 4 4 2 2 4 2" xfId="42736"/>
    <cellStyle name="Separador de milhares 3 14 4 4 2 2 5" xfId="36350"/>
    <cellStyle name="Separador de milhares 3 14 4 4 2 3" xfId="25365"/>
    <cellStyle name="Separador de milhares 3 14 4 4 2 3 2" xfId="51598"/>
    <cellStyle name="Separador de milhares 3 14 4 4 2 4" xfId="19451"/>
    <cellStyle name="Separador de milhares 3 14 4 4 2 4 2" xfId="45690"/>
    <cellStyle name="Separador de milhares 3 14 4 4 2 5" xfId="13350"/>
    <cellStyle name="Separador de milhares 3 14 4 4 2 5 2" xfId="39592"/>
    <cellStyle name="Separador de milhares 3 14 4 4 2 6" xfId="33206"/>
    <cellStyle name="Separador de milhares 3 14 4 4 3" xfId="8640"/>
    <cellStyle name="Separador de milhares 3 14 4 4 3 2" xfId="26854"/>
    <cellStyle name="Separador de milhares 3 14 4 4 3 2 2" xfId="53084"/>
    <cellStyle name="Separador de milhares 3 14 4 4 3 3" xfId="20940"/>
    <cellStyle name="Separador de milhares 3 14 4 4 3 3 2" xfId="47176"/>
    <cellStyle name="Separador de milhares 3 14 4 4 3 4" xfId="15026"/>
    <cellStyle name="Separador de milhares 3 14 4 4 3 4 2" xfId="41268"/>
    <cellStyle name="Separador de milhares 3 14 4 4 3 5" xfId="34882"/>
    <cellStyle name="Separador de milhares 3 14 4 4 4" xfId="5262"/>
    <cellStyle name="Separador de milhares 3 14 4 4 4 2" xfId="23897"/>
    <cellStyle name="Separador de milhares 3 14 4 4 4 2 2" xfId="50130"/>
    <cellStyle name="Separador de milhares 3 14 4 4 4 3" xfId="31507"/>
    <cellStyle name="Separador de milhares 3 14 4 4 5" xfId="17983"/>
    <cellStyle name="Separador de milhares 3 14 4 4 5 2" xfId="44222"/>
    <cellStyle name="Separador de milhares 3 14 4 4 6" xfId="11649"/>
    <cellStyle name="Separador de milhares 3 14 4 4 6 2" xfId="37891"/>
    <cellStyle name="Separador de milhares 3 14 4 4 7" xfId="29809"/>
    <cellStyle name="Separador de milhares 3 14 4 5" xfId="2323"/>
    <cellStyle name="Separador de milhares 3 14 4 5 2" xfId="7111"/>
    <cellStyle name="Separador de milhares 3 14 4 5 2 2" xfId="10255"/>
    <cellStyle name="Separador de milhares 3 14 4 5 2 2 2" xfId="28469"/>
    <cellStyle name="Separador de milhares 3 14 4 5 2 2 2 2" xfId="54699"/>
    <cellStyle name="Separador de milhares 3 14 4 5 2 2 3" xfId="22555"/>
    <cellStyle name="Separador de milhares 3 14 4 5 2 2 3 2" xfId="48791"/>
    <cellStyle name="Separador de milhares 3 14 4 5 2 2 4" xfId="16641"/>
    <cellStyle name="Separador de milhares 3 14 4 5 2 2 4 2" xfId="42883"/>
    <cellStyle name="Separador de milhares 3 14 4 5 2 2 5" xfId="36497"/>
    <cellStyle name="Separador de milhares 3 14 4 5 2 3" xfId="25512"/>
    <cellStyle name="Separador de milhares 3 14 4 5 2 3 2" xfId="51745"/>
    <cellStyle name="Separador de milhares 3 14 4 5 2 4" xfId="19598"/>
    <cellStyle name="Separador de milhares 3 14 4 5 2 4 2" xfId="45837"/>
    <cellStyle name="Separador de milhares 3 14 4 5 2 5" xfId="13500"/>
    <cellStyle name="Separador de milhares 3 14 4 5 2 5 2" xfId="39742"/>
    <cellStyle name="Separador de milhares 3 14 4 5 2 6" xfId="33356"/>
    <cellStyle name="Separador de milhares 3 14 4 5 3" xfId="8787"/>
    <cellStyle name="Separador de milhares 3 14 4 5 3 2" xfId="27001"/>
    <cellStyle name="Separador de milhares 3 14 4 5 3 2 2" xfId="53231"/>
    <cellStyle name="Separador de milhares 3 14 4 5 3 3" xfId="21087"/>
    <cellStyle name="Separador de milhares 3 14 4 5 3 3 2" xfId="47323"/>
    <cellStyle name="Separador de milhares 3 14 4 5 3 4" xfId="15173"/>
    <cellStyle name="Separador de milhares 3 14 4 5 3 4 2" xfId="41415"/>
    <cellStyle name="Separador de milhares 3 14 4 5 3 5" xfId="35029"/>
    <cellStyle name="Separador de milhares 3 14 4 5 4" xfId="5412"/>
    <cellStyle name="Separador de milhares 3 14 4 5 4 2" xfId="24044"/>
    <cellStyle name="Separador de milhares 3 14 4 5 4 2 2" xfId="50277"/>
    <cellStyle name="Separador de milhares 3 14 4 5 4 3" xfId="31657"/>
    <cellStyle name="Separador de milhares 3 14 4 5 5" xfId="18130"/>
    <cellStyle name="Separador de milhares 3 14 4 5 5 2" xfId="44369"/>
    <cellStyle name="Separador de milhares 3 14 4 5 6" xfId="11799"/>
    <cellStyle name="Separador de milhares 3 14 4 5 6 2" xfId="38041"/>
    <cellStyle name="Separador de milhares 3 14 4 5 7" xfId="29959"/>
    <cellStyle name="Separador de milhares 3 14 4 6" xfId="2850"/>
    <cellStyle name="Separador de milhares 3 14 4 6 2" xfId="7258"/>
    <cellStyle name="Separador de milhares 3 14 4 6 2 2" xfId="10402"/>
    <cellStyle name="Separador de milhares 3 14 4 6 2 2 2" xfId="28616"/>
    <cellStyle name="Separador de milhares 3 14 4 6 2 2 2 2" xfId="54846"/>
    <cellStyle name="Separador de milhares 3 14 4 6 2 2 3" xfId="22702"/>
    <cellStyle name="Separador de milhares 3 14 4 6 2 2 3 2" xfId="48938"/>
    <cellStyle name="Separador de milhares 3 14 4 6 2 2 4" xfId="16788"/>
    <cellStyle name="Separador de milhares 3 14 4 6 2 2 4 2" xfId="43030"/>
    <cellStyle name="Separador de milhares 3 14 4 6 2 2 5" xfId="36644"/>
    <cellStyle name="Separador de milhares 3 14 4 6 2 3" xfId="25659"/>
    <cellStyle name="Separador de milhares 3 14 4 6 2 3 2" xfId="51892"/>
    <cellStyle name="Separador de milhares 3 14 4 6 2 4" xfId="19745"/>
    <cellStyle name="Separador de milhares 3 14 4 6 2 4 2" xfId="45984"/>
    <cellStyle name="Separador de milhares 3 14 4 6 2 5" xfId="13647"/>
    <cellStyle name="Separador de milhares 3 14 4 6 2 5 2" xfId="39889"/>
    <cellStyle name="Separador de milhares 3 14 4 6 2 6" xfId="33503"/>
    <cellStyle name="Separador de milhares 3 14 4 6 3" xfId="8934"/>
    <cellStyle name="Separador de milhares 3 14 4 6 3 2" xfId="27148"/>
    <cellStyle name="Separador de milhares 3 14 4 6 3 2 2" xfId="53378"/>
    <cellStyle name="Separador de milhares 3 14 4 6 3 3" xfId="21234"/>
    <cellStyle name="Separador de milhares 3 14 4 6 3 3 2" xfId="47470"/>
    <cellStyle name="Separador de milhares 3 14 4 6 3 4" xfId="15320"/>
    <cellStyle name="Separador de milhares 3 14 4 6 3 4 2" xfId="41562"/>
    <cellStyle name="Separador de milhares 3 14 4 6 3 5" xfId="35176"/>
    <cellStyle name="Separador de milhares 3 14 4 6 4" xfId="5559"/>
    <cellStyle name="Separador de milhares 3 14 4 6 4 2" xfId="24191"/>
    <cellStyle name="Separador de milhares 3 14 4 6 4 2 2" xfId="50424"/>
    <cellStyle name="Separador de milhares 3 14 4 6 4 3" xfId="31804"/>
    <cellStyle name="Separador de milhares 3 14 4 6 5" xfId="18277"/>
    <cellStyle name="Separador de milhares 3 14 4 6 5 2" xfId="44516"/>
    <cellStyle name="Separador de milhares 3 14 4 6 6" xfId="11946"/>
    <cellStyle name="Separador de milhares 3 14 4 6 6 2" xfId="38188"/>
    <cellStyle name="Separador de milhares 3 14 4 6 7" xfId="30106"/>
    <cellStyle name="Separador de milhares 3 14 4 7" xfId="3377"/>
    <cellStyle name="Separador de milhares 3 14 4 7 2" xfId="7405"/>
    <cellStyle name="Separador de milhares 3 14 4 7 2 2" xfId="10549"/>
    <cellStyle name="Separador de milhares 3 14 4 7 2 2 2" xfId="28763"/>
    <cellStyle name="Separador de milhares 3 14 4 7 2 2 2 2" xfId="54993"/>
    <cellStyle name="Separador de milhares 3 14 4 7 2 2 3" xfId="22849"/>
    <cellStyle name="Separador de milhares 3 14 4 7 2 2 3 2" xfId="49085"/>
    <cellStyle name="Separador de milhares 3 14 4 7 2 2 4" xfId="16935"/>
    <cellStyle name="Separador de milhares 3 14 4 7 2 2 4 2" xfId="43177"/>
    <cellStyle name="Separador de milhares 3 14 4 7 2 2 5" xfId="36791"/>
    <cellStyle name="Separador de milhares 3 14 4 7 2 3" xfId="25806"/>
    <cellStyle name="Separador de milhares 3 14 4 7 2 3 2" xfId="52039"/>
    <cellStyle name="Separador de milhares 3 14 4 7 2 4" xfId="19892"/>
    <cellStyle name="Separador de milhares 3 14 4 7 2 4 2" xfId="46131"/>
    <cellStyle name="Separador de milhares 3 14 4 7 2 5" xfId="13794"/>
    <cellStyle name="Separador de milhares 3 14 4 7 2 5 2" xfId="40036"/>
    <cellStyle name="Separador de milhares 3 14 4 7 2 6" xfId="33650"/>
    <cellStyle name="Separador de milhares 3 14 4 7 3" xfId="9081"/>
    <cellStyle name="Separador de milhares 3 14 4 7 3 2" xfId="27295"/>
    <cellStyle name="Separador de milhares 3 14 4 7 3 2 2" xfId="53525"/>
    <cellStyle name="Separador de milhares 3 14 4 7 3 3" xfId="21381"/>
    <cellStyle name="Separador de milhares 3 14 4 7 3 3 2" xfId="47617"/>
    <cellStyle name="Separador de milhares 3 14 4 7 3 4" xfId="15467"/>
    <cellStyle name="Separador de milhares 3 14 4 7 3 4 2" xfId="41709"/>
    <cellStyle name="Separador de milhares 3 14 4 7 3 5" xfId="35323"/>
    <cellStyle name="Separador de milhares 3 14 4 7 4" xfId="5706"/>
    <cellStyle name="Separador de milhares 3 14 4 7 4 2" xfId="24338"/>
    <cellStyle name="Separador de milhares 3 14 4 7 4 2 2" xfId="50571"/>
    <cellStyle name="Separador de milhares 3 14 4 7 4 3" xfId="31951"/>
    <cellStyle name="Separador de milhares 3 14 4 7 5" xfId="18424"/>
    <cellStyle name="Separador de milhares 3 14 4 7 5 2" xfId="44663"/>
    <cellStyle name="Separador de milhares 3 14 4 7 6" xfId="12093"/>
    <cellStyle name="Separador de milhares 3 14 4 7 6 2" xfId="38335"/>
    <cellStyle name="Separador de milhares 3 14 4 7 7" xfId="30253"/>
    <cellStyle name="Separador de milhares 3 14 4 8" xfId="3904"/>
    <cellStyle name="Separador de milhares 3 14 4 8 2" xfId="7552"/>
    <cellStyle name="Separador de milhares 3 14 4 8 2 2" xfId="10696"/>
    <cellStyle name="Separador de milhares 3 14 4 8 2 2 2" xfId="28910"/>
    <cellStyle name="Separador de milhares 3 14 4 8 2 2 2 2" xfId="55140"/>
    <cellStyle name="Separador de milhares 3 14 4 8 2 2 3" xfId="22996"/>
    <cellStyle name="Separador de milhares 3 14 4 8 2 2 3 2" xfId="49232"/>
    <cellStyle name="Separador de milhares 3 14 4 8 2 2 4" xfId="17082"/>
    <cellStyle name="Separador de milhares 3 14 4 8 2 2 4 2" xfId="43324"/>
    <cellStyle name="Separador de milhares 3 14 4 8 2 2 5" xfId="36938"/>
    <cellStyle name="Separador de milhares 3 14 4 8 2 3" xfId="25953"/>
    <cellStyle name="Separador de milhares 3 14 4 8 2 3 2" xfId="52186"/>
    <cellStyle name="Separador de milhares 3 14 4 8 2 4" xfId="20039"/>
    <cellStyle name="Separador de milhares 3 14 4 8 2 4 2" xfId="46278"/>
    <cellStyle name="Separador de milhares 3 14 4 8 2 5" xfId="13941"/>
    <cellStyle name="Separador de milhares 3 14 4 8 2 5 2" xfId="40183"/>
    <cellStyle name="Separador de milhares 3 14 4 8 2 6" xfId="33797"/>
    <cellStyle name="Separador de milhares 3 14 4 8 3" xfId="9228"/>
    <cellStyle name="Separador de milhares 3 14 4 8 3 2" xfId="27442"/>
    <cellStyle name="Separador de milhares 3 14 4 8 3 2 2" xfId="53672"/>
    <cellStyle name="Separador de milhares 3 14 4 8 3 3" xfId="21528"/>
    <cellStyle name="Separador de milhares 3 14 4 8 3 3 2" xfId="47764"/>
    <cellStyle name="Separador de milhares 3 14 4 8 3 4" xfId="15614"/>
    <cellStyle name="Separador de milhares 3 14 4 8 3 4 2" xfId="41856"/>
    <cellStyle name="Separador de milhares 3 14 4 8 3 5" xfId="35470"/>
    <cellStyle name="Separador de milhares 3 14 4 8 4" xfId="5853"/>
    <cellStyle name="Separador de milhares 3 14 4 8 4 2" xfId="24485"/>
    <cellStyle name="Separador de milhares 3 14 4 8 4 2 2" xfId="50718"/>
    <cellStyle name="Separador de milhares 3 14 4 8 4 3" xfId="32098"/>
    <cellStyle name="Separador de milhares 3 14 4 8 5" xfId="18571"/>
    <cellStyle name="Separador de milhares 3 14 4 8 5 2" xfId="44810"/>
    <cellStyle name="Separador de milhares 3 14 4 8 6" xfId="12240"/>
    <cellStyle name="Separador de milhares 3 14 4 8 6 2" xfId="38482"/>
    <cellStyle name="Separador de milhares 3 14 4 8 7" xfId="30400"/>
    <cellStyle name="Separador de milhares 3 14 4 9" xfId="711"/>
    <cellStyle name="Separador de milhares 3 14 4 9 2" xfId="6646"/>
    <cellStyle name="Separador de milhares 3 14 4 9 2 2" xfId="9793"/>
    <cellStyle name="Separador de milhares 3 14 4 9 2 2 2" xfId="28007"/>
    <cellStyle name="Separador de milhares 3 14 4 9 2 2 2 2" xfId="54237"/>
    <cellStyle name="Separador de milhares 3 14 4 9 2 2 3" xfId="22093"/>
    <cellStyle name="Separador de milhares 3 14 4 9 2 2 3 2" xfId="48329"/>
    <cellStyle name="Separador de milhares 3 14 4 9 2 2 4" xfId="16179"/>
    <cellStyle name="Separador de milhares 3 14 4 9 2 2 4 2" xfId="42421"/>
    <cellStyle name="Separador de milhares 3 14 4 9 2 2 5" xfId="36035"/>
    <cellStyle name="Separador de milhares 3 14 4 9 2 3" xfId="25050"/>
    <cellStyle name="Separador de milhares 3 14 4 9 2 3 2" xfId="51283"/>
    <cellStyle name="Separador de milhares 3 14 4 9 2 4" xfId="19136"/>
    <cellStyle name="Separador de milhares 3 14 4 9 2 4 2" xfId="45375"/>
    <cellStyle name="Separador de milhares 3 14 4 9 2 5" xfId="13035"/>
    <cellStyle name="Separador de milhares 3 14 4 9 2 5 2" xfId="39277"/>
    <cellStyle name="Separador de milhares 3 14 4 9 2 6" xfId="32891"/>
    <cellStyle name="Separador de milhares 3 14 4 9 3" xfId="8325"/>
    <cellStyle name="Separador de milhares 3 14 4 9 3 2" xfId="26539"/>
    <cellStyle name="Separador de milhares 3 14 4 9 3 2 2" xfId="52769"/>
    <cellStyle name="Separador de milhares 3 14 4 9 3 3" xfId="20625"/>
    <cellStyle name="Separador de milhares 3 14 4 9 3 3 2" xfId="46861"/>
    <cellStyle name="Separador de milhares 3 14 4 9 3 4" xfId="14711"/>
    <cellStyle name="Separador de milhares 3 14 4 9 3 4 2" xfId="40953"/>
    <cellStyle name="Separador de milhares 3 14 4 9 3 5" xfId="34567"/>
    <cellStyle name="Separador de milhares 3 14 4 9 4" xfId="4947"/>
    <cellStyle name="Separador de milhares 3 14 4 9 4 2" xfId="23582"/>
    <cellStyle name="Separador de milhares 3 14 4 9 4 2 2" xfId="49815"/>
    <cellStyle name="Separador de milhares 3 14 4 9 4 3" xfId="31192"/>
    <cellStyle name="Separador de milhares 3 14 4 9 5" xfId="17668"/>
    <cellStyle name="Separador de milhares 3 14 4 9 5 2" xfId="43907"/>
    <cellStyle name="Separador de milhares 3 14 4 9 6" xfId="11334"/>
    <cellStyle name="Separador de milhares 3 14 4 9 6 2" xfId="37576"/>
    <cellStyle name="Separador de milhares 3 14 4 9 7" xfId="29494"/>
    <cellStyle name="Separador de milhares 3 14 5" xfId="619"/>
    <cellStyle name="Separador de milhares 3 14 5 10" xfId="4911"/>
    <cellStyle name="Separador de milhares 3 14 5 10 2" xfId="23545"/>
    <cellStyle name="Separador de milhares 3 14 5 10 2 2" xfId="49781"/>
    <cellStyle name="Separador de milhares 3 14 5 10 3" xfId="31158"/>
    <cellStyle name="Separador de milhares 3 14 5 11" xfId="17631"/>
    <cellStyle name="Separador de milhares 3 14 5 11 2" xfId="43873"/>
    <cellStyle name="Separador de milhares 3 14 5 12" xfId="11300"/>
    <cellStyle name="Separador de milhares 3 14 5 12 2" xfId="37542"/>
    <cellStyle name="Separador de milhares 3 14 5 13" xfId="29460"/>
    <cellStyle name="Separador de milhares 3 14 5 2" xfId="1442"/>
    <cellStyle name="Separador de milhares 3 14 5 2 2" xfId="6863"/>
    <cellStyle name="Separador de milhares 3 14 5 2 2 2" xfId="10010"/>
    <cellStyle name="Separador de milhares 3 14 5 2 2 2 2" xfId="28224"/>
    <cellStyle name="Separador de milhares 3 14 5 2 2 2 2 2" xfId="54454"/>
    <cellStyle name="Separador de milhares 3 14 5 2 2 2 3" xfId="22310"/>
    <cellStyle name="Separador de milhares 3 14 5 2 2 2 3 2" xfId="48546"/>
    <cellStyle name="Separador de milhares 3 14 5 2 2 2 4" xfId="16396"/>
    <cellStyle name="Separador de milhares 3 14 5 2 2 2 4 2" xfId="42638"/>
    <cellStyle name="Separador de milhares 3 14 5 2 2 2 5" xfId="36252"/>
    <cellStyle name="Separador de milhares 3 14 5 2 2 3" xfId="25267"/>
    <cellStyle name="Separador de milhares 3 14 5 2 2 3 2" xfId="51500"/>
    <cellStyle name="Separador de milhares 3 14 5 2 2 4" xfId="19353"/>
    <cellStyle name="Separador de milhares 3 14 5 2 2 4 2" xfId="45592"/>
    <cellStyle name="Separador de milhares 3 14 5 2 2 5" xfId="13252"/>
    <cellStyle name="Separador de milhares 3 14 5 2 2 5 2" xfId="39494"/>
    <cellStyle name="Separador de milhares 3 14 5 2 2 6" xfId="33108"/>
    <cellStyle name="Separador de milhares 3 14 5 2 3" xfId="8542"/>
    <cellStyle name="Separador de milhares 3 14 5 2 3 2" xfId="26756"/>
    <cellStyle name="Separador de milhares 3 14 5 2 3 2 2" xfId="52986"/>
    <cellStyle name="Separador de milhares 3 14 5 2 3 3" xfId="20842"/>
    <cellStyle name="Separador de milhares 3 14 5 2 3 3 2" xfId="47078"/>
    <cellStyle name="Separador de milhares 3 14 5 2 3 4" xfId="14928"/>
    <cellStyle name="Separador de milhares 3 14 5 2 3 4 2" xfId="41170"/>
    <cellStyle name="Separador de milhares 3 14 5 2 3 5" xfId="34784"/>
    <cellStyle name="Separador de milhares 3 14 5 2 4" xfId="5164"/>
    <cellStyle name="Separador de milhares 3 14 5 2 4 2" xfId="23799"/>
    <cellStyle name="Separador de milhares 3 14 5 2 4 2 2" xfId="50032"/>
    <cellStyle name="Separador de milhares 3 14 5 2 4 3" xfId="31409"/>
    <cellStyle name="Separador de milhares 3 14 5 2 5" xfId="17885"/>
    <cellStyle name="Separador de milhares 3 14 5 2 5 2" xfId="44124"/>
    <cellStyle name="Separador de milhares 3 14 5 2 6" xfId="11551"/>
    <cellStyle name="Separador de milhares 3 14 5 2 6 2" xfId="37793"/>
    <cellStyle name="Separador de milhares 3 14 5 2 7" xfId="29711"/>
    <cellStyle name="Separador de milhares 3 14 5 3" xfId="1877"/>
    <cellStyle name="Separador de milhares 3 14 5 3 2" xfId="6982"/>
    <cellStyle name="Separador de milhares 3 14 5 3 2 2" xfId="10129"/>
    <cellStyle name="Separador de milhares 3 14 5 3 2 2 2" xfId="28343"/>
    <cellStyle name="Separador de milhares 3 14 5 3 2 2 2 2" xfId="54573"/>
    <cellStyle name="Separador de milhares 3 14 5 3 2 2 3" xfId="22429"/>
    <cellStyle name="Separador de milhares 3 14 5 3 2 2 3 2" xfId="48665"/>
    <cellStyle name="Separador de milhares 3 14 5 3 2 2 4" xfId="16515"/>
    <cellStyle name="Separador de milhares 3 14 5 3 2 2 4 2" xfId="42757"/>
    <cellStyle name="Separador de milhares 3 14 5 3 2 2 5" xfId="36371"/>
    <cellStyle name="Separador de milhares 3 14 5 3 2 3" xfId="25386"/>
    <cellStyle name="Separador de milhares 3 14 5 3 2 3 2" xfId="51619"/>
    <cellStyle name="Separador de milhares 3 14 5 3 2 4" xfId="19472"/>
    <cellStyle name="Separador de milhares 3 14 5 3 2 4 2" xfId="45711"/>
    <cellStyle name="Separador de milhares 3 14 5 3 2 5" xfId="13371"/>
    <cellStyle name="Separador de milhares 3 14 5 3 2 5 2" xfId="39613"/>
    <cellStyle name="Separador de milhares 3 14 5 3 2 6" xfId="33227"/>
    <cellStyle name="Separador de milhares 3 14 5 3 3" xfId="8661"/>
    <cellStyle name="Separador de milhares 3 14 5 3 3 2" xfId="26875"/>
    <cellStyle name="Separador de milhares 3 14 5 3 3 2 2" xfId="53105"/>
    <cellStyle name="Separador de milhares 3 14 5 3 3 3" xfId="20961"/>
    <cellStyle name="Separador de milhares 3 14 5 3 3 3 2" xfId="47197"/>
    <cellStyle name="Separador de milhares 3 14 5 3 3 4" xfId="15047"/>
    <cellStyle name="Separador de milhares 3 14 5 3 3 4 2" xfId="41289"/>
    <cellStyle name="Separador de milhares 3 14 5 3 3 5" xfId="34903"/>
    <cellStyle name="Separador de milhares 3 14 5 3 4" xfId="5283"/>
    <cellStyle name="Separador de milhares 3 14 5 3 4 2" xfId="23918"/>
    <cellStyle name="Separador de milhares 3 14 5 3 4 2 2" xfId="50151"/>
    <cellStyle name="Separador de milhares 3 14 5 3 4 3" xfId="31528"/>
    <cellStyle name="Separador de milhares 3 14 5 3 5" xfId="18004"/>
    <cellStyle name="Separador de milhares 3 14 5 3 5 2" xfId="44243"/>
    <cellStyle name="Separador de milhares 3 14 5 3 6" xfId="11670"/>
    <cellStyle name="Separador de milhares 3 14 5 3 6 2" xfId="37912"/>
    <cellStyle name="Separador de milhares 3 14 5 3 7" xfId="29830"/>
    <cellStyle name="Separador de milhares 3 14 5 4" xfId="2407"/>
    <cellStyle name="Separador de milhares 3 14 5 4 2" xfId="7132"/>
    <cellStyle name="Separador de milhares 3 14 5 4 2 2" xfId="10276"/>
    <cellStyle name="Separador de milhares 3 14 5 4 2 2 2" xfId="28490"/>
    <cellStyle name="Separador de milhares 3 14 5 4 2 2 2 2" xfId="54720"/>
    <cellStyle name="Separador de milhares 3 14 5 4 2 2 3" xfId="22576"/>
    <cellStyle name="Separador de milhares 3 14 5 4 2 2 3 2" xfId="48812"/>
    <cellStyle name="Separador de milhares 3 14 5 4 2 2 4" xfId="16662"/>
    <cellStyle name="Separador de milhares 3 14 5 4 2 2 4 2" xfId="42904"/>
    <cellStyle name="Separador de milhares 3 14 5 4 2 2 5" xfId="36518"/>
    <cellStyle name="Separador de milhares 3 14 5 4 2 3" xfId="25533"/>
    <cellStyle name="Separador de milhares 3 14 5 4 2 3 2" xfId="51766"/>
    <cellStyle name="Separador de milhares 3 14 5 4 2 4" xfId="19619"/>
    <cellStyle name="Separador de milhares 3 14 5 4 2 4 2" xfId="45858"/>
    <cellStyle name="Separador de milhares 3 14 5 4 2 5" xfId="13521"/>
    <cellStyle name="Separador de milhares 3 14 5 4 2 5 2" xfId="39763"/>
    <cellStyle name="Separador de milhares 3 14 5 4 2 6" xfId="33377"/>
    <cellStyle name="Separador de milhares 3 14 5 4 3" xfId="8808"/>
    <cellStyle name="Separador de milhares 3 14 5 4 3 2" xfId="27022"/>
    <cellStyle name="Separador de milhares 3 14 5 4 3 2 2" xfId="53252"/>
    <cellStyle name="Separador de milhares 3 14 5 4 3 3" xfId="21108"/>
    <cellStyle name="Separador de milhares 3 14 5 4 3 3 2" xfId="47344"/>
    <cellStyle name="Separador de milhares 3 14 5 4 3 4" xfId="15194"/>
    <cellStyle name="Separador de milhares 3 14 5 4 3 4 2" xfId="41436"/>
    <cellStyle name="Separador de milhares 3 14 5 4 3 5" xfId="35050"/>
    <cellStyle name="Separador de milhares 3 14 5 4 4" xfId="5433"/>
    <cellStyle name="Separador de milhares 3 14 5 4 4 2" xfId="24065"/>
    <cellStyle name="Separador de milhares 3 14 5 4 4 2 2" xfId="50298"/>
    <cellStyle name="Separador de milhares 3 14 5 4 4 3" xfId="31678"/>
    <cellStyle name="Separador de milhares 3 14 5 4 5" xfId="18151"/>
    <cellStyle name="Separador de milhares 3 14 5 4 5 2" xfId="44390"/>
    <cellStyle name="Separador de milhares 3 14 5 4 6" xfId="11820"/>
    <cellStyle name="Separador de milhares 3 14 5 4 6 2" xfId="38062"/>
    <cellStyle name="Separador de milhares 3 14 5 4 7" xfId="29980"/>
    <cellStyle name="Separador de milhares 3 14 5 5" xfId="2934"/>
    <cellStyle name="Separador de milhares 3 14 5 5 2" xfId="7279"/>
    <cellStyle name="Separador de milhares 3 14 5 5 2 2" xfId="10423"/>
    <cellStyle name="Separador de milhares 3 14 5 5 2 2 2" xfId="28637"/>
    <cellStyle name="Separador de milhares 3 14 5 5 2 2 2 2" xfId="54867"/>
    <cellStyle name="Separador de milhares 3 14 5 5 2 2 3" xfId="22723"/>
    <cellStyle name="Separador de milhares 3 14 5 5 2 2 3 2" xfId="48959"/>
    <cellStyle name="Separador de milhares 3 14 5 5 2 2 4" xfId="16809"/>
    <cellStyle name="Separador de milhares 3 14 5 5 2 2 4 2" xfId="43051"/>
    <cellStyle name="Separador de milhares 3 14 5 5 2 2 5" xfId="36665"/>
    <cellStyle name="Separador de milhares 3 14 5 5 2 3" xfId="25680"/>
    <cellStyle name="Separador de milhares 3 14 5 5 2 3 2" xfId="51913"/>
    <cellStyle name="Separador de milhares 3 14 5 5 2 4" xfId="19766"/>
    <cellStyle name="Separador de milhares 3 14 5 5 2 4 2" xfId="46005"/>
    <cellStyle name="Separador de milhares 3 14 5 5 2 5" xfId="13668"/>
    <cellStyle name="Separador de milhares 3 14 5 5 2 5 2" xfId="39910"/>
    <cellStyle name="Separador de milhares 3 14 5 5 2 6" xfId="33524"/>
    <cellStyle name="Separador de milhares 3 14 5 5 3" xfId="8955"/>
    <cellStyle name="Separador de milhares 3 14 5 5 3 2" xfId="27169"/>
    <cellStyle name="Separador de milhares 3 14 5 5 3 2 2" xfId="53399"/>
    <cellStyle name="Separador de milhares 3 14 5 5 3 3" xfId="21255"/>
    <cellStyle name="Separador de milhares 3 14 5 5 3 3 2" xfId="47491"/>
    <cellStyle name="Separador de milhares 3 14 5 5 3 4" xfId="15341"/>
    <cellStyle name="Separador de milhares 3 14 5 5 3 4 2" xfId="41583"/>
    <cellStyle name="Separador de milhares 3 14 5 5 3 5" xfId="35197"/>
    <cellStyle name="Separador de milhares 3 14 5 5 4" xfId="5580"/>
    <cellStyle name="Separador de milhares 3 14 5 5 4 2" xfId="24212"/>
    <cellStyle name="Separador de milhares 3 14 5 5 4 2 2" xfId="50445"/>
    <cellStyle name="Separador de milhares 3 14 5 5 4 3" xfId="31825"/>
    <cellStyle name="Separador de milhares 3 14 5 5 5" xfId="18298"/>
    <cellStyle name="Separador de milhares 3 14 5 5 5 2" xfId="44537"/>
    <cellStyle name="Separador de milhares 3 14 5 5 6" xfId="11967"/>
    <cellStyle name="Separador de milhares 3 14 5 5 6 2" xfId="38209"/>
    <cellStyle name="Separador de milhares 3 14 5 5 7" xfId="30127"/>
    <cellStyle name="Separador de milhares 3 14 5 6" xfId="3461"/>
    <cellStyle name="Separador de milhares 3 14 5 6 2" xfId="7426"/>
    <cellStyle name="Separador de milhares 3 14 5 6 2 2" xfId="10570"/>
    <cellStyle name="Separador de milhares 3 14 5 6 2 2 2" xfId="28784"/>
    <cellStyle name="Separador de milhares 3 14 5 6 2 2 2 2" xfId="55014"/>
    <cellStyle name="Separador de milhares 3 14 5 6 2 2 3" xfId="22870"/>
    <cellStyle name="Separador de milhares 3 14 5 6 2 2 3 2" xfId="49106"/>
    <cellStyle name="Separador de milhares 3 14 5 6 2 2 4" xfId="16956"/>
    <cellStyle name="Separador de milhares 3 14 5 6 2 2 4 2" xfId="43198"/>
    <cellStyle name="Separador de milhares 3 14 5 6 2 2 5" xfId="36812"/>
    <cellStyle name="Separador de milhares 3 14 5 6 2 3" xfId="25827"/>
    <cellStyle name="Separador de milhares 3 14 5 6 2 3 2" xfId="52060"/>
    <cellStyle name="Separador de milhares 3 14 5 6 2 4" xfId="19913"/>
    <cellStyle name="Separador de milhares 3 14 5 6 2 4 2" xfId="46152"/>
    <cellStyle name="Separador de milhares 3 14 5 6 2 5" xfId="13815"/>
    <cellStyle name="Separador de milhares 3 14 5 6 2 5 2" xfId="40057"/>
    <cellStyle name="Separador de milhares 3 14 5 6 2 6" xfId="33671"/>
    <cellStyle name="Separador de milhares 3 14 5 6 3" xfId="9102"/>
    <cellStyle name="Separador de milhares 3 14 5 6 3 2" xfId="27316"/>
    <cellStyle name="Separador de milhares 3 14 5 6 3 2 2" xfId="53546"/>
    <cellStyle name="Separador de milhares 3 14 5 6 3 3" xfId="21402"/>
    <cellStyle name="Separador de milhares 3 14 5 6 3 3 2" xfId="47638"/>
    <cellStyle name="Separador de milhares 3 14 5 6 3 4" xfId="15488"/>
    <cellStyle name="Separador de milhares 3 14 5 6 3 4 2" xfId="41730"/>
    <cellStyle name="Separador de milhares 3 14 5 6 3 5" xfId="35344"/>
    <cellStyle name="Separador de milhares 3 14 5 6 4" xfId="5727"/>
    <cellStyle name="Separador de milhares 3 14 5 6 4 2" xfId="24359"/>
    <cellStyle name="Separador de milhares 3 14 5 6 4 2 2" xfId="50592"/>
    <cellStyle name="Separador de milhares 3 14 5 6 4 3" xfId="31972"/>
    <cellStyle name="Separador de milhares 3 14 5 6 5" xfId="18445"/>
    <cellStyle name="Separador de milhares 3 14 5 6 5 2" xfId="44684"/>
    <cellStyle name="Separador de milhares 3 14 5 6 6" xfId="12114"/>
    <cellStyle name="Separador de milhares 3 14 5 6 6 2" xfId="38356"/>
    <cellStyle name="Separador de milhares 3 14 5 6 7" xfId="30274"/>
    <cellStyle name="Separador de milhares 3 14 5 7" xfId="3988"/>
    <cellStyle name="Separador de milhares 3 14 5 7 2" xfId="7573"/>
    <cellStyle name="Separador de milhares 3 14 5 7 2 2" xfId="10717"/>
    <cellStyle name="Separador de milhares 3 14 5 7 2 2 2" xfId="28931"/>
    <cellStyle name="Separador de milhares 3 14 5 7 2 2 2 2" xfId="55161"/>
    <cellStyle name="Separador de milhares 3 14 5 7 2 2 3" xfId="23017"/>
    <cellStyle name="Separador de milhares 3 14 5 7 2 2 3 2" xfId="49253"/>
    <cellStyle name="Separador de milhares 3 14 5 7 2 2 4" xfId="17103"/>
    <cellStyle name="Separador de milhares 3 14 5 7 2 2 4 2" xfId="43345"/>
    <cellStyle name="Separador de milhares 3 14 5 7 2 2 5" xfId="36959"/>
    <cellStyle name="Separador de milhares 3 14 5 7 2 3" xfId="25974"/>
    <cellStyle name="Separador de milhares 3 14 5 7 2 3 2" xfId="52207"/>
    <cellStyle name="Separador de milhares 3 14 5 7 2 4" xfId="20060"/>
    <cellStyle name="Separador de milhares 3 14 5 7 2 4 2" xfId="46299"/>
    <cellStyle name="Separador de milhares 3 14 5 7 2 5" xfId="13962"/>
    <cellStyle name="Separador de milhares 3 14 5 7 2 5 2" xfId="40204"/>
    <cellStyle name="Separador de milhares 3 14 5 7 2 6" xfId="33818"/>
    <cellStyle name="Separador de milhares 3 14 5 7 3" xfId="9249"/>
    <cellStyle name="Separador de milhares 3 14 5 7 3 2" xfId="27463"/>
    <cellStyle name="Separador de milhares 3 14 5 7 3 2 2" xfId="53693"/>
    <cellStyle name="Separador de milhares 3 14 5 7 3 3" xfId="21549"/>
    <cellStyle name="Separador de milhares 3 14 5 7 3 3 2" xfId="47785"/>
    <cellStyle name="Separador de milhares 3 14 5 7 3 4" xfId="15635"/>
    <cellStyle name="Separador de milhares 3 14 5 7 3 4 2" xfId="41877"/>
    <cellStyle name="Separador de milhares 3 14 5 7 3 5" xfId="35491"/>
    <cellStyle name="Separador de milhares 3 14 5 7 4" xfId="5874"/>
    <cellStyle name="Separador de milhares 3 14 5 7 4 2" xfId="24506"/>
    <cellStyle name="Separador de milhares 3 14 5 7 4 2 2" xfId="50739"/>
    <cellStyle name="Separador de milhares 3 14 5 7 4 3" xfId="32119"/>
    <cellStyle name="Separador de milhares 3 14 5 7 5" xfId="18592"/>
    <cellStyle name="Separador de milhares 3 14 5 7 5 2" xfId="44831"/>
    <cellStyle name="Separador de milhares 3 14 5 7 6" xfId="12261"/>
    <cellStyle name="Separador de milhares 3 14 5 7 6 2" xfId="38503"/>
    <cellStyle name="Separador de milhares 3 14 5 7 7" xfId="30421"/>
    <cellStyle name="Separador de milhares 3 14 5 8" xfId="6612"/>
    <cellStyle name="Separador de milhares 3 14 5 8 2" xfId="9759"/>
    <cellStyle name="Separador de milhares 3 14 5 8 2 2" xfId="27973"/>
    <cellStyle name="Separador de milhares 3 14 5 8 2 2 2" xfId="54203"/>
    <cellStyle name="Separador de milhares 3 14 5 8 2 3" xfId="22059"/>
    <cellStyle name="Separador de milhares 3 14 5 8 2 3 2" xfId="48295"/>
    <cellStyle name="Separador de milhares 3 14 5 8 2 4" xfId="16145"/>
    <cellStyle name="Separador de milhares 3 14 5 8 2 4 2" xfId="42387"/>
    <cellStyle name="Separador de milhares 3 14 5 8 2 5" xfId="36001"/>
    <cellStyle name="Separador de milhares 3 14 5 8 3" xfId="25016"/>
    <cellStyle name="Separador de milhares 3 14 5 8 3 2" xfId="51249"/>
    <cellStyle name="Separador de milhares 3 14 5 8 4" xfId="19102"/>
    <cellStyle name="Separador de milhares 3 14 5 8 4 2" xfId="45341"/>
    <cellStyle name="Separador de milhares 3 14 5 8 5" xfId="13001"/>
    <cellStyle name="Separador de milhares 3 14 5 8 5 2" xfId="39243"/>
    <cellStyle name="Separador de milhares 3 14 5 8 6" xfId="32857"/>
    <cellStyle name="Separador de milhares 3 14 5 9" xfId="8288"/>
    <cellStyle name="Separador de milhares 3 14 5 9 2" xfId="26502"/>
    <cellStyle name="Separador de milhares 3 14 5 9 2 2" xfId="52735"/>
    <cellStyle name="Separador de milhares 3 14 5 9 3" xfId="20588"/>
    <cellStyle name="Separador de milhares 3 14 5 9 3 2" xfId="46827"/>
    <cellStyle name="Separador de milhares 3 14 5 9 4" xfId="14677"/>
    <cellStyle name="Separador de milhares 3 14 5 9 4 2" xfId="40919"/>
    <cellStyle name="Separador de milhares 3 14 5 9 5" xfId="34533"/>
    <cellStyle name="Separador de milhares 3 14 6" xfId="740"/>
    <cellStyle name="Separador de milhares 3 14 6 2" xfId="4164"/>
    <cellStyle name="Separador de milhares 3 14 6 2 2" xfId="7622"/>
    <cellStyle name="Separador de milhares 3 14 6 2 2 2" xfId="10766"/>
    <cellStyle name="Separador de milhares 3 14 6 2 2 2 2" xfId="28980"/>
    <cellStyle name="Separador de milhares 3 14 6 2 2 2 2 2" xfId="55210"/>
    <cellStyle name="Separador de milhares 3 14 6 2 2 2 3" xfId="23066"/>
    <cellStyle name="Separador de milhares 3 14 6 2 2 2 3 2" xfId="49302"/>
    <cellStyle name="Separador de milhares 3 14 6 2 2 2 4" xfId="17152"/>
    <cellStyle name="Separador de milhares 3 14 6 2 2 2 4 2" xfId="43394"/>
    <cellStyle name="Separador de milhares 3 14 6 2 2 2 5" xfId="37008"/>
    <cellStyle name="Separador de milhares 3 14 6 2 2 3" xfId="26023"/>
    <cellStyle name="Separador de milhares 3 14 6 2 2 3 2" xfId="52256"/>
    <cellStyle name="Separador de milhares 3 14 6 2 2 4" xfId="20109"/>
    <cellStyle name="Separador de milhares 3 14 6 2 2 4 2" xfId="46348"/>
    <cellStyle name="Separador de milhares 3 14 6 2 2 5" xfId="14011"/>
    <cellStyle name="Separador de milhares 3 14 6 2 2 5 2" xfId="40253"/>
    <cellStyle name="Separador de milhares 3 14 6 2 2 6" xfId="33867"/>
    <cellStyle name="Separador de milhares 3 14 6 2 3" xfId="9298"/>
    <cellStyle name="Separador de milhares 3 14 6 2 3 2" xfId="27512"/>
    <cellStyle name="Separador de milhares 3 14 6 2 3 2 2" xfId="53742"/>
    <cellStyle name="Separador de milhares 3 14 6 2 3 3" xfId="21598"/>
    <cellStyle name="Separador de milhares 3 14 6 2 3 3 2" xfId="47834"/>
    <cellStyle name="Separador de milhares 3 14 6 2 3 4" xfId="15684"/>
    <cellStyle name="Separador de milhares 3 14 6 2 3 4 2" xfId="41926"/>
    <cellStyle name="Separador de milhares 3 14 6 2 3 5" xfId="35540"/>
    <cellStyle name="Separador de milhares 3 14 6 2 4" xfId="5923"/>
    <cellStyle name="Separador de milhares 3 14 6 2 4 2" xfId="24555"/>
    <cellStyle name="Separador de milhares 3 14 6 2 4 2 2" xfId="50788"/>
    <cellStyle name="Separador de milhares 3 14 6 2 4 3" xfId="32168"/>
    <cellStyle name="Separador de milhares 3 14 6 2 5" xfId="18641"/>
    <cellStyle name="Separador de milhares 3 14 6 2 5 2" xfId="44880"/>
    <cellStyle name="Separador de milhares 3 14 6 2 6" xfId="12310"/>
    <cellStyle name="Separador de milhares 3 14 6 2 6 2" xfId="38552"/>
    <cellStyle name="Separador de milhares 3 14 6 2 7" xfId="30470"/>
    <cellStyle name="Separador de milhares 3 14 6 3" xfId="6667"/>
    <cellStyle name="Separador de milhares 3 14 6 3 2" xfId="9814"/>
    <cellStyle name="Separador de milhares 3 14 6 3 2 2" xfId="28028"/>
    <cellStyle name="Separador de milhares 3 14 6 3 2 2 2" xfId="54258"/>
    <cellStyle name="Separador de milhares 3 14 6 3 2 3" xfId="22114"/>
    <cellStyle name="Separador de milhares 3 14 6 3 2 3 2" xfId="48350"/>
    <cellStyle name="Separador de milhares 3 14 6 3 2 4" xfId="16200"/>
    <cellStyle name="Separador de milhares 3 14 6 3 2 4 2" xfId="42442"/>
    <cellStyle name="Separador de milhares 3 14 6 3 2 5" xfId="36056"/>
    <cellStyle name="Separador de milhares 3 14 6 3 3" xfId="25071"/>
    <cellStyle name="Separador de milhares 3 14 6 3 3 2" xfId="51304"/>
    <cellStyle name="Separador de milhares 3 14 6 3 4" xfId="19157"/>
    <cellStyle name="Separador de milhares 3 14 6 3 4 2" xfId="45396"/>
    <cellStyle name="Separador de milhares 3 14 6 3 5" xfId="13056"/>
    <cellStyle name="Separador de milhares 3 14 6 3 5 2" xfId="39298"/>
    <cellStyle name="Separador de milhares 3 14 6 3 6" xfId="32912"/>
    <cellStyle name="Separador de milhares 3 14 6 4" xfId="8346"/>
    <cellStyle name="Separador de milhares 3 14 6 4 2" xfId="26560"/>
    <cellStyle name="Separador de milhares 3 14 6 4 2 2" xfId="52790"/>
    <cellStyle name="Separador de milhares 3 14 6 4 3" xfId="20646"/>
    <cellStyle name="Separador de milhares 3 14 6 4 3 2" xfId="46882"/>
    <cellStyle name="Separador de milhares 3 14 6 4 4" xfId="14732"/>
    <cellStyle name="Separador de milhares 3 14 6 4 4 2" xfId="40974"/>
    <cellStyle name="Separador de milhares 3 14 6 4 5" xfId="34588"/>
    <cellStyle name="Separador de milhares 3 14 6 5" xfId="4968"/>
    <cellStyle name="Separador de milhares 3 14 6 5 2" xfId="23603"/>
    <cellStyle name="Separador de milhares 3 14 6 5 2 2" xfId="49836"/>
    <cellStyle name="Separador de milhares 3 14 6 5 3" xfId="31213"/>
    <cellStyle name="Separador de milhares 3 14 6 6" xfId="17689"/>
    <cellStyle name="Separador de milhares 3 14 6 6 2" xfId="43928"/>
    <cellStyle name="Separador de milhares 3 14 6 7" xfId="11355"/>
    <cellStyle name="Separador de milhares 3 14 6 7 2" xfId="37597"/>
    <cellStyle name="Separador de milhares 3 14 6 8" xfId="29515"/>
    <cellStyle name="Separador de milhares 3 14 7" xfId="1091"/>
    <cellStyle name="Separador de milhares 3 14 7 2" xfId="6765"/>
    <cellStyle name="Separador de milhares 3 14 7 2 2" xfId="9912"/>
    <cellStyle name="Separador de milhares 3 14 7 2 2 2" xfId="28126"/>
    <cellStyle name="Separador de milhares 3 14 7 2 2 2 2" xfId="54356"/>
    <cellStyle name="Separador de milhares 3 14 7 2 2 3" xfId="22212"/>
    <cellStyle name="Separador de milhares 3 14 7 2 2 3 2" xfId="48448"/>
    <cellStyle name="Separador de milhares 3 14 7 2 2 4" xfId="16298"/>
    <cellStyle name="Separador de milhares 3 14 7 2 2 4 2" xfId="42540"/>
    <cellStyle name="Separador de milhares 3 14 7 2 2 5" xfId="36154"/>
    <cellStyle name="Separador de milhares 3 14 7 2 3" xfId="25169"/>
    <cellStyle name="Separador de milhares 3 14 7 2 3 2" xfId="51402"/>
    <cellStyle name="Separador de milhares 3 14 7 2 4" xfId="19255"/>
    <cellStyle name="Separador de milhares 3 14 7 2 4 2" xfId="45494"/>
    <cellStyle name="Separador de milhares 3 14 7 2 5" xfId="13154"/>
    <cellStyle name="Separador de milhares 3 14 7 2 5 2" xfId="39396"/>
    <cellStyle name="Separador de milhares 3 14 7 2 6" xfId="33010"/>
    <cellStyle name="Separador de milhares 3 14 7 3" xfId="8444"/>
    <cellStyle name="Separador de milhares 3 14 7 3 2" xfId="26658"/>
    <cellStyle name="Separador de milhares 3 14 7 3 2 2" xfId="52888"/>
    <cellStyle name="Separador de milhares 3 14 7 3 3" xfId="20744"/>
    <cellStyle name="Separador de milhares 3 14 7 3 3 2" xfId="46980"/>
    <cellStyle name="Separador de milhares 3 14 7 3 4" xfId="14830"/>
    <cellStyle name="Separador de milhares 3 14 7 3 4 2" xfId="41072"/>
    <cellStyle name="Separador de milhares 3 14 7 3 5" xfId="34686"/>
    <cellStyle name="Separador de milhares 3 14 7 4" xfId="5066"/>
    <cellStyle name="Separador de milhares 3 14 7 4 2" xfId="23701"/>
    <cellStyle name="Separador de milhares 3 14 7 4 2 2" xfId="49934"/>
    <cellStyle name="Separador de milhares 3 14 7 4 3" xfId="31311"/>
    <cellStyle name="Separador de milhares 3 14 7 5" xfId="17787"/>
    <cellStyle name="Separador de milhares 3 14 7 5 2" xfId="44026"/>
    <cellStyle name="Separador de milhares 3 14 7 6" xfId="11453"/>
    <cellStyle name="Separador de milhares 3 14 7 6 2" xfId="37695"/>
    <cellStyle name="Separador de milhares 3 14 7 7" xfId="29613"/>
    <cellStyle name="Separador de milhares 3 14 8" xfId="1526"/>
    <cellStyle name="Separador de milhares 3 14 8 2" xfId="6884"/>
    <cellStyle name="Separador de milhares 3 14 8 2 2" xfId="10031"/>
    <cellStyle name="Separador de milhares 3 14 8 2 2 2" xfId="28245"/>
    <cellStyle name="Separador de milhares 3 14 8 2 2 2 2" xfId="54475"/>
    <cellStyle name="Separador de milhares 3 14 8 2 2 3" xfId="22331"/>
    <cellStyle name="Separador de milhares 3 14 8 2 2 3 2" xfId="48567"/>
    <cellStyle name="Separador de milhares 3 14 8 2 2 4" xfId="16417"/>
    <cellStyle name="Separador de milhares 3 14 8 2 2 4 2" xfId="42659"/>
    <cellStyle name="Separador de milhares 3 14 8 2 2 5" xfId="36273"/>
    <cellStyle name="Separador de milhares 3 14 8 2 3" xfId="25288"/>
    <cellStyle name="Separador de milhares 3 14 8 2 3 2" xfId="51521"/>
    <cellStyle name="Separador de milhares 3 14 8 2 4" xfId="19374"/>
    <cellStyle name="Separador de milhares 3 14 8 2 4 2" xfId="45613"/>
    <cellStyle name="Separador de milhares 3 14 8 2 5" xfId="13273"/>
    <cellStyle name="Separador de milhares 3 14 8 2 5 2" xfId="39515"/>
    <cellStyle name="Separador de milhares 3 14 8 2 6" xfId="33129"/>
    <cellStyle name="Separador de milhares 3 14 8 3" xfId="8563"/>
    <cellStyle name="Separador de milhares 3 14 8 3 2" xfId="26777"/>
    <cellStyle name="Separador de milhares 3 14 8 3 2 2" xfId="53007"/>
    <cellStyle name="Separador de milhares 3 14 8 3 3" xfId="20863"/>
    <cellStyle name="Separador de milhares 3 14 8 3 3 2" xfId="47099"/>
    <cellStyle name="Separador de milhares 3 14 8 3 4" xfId="14949"/>
    <cellStyle name="Separador de milhares 3 14 8 3 4 2" xfId="41191"/>
    <cellStyle name="Separador de milhares 3 14 8 3 5" xfId="34805"/>
    <cellStyle name="Separador de milhares 3 14 8 4" xfId="5185"/>
    <cellStyle name="Separador de milhares 3 14 8 4 2" xfId="23820"/>
    <cellStyle name="Separador de milhares 3 14 8 4 2 2" xfId="50053"/>
    <cellStyle name="Separador de milhares 3 14 8 4 3" xfId="31430"/>
    <cellStyle name="Separador de milhares 3 14 8 5" xfId="17906"/>
    <cellStyle name="Separador de milhares 3 14 8 5 2" xfId="44145"/>
    <cellStyle name="Separador de milhares 3 14 8 6" xfId="11572"/>
    <cellStyle name="Separador de milhares 3 14 8 6 2" xfId="37814"/>
    <cellStyle name="Separador de milhares 3 14 8 7" xfId="29732"/>
    <cellStyle name="Separador de milhares 3 14 9" xfId="2056"/>
    <cellStyle name="Separador de milhares 3 14 9 2" xfId="7034"/>
    <cellStyle name="Separador de milhares 3 14 9 2 2" xfId="10178"/>
    <cellStyle name="Separador de milhares 3 14 9 2 2 2" xfId="28392"/>
    <cellStyle name="Separador de milhares 3 14 9 2 2 2 2" xfId="54622"/>
    <cellStyle name="Separador de milhares 3 14 9 2 2 3" xfId="22478"/>
    <cellStyle name="Separador de milhares 3 14 9 2 2 3 2" xfId="48714"/>
    <cellStyle name="Separador de milhares 3 14 9 2 2 4" xfId="16564"/>
    <cellStyle name="Separador de milhares 3 14 9 2 2 4 2" xfId="42806"/>
    <cellStyle name="Separador de milhares 3 14 9 2 2 5" xfId="36420"/>
    <cellStyle name="Separador de milhares 3 14 9 2 3" xfId="25435"/>
    <cellStyle name="Separador de milhares 3 14 9 2 3 2" xfId="51668"/>
    <cellStyle name="Separador de milhares 3 14 9 2 4" xfId="19521"/>
    <cellStyle name="Separador de milhares 3 14 9 2 4 2" xfId="45760"/>
    <cellStyle name="Separador de milhares 3 14 9 2 5" xfId="13423"/>
    <cellStyle name="Separador de milhares 3 14 9 2 5 2" xfId="39665"/>
    <cellStyle name="Separador de milhares 3 14 9 2 6" xfId="33279"/>
    <cellStyle name="Separador de milhares 3 14 9 3" xfId="8710"/>
    <cellStyle name="Separador de milhares 3 14 9 3 2" xfId="26924"/>
    <cellStyle name="Separador de milhares 3 14 9 3 2 2" xfId="53154"/>
    <cellStyle name="Separador de milhares 3 14 9 3 3" xfId="21010"/>
    <cellStyle name="Separador de milhares 3 14 9 3 3 2" xfId="47246"/>
    <cellStyle name="Separador de milhares 3 14 9 3 4" xfId="15096"/>
    <cellStyle name="Separador de milhares 3 14 9 3 4 2" xfId="41338"/>
    <cellStyle name="Separador de milhares 3 14 9 3 5" xfId="34952"/>
    <cellStyle name="Separador de milhares 3 14 9 4" xfId="5335"/>
    <cellStyle name="Separador de milhares 3 14 9 4 2" xfId="23967"/>
    <cellStyle name="Separador de milhares 3 14 9 4 2 2" xfId="50200"/>
    <cellStyle name="Separador de milhares 3 14 9 4 3" xfId="31580"/>
    <cellStyle name="Separador de milhares 3 14 9 5" xfId="18053"/>
    <cellStyle name="Separador de milhares 3 14 9 5 2" xfId="44292"/>
    <cellStyle name="Separador de milhares 3 14 9 6" xfId="11722"/>
    <cellStyle name="Separador de milhares 3 14 9 6 2" xfId="37964"/>
    <cellStyle name="Separador de milhares 3 14 9 7" xfId="29882"/>
    <cellStyle name="Separador de milhares 3 15" xfId="152"/>
    <cellStyle name="Separador de milhares 3 15 10" xfId="2655"/>
    <cellStyle name="Separador de milhares 3 15 10 2" xfId="7199"/>
    <cellStyle name="Separador de milhares 3 15 10 2 2" xfId="10343"/>
    <cellStyle name="Separador de milhares 3 15 10 2 2 2" xfId="28557"/>
    <cellStyle name="Separador de milhares 3 15 10 2 2 2 2" xfId="54787"/>
    <cellStyle name="Separador de milhares 3 15 10 2 2 3" xfId="22643"/>
    <cellStyle name="Separador de milhares 3 15 10 2 2 3 2" xfId="48879"/>
    <cellStyle name="Separador de milhares 3 15 10 2 2 4" xfId="16729"/>
    <cellStyle name="Separador de milhares 3 15 10 2 2 4 2" xfId="42971"/>
    <cellStyle name="Separador de milhares 3 15 10 2 2 5" xfId="36585"/>
    <cellStyle name="Separador de milhares 3 15 10 2 3" xfId="25600"/>
    <cellStyle name="Separador de milhares 3 15 10 2 3 2" xfId="51833"/>
    <cellStyle name="Separador de milhares 3 15 10 2 4" xfId="19686"/>
    <cellStyle name="Separador de milhares 3 15 10 2 4 2" xfId="45925"/>
    <cellStyle name="Separador de milhares 3 15 10 2 5" xfId="13588"/>
    <cellStyle name="Separador de milhares 3 15 10 2 5 2" xfId="39830"/>
    <cellStyle name="Separador de milhares 3 15 10 2 6" xfId="33444"/>
    <cellStyle name="Separador de milhares 3 15 10 3" xfId="8875"/>
    <cellStyle name="Separador de milhares 3 15 10 3 2" xfId="27089"/>
    <cellStyle name="Separador de milhares 3 15 10 3 2 2" xfId="53319"/>
    <cellStyle name="Separador de milhares 3 15 10 3 3" xfId="21175"/>
    <cellStyle name="Separador de milhares 3 15 10 3 3 2" xfId="47411"/>
    <cellStyle name="Separador de milhares 3 15 10 3 4" xfId="15261"/>
    <cellStyle name="Separador de milhares 3 15 10 3 4 2" xfId="41503"/>
    <cellStyle name="Separador de milhares 3 15 10 3 5" xfId="35117"/>
    <cellStyle name="Separador de milhares 3 15 10 4" xfId="5500"/>
    <cellStyle name="Separador de milhares 3 15 10 4 2" xfId="24132"/>
    <cellStyle name="Separador de milhares 3 15 10 4 2 2" xfId="50365"/>
    <cellStyle name="Separador de milhares 3 15 10 4 3" xfId="31745"/>
    <cellStyle name="Separador de milhares 3 15 10 5" xfId="18218"/>
    <cellStyle name="Separador de milhares 3 15 10 5 2" xfId="44457"/>
    <cellStyle name="Separador de milhares 3 15 10 6" xfId="11887"/>
    <cellStyle name="Separador de milhares 3 15 10 6 2" xfId="38129"/>
    <cellStyle name="Separador de milhares 3 15 10 7" xfId="30047"/>
    <cellStyle name="Separador de milhares 3 15 11" xfId="3182"/>
    <cellStyle name="Separador de milhares 3 15 11 2" xfId="7346"/>
    <cellStyle name="Separador de milhares 3 15 11 2 2" xfId="10490"/>
    <cellStyle name="Separador de milhares 3 15 11 2 2 2" xfId="28704"/>
    <cellStyle name="Separador de milhares 3 15 11 2 2 2 2" xfId="54934"/>
    <cellStyle name="Separador de milhares 3 15 11 2 2 3" xfId="22790"/>
    <cellStyle name="Separador de milhares 3 15 11 2 2 3 2" xfId="49026"/>
    <cellStyle name="Separador de milhares 3 15 11 2 2 4" xfId="16876"/>
    <cellStyle name="Separador de milhares 3 15 11 2 2 4 2" xfId="43118"/>
    <cellStyle name="Separador de milhares 3 15 11 2 2 5" xfId="36732"/>
    <cellStyle name="Separador de milhares 3 15 11 2 3" xfId="25747"/>
    <cellStyle name="Separador de milhares 3 15 11 2 3 2" xfId="51980"/>
    <cellStyle name="Separador de milhares 3 15 11 2 4" xfId="19833"/>
    <cellStyle name="Separador de milhares 3 15 11 2 4 2" xfId="46072"/>
    <cellStyle name="Separador de milhares 3 15 11 2 5" xfId="13735"/>
    <cellStyle name="Separador de milhares 3 15 11 2 5 2" xfId="39977"/>
    <cellStyle name="Separador de milhares 3 15 11 2 6" xfId="33591"/>
    <cellStyle name="Separador de milhares 3 15 11 3" xfId="9022"/>
    <cellStyle name="Separador de milhares 3 15 11 3 2" xfId="27236"/>
    <cellStyle name="Separador de milhares 3 15 11 3 2 2" xfId="53466"/>
    <cellStyle name="Separador de milhares 3 15 11 3 3" xfId="21322"/>
    <cellStyle name="Separador de milhares 3 15 11 3 3 2" xfId="47558"/>
    <cellStyle name="Separador de milhares 3 15 11 3 4" xfId="15408"/>
    <cellStyle name="Separador de milhares 3 15 11 3 4 2" xfId="41650"/>
    <cellStyle name="Separador de milhares 3 15 11 3 5" xfId="35264"/>
    <cellStyle name="Separador de milhares 3 15 11 4" xfId="5647"/>
    <cellStyle name="Separador de milhares 3 15 11 4 2" xfId="24279"/>
    <cellStyle name="Separador de milhares 3 15 11 4 2 2" xfId="50512"/>
    <cellStyle name="Separador de milhares 3 15 11 4 3" xfId="31892"/>
    <cellStyle name="Separador de milhares 3 15 11 5" xfId="18365"/>
    <cellStyle name="Separador de milhares 3 15 11 5 2" xfId="44604"/>
    <cellStyle name="Separador de milhares 3 15 11 6" xfId="12034"/>
    <cellStyle name="Separador de milhares 3 15 11 6 2" xfId="38276"/>
    <cellStyle name="Separador de milhares 3 15 11 7" xfId="30194"/>
    <cellStyle name="Separador de milhares 3 15 12" xfId="3709"/>
    <cellStyle name="Separador de milhares 3 15 12 2" xfId="7493"/>
    <cellStyle name="Separador de milhares 3 15 12 2 2" xfId="10637"/>
    <cellStyle name="Separador de milhares 3 15 12 2 2 2" xfId="28851"/>
    <cellStyle name="Separador de milhares 3 15 12 2 2 2 2" xfId="55081"/>
    <cellStyle name="Separador de milhares 3 15 12 2 2 3" xfId="22937"/>
    <cellStyle name="Separador de milhares 3 15 12 2 2 3 2" xfId="49173"/>
    <cellStyle name="Separador de milhares 3 15 12 2 2 4" xfId="17023"/>
    <cellStyle name="Separador de milhares 3 15 12 2 2 4 2" xfId="43265"/>
    <cellStyle name="Separador de milhares 3 15 12 2 2 5" xfId="36879"/>
    <cellStyle name="Separador de milhares 3 15 12 2 3" xfId="25894"/>
    <cellStyle name="Separador de milhares 3 15 12 2 3 2" xfId="52127"/>
    <cellStyle name="Separador de milhares 3 15 12 2 4" xfId="19980"/>
    <cellStyle name="Separador de milhares 3 15 12 2 4 2" xfId="46219"/>
    <cellStyle name="Separador de milhares 3 15 12 2 5" xfId="13882"/>
    <cellStyle name="Separador de milhares 3 15 12 2 5 2" xfId="40124"/>
    <cellStyle name="Separador de milhares 3 15 12 2 6" xfId="33738"/>
    <cellStyle name="Separador de milhares 3 15 12 3" xfId="9169"/>
    <cellStyle name="Separador de milhares 3 15 12 3 2" xfId="27383"/>
    <cellStyle name="Separador de milhares 3 15 12 3 2 2" xfId="53613"/>
    <cellStyle name="Separador de milhares 3 15 12 3 3" xfId="21469"/>
    <cellStyle name="Separador de milhares 3 15 12 3 3 2" xfId="47705"/>
    <cellStyle name="Separador de milhares 3 15 12 3 4" xfId="15555"/>
    <cellStyle name="Separador de milhares 3 15 12 3 4 2" xfId="41797"/>
    <cellStyle name="Separador de milhares 3 15 12 3 5" xfId="35411"/>
    <cellStyle name="Separador de milhares 3 15 12 4" xfId="5794"/>
    <cellStyle name="Separador de milhares 3 15 12 4 2" xfId="24426"/>
    <cellStyle name="Separador de milhares 3 15 12 4 2 2" xfId="50659"/>
    <cellStyle name="Separador de milhares 3 15 12 4 3" xfId="32039"/>
    <cellStyle name="Separador de milhares 3 15 12 5" xfId="18512"/>
    <cellStyle name="Separador de milhares 3 15 12 5 2" xfId="44751"/>
    <cellStyle name="Separador de milhares 3 15 12 6" xfId="12181"/>
    <cellStyle name="Separador de milhares 3 15 12 6 2" xfId="38423"/>
    <cellStyle name="Separador de milhares 3 15 12 7" xfId="30341"/>
    <cellStyle name="Separador de milhares 3 15 13" xfId="6477"/>
    <cellStyle name="Separador de milhares 3 15 13 2" xfId="9633"/>
    <cellStyle name="Separador de milhares 3 15 13 2 2" xfId="27847"/>
    <cellStyle name="Separador de milhares 3 15 13 2 2 2" xfId="54077"/>
    <cellStyle name="Separador de milhares 3 15 13 2 3" xfId="21933"/>
    <cellStyle name="Separador de milhares 3 15 13 2 3 2" xfId="48169"/>
    <cellStyle name="Separador de milhares 3 15 13 2 4" xfId="16019"/>
    <cellStyle name="Separador de milhares 3 15 13 2 4 2" xfId="42261"/>
    <cellStyle name="Separador de milhares 3 15 13 2 5" xfId="35875"/>
    <cellStyle name="Separador de milhares 3 15 13 3" xfId="24890"/>
    <cellStyle name="Separador de milhares 3 15 13 3 2" xfId="51123"/>
    <cellStyle name="Separador de milhares 3 15 13 4" xfId="18976"/>
    <cellStyle name="Separador de milhares 3 15 13 4 2" xfId="45215"/>
    <cellStyle name="Separador de milhares 3 15 13 5" xfId="12866"/>
    <cellStyle name="Separador de milhares 3 15 13 5 2" xfId="39108"/>
    <cellStyle name="Separador de milhares 3 15 13 6" xfId="32722"/>
    <cellStyle name="Separador de milhares 3 15 14" xfId="8162"/>
    <cellStyle name="Separador de milhares 3 15 14 2" xfId="26376"/>
    <cellStyle name="Separador de milhares 3 15 14 2 2" xfId="52609"/>
    <cellStyle name="Separador de milhares 3 15 14 3" xfId="20462"/>
    <cellStyle name="Separador de milhares 3 15 14 3 2" xfId="46701"/>
    <cellStyle name="Separador de milhares 3 15 14 4" xfId="14551"/>
    <cellStyle name="Separador de milhares 3 15 14 4 2" xfId="40793"/>
    <cellStyle name="Separador de milhares 3 15 14 5" xfId="34407"/>
    <cellStyle name="Separador de milhares 3 15 15" xfId="4775"/>
    <cellStyle name="Separador de milhares 3 15 15 2" xfId="23419"/>
    <cellStyle name="Separador de milhares 3 15 15 2 2" xfId="49655"/>
    <cellStyle name="Separador de milhares 3 15 15 3" xfId="31023"/>
    <cellStyle name="Separador de milhares 3 15 16" xfId="17505"/>
    <cellStyle name="Separador de milhares 3 15 16 2" xfId="43747"/>
    <cellStyle name="Separador de milhares 3 15 17" xfId="11165"/>
    <cellStyle name="Separador de milhares 3 15 17 2" xfId="37407"/>
    <cellStyle name="Separador de milhares 3 15 18" xfId="29325"/>
    <cellStyle name="Separador de milhares 3 15 2" xfId="246"/>
    <cellStyle name="Separador de milhares 3 15 2 10" xfId="6506"/>
    <cellStyle name="Separador de milhares 3 15 2 10 2" xfId="9660"/>
    <cellStyle name="Separador de milhares 3 15 2 10 2 2" xfId="27874"/>
    <cellStyle name="Separador de milhares 3 15 2 10 2 2 2" xfId="54104"/>
    <cellStyle name="Separador de milhares 3 15 2 10 2 3" xfId="21960"/>
    <cellStyle name="Separador de milhares 3 15 2 10 2 3 2" xfId="48196"/>
    <cellStyle name="Separador de milhares 3 15 2 10 2 4" xfId="16046"/>
    <cellStyle name="Separador de milhares 3 15 2 10 2 4 2" xfId="42288"/>
    <cellStyle name="Separador de milhares 3 15 2 10 2 5" xfId="35902"/>
    <cellStyle name="Separador de milhares 3 15 2 10 3" xfId="24917"/>
    <cellStyle name="Separador de milhares 3 15 2 10 3 2" xfId="51150"/>
    <cellStyle name="Separador de milhares 3 15 2 10 4" xfId="19003"/>
    <cellStyle name="Separador de milhares 3 15 2 10 4 2" xfId="45242"/>
    <cellStyle name="Separador de milhares 3 15 2 10 5" xfId="12895"/>
    <cellStyle name="Separador de milhares 3 15 2 10 5 2" xfId="39137"/>
    <cellStyle name="Separador de milhares 3 15 2 10 6" xfId="32751"/>
    <cellStyle name="Separador de milhares 3 15 2 11" xfId="8189"/>
    <cellStyle name="Separador de milhares 3 15 2 11 2" xfId="26403"/>
    <cellStyle name="Separador de milhares 3 15 2 11 2 2" xfId="52636"/>
    <cellStyle name="Separador de milhares 3 15 2 11 3" xfId="20489"/>
    <cellStyle name="Separador de milhares 3 15 2 11 3 2" xfId="46728"/>
    <cellStyle name="Separador de milhares 3 15 2 11 4" xfId="14578"/>
    <cellStyle name="Separador de milhares 3 15 2 11 4 2" xfId="40820"/>
    <cellStyle name="Separador de milhares 3 15 2 11 5" xfId="34434"/>
    <cellStyle name="Separador de milhares 3 15 2 12" xfId="4805"/>
    <cellStyle name="Separador de milhares 3 15 2 12 2" xfId="23446"/>
    <cellStyle name="Separador de milhares 3 15 2 12 2 2" xfId="49682"/>
    <cellStyle name="Separador de milhares 3 15 2 12 3" xfId="31052"/>
    <cellStyle name="Separador de milhares 3 15 2 13" xfId="17532"/>
    <cellStyle name="Separador de milhares 3 15 2 13 2" xfId="43774"/>
    <cellStyle name="Separador de milhares 3 15 2 14" xfId="11194"/>
    <cellStyle name="Separador de milhares 3 15 2 14 2" xfId="37436"/>
    <cellStyle name="Separador de milhares 3 15 2 15" xfId="29355"/>
    <cellStyle name="Separador de milhares 3 15 2 2" xfId="519"/>
    <cellStyle name="Separador de milhares 3 15 2 2 10" xfId="17606"/>
    <cellStyle name="Separador de milhares 3 15 2 2 10 2" xfId="43848"/>
    <cellStyle name="Separador de milhares 3 15 2 2 11" xfId="11275"/>
    <cellStyle name="Separador de milhares 3 15 2 2 11 2" xfId="37517"/>
    <cellStyle name="Separador de milhares 3 15 2 2 12" xfId="29435"/>
    <cellStyle name="Separador de milhares 3 15 2 2 2" xfId="2038"/>
    <cellStyle name="Separador de milhares 3 15 2 2 2 2" xfId="7025"/>
    <cellStyle name="Separador de milhares 3 15 2 2 2 2 2" xfId="10172"/>
    <cellStyle name="Separador de milhares 3 15 2 2 2 2 2 2" xfId="28386"/>
    <cellStyle name="Separador de milhares 3 15 2 2 2 2 2 2 2" xfId="54616"/>
    <cellStyle name="Separador de milhares 3 15 2 2 2 2 2 3" xfId="22472"/>
    <cellStyle name="Separador de milhares 3 15 2 2 2 2 2 3 2" xfId="48708"/>
    <cellStyle name="Separador de milhares 3 15 2 2 2 2 2 4" xfId="16558"/>
    <cellStyle name="Separador de milhares 3 15 2 2 2 2 2 4 2" xfId="42800"/>
    <cellStyle name="Separador de milhares 3 15 2 2 2 2 2 5" xfId="36414"/>
    <cellStyle name="Separador de milhares 3 15 2 2 2 2 3" xfId="25429"/>
    <cellStyle name="Separador de milhares 3 15 2 2 2 2 3 2" xfId="51662"/>
    <cellStyle name="Separador de milhares 3 15 2 2 2 2 4" xfId="19515"/>
    <cellStyle name="Separador de milhares 3 15 2 2 2 2 4 2" xfId="45754"/>
    <cellStyle name="Separador de milhares 3 15 2 2 2 2 5" xfId="13414"/>
    <cellStyle name="Separador de milhares 3 15 2 2 2 2 5 2" xfId="39656"/>
    <cellStyle name="Separador de milhares 3 15 2 2 2 2 6" xfId="33270"/>
    <cellStyle name="Separador de milhares 3 15 2 2 2 3" xfId="8704"/>
    <cellStyle name="Separador de milhares 3 15 2 2 2 3 2" xfId="26918"/>
    <cellStyle name="Separador de milhares 3 15 2 2 2 3 2 2" xfId="53148"/>
    <cellStyle name="Separador de milhares 3 15 2 2 2 3 3" xfId="21004"/>
    <cellStyle name="Separador de milhares 3 15 2 2 2 3 3 2" xfId="47240"/>
    <cellStyle name="Separador de milhares 3 15 2 2 2 3 4" xfId="15090"/>
    <cellStyle name="Separador de milhares 3 15 2 2 2 3 4 2" xfId="41332"/>
    <cellStyle name="Separador de milhares 3 15 2 2 2 3 5" xfId="34946"/>
    <cellStyle name="Separador de milhares 3 15 2 2 2 4" xfId="5326"/>
    <cellStyle name="Separador de milhares 3 15 2 2 2 4 2" xfId="23961"/>
    <cellStyle name="Separador de milhares 3 15 2 2 2 4 2 2" xfId="50194"/>
    <cellStyle name="Separador de milhares 3 15 2 2 2 4 3" xfId="31571"/>
    <cellStyle name="Separador de milhares 3 15 2 2 2 5" xfId="18047"/>
    <cellStyle name="Separador de milhares 3 15 2 2 2 5 2" xfId="44286"/>
    <cellStyle name="Separador de milhares 3 15 2 2 2 6" xfId="11713"/>
    <cellStyle name="Separador de milhares 3 15 2 2 2 6 2" xfId="37955"/>
    <cellStyle name="Separador de milhares 3 15 2 2 2 7" xfId="29873"/>
    <cellStyle name="Separador de milhares 3 15 2 2 3" xfId="2568"/>
    <cellStyle name="Separador de milhares 3 15 2 2 3 2" xfId="7175"/>
    <cellStyle name="Separador de milhares 3 15 2 2 3 2 2" xfId="10319"/>
    <cellStyle name="Separador de milhares 3 15 2 2 3 2 2 2" xfId="28533"/>
    <cellStyle name="Separador de milhares 3 15 2 2 3 2 2 2 2" xfId="54763"/>
    <cellStyle name="Separador de milhares 3 15 2 2 3 2 2 3" xfId="22619"/>
    <cellStyle name="Separador de milhares 3 15 2 2 3 2 2 3 2" xfId="48855"/>
    <cellStyle name="Separador de milhares 3 15 2 2 3 2 2 4" xfId="16705"/>
    <cellStyle name="Separador de milhares 3 15 2 2 3 2 2 4 2" xfId="42947"/>
    <cellStyle name="Separador de milhares 3 15 2 2 3 2 2 5" xfId="36561"/>
    <cellStyle name="Separador de milhares 3 15 2 2 3 2 3" xfId="25576"/>
    <cellStyle name="Separador de milhares 3 15 2 2 3 2 3 2" xfId="51809"/>
    <cellStyle name="Separador de milhares 3 15 2 2 3 2 4" xfId="19662"/>
    <cellStyle name="Separador de milhares 3 15 2 2 3 2 4 2" xfId="45901"/>
    <cellStyle name="Separador de milhares 3 15 2 2 3 2 5" xfId="13564"/>
    <cellStyle name="Separador de milhares 3 15 2 2 3 2 5 2" xfId="39806"/>
    <cellStyle name="Separador de milhares 3 15 2 2 3 2 6" xfId="33420"/>
    <cellStyle name="Separador de milhares 3 15 2 2 3 3" xfId="8851"/>
    <cellStyle name="Separador de milhares 3 15 2 2 3 3 2" xfId="27065"/>
    <cellStyle name="Separador de milhares 3 15 2 2 3 3 2 2" xfId="53295"/>
    <cellStyle name="Separador de milhares 3 15 2 2 3 3 3" xfId="21151"/>
    <cellStyle name="Separador de milhares 3 15 2 2 3 3 3 2" xfId="47387"/>
    <cellStyle name="Separador de milhares 3 15 2 2 3 3 4" xfId="15237"/>
    <cellStyle name="Separador de milhares 3 15 2 2 3 3 4 2" xfId="41479"/>
    <cellStyle name="Separador de milhares 3 15 2 2 3 3 5" xfId="35093"/>
    <cellStyle name="Separador de milhares 3 15 2 2 3 4" xfId="5476"/>
    <cellStyle name="Separador de milhares 3 15 2 2 3 4 2" xfId="24108"/>
    <cellStyle name="Separador de milhares 3 15 2 2 3 4 2 2" xfId="50341"/>
    <cellStyle name="Separador de milhares 3 15 2 2 3 4 3" xfId="31721"/>
    <cellStyle name="Separador de milhares 3 15 2 2 3 5" xfId="18194"/>
    <cellStyle name="Separador de milhares 3 15 2 2 3 5 2" xfId="44433"/>
    <cellStyle name="Separador de milhares 3 15 2 2 3 6" xfId="11863"/>
    <cellStyle name="Separador de milhares 3 15 2 2 3 6 2" xfId="38105"/>
    <cellStyle name="Separador de milhares 3 15 2 2 3 7" xfId="30023"/>
    <cellStyle name="Separador de milhares 3 15 2 2 4" xfId="3095"/>
    <cellStyle name="Separador de milhares 3 15 2 2 4 2" xfId="7322"/>
    <cellStyle name="Separador de milhares 3 15 2 2 4 2 2" xfId="10466"/>
    <cellStyle name="Separador de milhares 3 15 2 2 4 2 2 2" xfId="28680"/>
    <cellStyle name="Separador de milhares 3 15 2 2 4 2 2 2 2" xfId="54910"/>
    <cellStyle name="Separador de milhares 3 15 2 2 4 2 2 3" xfId="22766"/>
    <cellStyle name="Separador de milhares 3 15 2 2 4 2 2 3 2" xfId="49002"/>
    <cellStyle name="Separador de milhares 3 15 2 2 4 2 2 4" xfId="16852"/>
    <cellStyle name="Separador de milhares 3 15 2 2 4 2 2 4 2" xfId="43094"/>
    <cellStyle name="Separador de milhares 3 15 2 2 4 2 2 5" xfId="36708"/>
    <cellStyle name="Separador de milhares 3 15 2 2 4 2 3" xfId="25723"/>
    <cellStyle name="Separador de milhares 3 15 2 2 4 2 3 2" xfId="51956"/>
    <cellStyle name="Separador de milhares 3 15 2 2 4 2 4" xfId="19809"/>
    <cellStyle name="Separador de milhares 3 15 2 2 4 2 4 2" xfId="46048"/>
    <cellStyle name="Separador de milhares 3 15 2 2 4 2 5" xfId="13711"/>
    <cellStyle name="Separador de milhares 3 15 2 2 4 2 5 2" xfId="39953"/>
    <cellStyle name="Separador de milhares 3 15 2 2 4 2 6" xfId="33567"/>
    <cellStyle name="Separador de milhares 3 15 2 2 4 3" xfId="8998"/>
    <cellStyle name="Separador de milhares 3 15 2 2 4 3 2" xfId="27212"/>
    <cellStyle name="Separador de milhares 3 15 2 2 4 3 2 2" xfId="53442"/>
    <cellStyle name="Separador de milhares 3 15 2 2 4 3 3" xfId="21298"/>
    <cellStyle name="Separador de milhares 3 15 2 2 4 3 3 2" xfId="47534"/>
    <cellStyle name="Separador de milhares 3 15 2 2 4 3 4" xfId="15384"/>
    <cellStyle name="Separador de milhares 3 15 2 2 4 3 4 2" xfId="41626"/>
    <cellStyle name="Separador de milhares 3 15 2 2 4 3 5" xfId="35240"/>
    <cellStyle name="Separador de milhares 3 15 2 2 4 4" xfId="5623"/>
    <cellStyle name="Separador de milhares 3 15 2 2 4 4 2" xfId="24255"/>
    <cellStyle name="Separador de milhares 3 15 2 2 4 4 2 2" xfId="50488"/>
    <cellStyle name="Separador de milhares 3 15 2 2 4 4 3" xfId="31868"/>
    <cellStyle name="Separador de milhares 3 15 2 2 4 5" xfId="18341"/>
    <cellStyle name="Separador de milhares 3 15 2 2 4 5 2" xfId="44580"/>
    <cellStyle name="Separador de milhares 3 15 2 2 4 6" xfId="12010"/>
    <cellStyle name="Separador de milhares 3 15 2 2 4 6 2" xfId="38252"/>
    <cellStyle name="Separador de milhares 3 15 2 2 4 7" xfId="30170"/>
    <cellStyle name="Separador de milhares 3 15 2 2 5" xfId="3622"/>
    <cellStyle name="Separador de milhares 3 15 2 2 5 2" xfId="7469"/>
    <cellStyle name="Separador de milhares 3 15 2 2 5 2 2" xfId="10613"/>
    <cellStyle name="Separador de milhares 3 15 2 2 5 2 2 2" xfId="28827"/>
    <cellStyle name="Separador de milhares 3 15 2 2 5 2 2 2 2" xfId="55057"/>
    <cellStyle name="Separador de milhares 3 15 2 2 5 2 2 3" xfId="22913"/>
    <cellStyle name="Separador de milhares 3 15 2 2 5 2 2 3 2" xfId="49149"/>
    <cellStyle name="Separador de milhares 3 15 2 2 5 2 2 4" xfId="16999"/>
    <cellStyle name="Separador de milhares 3 15 2 2 5 2 2 4 2" xfId="43241"/>
    <cellStyle name="Separador de milhares 3 15 2 2 5 2 2 5" xfId="36855"/>
    <cellStyle name="Separador de milhares 3 15 2 2 5 2 3" xfId="25870"/>
    <cellStyle name="Separador de milhares 3 15 2 2 5 2 3 2" xfId="52103"/>
    <cellStyle name="Separador de milhares 3 15 2 2 5 2 4" xfId="19956"/>
    <cellStyle name="Separador de milhares 3 15 2 2 5 2 4 2" xfId="46195"/>
    <cellStyle name="Separador de milhares 3 15 2 2 5 2 5" xfId="13858"/>
    <cellStyle name="Separador de milhares 3 15 2 2 5 2 5 2" xfId="40100"/>
    <cellStyle name="Separador de milhares 3 15 2 2 5 2 6" xfId="33714"/>
    <cellStyle name="Separador de milhares 3 15 2 2 5 3" xfId="9145"/>
    <cellStyle name="Separador de milhares 3 15 2 2 5 3 2" xfId="27359"/>
    <cellStyle name="Separador de milhares 3 15 2 2 5 3 2 2" xfId="53589"/>
    <cellStyle name="Separador de milhares 3 15 2 2 5 3 3" xfId="21445"/>
    <cellStyle name="Separador de milhares 3 15 2 2 5 3 3 2" xfId="47681"/>
    <cellStyle name="Separador de milhares 3 15 2 2 5 3 4" xfId="15531"/>
    <cellStyle name="Separador de milhares 3 15 2 2 5 3 4 2" xfId="41773"/>
    <cellStyle name="Separador de milhares 3 15 2 2 5 3 5" xfId="35387"/>
    <cellStyle name="Separador de milhares 3 15 2 2 5 4" xfId="5770"/>
    <cellStyle name="Separador de milhares 3 15 2 2 5 4 2" xfId="24402"/>
    <cellStyle name="Separador de milhares 3 15 2 2 5 4 2 2" xfId="50635"/>
    <cellStyle name="Separador de milhares 3 15 2 2 5 4 3" xfId="32015"/>
    <cellStyle name="Separador de milhares 3 15 2 2 5 5" xfId="18488"/>
    <cellStyle name="Separador de milhares 3 15 2 2 5 5 2" xfId="44727"/>
    <cellStyle name="Separador de milhares 3 15 2 2 5 6" xfId="12157"/>
    <cellStyle name="Separador de milhares 3 15 2 2 5 6 2" xfId="38399"/>
    <cellStyle name="Separador de milhares 3 15 2 2 5 7" xfId="30317"/>
    <cellStyle name="Separador de milhares 3 15 2 2 6" xfId="4149"/>
    <cellStyle name="Separador de milhares 3 15 2 2 6 2" xfId="7616"/>
    <cellStyle name="Separador de milhares 3 15 2 2 6 2 2" xfId="10760"/>
    <cellStyle name="Separador de milhares 3 15 2 2 6 2 2 2" xfId="28974"/>
    <cellStyle name="Separador de milhares 3 15 2 2 6 2 2 2 2" xfId="55204"/>
    <cellStyle name="Separador de milhares 3 15 2 2 6 2 2 3" xfId="23060"/>
    <cellStyle name="Separador de milhares 3 15 2 2 6 2 2 3 2" xfId="49296"/>
    <cellStyle name="Separador de milhares 3 15 2 2 6 2 2 4" xfId="17146"/>
    <cellStyle name="Separador de milhares 3 15 2 2 6 2 2 4 2" xfId="43388"/>
    <cellStyle name="Separador de milhares 3 15 2 2 6 2 2 5" xfId="37002"/>
    <cellStyle name="Separador de milhares 3 15 2 2 6 2 3" xfId="26017"/>
    <cellStyle name="Separador de milhares 3 15 2 2 6 2 3 2" xfId="52250"/>
    <cellStyle name="Separador de milhares 3 15 2 2 6 2 4" xfId="20103"/>
    <cellStyle name="Separador de milhares 3 15 2 2 6 2 4 2" xfId="46342"/>
    <cellStyle name="Separador de milhares 3 15 2 2 6 2 5" xfId="14005"/>
    <cellStyle name="Separador de milhares 3 15 2 2 6 2 5 2" xfId="40247"/>
    <cellStyle name="Separador de milhares 3 15 2 2 6 2 6" xfId="33861"/>
    <cellStyle name="Separador de milhares 3 15 2 2 6 3" xfId="9292"/>
    <cellStyle name="Separador de milhares 3 15 2 2 6 3 2" xfId="27506"/>
    <cellStyle name="Separador de milhares 3 15 2 2 6 3 2 2" xfId="53736"/>
    <cellStyle name="Separador de milhares 3 15 2 2 6 3 3" xfId="21592"/>
    <cellStyle name="Separador de milhares 3 15 2 2 6 3 3 2" xfId="47828"/>
    <cellStyle name="Separador de milhares 3 15 2 2 6 3 4" xfId="15678"/>
    <cellStyle name="Separador de milhares 3 15 2 2 6 3 4 2" xfId="41920"/>
    <cellStyle name="Separador de milhares 3 15 2 2 6 3 5" xfId="35534"/>
    <cellStyle name="Separador de milhares 3 15 2 2 6 4" xfId="5917"/>
    <cellStyle name="Separador de milhares 3 15 2 2 6 4 2" xfId="24549"/>
    <cellStyle name="Separador de milhares 3 15 2 2 6 4 2 2" xfId="50782"/>
    <cellStyle name="Separador de milhares 3 15 2 2 6 4 3" xfId="32162"/>
    <cellStyle name="Separador de milhares 3 15 2 2 6 5" xfId="18635"/>
    <cellStyle name="Separador de milhares 3 15 2 2 6 5 2" xfId="44874"/>
    <cellStyle name="Separador de milhares 3 15 2 2 6 6" xfId="12304"/>
    <cellStyle name="Separador de milhares 3 15 2 2 6 6 2" xfId="38546"/>
    <cellStyle name="Separador de milhares 3 15 2 2 6 7" xfId="30464"/>
    <cellStyle name="Separador de milhares 3 15 2 2 7" xfId="6587"/>
    <cellStyle name="Separador de milhares 3 15 2 2 7 2" xfId="9734"/>
    <cellStyle name="Separador de milhares 3 15 2 2 7 2 2" xfId="27948"/>
    <cellStyle name="Separador de milhares 3 15 2 2 7 2 2 2" xfId="54178"/>
    <cellStyle name="Separador de milhares 3 15 2 2 7 2 3" xfId="22034"/>
    <cellStyle name="Separador de milhares 3 15 2 2 7 2 3 2" xfId="48270"/>
    <cellStyle name="Separador de milhares 3 15 2 2 7 2 4" xfId="16120"/>
    <cellStyle name="Separador de milhares 3 15 2 2 7 2 4 2" xfId="42362"/>
    <cellStyle name="Separador de milhares 3 15 2 2 7 2 5" xfId="35976"/>
    <cellStyle name="Separador de milhares 3 15 2 2 7 3" xfId="24991"/>
    <cellStyle name="Separador de milhares 3 15 2 2 7 3 2" xfId="51224"/>
    <cellStyle name="Separador de milhares 3 15 2 2 7 4" xfId="19077"/>
    <cellStyle name="Separador de milhares 3 15 2 2 7 4 2" xfId="45316"/>
    <cellStyle name="Separador de milhares 3 15 2 2 7 5" xfId="12976"/>
    <cellStyle name="Separador de milhares 3 15 2 2 7 5 2" xfId="39218"/>
    <cellStyle name="Separador de milhares 3 15 2 2 7 6" xfId="32832"/>
    <cellStyle name="Separador de milhares 3 15 2 2 8" xfId="8263"/>
    <cellStyle name="Separador de milhares 3 15 2 2 8 2" xfId="26477"/>
    <cellStyle name="Separador de milhares 3 15 2 2 8 2 2" xfId="52710"/>
    <cellStyle name="Separador de milhares 3 15 2 2 8 3" xfId="20563"/>
    <cellStyle name="Separador de milhares 3 15 2 2 8 3 2" xfId="46802"/>
    <cellStyle name="Separador de milhares 3 15 2 2 8 4" xfId="14652"/>
    <cellStyle name="Separador de milhares 3 15 2 2 8 4 2" xfId="40894"/>
    <cellStyle name="Separador de milhares 3 15 2 2 8 5" xfId="34508"/>
    <cellStyle name="Separador de milhares 3 15 2 2 9" xfId="4886"/>
    <cellStyle name="Separador de milhares 3 15 2 2 9 2" xfId="23520"/>
    <cellStyle name="Separador de milhares 3 15 2 2 9 2 2" xfId="49756"/>
    <cellStyle name="Separador de milhares 3 15 2 2 9 3" xfId="31133"/>
    <cellStyle name="Separador de milhares 3 15 2 3" xfId="992"/>
    <cellStyle name="Separador de milhares 3 15 2 3 2" xfId="6738"/>
    <cellStyle name="Separador de milhares 3 15 2 3 2 2" xfId="9885"/>
    <cellStyle name="Separador de milhares 3 15 2 3 2 2 2" xfId="28099"/>
    <cellStyle name="Separador de milhares 3 15 2 3 2 2 2 2" xfId="54329"/>
    <cellStyle name="Separador de milhares 3 15 2 3 2 2 3" xfId="22185"/>
    <cellStyle name="Separador de milhares 3 15 2 3 2 2 3 2" xfId="48421"/>
    <cellStyle name="Separador de milhares 3 15 2 3 2 2 4" xfId="16271"/>
    <cellStyle name="Separador de milhares 3 15 2 3 2 2 4 2" xfId="42513"/>
    <cellStyle name="Separador de milhares 3 15 2 3 2 2 5" xfId="36127"/>
    <cellStyle name="Separador de milhares 3 15 2 3 2 3" xfId="25142"/>
    <cellStyle name="Separador de milhares 3 15 2 3 2 3 2" xfId="51375"/>
    <cellStyle name="Separador de milhares 3 15 2 3 2 4" xfId="19228"/>
    <cellStyle name="Separador de milhares 3 15 2 3 2 4 2" xfId="45467"/>
    <cellStyle name="Separador de milhares 3 15 2 3 2 5" xfId="13127"/>
    <cellStyle name="Separador de milhares 3 15 2 3 2 5 2" xfId="39369"/>
    <cellStyle name="Separador de milhares 3 15 2 3 2 6" xfId="32983"/>
    <cellStyle name="Separador de milhares 3 15 2 3 3" xfId="8417"/>
    <cellStyle name="Separador de milhares 3 15 2 3 3 2" xfId="26631"/>
    <cellStyle name="Separador de milhares 3 15 2 3 3 2 2" xfId="52861"/>
    <cellStyle name="Separador de milhares 3 15 2 3 3 3" xfId="20717"/>
    <cellStyle name="Separador de milhares 3 15 2 3 3 3 2" xfId="46953"/>
    <cellStyle name="Separador de milhares 3 15 2 3 3 4" xfId="14803"/>
    <cellStyle name="Separador de milhares 3 15 2 3 3 4 2" xfId="41045"/>
    <cellStyle name="Separador de milhares 3 15 2 3 3 5" xfId="34659"/>
    <cellStyle name="Separador de milhares 3 15 2 3 4" xfId="5039"/>
    <cellStyle name="Separador de milhares 3 15 2 3 4 2" xfId="23674"/>
    <cellStyle name="Separador de milhares 3 15 2 3 4 2 2" xfId="49907"/>
    <cellStyle name="Separador de milhares 3 15 2 3 4 3" xfId="31284"/>
    <cellStyle name="Separador de milhares 3 15 2 3 5" xfId="17760"/>
    <cellStyle name="Separador de milhares 3 15 2 3 5 2" xfId="43999"/>
    <cellStyle name="Separador de milhares 3 15 2 3 6" xfId="11426"/>
    <cellStyle name="Separador de milhares 3 15 2 3 6 2" xfId="37668"/>
    <cellStyle name="Separador de milhares 3 15 2 3 7" xfId="29586"/>
    <cellStyle name="Separador de milhares 3 15 2 4" xfId="1343"/>
    <cellStyle name="Separador de milhares 3 15 2 4 2" xfId="6836"/>
    <cellStyle name="Separador de milhares 3 15 2 4 2 2" xfId="9983"/>
    <cellStyle name="Separador de milhares 3 15 2 4 2 2 2" xfId="28197"/>
    <cellStyle name="Separador de milhares 3 15 2 4 2 2 2 2" xfId="54427"/>
    <cellStyle name="Separador de milhares 3 15 2 4 2 2 3" xfId="22283"/>
    <cellStyle name="Separador de milhares 3 15 2 4 2 2 3 2" xfId="48519"/>
    <cellStyle name="Separador de milhares 3 15 2 4 2 2 4" xfId="16369"/>
    <cellStyle name="Separador de milhares 3 15 2 4 2 2 4 2" xfId="42611"/>
    <cellStyle name="Separador de milhares 3 15 2 4 2 2 5" xfId="36225"/>
    <cellStyle name="Separador de milhares 3 15 2 4 2 3" xfId="25240"/>
    <cellStyle name="Separador de milhares 3 15 2 4 2 3 2" xfId="51473"/>
    <cellStyle name="Separador de milhares 3 15 2 4 2 4" xfId="19326"/>
    <cellStyle name="Separador de milhares 3 15 2 4 2 4 2" xfId="45565"/>
    <cellStyle name="Separador de milhares 3 15 2 4 2 5" xfId="13225"/>
    <cellStyle name="Separador de milhares 3 15 2 4 2 5 2" xfId="39467"/>
    <cellStyle name="Separador de milhares 3 15 2 4 2 6" xfId="33081"/>
    <cellStyle name="Separador de milhares 3 15 2 4 3" xfId="8515"/>
    <cellStyle name="Separador de milhares 3 15 2 4 3 2" xfId="26729"/>
    <cellStyle name="Separador de milhares 3 15 2 4 3 2 2" xfId="52959"/>
    <cellStyle name="Separador de milhares 3 15 2 4 3 3" xfId="20815"/>
    <cellStyle name="Separador de milhares 3 15 2 4 3 3 2" xfId="47051"/>
    <cellStyle name="Separador de milhares 3 15 2 4 3 4" xfId="14901"/>
    <cellStyle name="Separador de milhares 3 15 2 4 3 4 2" xfId="41143"/>
    <cellStyle name="Separador de milhares 3 15 2 4 3 5" xfId="34757"/>
    <cellStyle name="Separador de milhares 3 15 2 4 4" xfId="5137"/>
    <cellStyle name="Separador de milhares 3 15 2 4 4 2" xfId="23772"/>
    <cellStyle name="Separador de milhares 3 15 2 4 4 2 2" xfId="50005"/>
    <cellStyle name="Separador de milhares 3 15 2 4 4 3" xfId="31382"/>
    <cellStyle name="Separador de milhares 3 15 2 4 5" xfId="17858"/>
    <cellStyle name="Separador de milhares 3 15 2 4 5 2" xfId="44097"/>
    <cellStyle name="Separador de milhares 3 15 2 4 6" xfId="11524"/>
    <cellStyle name="Separador de milhares 3 15 2 4 6 2" xfId="37766"/>
    <cellStyle name="Separador de milhares 3 15 2 4 7" xfId="29684"/>
    <cellStyle name="Separador de milhares 3 15 2 5" xfId="1778"/>
    <cellStyle name="Separador de milhares 3 15 2 5 2" xfId="6955"/>
    <cellStyle name="Separador de milhares 3 15 2 5 2 2" xfId="10102"/>
    <cellStyle name="Separador de milhares 3 15 2 5 2 2 2" xfId="28316"/>
    <cellStyle name="Separador de milhares 3 15 2 5 2 2 2 2" xfId="54546"/>
    <cellStyle name="Separador de milhares 3 15 2 5 2 2 3" xfId="22402"/>
    <cellStyle name="Separador de milhares 3 15 2 5 2 2 3 2" xfId="48638"/>
    <cellStyle name="Separador de milhares 3 15 2 5 2 2 4" xfId="16488"/>
    <cellStyle name="Separador de milhares 3 15 2 5 2 2 4 2" xfId="42730"/>
    <cellStyle name="Separador de milhares 3 15 2 5 2 2 5" xfId="36344"/>
    <cellStyle name="Separador de milhares 3 15 2 5 2 3" xfId="25359"/>
    <cellStyle name="Separador de milhares 3 15 2 5 2 3 2" xfId="51592"/>
    <cellStyle name="Separador de milhares 3 15 2 5 2 4" xfId="19445"/>
    <cellStyle name="Separador de milhares 3 15 2 5 2 4 2" xfId="45684"/>
    <cellStyle name="Separador de milhares 3 15 2 5 2 5" xfId="13344"/>
    <cellStyle name="Separador de milhares 3 15 2 5 2 5 2" xfId="39586"/>
    <cellStyle name="Separador de milhares 3 15 2 5 2 6" xfId="33200"/>
    <cellStyle name="Separador de milhares 3 15 2 5 3" xfId="8634"/>
    <cellStyle name="Separador de milhares 3 15 2 5 3 2" xfId="26848"/>
    <cellStyle name="Separador de milhares 3 15 2 5 3 2 2" xfId="53078"/>
    <cellStyle name="Separador de milhares 3 15 2 5 3 3" xfId="20934"/>
    <cellStyle name="Separador de milhares 3 15 2 5 3 3 2" xfId="47170"/>
    <cellStyle name="Separador de milhares 3 15 2 5 3 4" xfId="15020"/>
    <cellStyle name="Separador de milhares 3 15 2 5 3 4 2" xfId="41262"/>
    <cellStyle name="Separador de milhares 3 15 2 5 3 5" xfId="34876"/>
    <cellStyle name="Separador de milhares 3 15 2 5 4" xfId="5256"/>
    <cellStyle name="Separador de milhares 3 15 2 5 4 2" xfId="23891"/>
    <cellStyle name="Separador de milhares 3 15 2 5 4 2 2" xfId="50124"/>
    <cellStyle name="Separador de milhares 3 15 2 5 4 3" xfId="31501"/>
    <cellStyle name="Separador de milhares 3 15 2 5 5" xfId="17977"/>
    <cellStyle name="Separador de milhares 3 15 2 5 5 2" xfId="44216"/>
    <cellStyle name="Separador de milhares 3 15 2 5 6" xfId="11643"/>
    <cellStyle name="Separador de milhares 3 15 2 5 6 2" xfId="37885"/>
    <cellStyle name="Separador de milhares 3 15 2 5 7" xfId="29803"/>
    <cellStyle name="Separador de milhares 3 15 2 6" xfId="2308"/>
    <cellStyle name="Separador de milhares 3 15 2 6 2" xfId="7105"/>
    <cellStyle name="Separador de milhares 3 15 2 6 2 2" xfId="10249"/>
    <cellStyle name="Separador de milhares 3 15 2 6 2 2 2" xfId="28463"/>
    <cellStyle name="Separador de milhares 3 15 2 6 2 2 2 2" xfId="54693"/>
    <cellStyle name="Separador de milhares 3 15 2 6 2 2 3" xfId="22549"/>
    <cellStyle name="Separador de milhares 3 15 2 6 2 2 3 2" xfId="48785"/>
    <cellStyle name="Separador de milhares 3 15 2 6 2 2 4" xfId="16635"/>
    <cellStyle name="Separador de milhares 3 15 2 6 2 2 4 2" xfId="42877"/>
    <cellStyle name="Separador de milhares 3 15 2 6 2 2 5" xfId="36491"/>
    <cellStyle name="Separador de milhares 3 15 2 6 2 3" xfId="25506"/>
    <cellStyle name="Separador de milhares 3 15 2 6 2 3 2" xfId="51739"/>
    <cellStyle name="Separador de milhares 3 15 2 6 2 4" xfId="19592"/>
    <cellStyle name="Separador de milhares 3 15 2 6 2 4 2" xfId="45831"/>
    <cellStyle name="Separador de milhares 3 15 2 6 2 5" xfId="13494"/>
    <cellStyle name="Separador de milhares 3 15 2 6 2 5 2" xfId="39736"/>
    <cellStyle name="Separador de milhares 3 15 2 6 2 6" xfId="33350"/>
    <cellStyle name="Separador de milhares 3 15 2 6 3" xfId="8781"/>
    <cellStyle name="Separador de milhares 3 15 2 6 3 2" xfId="26995"/>
    <cellStyle name="Separador de milhares 3 15 2 6 3 2 2" xfId="53225"/>
    <cellStyle name="Separador de milhares 3 15 2 6 3 3" xfId="21081"/>
    <cellStyle name="Separador de milhares 3 15 2 6 3 3 2" xfId="47317"/>
    <cellStyle name="Separador de milhares 3 15 2 6 3 4" xfId="15167"/>
    <cellStyle name="Separador de milhares 3 15 2 6 3 4 2" xfId="41409"/>
    <cellStyle name="Separador de milhares 3 15 2 6 3 5" xfId="35023"/>
    <cellStyle name="Separador de milhares 3 15 2 6 4" xfId="5406"/>
    <cellStyle name="Separador de milhares 3 15 2 6 4 2" xfId="24038"/>
    <cellStyle name="Separador de milhares 3 15 2 6 4 2 2" xfId="50271"/>
    <cellStyle name="Separador de milhares 3 15 2 6 4 3" xfId="31651"/>
    <cellStyle name="Separador de milhares 3 15 2 6 5" xfId="18124"/>
    <cellStyle name="Separador de milhares 3 15 2 6 5 2" xfId="44363"/>
    <cellStyle name="Separador de milhares 3 15 2 6 6" xfId="11793"/>
    <cellStyle name="Separador de milhares 3 15 2 6 6 2" xfId="38035"/>
    <cellStyle name="Separador de milhares 3 15 2 6 7" xfId="29953"/>
    <cellStyle name="Separador de milhares 3 15 2 7" xfId="2835"/>
    <cellStyle name="Separador de milhares 3 15 2 7 2" xfId="7252"/>
    <cellStyle name="Separador de milhares 3 15 2 7 2 2" xfId="10396"/>
    <cellStyle name="Separador de milhares 3 15 2 7 2 2 2" xfId="28610"/>
    <cellStyle name="Separador de milhares 3 15 2 7 2 2 2 2" xfId="54840"/>
    <cellStyle name="Separador de milhares 3 15 2 7 2 2 3" xfId="22696"/>
    <cellStyle name="Separador de milhares 3 15 2 7 2 2 3 2" xfId="48932"/>
    <cellStyle name="Separador de milhares 3 15 2 7 2 2 4" xfId="16782"/>
    <cellStyle name="Separador de milhares 3 15 2 7 2 2 4 2" xfId="43024"/>
    <cellStyle name="Separador de milhares 3 15 2 7 2 2 5" xfId="36638"/>
    <cellStyle name="Separador de milhares 3 15 2 7 2 3" xfId="25653"/>
    <cellStyle name="Separador de milhares 3 15 2 7 2 3 2" xfId="51886"/>
    <cellStyle name="Separador de milhares 3 15 2 7 2 4" xfId="19739"/>
    <cellStyle name="Separador de milhares 3 15 2 7 2 4 2" xfId="45978"/>
    <cellStyle name="Separador de milhares 3 15 2 7 2 5" xfId="13641"/>
    <cellStyle name="Separador de milhares 3 15 2 7 2 5 2" xfId="39883"/>
    <cellStyle name="Separador de milhares 3 15 2 7 2 6" xfId="33497"/>
    <cellStyle name="Separador de milhares 3 15 2 7 3" xfId="8928"/>
    <cellStyle name="Separador de milhares 3 15 2 7 3 2" xfId="27142"/>
    <cellStyle name="Separador de milhares 3 15 2 7 3 2 2" xfId="53372"/>
    <cellStyle name="Separador de milhares 3 15 2 7 3 3" xfId="21228"/>
    <cellStyle name="Separador de milhares 3 15 2 7 3 3 2" xfId="47464"/>
    <cellStyle name="Separador de milhares 3 15 2 7 3 4" xfId="15314"/>
    <cellStyle name="Separador de milhares 3 15 2 7 3 4 2" xfId="41556"/>
    <cellStyle name="Separador de milhares 3 15 2 7 3 5" xfId="35170"/>
    <cellStyle name="Separador de milhares 3 15 2 7 4" xfId="5553"/>
    <cellStyle name="Separador de milhares 3 15 2 7 4 2" xfId="24185"/>
    <cellStyle name="Separador de milhares 3 15 2 7 4 2 2" xfId="50418"/>
    <cellStyle name="Separador de milhares 3 15 2 7 4 3" xfId="31798"/>
    <cellStyle name="Separador de milhares 3 15 2 7 5" xfId="18271"/>
    <cellStyle name="Separador de milhares 3 15 2 7 5 2" xfId="44510"/>
    <cellStyle name="Separador de milhares 3 15 2 7 6" xfId="11940"/>
    <cellStyle name="Separador de milhares 3 15 2 7 6 2" xfId="38182"/>
    <cellStyle name="Separador de milhares 3 15 2 7 7" xfId="30100"/>
    <cellStyle name="Separador de milhares 3 15 2 8" xfId="3362"/>
    <cellStyle name="Separador de milhares 3 15 2 8 2" xfId="7399"/>
    <cellStyle name="Separador de milhares 3 15 2 8 2 2" xfId="10543"/>
    <cellStyle name="Separador de milhares 3 15 2 8 2 2 2" xfId="28757"/>
    <cellStyle name="Separador de milhares 3 15 2 8 2 2 2 2" xfId="54987"/>
    <cellStyle name="Separador de milhares 3 15 2 8 2 2 3" xfId="22843"/>
    <cellStyle name="Separador de milhares 3 15 2 8 2 2 3 2" xfId="49079"/>
    <cellStyle name="Separador de milhares 3 15 2 8 2 2 4" xfId="16929"/>
    <cellStyle name="Separador de milhares 3 15 2 8 2 2 4 2" xfId="43171"/>
    <cellStyle name="Separador de milhares 3 15 2 8 2 2 5" xfId="36785"/>
    <cellStyle name="Separador de milhares 3 15 2 8 2 3" xfId="25800"/>
    <cellStyle name="Separador de milhares 3 15 2 8 2 3 2" xfId="52033"/>
    <cellStyle name="Separador de milhares 3 15 2 8 2 4" xfId="19886"/>
    <cellStyle name="Separador de milhares 3 15 2 8 2 4 2" xfId="46125"/>
    <cellStyle name="Separador de milhares 3 15 2 8 2 5" xfId="13788"/>
    <cellStyle name="Separador de milhares 3 15 2 8 2 5 2" xfId="40030"/>
    <cellStyle name="Separador de milhares 3 15 2 8 2 6" xfId="33644"/>
    <cellStyle name="Separador de milhares 3 15 2 8 3" xfId="9075"/>
    <cellStyle name="Separador de milhares 3 15 2 8 3 2" xfId="27289"/>
    <cellStyle name="Separador de milhares 3 15 2 8 3 2 2" xfId="53519"/>
    <cellStyle name="Separador de milhares 3 15 2 8 3 3" xfId="21375"/>
    <cellStyle name="Separador de milhares 3 15 2 8 3 3 2" xfId="47611"/>
    <cellStyle name="Separador de milhares 3 15 2 8 3 4" xfId="15461"/>
    <cellStyle name="Separador de milhares 3 15 2 8 3 4 2" xfId="41703"/>
    <cellStyle name="Separador de milhares 3 15 2 8 3 5" xfId="35317"/>
    <cellStyle name="Separador de milhares 3 15 2 8 4" xfId="5700"/>
    <cellStyle name="Separador de milhares 3 15 2 8 4 2" xfId="24332"/>
    <cellStyle name="Separador de milhares 3 15 2 8 4 2 2" xfId="50565"/>
    <cellStyle name="Separador de milhares 3 15 2 8 4 3" xfId="31945"/>
    <cellStyle name="Separador de milhares 3 15 2 8 5" xfId="18418"/>
    <cellStyle name="Separador de milhares 3 15 2 8 5 2" xfId="44657"/>
    <cellStyle name="Separador de milhares 3 15 2 8 6" xfId="12087"/>
    <cellStyle name="Separador de milhares 3 15 2 8 6 2" xfId="38329"/>
    <cellStyle name="Separador de milhares 3 15 2 8 7" xfId="30247"/>
    <cellStyle name="Separador de milhares 3 15 2 9" xfId="3889"/>
    <cellStyle name="Separador de milhares 3 15 2 9 2" xfId="7546"/>
    <cellStyle name="Separador de milhares 3 15 2 9 2 2" xfId="10690"/>
    <cellStyle name="Separador de milhares 3 15 2 9 2 2 2" xfId="28904"/>
    <cellStyle name="Separador de milhares 3 15 2 9 2 2 2 2" xfId="55134"/>
    <cellStyle name="Separador de milhares 3 15 2 9 2 2 3" xfId="22990"/>
    <cellStyle name="Separador de milhares 3 15 2 9 2 2 3 2" xfId="49226"/>
    <cellStyle name="Separador de milhares 3 15 2 9 2 2 4" xfId="17076"/>
    <cellStyle name="Separador de milhares 3 15 2 9 2 2 4 2" xfId="43318"/>
    <cellStyle name="Separador de milhares 3 15 2 9 2 2 5" xfId="36932"/>
    <cellStyle name="Separador de milhares 3 15 2 9 2 3" xfId="25947"/>
    <cellStyle name="Separador de milhares 3 15 2 9 2 3 2" xfId="52180"/>
    <cellStyle name="Separador de milhares 3 15 2 9 2 4" xfId="20033"/>
    <cellStyle name="Separador de milhares 3 15 2 9 2 4 2" xfId="46272"/>
    <cellStyle name="Separador de milhares 3 15 2 9 2 5" xfId="13935"/>
    <cellStyle name="Separador de milhares 3 15 2 9 2 5 2" xfId="40177"/>
    <cellStyle name="Separador de milhares 3 15 2 9 2 6" xfId="33791"/>
    <cellStyle name="Separador de milhares 3 15 2 9 3" xfId="9222"/>
    <cellStyle name="Separador de milhares 3 15 2 9 3 2" xfId="27436"/>
    <cellStyle name="Separador de milhares 3 15 2 9 3 2 2" xfId="53666"/>
    <cellStyle name="Separador de milhares 3 15 2 9 3 3" xfId="21522"/>
    <cellStyle name="Separador de milhares 3 15 2 9 3 3 2" xfId="47758"/>
    <cellStyle name="Separador de milhares 3 15 2 9 3 4" xfId="15608"/>
    <cellStyle name="Separador de milhares 3 15 2 9 3 4 2" xfId="41850"/>
    <cellStyle name="Separador de milhares 3 15 2 9 3 5" xfId="35464"/>
    <cellStyle name="Separador de milhares 3 15 2 9 4" xfId="5847"/>
    <cellStyle name="Separador de milhares 3 15 2 9 4 2" xfId="24479"/>
    <cellStyle name="Separador de milhares 3 15 2 9 4 2 2" xfId="50712"/>
    <cellStyle name="Separador de milhares 3 15 2 9 4 3" xfId="32092"/>
    <cellStyle name="Separador de milhares 3 15 2 9 5" xfId="18565"/>
    <cellStyle name="Separador de milhares 3 15 2 9 5 2" xfId="44804"/>
    <cellStyle name="Separador de milhares 3 15 2 9 6" xfId="12234"/>
    <cellStyle name="Separador de milhares 3 15 2 9 6 2" xfId="38476"/>
    <cellStyle name="Separador de milhares 3 15 2 9 7" xfId="30394"/>
    <cellStyle name="Separador de milhares 3 15 3" xfId="341"/>
    <cellStyle name="Separador de milhares 3 15 3 10" xfId="6537"/>
    <cellStyle name="Separador de milhares 3 15 3 10 2" xfId="9688"/>
    <cellStyle name="Separador de milhares 3 15 3 10 2 2" xfId="27902"/>
    <cellStyle name="Separador de milhares 3 15 3 10 2 2 2" xfId="54132"/>
    <cellStyle name="Separador de milhares 3 15 3 10 2 3" xfId="21988"/>
    <cellStyle name="Separador de milhares 3 15 3 10 2 3 2" xfId="48224"/>
    <cellStyle name="Separador de milhares 3 15 3 10 2 4" xfId="16074"/>
    <cellStyle name="Separador de milhares 3 15 3 10 2 4 2" xfId="42316"/>
    <cellStyle name="Separador de milhares 3 15 3 10 2 5" xfId="35930"/>
    <cellStyle name="Separador de milhares 3 15 3 10 3" xfId="24945"/>
    <cellStyle name="Separador de milhares 3 15 3 10 3 2" xfId="51178"/>
    <cellStyle name="Separador de milhares 3 15 3 10 4" xfId="19031"/>
    <cellStyle name="Separador de milhares 3 15 3 10 4 2" xfId="45270"/>
    <cellStyle name="Separador de milhares 3 15 3 10 5" xfId="12926"/>
    <cellStyle name="Separador de milhares 3 15 3 10 5 2" xfId="39168"/>
    <cellStyle name="Separador de milhares 3 15 3 10 6" xfId="32782"/>
    <cellStyle name="Separador de milhares 3 15 3 11" xfId="8217"/>
    <cellStyle name="Separador de milhares 3 15 3 11 2" xfId="26431"/>
    <cellStyle name="Separador de milhares 3 15 3 11 2 2" xfId="52664"/>
    <cellStyle name="Separador de milhares 3 15 3 11 3" xfId="20517"/>
    <cellStyle name="Separador de milhares 3 15 3 11 3 2" xfId="46756"/>
    <cellStyle name="Separador de milhares 3 15 3 11 4" xfId="14606"/>
    <cellStyle name="Separador de milhares 3 15 3 11 4 2" xfId="40848"/>
    <cellStyle name="Separador de milhares 3 15 3 11 5" xfId="34462"/>
    <cellStyle name="Separador de milhares 3 15 3 12" xfId="4836"/>
    <cellStyle name="Separador de milhares 3 15 3 12 2" xfId="23474"/>
    <cellStyle name="Separador de milhares 3 15 3 12 2 2" xfId="49710"/>
    <cellStyle name="Separador de milhares 3 15 3 12 3" xfId="31083"/>
    <cellStyle name="Separador de milhares 3 15 3 13" xfId="17560"/>
    <cellStyle name="Separador de milhares 3 15 3 13 2" xfId="43802"/>
    <cellStyle name="Separador de milhares 3 15 3 14" xfId="11225"/>
    <cellStyle name="Separador de milhares 3 15 3 14 2" xfId="37467"/>
    <cellStyle name="Separador de milhares 3 15 3 15" xfId="29385"/>
    <cellStyle name="Separador de milhares 3 15 3 2" xfId="604"/>
    <cellStyle name="Separador de milhares 3 15 3 2 2" xfId="6608"/>
    <cellStyle name="Separador de milhares 3 15 3 2 2 2" xfId="9755"/>
    <cellStyle name="Separador de milhares 3 15 3 2 2 2 2" xfId="27969"/>
    <cellStyle name="Separador de milhares 3 15 3 2 2 2 2 2" xfId="54199"/>
    <cellStyle name="Separador de milhares 3 15 3 2 2 2 3" xfId="22055"/>
    <cellStyle name="Separador de milhares 3 15 3 2 2 2 3 2" xfId="48291"/>
    <cellStyle name="Separador de milhares 3 15 3 2 2 2 4" xfId="16141"/>
    <cellStyle name="Separador de milhares 3 15 3 2 2 2 4 2" xfId="42383"/>
    <cellStyle name="Separador de milhares 3 15 3 2 2 2 5" xfId="35997"/>
    <cellStyle name="Separador de milhares 3 15 3 2 2 3" xfId="25012"/>
    <cellStyle name="Separador de milhares 3 15 3 2 2 3 2" xfId="51245"/>
    <cellStyle name="Separador de milhares 3 15 3 2 2 4" xfId="19098"/>
    <cellStyle name="Separador de milhares 3 15 3 2 2 4 2" xfId="45337"/>
    <cellStyle name="Separador de milhares 3 15 3 2 2 5" xfId="12997"/>
    <cellStyle name="Separador de milhares 3 15 3 2 2 5 2" xfId="39239"/>
    <cellStyle name="Separador de milhares 3 15 3 2 2 6" xfId="32853"/>
    <cellStyle name="Separador de milhares 3 15 3 2 3" xfId="8284"/>
    <cellStyle name="Separador de milhares 3 15 3 2 3 2" xfId="26498"/>
    <cellStyle name="Separador de milhares 3 15 3 2 3 2 2" xfId="52731"/>
    <cellStyle name="Separador de milhares 3 15 3 2 3 3" xfId="20584"/>
    <cellStyle name="Separador de milhares 3 15 3 2 3 3 2" xfId="46823"/>
    <cellStyle name="Separador de milhares 3 15 3 2 3 4" xfId="14673"/>
    <cellStyle name="Separador de milhares 3 15 3 2 3 4 2" xfId="40915"/>
    <cellStyle name="Separador de milhares 3 15 3 2 3 5" xfId="34529"/>
    <cellStyle name="Separador de milhares 3 15 3 2 4" xfId="4907"/>
    <cellStyle name="Separador de milhares 3 15 3 2 4 2" xfId="23541"/>
    <cellStyle name="Separador de milhares 3 15 3 2 4 2 2" xfId="49777"/>
    <cellStyle name="Separador de milhares 3 15 3 2 4 3" xfId="31154"/>
    <cellStyle name="Separador de milhares 3 15 3 2 5" xfId="17627"/>
    <cellStyle name="Separador de milhares 3 15 3 2 5 2" xfId="43869"/>
    <cellStyle name="Separador de milhares 3 15 3 2 6" xfId="11296"/>
    <cellStyle name="Separador de milhares 3 15 3 2 6 2" xfId="37538"/>
    <cellStyle name="Separador de milhares 3 15 3 2 7" xfId="29456"/>
    <cellStyle name="Separador de milhares 3 15 3 3" xfId="901"/>
    <cellStyle name="Separador de milhares 3 15 3 3 2" xfId="6710"/>
    <cellStyle name="Separador de milhares 3 15 3 3 2 2" xfId="9857"/>
    <cellStyle name="Separador de milhares 3 15 3 3 2 2 2" xfId="28071"/>
    <cellStyle name="Separador de milhares 3 15 3 3 2 2 2 2" xfId="54301"/>
    <cellStyle name="Separador de milhares 3 15 3 3 2 2 3" xfId="22157"/>
    <cellStyle name="Separador de milhares 3 15 3 3 2 2 3 2" xfId="48393"/>
    <cellStyle name="Separador de milhares 3 15 3 3 2 2 4" xfId="16243"/>
    <cellStyle name="Separador de milhares 3 15 3 3 2 2 4 2" xfId="42485"/>
    <cellStyle name="Separador de milhares 3 15 3 3 2 2 5" xfId="36099"/>
    <cellStyle name="Separador de milhares 3 15 3 3 2 3" xfId="25114"/>
    <cellStyle name="Separador de milhares 3 15 3 3 2 3 2" xfId="51347"/>
    <cellStyle name="Separador de milhares 3 15 3 3 2 4" xfId="19200"/>
    <cellStyle name="Separador de milhares 3 15 3 3 2 4 2" xfId="45439"/>
    <cellStyle name="Separador de milhares 3 15 3 3 2 5" xfId="13099"/>
    <cellStyle name="Separador de milhares 3 15 3 3 2 5 2" xfId="39341"/>
    <cellStyle name="Separador de milhares 3 15 3 3 2 6" xfId="32955"/>
    <cellStyle name="Separador de milhares 3 15 3 3 3" xfId="8389"/>
    <cellStyle name="Separador de milhares 3 15 3 3 3 2" xfId="26603"/>
    <cellStyle name="Separador de milhares 3 15 3 3 3 2 2" xfId="52833"/>
    <cellStyle name="Separador de milhares 3 15 3 3 3 3" xfId="20689"/>
    <cellStyle name="Separador de milhares 3 15 3 3 3 3 2" xfId="46925"/>
    <cellStyle name="Separador de milhares 3 15 3 3 3 4" xfId="14775"/>
    <cellStyle name="Separador de milhares 3 15 3 3 3 4 2" xfId="41017"/>
    <cellStyle name="Separador de milhares 3 15 3 3 3 5" xfId="34631"/>
    <cellStyle name="Separador de milhares 3 15 3 3 4" xfId="5011"/>
    <cellStyle name="Separador de milhares 3 15 3 3 4 2" xfId="23646"/>
    <cellStyle name="Separador de milhares 3 15 3 3 4 2 2" xfId="49879"/>
    <cellStyle name="Separador de milhares 3 15 3 3 4 3" xfId="31256"/>
    <cellStyle name="Separador de milhares 3 15 3 3 5" xfId="17732"/>
    <cellStyle name="Separador de milhares 3 15 3 3 5 2" xfId="43971"/>
    <cellStyle name="Separador de milhares 3 15 3 3 6" xfId="11398"/>
    <cellStyle name="Separador de milhares 3 15 3 3 6 2" xfId="37640"/>
    <cellStyle name="Separador de milhares 3 15 3 3 7" xfId="29558"/>
    <cellStyle name="Separador de milhares 3 15 3 4" xfId="1252"/>
    <cellStyle name="Separador de milhares 3 15 3 4 2" xfId="6808"/>
    <cellStyle name="Separador de milhares 3 15 3 4 2 2" xfId="9955"/>
    <cellStyle name="Separador de milhares 3 15 3 4 2 2 2" xfId="28169"/>
    <cellStyle name="Separador de milhares 3 15 3 4 2 2 2 2" xfId="54399"/>
    <cellStyle name="Separador de milhares 3 15 3 4 2 2 3" xfId="22255"/>
    <cellStyle name="Separador de milhares 3 15 3 4 2 2 3 2" xfId="48491"/>
    <cellStyle name="Separador de milhares 3 15 3 4 2 2 4" xfId="16341"/>
    <cellStyle name="Separador de milhares 3 15 3 4 2 2 4 2" xfId="42583"/>
    <cellStyle name="Separador de milhares 3 15 3 4 2 2 5" xfId="36197"/>
    <cellStyle name="Separador de milhares 3 15 3 4 2 3" xfId="25212"/>
    <cellStyle name="Separador de milhares 3 15 3 4 2 3 2" xfId="51445"/>
    <cellStyle name="Separador de milhares 3 15 3 4 2 4" xfId="19298"/>
    <cellStyle name="Separador de milhares 3 15 3 4 2 4 2" xfId="45537"/>
    <cellStyle name="Separador de milhares 3 15 3 4 2 5" xfId="13197"/>
    <cellStyle name="Separador de milhares 3 15 3 4 2 5 2" xfId="39439"/>
    <cellStyle name="Separador de milhares 3 15 3 4 2 6" xfId="33053"/>
    <cellStyle name="Separador de milhares 3 15 3 4 3" xfId="8487"/>
    <cellStyle name="Separador de milhares 3 15 3 4 3 2" xfId="26701"/>
    <cellStyle name="Separador de milhares 3 15 3 4 3 2 2" xfId="52931"/>
    <cellStyle name="Separador de milhares 3 15 3 4 3 3" xfId="20787"/>
    <cellStyle name="Separador de milhares 3 15 3 4 3 3 2" xfId="47023"/>
    <cellStyle name="Separador de milhares 3 15 3 4 3 4" xfId="14873"/>
    <cellStyle name="Separador de milhares 3 15 3 4 3 4 2" xfId="41115"/>
    <cellStyle name="Separador de milhares 3 15 3 4 3 5" xfId="34729"/>
    <cellStyle name="Separador de milhares 3 15 3 4 4" xfId="5109"/>
    <cellStyle name="Separador de milhares 3 15 3 4 4 2" xfId="23744"/>
    <cellStyle name="Separador de milhares 3 15 3 4 4 2 2" xfId="49977"/>
    <cellStyle name="Separador de milhares 3 15 3 4 4 3" xfId="31354"/>
    <cellStyle name="Separador de milhares 3 15 3 4 5" xfId="17830"/>
    <cellStyle name="Separador de milhares 3 15 3 4 5 2" xfId="44069"/>
    <cellStyle name="Separador de milhares 3 15 3 4 6" xfId="11496"/>
    <cellStyle name="Separador de milhares 3 15 3 4 6 2" xfId="37738"/>
    <cellStyle name="Separador de milhares 3 15 3 4 7" xfId="29656"/>
    <cellStyle name="Separador de milhares 3 15 3 5" xfId="1687"/>
    <cellStyle name="Separador de milhares 3 15 3 5 2" xfId="6927"/>
    <cellStyle name="Separador de milhares 3 15 3 5 2 2" xfId="10074"/>
    <cellStyle name="Separador de milhares 3 15 3 5 2 2 2" xfId="28288"/>
    <cellStyle name="Separador de milhares 3 15 3 5 2 2 2 2" xfId="54518"/>
    <cellStyle name="Separador de milhares 3 15 3 5 2 2 3" xfId="22374"/>
    <cellStyle name="Separador de milhares 3 15 3 5 2 2 3 2" xfId="48610"/>
    <cellStyle name="Separador de milhares 3 15 3 5 2 2 4" xfId="16460"/>
    <cellStyle name="Separador de milhares 3 15 3 5 2 2 4 2" xfId="42702"/>
    <cellStyle name="Separador de milhares 3 15 3 5 2 2 5" xfId="36316"/>
    <cellStyle name="Separador de milhares 3 15 3 5 2 3" xfId="25331"/>
    <cellStyle name="Separador de milhares 3 15 3 5 2 3 2" xfId="51564"/>
    <cellStyle name="Separador de milhares 3 15 3 5 2 4" xfId="19417"/>
    <cellStyle name="Separador de milhares 3 15 3 5 2 4 2" xfId="45656"/>
    <cellStyle name="Separador de milhares 3 15 3 5 2 5" xfId="13316"/>
    <cellStyle name="Separador de milhares 3 15 3 5 2 5 2" xfId="39558"/>
    <cellStyle name="Separador de milhares 3 15 3 5 2 6" xfId="33172"/>
    <cellStyle name="Separador de milhares 3 15 3 5 3" xfId="8606"/>
    <cellStyle name="Separador de milhares 3 15 3 5 3 2" xfId="26820"/>
    <cellStyle name="Separador de milhares 3 15 3 5 3 2 2" xfId="53050"/>
    <cellStyle name="Separador de milhares 3 15 3 5 3 3" xfId="20906"/>
    <cellStyle name="Separador de milhares 3 15 3 5 3 3 2" xfId="47142"/>
    <cellStyle name="Separador de milhares 3 15 3 5 3 4" xfId="14992"/>
    <cellStyle name="Separador de milhares 3 15 3 5 3 4 2" xfId="41234"/>
    <cellStyle name="Separador de milhares 3 15 3 5 3 5" xfId="34848"/>
    <cellStyle name="Separador de milhares 3 15 3 5 4" xfId="5228"/>
    <cellStyle name="Separador de milhares 3 15 3 5 4 2" xfId="23863"/>
    <cellStyle name="Separador de milhares 3 15 3 5 4 2 2" xfId="50096"/>
    <cellStyle name="Separador de milhares 3 15 3 5 4 3" xfId="31473"/>
    <cellStyle name="Separador de milhares 3 15 3 5 5" xfId="17949"/>
    <cellStyle name="Separador de milhares 3 15 3 5 5 2" xfId="44188"/>
    <cellStyle name="Separador de milhares 3 15 3 5 6" xfId="11615"/>
    <cellStyle name="Separador de milhares 3 15 3 5 6 2" xfId="37857"/>
    <cellStyle name="Separador de milhares 3 15 3 5 7" xfId="29775"/>
    <cellStyle name="Separador de milhares 3 15 3 6" xfId="2217"/>
    <cellStyle name="Separador de milhares 3 15 3 6 2" xfId="7077"/>
    <cellStyle name="Separador de milhares 3 15 3 6 2 2" xfId="10221"/>
    <cellStyle name="Separador de milhares 3 15 3 6 2 2 2" xfId="28435"/>
    <cellStyle name="Separador de milhares 3 15 3 6 2 2 2 2" xfId="54665"/>
    <cellStyle name="Separador de milhares 3 15 3 6 2 2 3" xfId="22521"/>
    <cellStyle name="Separador de milhares 3 15 3 6 2 2 3 2" xfId="48757"/>
    <cellStyle name="Separador de milhares 3 15 3 6 2 2 4" xfId="16607"/>
    <cellStyle name="Separador de milhares 3 15 3 6 2 2 4 2" xfId="42849"/>
    <cellStyle name="Separador de milhares 3 15 3 6 2 2 5" xfId="36463"/>
    <cellStyle name="Separador de milhares 3 15 3 6 2 3" xfId="25478"/>
    <cellStyle name="Separador de milhares 3 15 3 6 2 3 2" xfId="51711"/>
    <cellStyle name="Separador de milhares 3 15 3 6 2 4" xfId="19564"/>
    <cellStyle name="Separador de milhares 3 15 3 6 2 4 2" xfId="45803"/>
    <cellStyle name="Separador de milhares 3 15 3 6 2 5" xfId="13466"/>
    <cellStyle name="Separador de milhares 3 15 3 6 2 5 2" xfId="39708"/>
    <cellStyle name="Separador de milhares 3 15 3 6 2 6" xfId="33322"/>
    <cellStyle name="Separador de milhares 3 15 3 6 3" xfId="8753"/>
    <cellStyle name="Separador de milhares 3 15 3 6 3 2" xfId="26967"/>
    <cellStyle name="Separador de milhares 3 15 3 6 3 2 2" xfId="53197"/>
    <cellStyle name="Separador de milhares 3 15 3 6 3 3" xfId="21053"/>
    <cellStyle name="Separador de milhares 3 15 3 6 3 3 2" xfId="47289"/>
    <cellStyle name="Separador de milhares 3 15 3 6 3 4" xfId="15139"/>
    <cellStyle name="Separador de milhares 3 15 3 6 3 4 2" xfId="41381"/>
    <cellStyle name="Separador de milhares 3 15 3 6 3 5" xfId="34995"/>
    <cellStyle name="Separador de milhares 3 15 3 6 4" xfId="5378"/>
    <cellStyle name="Separador de milhares 3 15 3 6 4 2" xfId="24010"/>
    <cellStyle name="Separador de milhares 3 15 3 6 4 2 2" xfId="50243"/>
    <cellStyle name="Separador de milhares 3 15 3 6 4 3" xfId="31623"/>
    <cellStyle name="Separador de milhares 3 15 3 6 5" xfId="18096"/>
    <cellStyle name="Separador de milhares 3 15 3 6 5 2" xfId="44335"/>
    <cellStyle name="Separador de milhares 3 15 3 6 6" xfId="11765"/>
    <cellStyle name="Separador de milhares 3 15 3 6 6 2" xfId="38007"/>
    <cellStyle name="Separador de milhares 3 15 3 6 7" xfId="29925"/>
    <cellStyle name="Separador de milhares 3 15 3 7" xfId="2744"/>
    <cellStyle name="Separador de milhares 3 15 3 7 2" xfId="7224"/>
    <cellStyle name="Separador de milhares 3 15 3 7 2 2" xfId="10368"/>
    <cellStyle name="Separador de milhares 3 15 3 7 2 2 2" xfId="28582"/>
    <cellStyle name="Separador de milhares 3 15 3 7 2 2 2 2" xfId="54812"/>
    <cellStyle name="Separador de milhares 3 15 3 7 2 2 3" xfId="22668"/>
    <cellStyle name="Separador de milhares 3 15 3 7 2 2 3 2" xfId="48904"/>
    <cellStyle name="Separador de milhares 3 15 3 7 2 2 4" xfId="16754"/>
    <cellStyle name="Separador de milhares 3 15 3 7 2 2 4 2" xfId="42996"/>
    <cellStyle name="Separador de milhares 3 15 3 7 2 2 5" xfId="36610"/>
    <cellStyle name="Separador de milhares 3 15 3 7 2 3" xfId="25625"/>
    <cellStyle name="Separador de milhares 3 15 3 7 2 3 2" xfId="51858"/>
    <cellStyle name="Separador de milhares 3 15 3 7 2 4" xfId="19711"/>
    <cellStyle name="Separador de milhares 3 15 3 7 2 4 2" xfId="45950"/>
    <cellStyle name="Separador de milhares 3 15 3 7 2 5" xfId="13613"/>
    <cellStyle name="Separador de milhares 3 15 3 7 2 5 2" xfId="39855"/>
    <cellStyle name="Separador de milhares 3 15 3 7 2 6" xfId="33469"/>
    <cellStyle name="Separador de milhares 3 15 3 7 3" xfId="8900"/>
    <cellStyle name="Separador de milhares 3 15 3 7 3 2" xfId="27114"/>
    <cellStyle name="Separador de milhares 3 15 3 7 3 2 2" xfId="53344"/>
    <cellStyle name="Separador de milhares 3 15 3 7 3 3" xfId="21200"/>
    <cellStyle name="Separador de milhares 3 15 3 7 3 3 2" xfId="47436"/>
    <cellStyle name="Separador de milhares 3 15 3 7 3 4" xfId="15286"/>
    <cellStyle name="Separador de milhares 3 15 3 7 3 4 2" xfId="41528"/>
    <cellStyle name="Separador de milhares 3 15 3 7 3 5" xfId="35142"/>
    <cellStyle name="Separador de milhares 3 15 3 7 4" xfId="5525"/>
    <cellStyle name="Separador de milhares 3 15 3 7 4 2" xfId="24157"/>
    <cellStyle name="Separador de milhares 3 15 3 7 4 2 2" xfId="50390"/>
    <cellStyle name="Separador de milhares 3 15 3 7 4 3" xfId="31770"/>
    <cellStyle name="Separador de milhares 3 15 3 7 5" xfId="18243"/>
    <cellStyle name="Separador de milhares 3 15 3 7 5 2" xfId="44482"/>
    <cellStyle name="Separador de milhares 3 15 3 7 6" xfId="11912"/>
    <cellStyle name="Separador de milhares 3 15 3 7 6 2" xfId="38154"/>
    <cellStyle name="Separador de milhares 3 15 3 7 7" xfId="30072"/>
    <cellStyle name="Separador de milhares 3 15 3 8" xfId="3271"/>
    <cellStyle name="Separador de milhares 3 15 3 8 2" xfId="7371"/>
    <cellStyle name="Separador de milhares 3 15 3 8 2 2" xfId="10515"/>
    <cellStyle name="Separador de milhares 3 15 3 8 2 2 2" xfId="28729"/>
    <cellStyle name="Separador de milhares 3 15 3 8 2 2 2 2" xfId="54959"/>
    <cellStyle name="Separador de milhares 3 15 3 8 2 2 3" xfId="22815"/>
    <cellStyle name="Separador de milhares 3 15 3 8 2 2 3 2" xfId="49051"/>
    <cellStyle name="Separador de milhares 3 15 3 8 2 2 4" xfId="16901"/>
    <cellStyle name="Separador de milhares 3 15 3 8 2 2 4 2" xfId="43143"/>
    <cellStyle name="Separador de milhares 3 15 3 8 2 2 5" xfId="36757"/>
    <cellStyle name="Separador de milhares 3 15 3 8 2 3" xfId="25772"/>
    <cellStyle name="Separador de milhares 3 15 3 8 2 3 2" xfId="52005"/>
    <cellStyle name="Separador de milhares 3 15 3 8 2 4" xfId="19858"/>
    <cellStyle name="Separador de milhares 3 15 3 8 2 4 2" xfId="46097"/>
    <cellStyle name="Separador de milhares 3 15 3 8 2 5" xfId="13760"/>
    <cellStyle name="Separador de milhares 3 15 3 8 2 5 2" xfId="40002"/>
    <cellStyle name="Separador de milhares 3 15 3 8 2 6" xfId="33616"/>
    <cellStyle name="Separador de milhares 3 15 3 8 3" xfId="9047"/>
    <cellStyle name="Separador de milhares 3 15 3 8 3 2" xfId="27261"/>
    <cellStyle name="Separador de milhares 3 15 3 8 3 2 2" xfId="53491"/>
    <cellStyle name="Separador de milhares 3 15 3 8 3 3" xfId="21347"/>
    <cellStyle name="Separador de milhares 3 15 3 8 3 3 2" xfId="47583"/>
    <cellStyle name="Separador de milhares 3 15 3 8 3 4" xfId="15433"/>
    <cellStyle name="Separador de milhares 3 15 3 8 3 4 2" xfId="41675"/>
    <cellStyle name="Separador de milhares 3 15 3 8 3 5" xfId="35289"/>
    <cellStyle name="Separador de milhares 3 15 3 8 4" xfId="5672"/>
    <cellStyle name="Separador de milhares 3 15 3 8 4 2" xfId="24304"/>
    <cellStyle name="Separador de milhares 3 15 3 8 4 2 2" xfId="50537"/>
    <cellStyle name="Separador de milhares 3 15 3 8 4 3" xfId="31917"/>
    <cellStyle name="Separador de milhares 3 15 3 8 5" xfId="18390"/>
    <cellStyle name="Separador de milhares 3 15 3 8 5 2" xfId="44629"/>
    <cellStyle name="Separador de milhares 3 15 3 8 6" xfId="12059"/>
    <cellStyle name="Separador de milhares 3 15 3 8 6 2" xfId="38301"/>
    <cellStyle name="Separador de milhares 3 15 3 8 7" xfId="30219"/>
    <cellStyle name="Separador de milhares 3 15 3 9" xfId="3798"/>
    <cellStyle name="Separador de milhares 3 15 3 9 2" xfId="7518"/>
    <cellStyle name="Separador de milhares 3 15 3 9 2 2" xfId="10662"/>
    <cellStyle name="Separador de milhares 3 15 3 9 2 2 2" xfId="28876"/>
    <cellStyle name="Separador de milhares 3 15 3 9 2 2 2 2" xfId="55106"/>
    <cellStyle name="Separador de milhares 3 15 3 9 2 2 3" xfId="22962"/>
    <cellStyle name="Separador de milhares 3 15 3 9 2 2 3 2" xfId="49198"/>
    <cellStyle name="Separador de milhares 3 15 3 9 2 2 4" xfId="17048"/>
    <cellStyle name="Separador de milhares 3 15 3 9 2 2 4 2" xfId="43290"/>
    <cellStyle name="Separador de milhares 3 15 3 9 2 2 5" xfId="36904"/>
    <cellStyle name="Separador de milhares 3 15 3 9 2 3" xfId="25919"/>
    <cellStyle name="Separador de milhares 3 15 3 9 2 3 2" xfId="52152"/>
    <cellStyle name="Separador de milhares 3 15 3 9 2 4" xfId="20005"/>
    <cellStyle name="Separador de milhares 3 15 3 9 2 4 2" xfId="46244"/>
    <cellStyle name="Separador de milhares 3 15 3 9 2 5" xfId="13907"/>
    <cellStyle name="Separador de milhares 3 15 3 9 2 5 2" xfId="40149"/>
    <cellStyle name="Separador de milhares 3 15 3 9 2 6" xfId="33763"/>
    <cellStyle name="Separador de milhares 3 15 3 9 3" xfId="9194"/>
    <cellStyle name="Separador de milhares 3 15 3 9 3 2" xfId="27408"/>
    <cellStyle name="Separador de milhares 3 15 3 9 3 2 2" xfId="53638"/>
    <cellStyle name="Separador de milhares 3 15 3 9 3 3" xfId="21494"/>
    <cellStyle name="Separador de milhares 3 15 3 9 3 3 2" xfId="47730"/>
    <cellStyle name="Separador de milhares 3 15 3 9 3 4" xfId="15580"/>
    <cellStyle name="Separador de milhares 3 15 3 9 3 4 2" xfId="41822"/>
    <cellStyle name="Separador de milhares 3 15 3 9 3 5" xfId="35436"/>
    <cellStyle name="Separador de milhares 3 15 3 9 4" xfId="5819"/>
    <cellStyle name="Separador de milhares 3 15 3 9 4 2" xfId="24451"/>
    <cellStyle name="Separador de milhares 3 15 3 9 4 2 2" xfId="50684"/>
    <cellStyle name="Separador de milhares 3 15 3 9 4 3" xfId="32064"/>
    <cellStyle name="Separador de milhares 3 15 3 9 5" xfId="18537"/>
    <cellStyle name="Separador de milhares 3 15 3 9 5 2" xfId="44776"/>
    <cellStyle name="Separador de milhares 3 15 3 9 6" xfId="12206"/>
    <cellStyle name="Separador de milhares 3 15 3 9 6 2" xfId="38448"/>
    <cellStyle name="Separador de milhares 3 15 3 9 7" xfId="30366"/>
    <cellStyle name="Separador de milhares 3 15 4" xfId="434"/>
    <cellStyle name="Separador de milhares 3 15 4 10" xfId="6565"/>
    <cellStyle name="Separador de milhares 3 15 4 10 2" xfId="9713"/>
    <cellStyle name="Separador de milhares 3 15 4 10 2 2" xfId="27927"/>
    <cellStyle name="Separador de milhares 3 15 4 10 2 2 2" xfId="54157"/>
    <cellStyle name="Separador de milhares 3 15 4 10 2 3" xfId="22013"/>
    <cellStyle name="Separador de milhares 3 15 4 10 2 3 2" xfId="48249"/>
    <cellStyle name="Separador de milhares 3 15 4 10 2 4" xfId="16099"/>
    <cellStyle name="Separador de milhares 3 15 4 10 2 4 2" xfId="42341"/>
    <cellStyle name="Separador de milhares 3 15 4 10 2 5" xfId="35955"/>
    <cellStyle name="Separador de milhares 3 15 4 10 3" xfId="24970"/>
    <cellStyle name="Separador de milhares 3 15 4 10 3 2" xfId="51203"/>
    <cellStyle name="Separador de milhares 3 15 4 10 4" xfId="19056"/>
    <cellStyle name="Separador de milhares 3 15 4 10 4 2" xfId="45295"/>
    <cellStyle name="Separador de milhares 3 15 4 10 5" xfId="12954"/>
    <cellStyle name="Separador de milhares 3 15 4 10 5 2" xfId="39196"/>
    <cellStyle name="Separador de milhares 3 15 4 10 6" xfId="32810"/>
    <cellStyle name="Separador de milhares 3 15 4 11" xfId="8242"/>
    <cellStyle name="Separador de milhares 3 15 4 11 2" xfId="26456"/>
    <cellStyle name="Separador de milhares 3 15 4 11 2 2" xfId="52689"/>
    <cellStyle name="Separador de milhares 3 15 4 11 3" xfId="20542"/>
    <cellStyle name="Separador de milhares 3 15 4 11 3 2" xfId="46781"/>
    <cellStyle name="Separador de milhares 3 15 4 11 4" xfId="14631"/>
    <cellStyle name="Separador de milhares 3 15 4 11 4 2" xfId="40873"/>
    <cellStyle name="Separador de milhares 3 15 4 11 5" xfId="34487"/>
    <cellStyle name="Separador de milhares 3 15 4 12" xfId="4864"/>
    <cellStyle name="Separador de milhares 3 15 4 12 2" xfId="23499"/>
    <cellStyle name="Separador de milhares 3 15 4 12 2 2" xfId="49735"/>
    <cellStyle name="Separador de milhares 3 15 4 12 3" xfId="31111"/>
    <cellStyle name="Separador de milhares 3 15 4 13" xfId="17585"/>
    <cellStyle name="Separador de milhares 3 15 4 13 2" xfId="43827"/>
    <cellStyle name="Separador de milhares 3 15 4 14" xfId="11253"/>
    <cellStyle name="Separador de milhares 3 15 4 14 2" xfId="37495"/>
    <cellStyle name="Separador de milhares 3 15 4 15" xfId="29413"/>
    <cellStyle name="Separador de milhares 3 15 4 2" xfId="1079"/>
    <cellStyle name="Separador de milhares 3 15 4 2 2" xfId="6762"/>
    <cellStyle name="Separador de milhares 3 15 4 2 2 2" xfId="9909"/>
    <cellStyle name="Separador de milhares 3 15 4 2 2 2 2" xfId="28123"/>
    <cellStyle name="Separador de milhares 3 15 4 2 2 2 2 2" xfId="54353"/>
    <cellStyle name="Separador de milhares 3 15 4 2 2 2 3" xfId="22209"/>
    <cellStyle name="Separador de milhares 3 15 4 2 2 2 3 2" xfId="48445"/>
    <cellStyle name="Separador de milhares 3 15 4 2 2 2 4" xfId="16295"/>
    <cellStyle name="Separador de milhares 3 15 4 2 2 2 4 2" xfId="42537"/>
    <cellStyle name="Separador de milhares 3 15 4 2 2 2 5" xfId="36151"/>
    <cellStyle name="Separador de milhares 3 15 4 2 2 3" xfId="25166"/>
    <cellStyle name="Separador de milhares 3 15 4 2 2 3 2" xfId="51399"/>
    <cellStyle name="Separador de milhares 3 15 4 2 2 4" xfId="19252"/>
    <cellStyle name="Separador de milhares 3 15 4 2 2 4 2" xfId="45491"/>
    <cellStyle name="Separador de milhares 3 15 4 2 2 5" xfId="13151"/>
    <cellStyle name="Separador de milhares 3 15 4 2 2 5 2" xfId="39393"/>
    <cellStyle name="Separador de milhares 3 15 4 2 2 6" xfId="33007"/>
    <cellStyle name="Separador de milhares 3 15 4 2 3" xfId="8441"/>
    <cellStyle name="Separador de milhares 3 15 4 2 3 2" xfId="26655"/>
    <cellStyle name="Separador de milhares 3 15 4 2 3 2 2" xfId="52885"/>
    <cellStyle name="Separador de milhares 3 15 4 2 3 3" xfId="20741"/>
    <cellStyle name="Separador de milhares 3 15 4 2 3 3 2" xfId="46977"/>
    <cellStyle name="Separador de milhares 3 15 4 2 3 4" xfId="14827"/>
    <cellStyle name="Separador de milhares 3 15 4 2 3 4 2" xfId="41069"/>
    <cellStyle name="Separador de milhares 3 15 4 2 3 5" xfId="34683"/>
    <cellStyle name="Separador de milhares 3 15 4 2 4" xfId="5063"/>
    <cellStyle name="Separador de milhares 3 15 4 2 4 2" xfId="23698"/>
    <cellStyle name="Separador de milhares 3 15 4 2 4 2 2" xfId="49931"/>
    <cellStyle name="Separador de milhares 3 15 4 2 4 3" xfId="31308"/>
    <cellStyle name="Separador de milhares 3 15 4 2 5" xfId="17784"/>
    <cellStyle name="Separador de milhares 3 15 4 2 5 2" xfId="44023"/>
    <cellStyle name="Separador de milhares 3 15 4 2 6" xfId="11450"/>
    <cellStyle name="Separador de milhares 3 15 4 2 6 2" xfId="37692"/>
    <cellStyle name="Separador de milhares 3 15 4 2 7" xfId="29610"/>
    <cellStyle name="Separador de milhares 3 15 4 3" xfId="1430"/>
    <cellStyle name="Separador de milhares 3 15 4 3 2" xfId="6860"/>
    <cellStyle name="Separador de milhares 3 15 4 3 2 2" xfId="10007"/>
    <cellStyle name="Separador de milhares 3 15 4 3 2 2 2" xfId="28221"/>
    <cellStyle name="Separador de milhares 3 15 4 3 2 2 2 2" xfId="54451"/>
    <cellStyle name="Separador de milhares 3 15 4 3 2 2 3" xfId="22307"/>
    <cellStyle name="Separador de milhares 3 15 4 3 2 2 3 2" xfId="48543"/>
    <cellStyle name="Separador de milhares 3 15 4 3 2 2 4" xfId="16393"/>
    <cellStyle name="Separador de milhares 3 15 4 3 2 2 4 2" xfId="42635"/>
    <cellStyle name="Separador de milhares 3 15 4 3 2 2 5" xfId="36249"/>
    <cellStyle name="Separador de milhares 3 15 4 3 2 3" xfId="25264"/>
    <cellStyle name="Separador de milhares 3 15 4 3 2 3 2" xfId="51497"/>
    <cellStyle name="Separador de milhares 3 15 4 3 2 4" xfId="19350"/>
    <cellStyle name="Separador de milhares 3 15 4 3 2 4 2" xfId="45589"/>
    <cellStyle name="Separador de milhares 3 15 4 3 2 5" xfId="13249"/>
    <cellStyle name="Separador de milhares 3 15 4 3 2 5 2" xfId="39491"/>
    <cellStyle name="Separador de milhares 3 15 4 3 2 6" xfId="33105"/>
    <cellStyle name="Separador de milhares 3 15 4 3 3" xfId="8539"/>
    <cellStyle name="Separador de milhares 3 15 4 3 3 2" xfId="26753"/>
    <cellStyle name="Separador de milhares 3 15 4 3 3 2 2" xfId="52983"/>
    <cellStyle name="Separador de milhares 3 15 4 3 3 3" xfId="20839"/>
    <cellStyle name="Separador de milhares 3 15 4 3 3 3 2" xfId="47075"/>
    <cellStyle name="Separador de milhares 3 15 4 3 3 4" xfId="14925"/>
    <cellStyle name="Separador de milhares 3 15 4 3 3 4 2" xfId="41167"/>
    <cellStyle name="Separador de milhares 3 15 4 3 3 5" xfId="34781"/>
    <cellStyle name="Separador de milhares 3 15 4 3 4" xfId="5161"/>
    <cellStyle name="Separador de milhares 3 15 4 3 4 2" xfId="23796"/>
    <cellStyle name="Separador de milhares 3 15 4 3 4 2 2" xfId="50029"/>
    <cellStyle name="Separador de milhares 3 15 4 3 4 3" xfId="31406"/>
    <cellStyle name="Separador de milhares 3 15 4 3 5" xfId="17882"/>
    <cellStyle name="Separador de milhares 3 15 4 3 5 2" xfId="44121"/>
    <cellStyle name="Separador de milhares 3 15 4 3 6" xfId="11548"/>
    <cellStyle name="Separador de milhares 3 15 4 3 6 2" xfId="37790"/>
    <cellStyle name="Separador de milhares 3 15 4 3 7" xfId="29708"/>
    <cellStyle name="Separador de milhares 3 15 4 4" xfId="1865"/>
    <cellStyle name="Separador de milhares 3 15 4 4 2" xfId="6979"/>
    <cellStyle name="Separador de milhares 3 15 4 4 2 2" xfId="10126"/>
    <cellStyle name="Separador de milhares 3 15 4 4 2 2 2" xfId="28340"/>
    <cellStyle name="Separador de milhares 3 15 4 4 2 2 2 2" xfId="54570"/>
    <cellStyle name="Separador de milhares 3 15 4 4 2 2 3" xfId="22426"/>
    <cellStyle name="Separador de milhares 3 15 4 4 2 2 3 2" xfId="48662"/>
    <cellStyle name="Separador de milhares 3 15 4 4 2 2 4" xfId="16512"/>
    <cellStyle name="Separador de milhares 3 15 4 4 2 2 4 2" xfId="42754"/>
    <cellStyle name="Separador de milhares 3 15 4 4 2 2 5" xfId="36368"/>
    <cellStyle name="Separador de milhares 3 15 4 4 2 3" xfId="25383"/>
    <cellStyle name="Separador de milhares 3 15 4 4 2 3 2" xfId="51616"/>
    <cellStyle name="Separador de milhares 3 15 4 4 2 4" xfId="19469"/>
    <cellStyle name="Separador de milhares 3 15 4 4 2 4 2" xfId="45708"/>
    <cellStyle name="Separador de milhares 3 15 4 4 2 5" xfId="13368"/>
    <cellStyle name="Separador de milhares 3 15 4 4 2 5 2" xfId="39610"/>
    <cellStyle name="Separador de milhares 3 15 4 4 2 6" xfId="33224"/>
    <cellStyle name="Separador de milhares 3 15 4 4 3" xfId="8658"/>
    <cellStyle name="Separador de milhares 3 15 4 4 3 2" xfId="26872"/>
    <cellStyle name="Separador de milhares 3 15 4 4 3 2 2" xfId="53102"/>
    <cellStyle name="Separador de milhares 3 15 4 4 3 3" xfId="20958"/>
    <cellStyle name="Separador de milhares 3 15 4 4 3 3 2" xfId="47194"/>
    <cellStyle name="Separador de milhares 3 15 4 4 3 4" xfId="15044"/>
    <cellStyle name="Separador de milhares 3 15 4 4 3 4 2" xfId="41286"/>
    <cellStyle name="Separador de milhares 3 15 4 4 3 5" xfId="34900"/>
    <cellStyle name="Separador de milhares 3 15 4 4 4" xfId="5280"/>
    <cellStyle name="Separador de milhares 3 15 4 4 4 2" xfId="23915"/>
    <cellStyle name="Separador de milhares 3 15 4 4 4 2 2" xfId="50148"/>
    <cellStyle name="Separador de milhares 3 15 4 4 4 3" xfId="31525"/>
    <cellStyle name="Separador de milhares 3 15 4 4 5" xfId="18001"/>
    <cellStyle name="Separador de milhares 3 15 4 4 5 2" xfId="44240"/>
    <cellStyle name="Separador de milhares 3 15 4 4 6" xfId="11667"/>
    <cellStyle name="Separador de milhares 3 15 4 4 6 2" xfId="37909"/>
    <cellStyle name="Separador de milhares 3 15 4 4 7" xfId="29827"/>
    <cellStyle name="Separador de milhares 3 15 4 5" xfId="2395"/>
    <cellStyle name="Separador de milhares 3 15 4 5 2" xfId="7129"/>
    <cellStyle name="Separador de milhares 3 15 4 5 2 2" xfId="10273"/>
    <cellStyle name="Separador de milhares 3 15 4 5 2 2 2" xfId="28487"/>
    <cellStyle name="Separador de milhares 3 15 4 5 2 2 2 2" xfId="54717"/>
    <cellStyle name="Separador de milhares 3 15 4 5 2 2 3" xfId="22573"/>
    <cellStyle name="Separador de milhares 3 15 4 5 2 2 3 2" xfId="48809"/>
    <cellStyle name="Separador de milhares 3 15 4 5 2 2 4" xfId="16659"/>
    <cellStyle name="Separador de milhares 3 15 4 5 2 2 4 2" xfId="42901"/>
    <cellStyle name="Separador de milhares 3 15 4 5 2 2 5" xfId="36515"/>
    <cellStyle name="Separador de milhares 3 15 4 5 2 3" xfId="25530"/>
    <cellStyle name="Separador de milhares 3 15 4 5 2 3 2" xfId="51763"/>
    <cellStyle name="Separador de milhares 3 15 4 5 2 4" xfId="19616"/>
    <cellStyle name="Separador de milhares 3 15 4 5 2 4 2" xfId="45855"/>
    <cellStyle name="Separador de milhares 3 15 4 5 2 5" xfId="13518"/>
    <cellStyle name="Separador de milhares 3 15 4 5 2 5 2" xfId="39760"/>
    <cellStyle name="Separador de milhares 3 15 4 5 2 6" xfId="33374"/>
    <cellStyle name="Separador de milhares 3 15 4 5 3" xfId="8805"/>
    <cellStyle name="Separador de milhares 3 15 4 5 3 2" xfId="27019"/>
    <cellStyle name="Separador de milhares 3 15 4 5 3 2 2" xfId="53249"/>
    <cellStyle name="Separador de milhares 3 15 4 5 3 3" xfId="21105"/>
    <cellStyle name="Separador de milhares 3 15 4 5 3 3 2" xfId="47341"/>
    <cellStyle name="Separador de milhares 3 15 4 5 3 4" xfId="15191"/>
    <cellStyle name="Separador de milhares 3 15 4 5 3 4 2" xfId="41433"/>
    <cellStyle name="Separador de milhares 3 15 4 5 3 5" xfId="35047"/>
    <cellStyle name="Separador de milhares 3 15 4 5 4" xfId="5430"/>
    <cellStyle name="Separador de milhares 3 15 4 5 4 2" xfId="24062"/>
    <cellStyle name="Separador de milhares 3 15 4 5 4 2 2" xfId="50295"/>
    <cellStyle name="Separador de milhares 3 15 4 5 4 3" xfId="31675"/>
    <cellStyle name="Separador de milhares 3 15 4 5 5" xfId="18148"/>
    <cellStyle name="Separador de milhares 3 15 4 5 5 2" xfId="44387"/>
    <cellStyle name="Separador de milhares 3 15 4 5 6" xfId="11817"/>
    <cellStyle name="Separador de milhares 3 15 4 5 6 2" xfId="38059"/>
    <cellStyle name="Separador de milhares 3 15 4 5 7" xfId="29977"/>
    <cellStyle name="Separador de milhares 3 15 4 6" xfId="2922"/>
    <cellStyle name="Separador de milhares 3 15 4 6 2" xfId="7276"/>
    <cellStyle name="Separador de milhares 3 15 4 6 2 2" xfId="10420"/>
    <cellStyle name="Separador de milhares 3 15 4 6 2 2 2" xfId="28634"/>
    <cellStyle name="Separador de milhares 3 15 4 6 2 2 2 2" xfId="54864"/>
    <cellStyle name="Separador de milhares 3 15 4 6 2 2 3" xfId="22720"/>
    <cellStyle name="Separador de milhares 3 15 4 6 2 2 3 2" xfId="48956"/>
    <cellStyle name="Separador de milhares 3 15 4 6 2 2 4" xfId="16806"/>
    <cellStyle name="Separador de milhares 3 15 4 6 2 2 4 2" xfId="43048"/>
    <cellStyle name="Separador de milhares 3 15 4 6 2 2 5" xfId="36662"/>
    <cellStyle name="Separador de milhares 3 15 4 6 2 3" xfId="25677"/>
    <cellStyle name="Separador de milhares 3 15 4 6 2 3 2" xfId="51910"/>
    <cellStyle name="Separador de milhares 3 15 4 6 2 4" xfId="19763"/>
    <cellStyle name="Separador de milhares 3 15 4 6 2 4 2" xfId="46002"/>
    <cellStyle name="Separador de milhares 3 15 4 6 2 5" xfId="13665"/>
    <cellStyle name="Separador de milhares 3 15 4 6 2 5 2" xfId="39907"/>
    <cellStyle name="Separador de milhares 3 15 4 6 2 6" xfId="33521"/>
    <cellStyle name="Separador de milhares 3 15 4 6 3" xfId="8952"/>
    <cellStyle name="Separador de milhares 3 15 4 6 3 2" xfId="27166"/>
    <cellStyle name="Separador de milhares 3 15 4 6 3 2 2" xfId="53396"/>
    <cellStyle name="Separador de milhares 3 15 4 6 3 3" xfId="21252"/>
    <cellStyle name="Separador de milhares 3 15 4 6 3 3 2" xfId="47488"/>
    <cellStyle name="Separador de milhares 3 15 4 6 3 4" xfId="15338"/>
    <cellStyle name="Separador de milhares 3 15 4 6 3 4 2" xfId="41580"/>
    <cellStyle name="Separador de milhares 3 15 4 6 3 5" xfId="35194"/>
    <cellStyle name="Separador de milhares 3 15 4 6 4" xfId="5577"/>
    <cellStyle name="Separador de milhares 3 15 4 6 4 2" xfId="24209"/>
    <cellStyle name="Separador de milhares 3 15 4 6 4 2 2" xfId="50442"/>
    <cellStyle name="Separador de milhares 3 15 4 6 4 3" xfId="31822"/>
    <cellStyle name="Separador de milhares 3 15 4 6 5" xfId="18295"/>
    <cellStyle name="Separador de milhares 3 15 4 6 5 2" xfId="44534"/>
    <cellStyle name="Separador de milhares 3 15 4 6 6" xfId="11964"/>
    <cellStyle name="Separador de milhares 3 15 4 6 6 2" xfId="38206"/>
    <cellStyle name="Separador de milhares 3 15 4 6 7" xfId="30124"/>
    <cellStyle name="Separador de milhares 3 15 4 7" xfId="3449"/>
    <cellStyle name="Separador de milhares 3 15 4 7 2" xfId="7423"/>
    <cellStyle name="Separador de milhares 3 15 4 7 2 2" xfId="10567"/>
    <cellStyle name="Separador de milhares 3 15 4 7 2 2 2" xfId="28781"/>
    <cellStyle name="Separador de milhares 3 15 4 7 2 2 2 2" xfId="55011"/>
    <cellStyle name="Separador de milhares 3 15 4 7 2 2 3" xfId="22867"/>
    <cellStyle name="Separador de milhares 3 15 4 7 2 2 3 2" xfId="49103"/>
    <cellStyle name="Separador de milhares 3 15 4 7 2 2 4" xfId="16953"/>
    <cellStyle name="Separador de milhares 3 15 4 7 2 2 4 2" xfId="43195"/>
    <cellStyle name="Separador de milhares 3 15 4 7 2 2 5" xfId="36809"/>
    <cellStyle name="Separador de milhares 3 15 4 7 2 3" xfId="25824"/>
    <cellStyle name="Separador de milhares 3 15 4 7 2 3 2" xfId="52057"/>
    <cellStyle name="Separador de milhares 3 15 4 7 2 4" xfId="19910"/>
    <cellStyle name="Separador de milhares 3 15 4 7 2 4 2" xfId="46149"/>
    <cellStyle name="Separador de milhares 3 15 4 7 2 5" xfId="13812"/>
    <cellStyle name="Separador de milhares 3 15 4 7 2 5 2" xfId="40054"/>
    <cellStyle name="Separador de milhares 3 15 4 7 2 6" xfId="33668"/>
    <cellStyle name="Separador de milhares 3 15 4 7 3" xfId="9099"/>
    <cellStyle name="Separador de milhares 3 15 4 7 3 2" xfId="27313"/>
    <cellStyle name="Separador de milhares 3 15 4 7 3 2 2" xfId="53543"/>
    <cellStyle name="Separador de milhares 3 15 4 7 3 3" xfId="21399"/>
    <cellStyle name="Separador de milhares 3 15 4 7 3 3 2" xfId="47635"/>
    <cellStyle name="Separador de milhares 3 15 4 7 3 4" xfId="15485"/>
    <cellStyle name="Separador de milhares 3 15 4 7 3 4 2" xfId="41727"/>
    <cellStyle name="Separador de milhares 3 15 4 7 3 5" xfId="35341"/>
    <cellStyle name="Separador de milhares 3 15 4 7 4" xfId="5724"/>
    <cellStyle name="Separador de milhares 3 15 4 7 4 2" xfId="24356"/>
    <cellStyle name="Separador de milhares 3 15 4 7 4 2 2" xfId="50589"/>
    <cellStyle name="Separador de milhares 3 15 4 7 4 3" xfId="31969"/>
    <cellStyle name="Separador de milhares 3 15 4 7 5" xfId="18442"/>
    <cellStyle name="Separador de milhares 3 15 4 7 5 2" xfId="44681"/>
    <cellStyle name="Separador de milhares 3 15 4 7 6" xfId="12111"/>
    <cellStyle name="Separador de milhares 3 15 4 7 6 2" xfId="38353"/>
    <cellStyle name="Separador de milhares 3 15 4 7 7" xfId="30271"/>
    <cellStyle name="Separador de milhares 3 15 4 8" xfId="3976"/>
    <cellStyle name="Separador de milhares 3 15 4 8 2" xfId="7570"/>
    <cellStyle name="Separador de milhares 3 15 4 8 2 2" xfId="10714"/>
    <cellStyle name="Separador de milhares 3 15 4 8 2 2 2" xfId="28928"/>
    <cellStyle name="Separador de milhares 3 15 4 8 2 2 2 2" xfId="55158"/>
    <cellStyle name="Separador de milhares 3 15 4 8 2 2 3" xfId="23014"/>
    <cellStyle name="Separador de milhares 3 15 4 8 2 2 3 2" xfId="49250"/>
    <cellStyle name="Separador de milhares 3 15 4 8 2 2 4" xfId="17100"/>
    <cellStyle name="Separador de milhares 3 15 4 8 2 2 4 2" xfId="43342"/>
    <cellStyle name="Separador de milhares 3 15 4 8 2 2 5" xfId="36956"/>
    <cellStyle name="Separador de milhares 3 15 4 8 2 3" xfId="25971"/>
    <cellStyle name="Separador de milhares 3 15 4 8 2 3 2" xfId="52204"/>
    <cellStyle name="Separador de milhares 3 15 4 8 2 4" xfId="20057"/>
    <cellStyle name="Separador de milhares 3 15 4 8 2 4 2" xfId="46296"/>
    <cellStyle name="Separador de milhares 3 15 4 8 2 5" xfId="13959"/>
    <cellStyle name="Separador de milhares 3 15 4 8 2 5 2" xfId="40201"/>
    <cellStyle name="Separador de milhares 3 15 4 8 2 6" xfId="33815"/>
    <cellStyle name="Separador de milhares 3 15 4 8 3" xfId="9246"/>
    <cellStyle name="Separador de milhares 3 15 4 8 3 2" xfId="27460"/>
    <cellStyle name="Separador de milhares 3 15 4 8 3 2 2" xfId="53690"/>
    <cellStyle name="Separador de milhares 3 15 4 8 3 3" xfId="21546"/>
    <cellStyle name="Separador de milhares 3 15 4 8 3 3 2" xfId="47782"/>
    <cellStyle name="Separador de milhares 3 15 4 8 3 4" xfId="15632"/>
    <cellStyle name="Separador de milhares 3 15 4 8 3 4 2" xfId="41874"/>
    <cellStyle name="Separador de milhares 3 15 4 8 3 5" xfId="35488"/>
    <cellStyle name="Separador de milhares 3 15 4 8 4" xfId="5871"/>
    <cellStyle name="Separador de milhares 3 15 4 8 4 2" xfId="24503"/>
    <cellStyle name="Separador de milhares 3 15 4 8 4 2 2" xfId="50736"/>
    <cellStyle name="Separador de milhares 3 15 4 8 4 3" xfId="32116"/>
    <cellStyle name="Separador de milhares 3 15 4 8 5" xfId="18589"/>
    <cellStyle name="Separador de milhares 3 15 4 8 5 2" xfId="44828"/>
    <cellStyle name="Separador de milhares 3 15 4 8 6" xfId="12258"/>
    <cellStyle name="Separador de milhares 3 15 4 8 6 2" xfId="38500"/>
    <cellStyle name="Separador de milhares 3 15 4 8 7" xfId="30418"/>
    <cellStyle name="Separador de milhares 3 15 4 9" xfId="729"/>
    <cellStyle name="Separador de milhares 3 15 4 9 2" xfId="6664"/>
    <cellStyle name="Separador de milhares 3 15 4 9 2 2" xfId="9811"/>
    <cellStyle name="Separador de milhares 3 15 4 9 2 2 2" xfId="28025"/>
    <cellStyle name="Separador de milhares 3 15 4 9 2 2 2 2" xfId="54255"/>
    <cellStyle name="Separador de milhares 3 15 4 9 2 2 3" xfId="22111"/>
    <cellStyle name="Separador de milhares 3 15 4 9 2 2 3 2" xfId="48347"/>
    <cellStyle name="Separador de milhares 3 15 4 9 2 2 4" xfId="16197"/>
    <cellStyle name="Separador de milhares 3 15 4 9 2 2 4 2" xfId="42439"/>
    <cellStyle name="Separador de milhares 3 15 4 9 2 2 5" xfId="36053"/>
    <cellStyle name="Separador de milhares 3 15 4 9 2 3" xfId="25068"/>
    <cellStyle name="Separador de milhares 3 15 4 9 2 3 2" xfId="51301"/>
    <cellStyle name="Separador de milhares 3 15 4 9 2 4" xfId="19154"/>
    <cellStyle name="Separador de milhares 3 15 4 9 2 4 2" xfId="45393"/>
    <cellStyle name="Separador de milhares 3 15 4 9 2 5" xfId="13053"/>
    <cellStyle name="Separador de milhares 3 15 4 9 2 5 2" xfId="39295"/>
    <cellStyle name="Separador de milhares 3 15 4 9 2 6" xfId="32909"/>
    <cellStyle name="Separador de milhares 3 15 4 9 3" xfId="8343"/>
    <cellStyle name="Separador de milhares 3 15 4 9 3 2" xfId="26557"/>
    <cellStyle name="Separador de milhares 3 15 4 9 3 2 2" xfId="52787"/>
    <cellStyle name="Separador de milhares 3 15 4 9 3 3" xfId="20643"/>
    <cellStyle name="Separador de milhares 3 15 4 9 3 3 2" xfId="46879"/>
    <cellStyle name="Separador de milhares 3 15 4 9 3 4" xfId="14729"/>
    <cellStyle name="Separador de milhares 3 15 4 9 3 4 2" xfId="40971"/>
    <cellStyle name="Separador de milhares 3 15 4 9 3 5" xfId="34585"/>
    <cellStyle name="Separador de milhares 3 15 4 9 4" xfId="4965"/>
    <cellStyle name="Separador de milhares 3 15 4 9 4 2" xfId="23600"/>
    <cellStyle name="Separador de milhares 3 15 4 9 4 2 2" xfId="49833"/>
    <cellStyle name="Separador de milhares 3 15 4 9 4 3" xfId="31210"/>
    <cellStyle name="Separador de milhares 3 15 4 9 5" xfId="17686"/>
    <cellStyle name="Separador de milhares 3 15 4 9 5 2" xfId="43925"/>
    <cellStyle name="Separador de milhares 3 15 4 9 6" xfId="11352"/>
    <cellStyle name="Separador de milhares 3 15 4 9 6 2" xfId="37594"/>
    <cellStyle name="Separador de milhares 3 15 4 9 7" xfId="29512"/>
    <cellStyle name="Separador de milhares 3 15 5" xfId="691"/>
    <cellStyle name="Separador de milhares 3 15 5 10" xfId="4929"/>
    <cellStyle name="Separador de milhares 3 15 5 10 2" xfId="23563"/>
    <cellStyle name="Separador de milhares 3 15 5 10 2 2" xfId="49799"/>
    <cellStyle name="Separador de milhares 3 15 5 10 3" xfId="31176"/>
    <cellStyle name="Separador de milhares 3 15 5 11" xfId="17649"/>
    <cellStyle name="Separador de milhares 3 15 5 11 2" xfId="43891"/>
    <cellStyle name="Separador de milhares 3 15 5 12" xfId="11318"/>
    <cellStyle name="Separador de milhares 3 15 5 12 2" xfId="37560"/>
    <cellStyle name="Separador de milhares 3 15 5 13" xfId="29478"/>
    <cellStyle name="Separador de milhares 3 15 5 2" xfId="1514"/>
    <cellStyle name="Separador de milhares 3 15 5 2 2" xfId="6881"/>
    <cellStyle name="Separador de milhares 3 15 5 2 2 2" xfId="10028"/>
    <cellStyle name="Separador de milhares 3 15 5 2 2 2 2" xfId="28242"/>
    <cellStyle name="Separador de milhares 3 15 5 2 2 2 2 2" xfId="54472"/>
    <cellStyle name="Separador de milhares 3 15 5 2 2 2 3" xfId="22328"/>
    <cellStyle name="Separador de milhares 3 15 5 2 2 2 3 2" xfId="48564"/>
    <cellStyle name="Separador de milhares 3 15 5 2 2 2 4" xfId="16414"/>
    <cellStyle name="Separador de milhares 3 15 5 2 2 2 4 2" xfId="42656"/>
    <cellStyle name="Separador de milhares 3 15 5 2 2 2 5" xfId="36270"/>
    <cellStyle name="Separador de milhares 3 15 5 2 2 3" xfId="25285"/>
    <cellStyle name="Separador de milhares 3 15 5 2 2 3 2" xfId="51518"/>
    <cellStyle name="Separador de milhares 3 15 5 2 2 4" xfId="19371"/>
    <cellStyle name="Separador de milhares 3 15 5 2 2 4 2" xfId="45610"/>
    <cellStyle name="Separador de milhares 3 15 5 2 2 5" xfId="13270"/>
    <cellStyle name="Separador de milhares 3 15 5 2 2 5 2" xfId="39512"/>
    <cellStyle name="Separador de milhares 3 15 5 2 2 6" xfId="33126"/>
    <cellStyle name="Separador de milhares 3 15 5 2 3" xfId="8560"/>
    <cellStyle name="Separador de milhares 3 15 5 2 3 2" xfId="26774"/>
    <cellStyle name="Separador de milhares 3 15 5 2 3 2 2" xfId="53004"/>
    <cellStyle name="Separador de milhares 3 15 5 2 3 3" xfId="20860"/>
    <cellStyle name="Separador de milhares 3 15 5 2 3 3 2" xfId="47096"/>
    <cellStyle name="Separador de milhares 3 15 5 2 3 4" xfId="14946"/>
    <cellStyle name="Separador de milhares 3 15 5 2 3 4 2" xfId="41188"/>
    <cellStyle name="Separador de milhares 3 15 5 2 3 5" xfId="34802"/>
    <cellStyle name="Separador de milhares 3 15 5 2 4" xfId="5182"/>
    <cellStyle name="Separador de milhares 3 15 5 2 4 2" xfId="23817"/>
    <cellStyle name="Separador de milhares 3 15 5 2 4 2 2" xfId="50050"/>
    <cellStyle name="Separador de milhares 3 15 5 2 4 3" xfId="31427"/>
    <cellStyle name="Separador de milhares 3 15 5 2 5" xfId="17903"/>
    <cellStyle name="Separador de milhares 3 15 5 2 5 2" xfId="44142"/>
    <cellStyle name="Separador de milhares 3 15 5 2 6" xfId="11569"/>
    <cellStyle name="Separador de milhares 3 15 5 2 6 2" xfId="37811"/>
    <cellStyle name="Separador de milhares 3 15 5 2 7" xfId="29729"/>
    <cellStyle name="Separador de milhares 3 15 5 3" xfId="1949"/>
    <cellStyle name="Separador de milhares 3 15 5 3 2" xfId="7000"/>
    <cellStyle name="Separador de milhares 3 15 5 3 2 2" xfId="10147"/>
    <cellStyle name="Separador de milhares 3 15 5 3 2 2 2" xfId="28361"/>
    <cellStyle name="Separador de milhares 3 15 5 3 2 2 2 2" xfId="54591"/>
    <cellStyle name="Separador de milhares 3 15 5 3 2 2 3" xfId="22447"/>
    <cellStyle name="Separador de milhares 3 15 5 3 2 2 3 2" xfId="48683"/>
    <cellStyle name="Separador de milhares 3 15 5 3 2 2 4" xfId="16533"/>
    <cellStyle name="Separador de milhares 3 15 5 3 2 2 4 2" xfId="42775"/>
    <cellStyle name="Separador de milhares 3 15 5 3 2 2 5" xfId="36389"/>
    <cellStyle name="Separador de milhares 3 15 5 3 2 3" xfId="25404"/>
    <cellStyle name="Separador de milhares 3 15 5 3 2 3 2" xfId="51637"/>
    <cellStyle name="Separador de milhares 3 15 5 3 2 4" xfId="19490"/>
    <cellStyle name="Separador de milhares 3 15 5 3 2 4 2" xfId="45729"/>
    <cellStyle name="Separador de milhares 3 15 5 3 2 5" xfId="13389"/>
    <cellStyle name="Separador de milhares 3 15 5 3 2 5 2" xfId="39631"/>
    <cellStyle name="Separador de milhares 3 15 5 3 2 6" xfId="33245"/>
    <cellStyle name="Separador de milhares 3 15 5 3 3" xfId="8679"/>
    <cellStyle name="Separador de milhares 3 15 5 3 3 2" xfId="26893"/>
    <cellStyle name="Separador de milhares 3 15 5 3 3 2 2" xfId="53123"/>
    <cellStyle name="Separador de milhares 3 15 5 3 3 3" xfId="20979"/>
    <cellStyle name="Separador de milhares 3 15 5 3 3 3 2" xfId="47215"/>
    <cellStyle name="Separador de milhares 3 15 5 3 3 4" xfId="15065"/>
    <cellStyle name="Separador de milhares 3 15 5 3 3 4 2" xfId="41307"/>
    <cellStyle name="Separador de milhares 3 15 5 3 3 5" xfId="34921"/>
    <cellStyle name="Separador de milhares 3 15 5 3 4" xfId="5301"/>
    <cellStyle name="Separador de milhares 3 15 5 3 4 2" xfId="23936"/>
    <cellStyle name="Separador de milhares 3 15 5 3 4 2 2" xfId="50169"/>
    <cellStyle name="Separador de milhares 3 15 5 3 4 3" xfId="31546"/>
    <cellStyle name="Separador de milhares 3 15 5 3 5" xfId="18022"/>
    <cellStyle name="Separador de milhares 3 15 5 3 5 2" xfId="44261"/>
    <cellStyle name="Separador de milhares 3 15 5 3 6" xfId="11688"/>
    <cellStyle name="Separador de milhares 3 15 5 3 6 2" xfId="37930"/>
    <cellStyle name="Separador de milhares 3 15 5 3 7" xfId="29848"/>
    <cellStyle name="Separador de milhares 3 15 5 4" xfId="2479"/>
    <cellStyle name="Separador de milhares 3 15 5 4 2" xfId="7150"/>
    <cellStyle name="Separador de milhares 3 15 5 4 2 2" xfId="10294"/>
    <cellStyle name="Separador de milhares 3 15 5 4 2 2 2" xfId="28508"/>
    <cellStyle name="Separador de milhares 3 15 5 4 2 2 2 2" xfId="54738"/>
    <cellStyle name="Separador de milhares 3 15 5 4 2 2 3" xfId="22594"/>
    <cellStyle name="Separador de milhares 3 15 5 4 2 2 3 2" xfId="48830"/>
    <cellStyle name="Separador de milhares 3 15 5 4 2 2 4" xfId="16680"/>
    <cellStyle name="Separador de milhares 3 15 5 4 2 2 4 2" xfId="42922"/>
    <cellStyle name="Separador de milhares 3 15 5 4 2 2 5" xfId="36536"/>
    <cellStyle name="Separador de milhares 3 15 5 4 2 3" xfId="25551"/>
    <cellStyle name="Separador de milhares 3 15 5 4 2 3 2" xfId="51784"/>
    <cellStyle name="Separador de milhares 3 15 5 4 2 4" xfId="19637"/>
    <cellStyle name="Separador de milhares 3 15 5 4 2 4 2" xfId="45876"/>
    <cellStyle name="Separador de milhares 3 15 5 4 2 5" xfId="13539"/>
    <cellStyle name="Separador de milhares 3 15 5 4 2 5 2" xfId="39781"/>
    <cellStyle name="Separador de milhares 3 15 5 4 2 6" xfId="33395"/>
    <cellStyle name="Separador de milhares 3 15 5 4 3" xfId="8826"/>
    <cellStyle name="Separador de milhares 3 15 5 4 3 2" xfId="27040"/>
    <cellStyle name="Separador de milhares 3 15 5 4 3 2 2" xfId="53270"/>
    <cellStyle name="Separador de milhares 3 15 5 4 3 3" xfId="21126"/>
    <cellStyle name="Separador de milhares 3 15 5 4 3 3 2" xfId="47362"/>
    <cellStyle name="Separador de milhares 3 15 5 4 3 4" xfId="15212"/>
    <cellStyle name="Separador de milhares 3 15 5 4 3 4 2" xfId="41454"/>
    <cellStyle name="Separador de milhares 3 15 5 4 3 5" xfId="35068"/>
    <cellStyle name="Separador de milhares 3 15 5 4 4" xfId="5451"/>
    <cellStyle name="Separador de milhares 3 15 5 4 4 2" xfId="24083"/>
    <cellStyle name="Separador de milhares 3 15 5 4 4 2 2" xfId="50316"/>
    <cellStyle name="Separador de milhares 3 15 5 4 4 3" xfId="31696"/>
    <cellStyle name="Separador de milhares 3 15 5 4 5" xfId="18169"/>
    <cellStyle name="Separador de milhares 3 15 5 4 5 2" xfId="44408"/>
    <cellStyle name="Separador de milhares 3 15 5 4 6" xfId="11838"/>
    <cellStyle name="Separador de milhares 3 15 5 4 6 2" xfId="38080"/>
    <cellStyle name="Separador de milhares 3 15 5 4 7" xfId="29998"/>
    <cellStyle name="Separador de milhares 3 15 5 5" xfId="3006"/>
    <cellStyle name="Separador de milhares 3 15 5 5 2" xfId="7297"/>
    <cellStyle name="Separador de milhares 3 15 5 5 2 2" xfId="10441"/>
    <cellStyle name="Separador de milhares 3 15 5 5 2 2 2" xfId="28655"/>
    <cellStyle name="Separador de milhares 3 15 5 5 2 2 2 2" xfId="54885"/>
    <cellStyle name="Separador de milhares 3 15 5 5 2 2 3" xfId="22741"/>
    <cellStyle name="Separador de milhares 3 15 5 5 2 2 3 2" xfId="48977"/>
    <cellStyle name="Separador de milhares 3 15 5 5 2 2 4" xfId="16827"/>
    <cellStyle name="Separador de milhares 3 15 5 5 2 2 4 2" xfId="43069"/>
    <cellStyle name="Separador de milhares 3 15 5 5 2 2 5" xfId="36683"/>
    <cellStyle name="Separador de milhares 3 15 5 5 2 3" xfId="25698"/>
    <cellStyle name="Separador de milhares 3 15 5 5 2 3 2" xfId="51931"/>
    <cellStyle name="Separador de milhares 3 15 5 5 2 4" xfId="19784"/>
    <cellStyle name="Separador de milhares 3 15 5 5 2 4 2" xfId="46023"/>
    <cellStyle name="Separador de milhares 3 15 5 5 2 5" xfId="13686"/>
    <cellStyle name="Separador de milhares 3 15 5 5 2 5 2" xfId="39928"/>
    <cellStyle name="Separador de milhares 3 15 5 5 2 6" xfId="33542"/>
    <cellStyle name="Separador de milhares 3 15 5 5 3" xfId="8973"/>
    <cellStyle name="Separador de milhares 3 15 5 5 3 2" xfId="27187"/>
    <cellStyle name="Separador de milhares 3 15 5 5 3 2 2" xfId="53417"/>
    <cellStyle name="Separador de milhares 3 15 5 5 3 3" xfId="21273"/>
    <cellStyle name="Separador de milhares 3 15 5 5 3 3 2" xfId="47509"/>
    <cellStyle name="Separador de milhares 3 15 5 5 3 4" xfId="15359"/>
    <cellStyle name="Separador de milhares 3 15 5 5 3 4 2" xfId="41601"/>
    <cellStyle name="Separador de milhares 3 15 5 5 3 5" xfId="35215"/>
    <cellStyle name="Separador de milhares 3 15 5 5 4" xfId="5598"/>
    <cellStyle name="Separador de milhares 3 15 5 5 4 2" xfId="24230"/>
    <cellStyle name="Separador de milhares 3 15 5 5 4 2 2" xfId="50463"/>
    <cellStyle name="Separador de milhares 3 15 5 5 4 3" xfId="31843"/>
    <cellStyle name="Separador de milhares 3 15 5 5 5" xfId="18316"/>
    <cellStyle name="Separador de milhares 3 15 5 5 5 2" xfId="44555"/>
    <cellStyle name="Separador de milhares 3 15 5 5 6" xfId="11985"/>
    <cellStyle name="Separador de milhares 3 15 5 5 6 2" xfId="38227"/>
    <cellStyle name="Separador de milhares 3 15 5 5 7" xfId="30145"/>
    <cellStyle name="Separador de milhares 3 15 5 6" xfId="3533"/>
    <cellStyle name="Separador de milhares 3 15 5 6 2" xfId="7444"/>
    <cellStyle name="Separador de milhares 3 15 5 6 2 2" xfId="10588"/>
    <cellStyle name="Separador de milhares 3 15 5 6 2 2 2" xfId="28802"/>
    <cellStyle name="Separador de milhares 3 15 5 6 2 2 2 2" xfId="55032"/>
    <cellStyle name="Separador de milhares 3 15 5 6 2 2 3" xfId="22888"/>
    <cellStyle name="Separador de milhares 3 15 5 6 2 2 3 2" xfId="49124"/>
    <cellStyle name="Separador de milhares 3 15 5 6 2 2 4" xfId="16974"/>
    <cellStyle name="Separador de milhares 3 15 5 6 2 2 4 2" xfId="43216"/>
    <cellStyle name="Separador de milhares 3 15 5 6 2 2 5" xfId="36830"/>
    <cellStyle name="Separador de milhares 3 15 5 6 2 3" xfId="25845"/>
    <cellStyle name="Separador de milhares 3 15 5 6 2 3 2" xfId="52078"/>
    <cellStyle name="Separador de milhares 3 15 5 6 2 4" xfId="19931"/>
    <cellStyle name="Separador de milhares 3 15 5 6 2 4 2" xfId="46170"/>
    <cellStyle name="Separador de milhares 3 15 5 6 2 5" xfId="13833"/>
    <cellStyle name="Separador de milhares 3 15 5 6 2 5 2" xfId="40075"/>
    <cellStyle name="Separador de milhares 3 15 5 6 2 6" xfId="33689"/>
    <cellStyle name="Separador de milhares 3 15 5 6 3" xfId="9120"/>
    <cellStyle name="Separador de milhares 3 15 5 6 3 2" xfId="27334"/>
    <cellStyle name="Separador de milhares 3 15 5 6 3 2 2" xfId="53564"/>
    <cellStyle name="Separador de milhares 3 15 5 6 3 3" xfId="21420"/>
    <cellStyle name="Separador de milhares 3 15 5 6 3 3 2" xfId="47656"/>
    <cellStyle name="Separador de milhares 3 15 5 6 3 4" xfId="15506"/>
    <cellStyle name="Separador de milhares 3 15 5 6 3 4 2" xfId="41748"/>
    <cellStyle name="Separador de milhares 3 15 5 6 3 5" xfId="35362"/>
    <cellStyle name="Separador de milhares 3 15 5 6 4" xfId="5745"/>
    <cellStyle name="Separador de milhares 3 15 5 6 4 2" xfId="24377"/>
    <cellStyle name="Separador de milhares 3 15 5 6 4 2 2" xfId="50610"/>
    <cellStyle name="Separador de milhares 3 15 5 6 4 3" xfId="31990"/>
    <cellStyle name="Separador de milhares 3 15 5 6 5" xfId="18463"/>
    <cellStyle name="Separador de milhares 3 15 5 6 5 2" xfId="44702"/>
    <cellStyle name="Separador de milhares 3 15 5 6 6" xfId="12132"/>
    <cellStyle name="Separador de milhares 3 15 5 6 6 2" xfId="38374"/>
    <cellStyle name="Separador de milhares 3 15 5 6 7" xfId="30292"/>
    <cellStyle name="Separador de milhares 3 15 5 7" xfId="4060"/>
    <cellStyle name="Separador de milhares 3 15 5 7 2" xfId="7591"/>
    <cellStyle name="Separador de milhares 3 15 5 7 2 2" xfId="10735"/>
    <cellStyle name="Separador de milhares 3 15 5 7 2 2 2" xfId="28949"/>
    <cellStyle name="Separador de milhares 3 15 5 7 2 2 2 2" xfId="55179"/>
    <cellStyle name="Separador de milhares 3 15 5 7 2 2 3" xfId="23035"/>
    <cellStyle name="Separador de milhares 3 15 5 7 2 2 3 2" xfId="49271"/>
    <cellStyle name="Separador de milhares 3 15 5 7 2 2 4" xfId="17121"/>
    <cellStyle name="Separador de milhares 3 15 5 7 2 2 4 2" xfId="43363"/>
    <cellStyle name="Separador de milhares 3 15 5 7 2 2 5" xfId="36977"/>
    <cellStyle name="Separador de milhares 3 15 5 7 2 3" xfId="25992"/>
    <cellStyle name="Separador de milhares 3 15 5 7 2 3 2" xfId="52225"/>
    <cellStyle name="Separador de milhares 3 15 5 7 2 4" xfId="20078"/>
    <cellStyle name="Separador de milhares 3 15 5 7 2 4 2" xfId="46317"/>
    <cellStyle name="Separador de milhares 3 15 5 7 2 5" xfId="13980"/>
    <cellStyle name="Separador de milhares 3 15 5 7 2 5 2" xfId="40222"/>
    <cellStyle name="Separador de milhares 3 15 5 7 2 6" xfId="33836"/>
    <cellStyle name="Separador de milhares 3 15 5 7 3" xfId="9267"/>
    <cellStyle name="Separador de milhares 3 15 5 7 3 2" xfId="27481"/>
    <cellStyle name="Separador de milhares 3 15 5 7 3 2 2" xfId="53711"/>
    <cellStyle name="Separador de milhares 3 15 5 7 3 3" xfId="21567"/>
    <cellStyle name="Separador de milhares 3 15 5 7 3 3 2" xfId="47803"/>
    <cellStyle name="Separador de milhares 3 15 5 7 3 4" xfId="15653"/>
    <cellStyle name="Separador de milhares 3 15 5 7 3 4 2" xfId="41895"/>
    <cellStyle name="Separador de milhares 3 15 5 7 3 5" xfId="35509"/>
    <cellStyle name="Separador de milhares 3 15 5 7 4" xfId="5892"/>
    <cellStyle name="Separador de milhares 3 15 5 7 4 2" xfId="24524"/>
    <cellStyle name="Separador de milhares 3 15 5 7 4 2 2" xfId="50757"/>
    <cellStyle name="Separador de milhares 3 15 5 7 4 3" xfId="32137"/>
    <cellStyle name="Separador de milhares 3 15 5 7 5" xfId="18610"/>
    <cellStyle name="Separador de milhares 3 15 5 7 5 2" xfId="44849"/>
    <cellStyle name="Separador de milhares 3 15 5 7 6" xfId="12279"/>
    <cellStyle name="Separador de milhares 3 15 5 7 6 2" xfId="38521"/>
    <cellStyle name="Separador de milhares 3 15 5 7 7" xfId="30439"/>
    <cellStyle name="Separador de milhares 3 15 5 8" xfId="6630"/>
    <cellStyle name="Separador de milhares 3 15 5 8 2" xfId="9777"/>
    <cellStyle name="Separador de milhares 3 15 5 8 2 2" xfId="27991"/>
    <cellStyle name="Separador de milhares 3 15 5 8 2 2 2" xfId="54221"/>
    <cellStyle name="Separador de milhares 3 15 5 8 2 3" xfId="22077"/>
    <cellStyle name="Separador de milhares 3 15 5 8 2 3 2" xfId="48313"/>
    <cellStyle name="Separador de milhares 3 15 5 8 2 4" xfId="16163"/>
    <cellStyle name="Separador de milhares 3 15 5 8 2 4 2" xfId="42405"/>
    <cellStyle name="Separador de milhares 3 15 5 8 2 5" xfId="36019"/>
    <cellStyle name="Separador de milhares 3 15 5 8 3" xfId="25034"/>
    <cellStyle name="Separador de milhares 3 15 5 8 3 2" xfId="51267"/>
    <cellStyle name="Separador de milhares 3 15 5 8 4" xfId="19120"/>
    <cellStyle name="Separador de milhares 3 15 5 8 4 2" xfId="45359"/>
    <cellStyle name="Separador de milhares 3 15 5 8 5" xfId="13019"/>
    <cellStyle name="Separador de milhares 3 15 5 8 5 2" xfId="39261"/>
    <cellStyle name="Separador de milhares 3 15 5 8 6" xfId="32875"/>
    <cellStyle name="Separador de milhares 3 15 5 9" xfId="8306"/>
    <cellStyle name="Separador de milhares 3 15 5 9 2" xfId="26520"/>
    <cellStyle name="Separador de milhares 3 15 5 9 2 2" xfId="52753"/>
    <cellStyle name="Separador de milhares 3 15 5 9 3" xfId="20606"/>
    <cellStyle name="Separador de milhares 3 15 5 9 3 2" xfId="46845"/>
    <cellStyle name="Separador de milhares 3 15 5 9 4" xfId="14695"/>
    <cellStyle name="Separador de milhares 3 15 5 9 4 2" xfId="40937"/>
    <cellStyle name="Separador de milhares 3 15 5 9 5" xfId="34551"/>
    <cellStyle name="Separador de milhares 3 15 6" xfId="812"/>
    <cellStyle name="Separador de milhares 3 15 6 2" xfId="4236"/>
    <cellStyle name="Separador de milhares 3 15 6 2 2" xfId="7640"/>
    <cellStyle name="Separador de milhares 3 15 6 2 2 2" xfId="10784"/>
    <cellStyle name="Separador de milhares 3 15 6 2 2 2 2" xfId="28998"/>
    <cellStyle name="Separador de milhares 3 15 6 2 2 2 2 2" xfId="55228"/>
    <cellStyle name="Separador de milhares 3 15 6 2 2 2 3" xfId="23084"/>
    <cellStyle name="Separador de milhares 3 15 6 2 2 2 3 2" xfId="49320"/>
    <cellStyle name="Separador de milhares 3 15 6 2 2 2 4" xfId="17170"/>
    <cellStyle name="Separador de milhares 3 15 6 2 2 2 4 2" xfId="43412"/>
    <cellStyle name="Separador de milhares 3 15 6 2 2 2 5" xfId="37026"/>
    <cellStyle name="Separador de milhares 3 15 6 2 2 3" xfId="26041"/>
    <cellStyle name="Separador de milhares 3 15 6 2 2 3 2" xfId="52274"/>
    <cellStyle name="Separador de milhares 3 15 6 2 2 4" xfId="20127"/>
    <cellStyle name="Separador de milhares 3 15 6 2 2 4 2" xfId="46366"/>
    <cellStyle name="Separador de milhares 3 15 6 2 2 5" xfId="14029"/>
    <cellStyle name="Separador de milhares 3 15 6 2 2 5 2" xfId="40271"/>
    <cellStyle name="Separador de milhares 3 15 6 2 2 6" xfId="33885"/>
    <cellStyle name="Separador de milhares 3 15 6 2 3" xfId="9316"/>
    <cellStyle name="Separador de milhares 3 15 6 2 3 2" xfId="27530"/>
    <cellStyle name="Separador de milhares 3 15 6 2 3 2 2" xfId="53760"/>
    <cellStyle name="Separador de milhares 3 15 6 2 3 3" xfId="21616"/>
    <cellStyle name="Separador de milhares 3 15 6 2 3 3 2" xfId="47852"/>
    <cellStyle name="Separador de milhares 3 15 6 2 3 4" xfId="15702"/>
    <cellStyle name="Separador de milhares 3 15 6 2 3 4 2" xfId="41944"/>
    <cellStyle name="Separador de milhares 3 15 6 2 3 5" xfId="35558"/>
    <cellStyle name="Separador de milhares 3 15 6 2 4" xfId="5941"/>
    <cellStyle name="Separador de milhares 3 15 6 2 4 2" xfId="24573"/>
    <cellStyle name="Separador de milhares 3 15 6 2 4 2 2" xfId="50806"/>
    <cellStyle name="Separador de milhares 3 15 6 2 4 3" xfId="32186"/>
    <cellStyle name="Separador de milhares 3 15 6 2 5" xfId="18659"/>
    <cellStyle name="Separador de milhares 3 15 6 2 5 2" xfId="44898"/>
    <cellStyle name="Separador de milhares 3 15 6 2 6" xfId="12328"/>
    <cellStyle name="Separador de milhares 3 15 6 2 6 2" xfId="38570"/>
    <cellStyle name="Separador de milhares 3 15 6 2 7" xfId="30488"/>
    <cellStyle name="Separador de milhares 3 15 6 3" xfId="6685"/>
    <cellStyle name="Separador de milhares 3 15 6 3 2" xfId="9832"/>
    <cellStyle name="Separador de milhares 3 15 6 3 2 2" xfId="28046"/>
    <cellStyle name="Separador de milhares 3 15 6 3 2 2 2" xfId="54276"/>
    <cellStyle name="Separador de milhares 3 15 6 3 2 3" xfId="22132"/>
    <cellStyle name="Separador de milhares 3 15 6 3 2 3 2" xfId="48368"/>
    <cellStyle name="Separador de milhares 3 15 6 3 2 4" xfId="16218"/>
    <cellStyle name="Separador de milhares 3 15 6 3 2 4 2" xfId="42460"/>
    <cellStyle name="Separador de milhares 3 15 6 3 2 5" xfId="36074"/>
    <cellStyle name="Separador de milhares 3 15 6 3 3" xfId="25089"/>
    <cellStyle name="Separador de milhares 3 15 6 3 3 2" xfId="51322"/>
    <cellStyle name="Separador de milhares 3 15 6 3 4" xfId="19175"/>
    <cellStyle name="Separador de milhares 3 15 6 3 4 2" xfId="45414"/>
    <cellStyle name="Separador de milhares 3 15 6 3 5" xfId="13074"/>
    <cellStyle name="Separador de milhares 3 15 6 3 5 2" xfId="39316"/>
    <cellStyle name="Separador de milhares 3 15 6 3 6" xfId="32930"/>
    <cellStyle name="Separador de milhares 3 15 6 4" xfId="8364"/>
    <cellStyle name="Separador de milhares 3 15 6 4 2" xfId="26578"/>
    <cellStyle name="Separador de milhares 3 15 6 4 2 2" xfId="52808"/>
    <cellStyle name="Separador de milhares 3 15 6 4 3" xfId="20664"/>
    <cellStyle name="Separador de milhares 3 15 6 4 3 2" xfId="46900"/>
    <cellStyle name="Separador de milhares 3 15 6 4 4" xfId="14750"/>
    <cellStyle name="Separador de milhares 3 15 6 4 4 2" xfId="40992"/>
    <cellStyle name="Separador de milhares 3 15 6 4 5" xfId="34606"/>
    <cellStyle name="Separador de milhares 3 15 6 5" xfId="4986"/>
    <cellStyle name="Separador de milhares 3 15 6 5 2" xfId="23621"/>
    <cellStyle name="Separador de milhares 3 15 6 5 2 2" xfId="49854"/>
    <cellStyle name="Separador de milhares 3 15 6 5 3" xfId="31231"/>
    <cellStyle name="Separador de milhares 3 15 6 6" xfId="17707"/>
    <cellStyle name="Separador de milhares 3 15 6 6 2" xfId="43946"/>
    <cellStyle name="Separador de milhares 3 15 6 7" xfId="11373"/>
    <cellStyle name="Separador de milhares 3 15 6 7 2" xfId="37615"/>
    <cellStyle name="Separador de milhares 3 15 6 8" xfId="29533"/>
    <cellStyle name="Separador de milhares 3 15 7" xfId="1163"/>
    <cellStyle name="Separador de milhares 3 15 7 2" xfId="6783"/>
    <cellStyle name="Separador de milhares 3 15 7 2 2" xfId="9930"/>
    <cellStyle name="Separador de milhares 3 15 7 2 2 2" xfId="28144"/>
    <cellStyle name="Separador de milhares 3 15 7 2 2 2 2" xfId="54374"/>
    <cellStyle name="Separador de milhares 3 15 7 2 2 3" xfId="22230"/>
    <cellStyle name="Separador de milhares 3 15 7 2 2 3 2" xfId="48466"/>
    <cellStyle name="Separador de milhares 3 15 7 2 2 4" xfId="16316"/>
    <cellStyle name="Separador de milhares 3 15 7 2 2 4 2" xfId="42558"/>
    <cellStyle name="Separador de milhares 3 15 7 2 2 5" xfId="36172"/>
    <cellStyle name="Separador de milhares 3 15 7 2 3" xfId="25187"/>
    <cellStyle name="Separador de milhares 3 15 7 2 3 2" xfId="51420"/>
    <cellStyle name="Separador de milhares 3 15 7 2 4" xfId="19273"/>
    <cellStyle name="Separador de milhares 3 15 7 2 4 2" xfId="45512"/>
    <cellStyle name="Separador de milhares 3 15 7 2 5" xfId="13172"/>
    <cellStyle name="Separador de milhares 3 15 7 2 5 2" xfId="39414"/>
    <cellStyle name="Separador de milhares 3 15 7 2 6" xfId="33028"/>
    <cellStyle name="Separador de milhares 3 15 7 3" xfId="8462"/>
    <cellStyle name="Separador de milhares 3 15 7 3 2" xfId="26676"/>
    <cellStyle name="Separador de milhares 3 15 7 3 2 2" xfId="52906"/>
    <cellStyle name="Separador de milhares 3 15 7 3 3" xfId="20762"/>
    <cellStyle name="Separador de milhares 3 15 7 3 3 2" xfId="46998"/>
    <cellStyle name="Separador de milhares 3 15 7 3 4" xfId="14848"/>
    <cellStyle name="Separador de milhares 3 15 7 3 4 2" xfId="41090"/>
    <cellStyle name="Separador de milhares 3 15 7 3 5" xfId="34704"/>
    <cellStyle name="Separador de milhares 3 15 7 4" xfId="5084"/>
    <cellStyle name="Separador de milhares 3 15 7 4 2" xfId="23719"/>
    <cellStyle name="Separador de milhares 3 15 7 4 2 2" xfId="49952"/>
    <cellStyle name="Separador de milhares 3 15 7 4 3" xfId="31329"/>
    <cellStyle name="Separador de milhares 3 15 7 5" xfId="17805"/>
    <cellStyle name="Separador de milhares 3 15 7 5 2" xfId="44044"/>
    <cellStyle name="Separador de milhares 3 15 7 6" xfId="11471"/>
    <cellStyle name="Separador de milhares 3 15 7 6 2" xfId="37713"/>
    <cellStyle name="Separador de milhares 3 15 7 7" xfId="29631"/>
    <cellStyle name="Separador de milhares 3 15 8" xfId="1598"/>
    <cellStyle name="Separador de milhares 3 15 8 2" xfId="6902"/>
    <cellStyle name="Separador de milhares 3 15 8 2 2" xfId="10049"/>
    <cellStyle name="Separador de milhares 3 15 8 2 2 2" xfId="28263"/>
    <cellStyle name="Separador de milhares 3 15 8 2 2 2 2" xfId="54493"/>
    <cellStyle name="Separador de milhares 3 15 8 2 2 3" xfId="22349"/>
    <cellStyle name="Separador de milhares 3 15 8 2 2 3 2" xfId="48585"/>
    <cellStyle name="Separador de milhares 3 15 8 2 2 4" xfId="16435"/>
    <cellStyle name="Separador de milhares 3 15 8 2 2 4 2" xfId="42677"/>
    <cellStyle name="Separador de milhares 3 15 8 2 2 5" xfId="36291"/>
    <cellStyle name="Separador de milhares 3 15 8 2 3" xfId="25306"/>
    <cellStyle name="Separador de milhares 3 15 8 2 3 2" xfId="51539"/>
    <cellStyle name="Separador de milhares 3 15 8 2 4" xfId="19392"/>
    <cellStyle name="Separador de milhares 3 15 8 2 4 2" xfId="45631"/>
    <cellStyle name="Separador de milhares 3 15 8 2 5" xfId="13291"/>
    <cellStyle name="Separador de milhares 3 15 8 2 5 2" xfId="39533"/>
    <cellStyle name="Separador de milhares 3 15 8 2 6" xfId="33147"/>
    <cellStyle name="Separador de milhares 3 15 8 3" xfId="8581"/>
    <cellStyle name="Separador de milhares 3 15 8 3 2" xfId="26795"/>
    <cellStyle name="Separador de milhares 3 15 8 3 2 2" xfId="53025"/>
    <cellStyle name="Separador de milhares 3 15 8 3 3" xfId="20881"/>
    <cellStyle name="Separador de milhares 3 15 8 3 3 2" xfId="47117"/>
    <cellStyle name="Separador de milhares 3 15 8 3 4" xfId="14967"/>
    <cellStyle name="Separador de milhares 3 15 8 3 4 2" xfId="41209"/>
    <cellStyle name="Separador de milhares 3 15 8 3 5" xfId="34823"/>
    <cellStyle name="Separador de milhares 3 15 8 4" xfId="5203"/>
    <cellStyle name="Separador de milhares 3 15 8 4 2" xfId="23838"/>
    <cellStyle name="Separador de milhares 3 15 8 4 2 2" xfId="50071"/>
    <cellStyle name="Separador de milhares 3 15 8 4 3" xfId="31448"/>
    <cellStyle name="Separador de milhares 3 15 8 5" xfId="17924"/>
    <cellStyle name="Separador de milhares 3 15 8 5 2" xfId="44163"/>
    <cellStyle name="Separador de milhares 3 15 8 6" xfId="11590"/>
    <cellStyle name="Separador de milhares 3 15 8 6 2" xfId="37832"/>
    <cellStyle name="Separador de milhares 3 15 8 7" xfId="29750"/>
    <cellStyle name="Separador de milhares 3 15 9" xfId="2128"/>
    <cellStyle name="Separador de milhares 3 15 9 2" xfId="7052"/>
    <cellStyle name="Separador de milhares 3 15 9 2 2" xfId="10196"/>
    <cellStyle name="Separador de milhares 3 15 9 2 2 2" xfId="28410"/>
    <cellStyle name="Separador de milhares 3 15 9 2 2 2 2" xfId="54640"/>
    <cellStyle name="Separador de milhares 3 15 9 2 2 3" xfId="22496"/>
    <cellStyle name="Separador de milhares 3 15 9 2 2 3 2" xfId="48732"/>
    <cellStyle name="Separador de milhares 3 15 9 2 2 4" xfId="16582"/>
    <cellStyle name="Separador de milhares 3 15 9 2 2 4 2" xfId="42824"/>
    <cellStyle name="Separador de milhares 3 15 9 2 2 5" xfId="36438"/>
    <cellStyle name="Separador de milhares 3 15 9 2 3" xfId="25453"/>
    <cellStyle name="Separador de milhares 3 15 9 2 3 2" xfId="51686"/>
    <cellStyle name="Separador de milhares 3 15 9 2 4" xfId="19539"/>
    <cellStyle name="Separador de milhares 3 15 9 2 4 2" xfId="45778"/>
    <cellStyle name="Separador de milhares 3 15 9 2 5" xfId="13441"/>
    <cellStyle name="Separador de milhares 3 15 9 2 5 2" xfId="39683"/>
    <cellStyle name="Separador de milhares 3 15 9 2 6" xfId="33297"/>
    <cellStyle name="Separador de milhares 3 15 9 3" xfId="8728"/>
    <cellStyle name="Separador de milhares 3 15 9 3 2" xfId="26942"/>
    <cellStyle name="Separador de milhares 3 15 9 3 2 2" xfId="53172"/>
    <cellStyle name="Separador de milhares 3 15 9 3 3" xfId="21028"/>
    <cellStyle name="Separador de milhares 3 15 9 3 3 2" xfId="47264"/>
    <cellStyle name="Separador de milhares 3 15 9 3 4" xfId="15114"/>
    <cellStyle name="Separador de milhares 3 15 9 3 4 2" xfId="41356"/>
    <cellStyle name="Separador de milhares 3 15 9 3 5" xfId="34970"/>
    <cellStyle name="Separador de milhares 3 15 9 4" xfId="5353"/>
    <cellStyle name="Separador de milhares 3 15 9 4 2" xfId="23985"/>
    <cellStyle name="Separador de milhares 3 15 9 4 2 2" xfId="50218"/>
    <cellStyle name="Separador de milhares 3 15 9 4 3" xfId="31598"/>
    <cellStyle name="Separador de milhares 3 15 9 5" xfId="18071"/>
    <cellStyle name="Separador de milhares 3 15 9 5 2" xfId="44310"/>
    <cellStyle name="Separador de milhares 3 15 9 6" xfId="11740"/>
    <cellStyle name="Separador de milhares 3 15 9 6 2" xfId="37982"/>
    <cellStyle name="Separador de milhares 3 15 9 7" xfId="29900"/>
    <cellStyle name="Separador de milhares 3 16" xfId="166"/>
    <cellStyle name="Separador de milhares 3 16 10" xfId="6486"/>
    <cellStyle name="Separador de milhares 3 16 10 2" xfId="9640"/>
    <cellStyle name="Separador de milhares 3 16 10 2 2" xfId="27854"/>
    <cellStyle name="Separador de milhares 3 16 10 2 2 2" xfId="54084"/>
    <cellStyle name="Separador de milhares 3 16 10 2 3" xfId="21940"/>
    <cellStyle name="Separador de milhares 3 16 10 2 3 2" xfId="48176"/>
    <cellStyle name="Separador de milhares 3 16 10 2 4" xfId="16026"/>
    <cellStyle name="Separador de milhares 3 16 10 2 4 2" xfId="42268"/>
    <cellStyle name="Separador de milhares 3 16 10 2 5" xfId="35882"/>
    <cellStyle name="Separador de milhares 3 16 10 3" xfId="24897"/>
    <cellStyle name="Separador de milhares 3 16 10 3 2" xfId="51130"/>
    <cellStyle name="Separador de milhares 3 16 10 4" xfId="18983"/>
    <cellStyle name="Separador de milhares 3 16 10 4 2" xfId="45222"/>
    <cellStyle name="Separador de milhares 3 16 10 5" xfId="12875"/>
    <cellStyle name="Separador de milhares 3 16 10 5 2" xfId="39117"/>
    <cellStyle name="Separador de milhares 3 16 10 6" xfId="32731"/>
    <cellStyle name="Separador de milhares 3 16 11" xfId="8169"/>
    <cellStyle name="Separador de milhares 3 16 11 2" xfId="26383"/>
    <cellStyle name="Separador de milhares 3 16 11 2 2" xfId="52616"/>
    <cellStyle name="Separador de milhares 3 16 11 3" xfId="20469"/>
    <cellStyle name="Separador de milhares 3 16 11 3 2" xfId="46708"/>
    <cellStyle name="Separador de milhares 3 16 11 4" xfId="14558"/>
    <cellStyle name="Separador de milhares 3 16 11 4 2" xfId="40800"/>
    <cellStyle name="Separador de milhares 3 16 11 5" xfId="34414"/>
    <cellStyle name="Separador de milhares 3 16 12" xfId="4785"/>
    <cellStyle name="Separador de milhares 3 16 12 2" xfId="23426"/>
    <cellStyle name="Separador de milhares 3 16 12 2 2" xfId="49662"/>
    <cellStyle name="Separador de milhares 3 16 12 3" xfId="31032"/>
    <cellStyle name="Separador de milhares 3 16 13" xfId="17512"/>
    <cellStyle name="Separador de milhares 3 16 13 2" xfId="43754"/>
    <cellStyle name="Separador de milhares 3 16 14" xfId="11174"/>
    <cellStyle name="Separador de milhares 3 16 14 2" xfId="37416"/>
    <cellStyle name="Separador de milhares 3 16 15" xfId="29335"/>
    <cellStyle name="Separador de milhares 3 16 2" xfId="439"/>
    <cellStyle name="Separador de milhares 3 16 2 10" xfId="17586"/>
    <cellStyle name="Separador de milhares 3 16 2 10 2" xfId="43828"/>
    <cellStyle name="Separador de milhares 3 16 2 11" xfId="11255"/>
    <cellStyle name="Separador de milhares 3 16 2 11 2" xfId="37497"/>
    <cellStyle name="Separador de milhares 3 16 2 12" xfId="29415"/>
    <cellStyle name="Separador de milhares 3 16 2 2" xfId="1958"/>
    <cellStyle name="Separador de milhares 3 16 2 2 2" xfId="7005"/>
    <cellStyle name="Separador de milhares 3 16 2 2 2 2" xfId="10152"/>
    <cellStyle name="Separador de milhares 3 16 2 2 2 2 2" xfId="28366"/>
    <cellStyle name="Separador de milhares 3 16 2 2 2 2 2 2" xfId="54596"/>
    <cellStyle name="Separador de milhares 3 16 2 2 2 2 3" xfId="22452"/>
    <cellStyle name="Separador de milhares 3 16 2 2 2 2 3 2" xfId="48688"/>
    <cellStyle name="Separador de milhares 3 16 2 2 2 2 4" xfId="16538"/>
    <cellStyle name="Separador de milhares 3 16 2 2 2 2 4 2" xfId="42780"/>
    <cellStyle name="Separador de milhares 3 16 2 2 2 2 5" xfId="36394"/>
    <cellStyle name="Separador de milhares 3 16 2 2 2 3" xfId="25409"/>
    <cellStyle name="Separador de milhares 3 16 2 2 2 3 2" xfId="51642"/>
    <cellStyle name="Separador de milhares 3 16 2 2 2 4" xfId="19495"/>
    <cellStyle name="Separador de milhares 3 16 2 2 2 4 2" xfId="45734"/>
    <cellStyle name="Separador de milhares 3 16 2 2 2 5" xfId="13394"/>
    <cellStyle name="Separador de milhares 3 16 2 2 2 5 2" xfId="39636"/>
    <cellStyle name="Separador de milhares 3 16 2 2 2 6" xfId="33250"/>
    <cellStyle name="Separador de milhares 3 16 2 2 3" xfId="8684"/>
    <cellStyle name="Separador de milhares 3 16 2 2 3 2" xfId="26898"/>
    <cellStyle name="Separador de milhares 3 16 2 2 3 2 2" xfId="53128"/>
    <cellStyle name="Separador de milhares 3 16 2 2 3 3" xfId="20984"/>
    <cellStyle name="Separador de milhares 3 16 2 2 3 3 2" xfId="47220"/>
    <cellStyle name="Separador de milhares 3 16 2 2 3 4" xfId="15070"/>
    <cellStyle name="Separador de milhares 3 16 2 2 3 4 2" xfId="41312"/>
    <cellStyle name="Separador de milhares 3 16 2 2 3 5" xfId="34926"/>
    <cellStyle name="Separador de milhares 3 16 2 2 4" xfId="5306"/>
    <cellStyle name="Separador de milhares 3 16 2 2 4 2" xfId="23941"/>
    <cellStyle name="Separador de milhares 3 16 2 2 4 2 2" xfId="50174"/>
    <cellStyle name="Separador de milhares 3 16 2 2 4 3" xfId="31551"/>
    <cellStyle name="Separador de milhares 3 16 2 2 5" xfId="18027"/>
    <cellStyle name="Separador de milhares 3 16 2 2 5 2" xfId="44266"/>
    <cellStyle name="Separador de milhares 3 16 2 2 6" xfId="11693"/>
    <cellStyle name="Separador de milhares 3 16 2 2 6 2" xfId="37935"/>
    <cellStyle name="Separador de milhares 3 16 2 2 7" xfId="29853"/>
    <cellStyle name="Separador de milhares 3 16 2 3" xfId="2488"/>
    <cellStyle name="Separador de milhares 3 16 2 3 2" xfId="7155"/>
    <cellStyle name="Separador de milhares 3 16 2 3 2 2" xfId="10299"/>
    <cellStyle name="Separador de milhares 3 16 2 3 2 2 2" xfId="28513"/>
    <cellStyle name="Separador de milhares 3 16 2 3 2 2 2 2" xfId="54743"/>
    <cellStyle name="Separador de milhares 3 16 2 3 2 2 3" xfId="22599"/>
    <cellStyle name="Separador de milhares 3 16 2 3 2 2 3 2" xfId="48835"/>
    <cellStyle name="Separador de milhares 3 16 2 3 2 2 4" xfId="16685"/>
    <cellStyle name="Separador de milhares 3 16 2 3 2 2 4 2" xfId="42927"/>
    <cellStyle name="Separador de milhares 3 16 2 3 2 2 5" xfId="36541"/>
    <cellStyle name="Separador de milhares 3 16 2 3 2 3" xfId="25556"/>
    <cellStyle name="Separador de milhares 3 16 2 3 2 3 2" xfId="51789"/>
    <cellStyle name="Separador de milhares 3 16 2 3 2 4" xfId="19642"/>
    <cellStyle name="Separador de milhares 3 16 2 3 2 4 2" xfId="45881"/>
    <cellStyle name="Separador de milhares 3 16 2 3 2 5" xfId="13544"/>
    <cellStyle name="Separador de milhares 3 16 2 3 2 5 2" xfId="39786"/>
    <cellStyle name="Separador de milhares 3 16 2 3 2 6" xfId="33400"/>
    <cellStyle name="Separador de milhares 3 16 2 3 3" xfId="8831"/>
    <cellStyle name="Separador de milhares 3 16 2 3 3 2" xfId="27045"/>
    <cellStyle name="Separador de milhares 3 16 2 3 3 2 2" xfId="53275"/>
    <cellStyle name="Separador de milhares 3 16 2 3 3 3" xfId="21131"/>
    <cellStyle name="Separador de milhares 3 16 2 3 3 3 2" xfId="47367"/>
    <cellStyle name="Separador de milhares 3 16 2 3 3 4" xfId="15217"/>
    <cellStyle name="Separador de milhares 3 16 2 3 3 4 2" xfId="41459"/>
    <cellStyle name="Separador de milhares 3 16 2 3 3 5" xfId="35073"/>
    <cellStyle name="Separador de milhares 3 16 2 3 4" xfId="5456"/>
    <cellStyle name="Separador de milhares 3 16 2 3 4 2" xfId="24088"/>
    <cellStyle name="Separador de milhares 3 16 2 3 4 2 2" xfId="50321"/>
    <cellStyle name="Separador de milhares 3 16 2 3 4 3" xfId="31701"/>
    <cellStyle name="Separador de milhares 3 16 2 3 5" xfId="18174"/>
    <cellStyle name="Separador de milhares 3 16 2 3 5 2" xfId="44413"/>
    <cellStyle name="Separador de milhares 3 16 2 3 6" xfId="11843"/>
    <cellStyle name="Separador de milhares 3 16 2 3 6 2" xfId="38085"/>
    <cellStyle name="Separador de milhares 3 16 2 3 7" xfId="30003"/>
    <cellStyle name="Separador de milhares 3 16 2 4" xfId="3015"/>
    <cellStyle name="Separador de milhares 3 16 2 4 2" xfId="7302"/>
    <cellStyle name="Separador de milhares 3 16 2 4 2 2" xfId="10446"/>
    <cellStyle name="Separador de milhares 3 16 2 4 2 2 2" xfId="28660"/>
    <cellStyle name="Separador de milhares 3 16 2 4 2 2 2 2" xfId="54890"/>
    <cellStyle name="Separador de milhares 3 16 2 4 2 2 3" xfId="22746"/>
    <cellStyle name="Separador de milhares 3 16 2 4 2 2 3 2" xfId="48982"/>
    <cellStyle name="Separador de milhares 3 16 2 4 2 2 4" xfId="16832"/>
    <cellStyle name="Separador de milhares 3 16 2 4 2 2 4 2" xfId="43074"/>
    <cellStyle name="Separador de milhares 3 16 2 4 2 2 5" xfId="36688"/>
    <cellStyle name="Separador de milhares 3 16 2 4 2 3" xfId="25703"/>
    <cellStyle name="Separador de milhares 3 16 2 4 2 3 2" xfId="51936"/>
    <cellStyle name="Separador de milhares 3 16 2 4 2 4" xfId="19789"/>
    <cellStyle name="Separador de milhares 3 16 2 4 2 4 2" xfId="46028"/>
    <cellStyle name="Separador de milhares 3 16 2 4 2 5" xfId="13691"/>
    <cellStyle name="Separador de milhares 3 16 2 4 2 5 2" xfId="39933"/>
    <cellStyle name="Separador de milhares 3 16 2 4 2 6" xfId="33547"/>
    <cellStyle name="Separador de milhares 3 16 2 4 3" xfId="8978"/>
    <cellStyle name="Separador de milhares 3 16 2 4 3 2" xfId="27192"/>
    <cellStyle name="Separador de milhares 3 16 2 4 3 2 2" xfId="53422"/>
    <cellStyle name="Separador de milhares 3 16 2 4 3 3" xfId="21278"/>
    <cellStyle name="Separador de milhares 3 16 2 4 3 3 2" xfId="47514"/>
    <cellStyle name="Separador de milhares 3 16 2 4 3 4" xfId="15364"/>
    <cellStyle name="Separador de milhares 3 16 2 4 3 4 2" xfId="41606"/>
    <cellStyle name="Separador de milhares 3 16 2 4 3 5" xfId="35220"/>
    <cellStyle name="Separador de milhares 3 16 2 4 4" xfId="5603"/>
    <cellStyle name="Separador de milhares 3 16 2 4 4 2" xfId="24235"/>
    <cellStyle name="Separador de milhares 3 16 2 4 4 2 2" xfId="50468"/>
    <cellStyle name="Separador de milhares 3 16 2 4 4 3" xfId="31848"/>
    <cellStyle name="Separador de milhares 3 16 2 4 5" xfId="18321"/>
    <cellStyle name="Separador de milhares 3 16 2 4 5 2" xfId="44560"/>
    <cellStyle name="Separador de milhares 3 16 2 4 6" xfId="11990"/>
    <cellStyle name="Separador de milhares 3 16 2 4 6 2" xfId="38232"/>
    <cellStyle name="Separador de milhares 3 16 2 4 7" xfId="30150"/>
    <cellStyle name="Separador de milhares 3 16 2 5" xfId="3542"/>
    <cellStyle name="Separador de milhares 3 16 2 5 2" xfId="7449"/>
    <cellStyle name="Separador de milhares 3 16 2 5 2 2" xfId="10593"/>
    <cellStyle name="Separador de milhares 3 16 2 5 2 2 2" xfId="28807"/>
    <cellStyle name="Separador de milhares 3 16 2 5 2 2 2 2" xfId="55037"/>
    <cellStyle name="Separador de milhares 3 16 2 5 2 2 3" xfId="22893"/>
    <cellStyle name="Separador de milhares 3 16 2 5 2 2 3 2" xfId="49129"/>
    <cellStyle name="Separador de milhares 3 16 2 5 2 2 4" xfId="16979"/>
    <cellStyle name="Separador de milhares 3 16 2 5 2 2 4 2" xfId="43221"/>
    <cellStyle name="Separador de milhares 3 16 2 5 2 2 5" xfId="36835"/>
    <cellStyle name="Separador de milhares 3 16 2 5 2 3" xfId="25850"/>
    <cellStyle name="Separador de milhares 3 16 2 5 2 3 2" xfId="52083"/>
    <cellStyle name="Separador de milhares 3 16 2 5 2 4" xfId="19936"/>
    <cellStyle name="Separador de milhares 3 16 2 5 2 4 2" xfId="46175"/>
    <cellStyle name="Separador de milhares 3 16 2 5 2 5" xfId="13838"/>
    <cellStyle name="Separador de milhares 3 16 2 5 2 5 2" xfId="40080"/>
    <cellStyle name="Separador de milhares 3 16 2 5 2 6" xfId="33694"/>
    <cellStyle name="Separador de milhares 3 16 2 5 3" xfId="9125"/>
    <cellStyle name="Separador de milhares 3 16 2 5 3 2" xfId="27339"/>
    <cellStyle name="Separador de milhares 3 16 2 5 3 2 2" xfId="53569"/>
    <cellStyle name="Separador de milhares 3 16 2 5 3 3" xfId="21425"/>
    <cellStyle name="Separador de milhares 3 16 2 5 3 3 2" xfId="47661"/>
    <cellStyle name="Separador de milhares 3 16 2 5 3 4" xfId="15511"/>
    <cellStyle name="Separador de milhares 3 16 2 5 3 4 2" xfId="41753"/>
    <cellStyle name="Separador de milhares 3 16 2 5 3 5" xfId="35367"/>
    <cellStyle name="Separador de milhares 3 16 2 5 4" xfId="5750"/>
    <cellStyle name="Separador de milhares 3 16 2 5 4 2" xfId="24382"/>
    <cellStyle name="Separador de milhares 3 16 2 5 4 2 2" xfId="50615"/>
    <cellStyle name="Separador de milhares 3 16 2 5 4 3" xfId="31995"/>
    <cellStyle name="Separador de milhares 3 16 2 5 5" xfId="18468"/>
    <cellStyle name="Separador de milhares 3 16 2 5 5 2" xfId="44707"/>
    <cellStyle name="Separador de milhares 3 16 2 5 6" xfId="12137"/>
    <cellStyle name="Separador de milhares 3 16 2 5 6 2" xfId="38379"/>
    <cellStyle name="Separador de milhares 3 16 2 5 7" xfId="30297"/>
    <cellStyle name="Separador de milhares 3 16 2 6" xfId="4069"/>
    <cellStyle name="Separador de milhares 3 16 2 6 2" xfId="7596"/>
    <cellStyle name="Separador de milhares 3 16 2 6 2 2" xfId="10740"/>
    <cellStyle name="Separador de milhares 3 16 2 6 2 2 2" xfId="28954"/>
    <cellStyle name="Separador de milhares 3 16 2 6 2 2 2 2" xfId="55184"/>
    <cellStyle name="Separador de milhares 3 16 2 6 2 2 3" xfId="23040"/>
    <cellStyle name="Separador de milhares 3 16 2 6 2 2 3 2" xfId="49276"/>
    <cellStyle name="Separador de milhares 3 16 2 6 2 2 4" xfId="17126"/>
    <cellStyle name="Separador de milhares 3 16 2 6 2 2 4 2" xfId="43368"/>
    <cellStyle name="Separador de milhares 3 16 2 6 2 2 5" xfId="36982"/>
    <cellStyle name="Separador de milhares 3 16 2 6 2 3" xfId="25997"/>
    <cellStyle name="Separador de milhares 3 16 2 6 2 3 2" xfId="52230"/>
    <cellStyle name="Separador de milhares 3 16 2 6 2 4" xfId="20083"/>
    <cellStyle name="Separador de milhares 3 16 2 6 2 4 2" xfId="46322"/>
    <cellStyle name="Separador de milhares 3 16 2 6 2 5" xfId="13985"/>
    <cellStyle name="Separador de milhares 3 16 2 6 2 5 2" xfId="40227"/>
    <cellStyle name="Separador de milhares 3 16 2 6 2 6" xfId="33841"/>
    <cellStyle name="Separador de milhares 3 16 2 6 3" xfId="9272"/>
    <cellStyle name="Separador de milhares 3 16 2 6 3 2" xfId="27486"/>
    <cellStyle name="Separador de milhares 3 16 2 6 3 2 2" xfId="53716"/>
    <cellStyle name="Separador de milhares 3 16 2 6 3 3" xfId="21572"/>
    <cellStyle name="Separador de milhares 3 16 2 6 3 3 2" xfId="47808"/>
    <cellStyle name="Separador de milhares 3 16 2 6 3 4" xfId="15658"/>
    <cellStyle name="Separador de milhares 3 16 2 6 3 4 2" xfId="41900"/>
    <cellStyle name="Separador de milhares 3 16 2 6 3 5" xfId="35514"/>
    <cellStyle name="Separador de milhares 3 16 2 6 4" xfId="5897"/>
    <cellStyle name="Separador de milhares 3 16 2 6 4 2" xfId="24529"/>
    <cellStyle name="Separador de milhares 3 16 2 6 4 2 2" xfId="50762"/>
    <cellStyle name="Separador de milhares 3 16 2 6 4 3" xfId="32142"/>
    <cellStyle name="Separador de milhares 3 16 2 6 5" xfId="18615"/>
    <cellStyle name="Separador de milhares 3 16 2 6 5 2" xfId="44854"/>
    <cellStyle name="Separador de milhares 3 16 2 6 6" xfId="12284"/>
    <cellStyle name="Separador de milhares 3 16 2 6 6 2" xfId="38526"/>
    <cellStyle name="Separador de milhares 3 16 2 6 7" xfId="30444"/>
    <cellStyle name="Separador de milhares 3 16 2 7" xfId="6567"/>
    <cellStyle name="Separador de milhares 3 16 2 7 2" xfId="9714"/>
    <cellStyle name="Separador de milhares 3 16 2 7 2 2" xfId="27928"/>
    <cellStyle name="Separador de milhares 3 16 2 7 2 2 2" xfId="54158"/>
    <cellStyle name="Separador de milhares 3 16 2 7 2 3" xfId="22014"/>
    <cellStyle name="Separador de milhares 3 16 2 7 2 3 2" xfId="48250"/>
    <cellStyle name="Separador de milhares 3 16 2 7 2 4" xfId="16100"/>
    <cellStyle name="Separador de milhares 3 16 2 7 2 4 2" xfId="42342"/>
    <cellStyle name="Separador de milhares 3 16 2 7 2 5" xfId="35956"/>
    <cellStyle name="Separador de milhares 3 16 2 7 3" xfId="24971"/>
    <cellStyle name="Separador de milhares 3 16 2 7 3 2" xfId="51204"/>
    <cellStyle name="Separador de milhares 3 16 2 7 4" xfId="19057"/>
    <cellStyle name="Separador de milhares 3 16 2 7 4 2" xfId="45296"/>
    <cellStyle name="Separador de milhares 3 16 2 7 5" xfId="12956"/>
    <cellStyle name="Separador de milhares 3 16 2 7 5 2" xfId="39198"/>
    <cellStyle name="Separador de milhares 3 16 2 7 6" xfId="32812"/>
    <cellStyle name="Separador de milhares 3 16 2 8" xfId="8243"/>
    <cellStyle name="Separador de milhares 3 16 2 8 2" xfId="26457"/>
    <cellStyle name="Separador de milhares 3 16 2 8 2 2" xfId="52690"/>
    <cellStyle name="Separador de milhares 3 16 2 8 3" xfId="20543"/>
    <cellStyle name="Separador de milhares 3 16 2 8 3 2" xfId="46782"/>
    <cellStyle name="Separador de milhares 3 16 2 8 4" xfId="14632"/>
    <cellStyle name="Separador de milhares 3 16 2 8 4 2" xfId="40874"/>
    <cellStyle name="Separador de milhares 3 16 2 8 5" xfId="34488"/>
    <cellStyle name="Separador de milhares 3 16 2 9" xfId="4866"/>
    <cellStyle name="Separador de milhares 3 16 2 9 2" xfId="23500"/>
    <cellStyle name="Separador de milhares 3 16 2 9 2 2" xfId="49736"/>
    <cellStyle name="Separador de milhares 3 16 2 9 3" xfId="31113"/>
    <cellStyle name="Separador de milhares 3 16 3" xfId="912"/>
    <cellStyle name="Separador de milhares 3 16 3 2" xfId="6718"/>
    <cellStyle name="Separador de milhares 3 16 3 2 2" xfId="9865"/>
    <cellStyle name="Separador de milhares 3 16 3 2 2 2" xfId="28079"/>
    <cellStyle name="Separador de milhares 3 16 3 2 2 2 2" xfId="54309"/>
    <cellStyle name="Separador de milhares 3 16 3 2 2 3" xfId="22165"/>
    <cellStyle name="Separador de milhares 3 16 3 2 2 3 2" xfId="48401"/>
    <cellStyle name="Separador de milhares 3 16 3 2 2 4" xfId="16251"/>
    <cellStyle name="Separador de milhares 3 16 3 2 2 4 2" xfId="42493"/>
    <cellStyle name="Separador de milhares 3 16 3 2 2 5" xfId="36107"/>
    <cellStyle name="Separador de milhares 3 16 3 2 3" xfId="25122"/>
    <cellStyle name="Separador de milhares 3 16 3 2 3 2" xfId="51355"/>
    <cellStyle name="Separador de milhares 3 16 3 2 4" xfId="19208"/>
    <cellStyle name="Separador de milhares 3 16 3 2 4 2" xfId="45447"/>
    <cellStyle name="Separador de milhares 3 16 3 2 5" xfId="13107"/>
    <cellStyle name="Separador de milhares 3 16 3 2 5 2" xfId="39349"/>
    <cellStyle name="Separador de milhares 3 16 3 2 6" xfId="32963"/>
    <cellStyle name="Separador de milhares 3 16 3 3" xfId="8397"/>
    <cellStyle name="Separador de milhares 3 16 3 3 2" xfId="26611"/>
    <cellStyle name="Separador de milhares 3 16 3 3 2 2" xfId="52841"/>
    <cellStyle name="Separador de milhares 3 16 3 3 3" xfId="20697"/>
    <cellStyle name="Separador de milhares 3 16 3 3 3 2" xfId="46933"/>
    <cellStyle name="Separador de milhares 3 16 3 3 4" xfId="14783"/>
    <cellStyle name="Separador de milhares 3 16 3 3 4 2" xfId="41025"/>
    <cellStyle name="Separador de milhares 3 16 3 3 5" xfId="34639"/>
    <cellStyle name="Separador de milhares 3 16 3 4" xfId="5019"/>
    <cellStyle name="Separador de milhares 3 16 3 4 2" xfId="23654"/>
    <cellStyle name="Separador de milhares 3 16 3 4 2 2" xfId="49887"/>
    <cellStyle name="Separador de milhares 3 16 3 4 3" xfId="31264"/>
    <cellStyle name="Separador de milhares 3 16 3 5" xfId="17740"/>
    <cellStyle name="Separador de milhares 3 16 3 5 2" xfId="43979"/>
    <cellStyle name="Separador de milhares 3 16 3 6" xfId="11406"/>
    <cellStyle name="Separador de milhares 3 16 3 6 2" xfId="37648"/>
    <cellStyle name="Separador de milhares 3 16 3 7" xfId="29566"/>
    <cellStyle name="Separador de milhares 3 16 4" xfId="1263"/>
    <cellStyle name="Separador de milhares 3 16 4 2" xfId="6816"/>
    <cellStyle name="Separador de milhares 3 16 4 2 2" xfId="9963"/>
    <cellStyle name="Separador de milhares 3 16 4 2 2 2" xfId="28177"/>
    <cellStyle name="Separador de milhares 3 16 4 2 2 2 2" xfId="54407"/>
    <cellStyle name="Separador de milhares 3 16 4 2 2 3" xfId="22263"/>
    <cellStyle name="Separador de milhares 3 16 4 2 2 3 2" xfId="48499"/>
    <cellStyle name="Separador de milhares 3 16 4 2 2 4" xfId="16349"/>
    <cellStyle name="Separador de milhares 3 16 4 2 2 4 2" xfId="42591"/>
    <cellStyle name="Separador de milhares 3 16 4 2 2 5" xfId="36205"/>
    <cellStyle name="Separador de milhares 3 16 4 2 3" xfId="25220"/>
    <cellStyle name="Separador de milhares 3 16 4 2 3 2" xfId="51453"/>
    <cellStyle name="Separador de milhares 3 16 4 2 4" xfId="19306"/>
    <cellStyle name="Separador de milhares 3 16 4 2 4 2" xfId="45545"/>
    <cellStyle name="Separador de milhares 3 16 4 2 5" xfId="13205"/>
    <cellStyle name="Separador de milhares 3 16 4 2 5 2" xfId="39447"/>
    <cellStyle name="Separador de milhares 3 16 4 2 6" xfId="33061"/>
    <cellStyle name="Separador de milhares 3 16 4 3" xfId="8495"/>
    <cellStyle name="Separador de milhares 3 16 4 3 2" xfId="26709"/>
    <cellStyle name="Separador de milhares 3 16 4 3 2 2" xfId="52939"/>
    <cellStyle name="Separador de milhares 3 16 4 3 3" xfId="20795"/>
    <cellStyle name="Separador de milhares 3 16 4 3 3 2" xfId="47031"/>
    <cellStyle name="Separador de milhares 3 16 4 3 4" xfId="14881"/>
    <cellStyle name="Separador de milhares 3 16 4 3 4 2" xfId="41123"/>
    <cellStyle name="Separador de milhares 3 16 4 3 5" xfId="34737"/>
    <cellStyle name="Separador de milhares 3 16 4 4" xfId="5117"/>
    <cellStyle name="Separador de milhares 3 16 4 4 2" xfId="23752"/>
    <cellStyle name="Separador de milhares 3 16 4 4 2 2" xfId="49985"/>
    <cellStyle name="Separador de milhares 3 16 4 4 3" xfId="31362"/>
    <cellStyle name="Separador de milhares 3 16 4 5" xfId="17838"/>
    <cellStyle name="Separador de milhares 3 16 4 5 2" xfId="44077"/>
    <cellStyle name="Separador de milhares 3 16 4 6" xfId="11504"/>
    <cellStyle name="Separador de milhares 3 16 4 6 2" xfId="37746"/>
    <cellStyle name="Separador de milhares 3 16 4 7" xfId="29664"/>
    <cellStyle name="Separador de milhares 3 16 5" xfId="1698"/>
    <cellStyle name="Separador de milhares 3 16 5 2" xfId="6935"/>
    <cellStyle name="Separador de milhares 3 16 5 2 2" xfId="10082"/>
    <cellStyle name="Separador de milhares 3 16 5 2 2 2" xfId="28296"/>
    <cellStyle name="Separador de milhares 3 16 5 2 2 2 2" xfId="54526"/>
    <cellStyle name="Separador de milhares 3 16 5 2 2 3" xfId="22382"/>
    <cellStyle name="Separador de milhares 3 16 5 2 2 3 2" xfId="48618"/>
    <cellStyle name="Separador de milhares 3 16 5 2 2 4" xfId="16468"/>
    <cellStyle name="Separador de milhares 3 16 5 2 2 4 2" xfId="42710"/>
    <cellStyle name="Separador de milhares 3 16 5 2 2 5" xfId="36324"/>
    <cellStyle name="Separador de milhares 3 16 5 2 3" xfId="25339"/>
    <cellStyle name="Separador de milhares 3 16 5 2 3 2" xfId="51572"/>
    <cellStyle name="Separador de milhares 3 16 5 2 4" xfId="19425"/>
    <cellStyle name="Separador de milhares 3 16 5 2 4 2" xfId="45664"/>
    <cellStyle name="Separador de milhares 3 16 5 2 5" xfId="13324"/>
    <cellStyle name="Separador de milhares 3 16 5 2 5 2" xfId="39566"/>
    <cellStyle name="Separador de milhares 3 16 5 2 6" xfId="33180"/>
    <cellStyle name="Separador de milhares 3 16 5 3" xfId="8614"/>
    <cellStyle name="Separador de milhares 3 16 5 3 2" xfId="26828"/>
    <cellStyle name="Separador de milhares 3 16 5 3 2 2" xfId="53058"/>
    <cellStyle name="Separador de milhares 3 16 5 3 3" xfId="20914"/>
    <cellStyle name="Separador de milhares 3 16 5 3 3 2" xfId="47150"/>
    <cellStyle name="Separador de milhares 3 16 5 3 4" xfId="15000"/>
    <cellStyle name="Separador de milhares 3 16 5 3 4 2" xfId="41242"/>
    <cellStyle name="Separador de milhares 3 16 5 3 5" xfId="34856"/>
    <cellStyle name="Separador de milhares 3 16 5 4" xfId="5236"/>
    <cellStyle name="Separador de milhares 3 16 5 4 2" xfId="23871"/>
    <cellStyle name="Separador de milhares 3 16 5 4 2 2" xfId="50104"/>
    <cellStyle name="Separador de milhares 3 16 5 4 3" xfId="31481"/>
    <cellStyle name="Separador de milhares 3 16 5 5" xfId="17957"/>
    <cellStyle name="Separador de milhares 3 16 5 5 2" xfId="44196"/>
    <cellStyle name="Separador de milhares 3 16 5 6" xfId="11623"/>
    <cellStyle name="Separador de milhares 3 16 5 6 2" xfId="37865"/>
    <cellStyle name="Separador de milhares 3 16 5 7" xfId="29783"/>
    <cellStyle name="Separador de milhares 3 16 6" xfId="2228"/>
    <cellStyle name="Separador de milhares 3 16 6 2" xfId="7085"/>
    <cellStyle name="Separador de milhares 3 16 6 2 2" xfId="10229"/>
    <cellStyle name="Separador de milhares 3 16 6 2 2 2" xfId="28443"/>
    <cellStyle name="Separador de milhares 3 16 6 2 2 2 2" xfId="54673"/>
    <cellStyle name="Separador de milhares 3 16 6 2 2 3" xfId="22529"/>
    <cellStyle name="Separador de milhares 3 16 6 2 2 3 2" xfId="48765"/>
    <cellStyle name="Separador de milhares 3 16 6 2 2 4" xfId="16615"/>
    <cellStyle name="Separador de milhares 3 16 6 2 2 4 2" xfId="42857"/>
    <cellStyle name="Separador de milhares 3 16 6 2 2 5" xfId="36471"/>
    <cellStyle name="Separador de milhares 3 16 6 2 3" xfId="25486"/>
    <cellStyle name="Separador de milhares 3 16 6 2 3 2" xfId="51719"/>
    <cellStyle name="Separador de milhares 3 16 6 2 4" xfId="19572"/>
    <cellStyle name="Separador de milhares 3 16 6 2 4 2" xfId="45811"/>
    <cellStyle name="Separador de milhares 3 16 6 2 5" xfId="13474"/>
    <cellStyle name="Separador de milhares 3 16 6 2 5 2" xfId="39716"/>
    <cellStyle name="Separador de milhares 3 16 6 2 6" xfId="33330"/>
    <cellStyle name="Separador de milhares 3 16 6 3" xfId="8761"/>
    <cellStyle name="Separador de milhares 3 16 6 3 2" xfId="26975"/>
    <cellStyle name="Separador de milhares 3 16 6 3 2 2" xfId="53205"/>
    <cellStyle name="Separador de milhares 3 16 6 3 3" xfId="21061"/>
    <cellStyle name="Separador de milhares 3 16 6 3 3 2" xfId="47297"/>
    <cellStyle name="Separador de milhares 3 16 6 3 4" xfId="15147"/>
    <cellStyle name="Separador de milhares 3 16 6 3 4 2" xfId="41389"/>
    <cellStyle name="Separador de milhares 3 16 6 3 5" xfId="35003"/>
    <cellStyle name="Separador de milhares 3 16 6 4" xfId="5386"/>
    <cellStyle name="Separador de milhares 3 16 6 4 2" xfId="24018"/>
    <cellStyle name="Separador de milhares 3 16 6 4 2 2" xfId="50251"/>
    <cellStyle name="Separador de milhares 3 16 6 4 3" xfId="31631"/>
    <cellStyle name="Separador de milhares 3 16 6 5" xfId="18104"/>
    <cellStyle name="Separador de milhares 3 16 6 5 2" xfId="44343"/>
    <cellStyle name="Separador de milhares 3 16 6 6" xfId="11773"/>
    <cellStyle name="Separador de milhares 3 16 6 6 2" xfId="38015"/>
    <cellStyle name="Separador de milhares 3 16 6 7" xfId="29933"/>
    <cellStyle name="Separador de milhares 3 16 7" xfId="2755"/>
    <cellStyle name="Separador de milhares 3 16 7 2" xfId="7232"/>
    <cellStyle name="Separador de milhares 3 16 7 2 2" xfId="10376"/>
    <cellStyle name="Separador de milhares 3 16 7 2 2 2" xfId="28590"/>
    <cellStyle name="Separador de milhares 3 16 7 2 2 2 2" xfId="54820"/>
    <cellStyle name="Separador de milhares 3 16 7 2 2 3" xfId="22676"/>
    <cellStyle name="Separador de milhares 3 16 7 2 2 3 2" xfId="48912"/>
    <cellStyle name="Separador de milhares 3 16 7 2 2 4" xfId="16762"/>
    <cellStyle name="Separador de milhares 3 16 7 2 2 4 2" xfId="43004"/>
    <cellStyle name="Separador de milhares 3 16 7 2 2 5" xfId="36618"/>
    <cellStyle name="Separador de milhares 3 16 7 2 3" xfId="25633"/>
    <cellStyle name="Separador de milhares 3 16 7 2 3 2" xfId="51866"/>
    <cellStyle name="Separador de milhares 3 16 7 2 4" xfId="19719"/>
    <cellStyle name="Separador de milhares 3 16 7 2 4 2" xfId="45958"/>
    <cellStyle name="Separador de milhares 3 16 7 2 5" xfId="13621"/>
    <cellStyle name="Separador de milhares 3 16 7 2 5 2" xfId="39863"/>
    <cellStyle name="Separador de milhares 3 16 7 2 6" xfId="33477"/>
    <cellStyle name="Separador de milhares 3 16 7 3" xfId="8908"/>
    <cellStyle name="Separador de milhares 3 16 7 3 2" xfId="27122"/>
    <cellStyle name="Separador de milhares 3 16 7 3 2 2" xfId="53352"/>
    <cellStyle name="Separador de milhares 3 16 7 3 3" xfId="21208"/>
    <cellStyle name="Separador de milhares 3 16 7 3 3 2" xfId="47444"/>
    <cellStyle name="Separador de milhares 3 16 7 3 4" xfId="15294"/>
    <cellStyle name="Separador de milhares 3 16 7 3 4 2" xfId="41536"/>
    <cellStyle name="Separador de milhares 3 16 7 3 5" xfId="35150"/>
    <cellStyle name="Separador de milhares 3 16 7 4" xfId="5533"/>
    <cellStyle name="Separador de milhares 3 16 7 4 2" xfId="24165"/>
    <cellStyle name="Separador de milhares 3 16 7 4 2 2" xfId="50398"/>
    <cellStyle name="Separador de milhares 3 16 7 4 3" xfId="31778"/>
    <cellStyle name="Separador de milhares 3 16 7 5" xfId="18251"/>
    <cellStyle name="Separador de milhares 3 16 7 5 2" xfId="44490"/>
    <cellStyle name="Separador de milhares 3 16 7 6" xfId="11920"/>
    <cellStyle name="Separador de milhares 3 16 7 6 2" xfId="38162"/>
    <cellStyle name="Separador de milhares 3 16 7 7" xfId="30080"/>
    <cellStyle name="Separador de milhares 3 16 8" xfId="3282"/>
    <cellStyle name="Separador de milhares 3 16 8 2" xfId="7379"/>
    <cellStyle name="Separador de milhares 3 16 8 2 2" xfId="10523"/>
    <cellStyle name="Separador de milhares 3 16 8 2 2 2" xfId="28737"/>
    <cellStyle name="Separador de milhares 3 16 8 2 2 2 2" xfId="54967"/>
    <cellStyle name="Separador de milhares 3 16 8 2 2 3" xfId="22823"/>
    <cellStyle name="Separador de milhares 3 16 8 2 2 3 2" xfId="49059"/>
    <cellStyle name="Separador de milhares 3 16 8 2 2 4" xfId="16909"/>
    <cellStyle name="Separador de milhares 3 16 8 2 2 4 2" xfId="43151"/>
    <cellStyle name="Separador de milhares 3 16 8 2 2 5" xfId="36765"/>
    <cellStyle name="Separador de milhares 3 16 8 2 3" xfId="25780"/>
    <cellStyle name="Separador de milhares 3 16 8 2 3 2" xfId="52013"/>
    <cellStyle name="Separador de milhares 3 16 8 2 4" xfId="19866"/>
    <cellStyle name="Separador de milhares 3 16 8 2 4 2" xfId="46105"/>
    <cellStyle name="Separador de milhares 3 16 8 2 5" xfId="13768"/>
    <cellStyle name="Separador de milhares 3 16 8 2 5 2" xfId="40010"/>
    <cellStyle name="Separador de milhares 3 16 8 2 6" xfId="33624"/>
    <cellStyle name="Separador de milhares 3 16 8 3" xfId="9055"/>
    <cellStyle name="Separador de milhares 3 16 8 3 2" xfId="27269"/>
    <cellStyle name="Separador de milhares 3 16 8 3 2 2" xfId="53499"/>
    <cellStyle name="Separador de milhares 3 16 8 3 3" xfId="21355"/>
    <cellStyle name="Separador de milhares 3 16 8 3 3 2" xfId="47591"/>
    <cellStyle name="Separador de milhares 3 16 8 3 4" xfId="15441"/>
    <cellStyle name="Separador de milhares 3 16 8 3 4 2" xfId="41683"/>
    <cellStyle name="Separador de milhares 3 16 8 3 5" xfId="35297"/>
    <cellStyle name="Separador de milhares 3 16 8 4" xfId="5680"/>
    <cellStyle name="Separador de milhares 3 16 8 4 2" xfId="24312"/>
    <cellStyle name="Separador de milhares 3 16 8 4 2 2" xfId="50545"/>
    <cellStyle name="Separador de milhares 3 16 8 4 3" xfId="31925"/>
    <cellStyle name="Separador de milhares 3 16 8 5" xfId="18398"/>
    <cellStyle name="Separador de milhares 3 16 8 5 2" xfId="44637"/>
    <cellStyle name="Separador de milhares 3 16 8 6" xfId="12067"/>
    <cellStyle name="Separador de milhares 3 16 8 6 2" xfId="38309"/>
    <cellStyle name="Separador de milhares 3 16 8 7" xfId="30227"/>
    <cellStyle name="Separador de milhares 3 16 9" xfId="3809"/>
    <cellStyle name="Separador de milhares 3 16 9 2" xfId="7526"/>
    <cellStyle name="Separador de milhares 3 16 9 2 2" xfId="10670"/>
    <cellStyle name="Separador de milhares 3 16 9 2 2 2" xfId="28884"/>
    <cellStyle name="Separador de milhares 3 16 9 2 2 2 2" xfId="55114"/>
    <cellStyle name="Separador de milhares 3 16 9 2 2 3" xfId="22970"/>
    <cellStyle name="Separador de milhares 3 16 9 2 2 3 2" xfId="49206"/>
    <cellStyle name="Separador de milhares 3 16 9 2 2 4" xfId="17056"/>
    <cellStyle name="Separador de milhares 3 16 9 2 2 4 2" xfId="43298"/>
    <cellStyle name="Separador de milhares 3 16 9 2 2 5" xfId="36912"/>
    <cellStyle name="Separador de milhares 3 16 9 2 3" xfId="25927"/>
    <cellStyle name="Separador de milhares 3 16 9 2 3 2" xfId="52160"/>
    <cellStyle name="Separador de milhares 3 16 9 2 4" xfId="20013"/>
    <cellStyle name="Separador de milhares 3 16 9 2 4 2" xfId="46252"/>
    <cellStyle name="Separador de milhares 3 16 9 2 5" xfId="13915"/>
    <cellStyle name="Separador de milhares 3 16 9 2 5 2" xfId="40157"/>
    <cellStyle name="Separador de milhares 3 16 9 2 6" xfId="33771"/>
    <cellStyle name="Separador de milhares 3 16 9 3" xfId="9202"/>
    <cellStyle name="Separador de milhares 3 16 9 3 2" xfId="27416"/>
    <cellStyle name="Separador de milhares 3 16 9 3 2 2" xfId="53646"/>
    <cellStyle name="Separador de milhares 3 16 9 3 3" xfId="21502"/>
    <cellStyle name="Separador de milhares 3 16 9 3 3 2" xfId="47738"/>
    <cellStyle name="Separador de milhares 3 16 9 3 4" xfId="15588"/>
    <cellStyle name="Separador de milhares 3 16 9 3 4 2" xfId="41830"/>
    <cellStyle name="Separador de milhares 3 16 9 3 5" xfId="35444"/>
    <cellStyle name="Separador de milhares 3 16 9 4" xfId="5827"/>
    <cellStyle name="Separador de milhares 3 16 9 4 2" xfId="24459"/>
    <cellStyle name="Separador de milhares 3 16 9 4 2 2" xfId="50692"/>
    <cellStyle name="Separador de milhares 3 16 9 4 3" xfId="32072"/>
    <cellStyle name="Separador de milhares 3 16 9 5" xfId="18545"/>
    <cellStyle name="Separador de milhares 3 16 9 5 2" xfId="44784"/>
    <cellStyle name="Separador de milhares 3 16 9 6" xfId="12214"/>
    <cellStyle name="Separador de milhares 3 16 9 6 2" xfId="38456"/>
    <cellStyle name="Separador de milhares 3 16 9 7" xfId="30374"/>
    <cellStyle name="Separador de milhares 3 17" xfId="261"/>
    <cellStyle name="Separador de milhares 3 17 10" xfId="6517"/>
    <cellStyle name="Separador de milhares 3 17 10 2" xfId="9668"/>
    <cellStyle name="Separador de milhares 3 17 10 2 2" xfId="27882"/>
    <cellStyle name="Separador de milhares 3 17 10 2 2 2" xfId="54112"/>
    <cellStyle name="Separador de milhares 3 17 10 2 3" xfId="21968"/>
    <cellStyle name="Separador de milhares 3 17 10 2 3 2" xfId="48204"/>
    <cellStyle name="Separador de milhares 3 17 10 2 4" xfId="16054"/>
    <cellStyle name="Separador de milhares 3 17 10 2 4 2" xfId="42296"/>
    <cellStyle name="Separador de milhares 3 17 10 2 5" xfId="35910"/>
    <cellStyle name="Separador de milhares 3 17 10 3" xfId="24925"/>
    <cellStyle name="Separador de milhares 3 17 10 3 2" xfId="51158"/>
    <cellStyle name="Separador de milhares 3 17 10 4" xfId="19011"/>
    <cellStyle name="Separador de milhares 3 17 10 4 2" xfId="45250"/>
    <cellStyle name="Separador de milhares 3 17 10 5" xfId="12906"/>
    <cellStyle name="Separador de milhares 3 17 10 5 2" xfId="39148"/>
    <cellStyle name="Separador de milhares 3 17 10 6" xfId="32762"/>
    <cellStyle name="Separador de milhares 3 17 11" xfId="8197"/>
    <cellStyle name="Separador de milhares 3 17 11 2" xfId="26411"/>
    <cellStyle name="Separador de milhares 3 17 11 2 2" xfId="52644"/>
    <cellStyle name="Separador de milhares 3 17 11 3" xfId="20497"/>
    <cellStyle name="Separador de milhares 3 17 11 3 2" xfId="46736"/>
    <cellStyle name="Separador de milhares 3 17 11 4" xfId="14586"/>
    <cellStyle name="Separador de milhares 3 17 11 4 2" xfId="40828"/>
    <cellStyle name="Separador de milhares 3 17 11 5" xfId="34442"/>
    <cellStyle name="Separador de milhares 3 17 12" xfId="4816"/>
    <cellStyle name="Separador de milhares 3 17 12 2" xfId="23454"/>
    <cellStyle name="Separador de milhares 3 17 12 2 2" xfId="49690"/>
    <cellStyle name="Separador de milhares 3 17 12 3" xfId="31063"/>
    <cellStyle name="Separador de milhares 3 17 13" xfId="17540"/>
    <cellStyle name="Separador de milhares 3 17 13 2" xfId="43782"/>
    <cellStyle name="Separador de milhares 3 17 14" xfId="11205"/>
    <cellStyle name="Separador de milhares 3 17 14 2" xfId="37447"/>
    <cellStyle name="Separador de milhares 3 17 15" xfId="29365"/>
    <cellStyle name="Separador de milhares 3 17 2" xfId="524"/>
    <cellStyle name="Separador de milhares 3 17 2 2" xfId="6588"/>
    <cellStyle name="Separador de milhares 3 17 2 2 2" xfId="9735"/>
    <cellStyle name="Separador de milhares 3 17 2 2 2 2" xfId="27949"/>
    <cellStyle name="Separador de milhares 3 17 2 2 2 2 2" xfId="54179"/>
    <cellStyle name="Separador de milhares 3 17 2 2 2 3" xfId="22035"/>
    <cellStyle name="Separador de milhares 3 17 2 2 2 3 2" xfId="48271"/>
    <cellStyle name="Separador de milhares 3 17 2 2 2 4" xfId="16121"/>
    <cellStyle name="Separador de milhares 3 17 2 2 2 4 2" xfId="42363"/>
    <cellStyle name="Separador de milhares 3 17 2 2 2 5" xfId="35977"/>
    <cellStyle name="Separador de milhares 3 17 2 2 3" xfId="24992"/>
    <cellStyle name="Separador de milhares 3 17 2 2 3 2" xfId="51225"/>
    <cellStyle name="Separador de milhares 3 17 2 2 4" xfId="19078"/>
    <cellStyle name="Separador de milhares 3 17 2 2 4 2" xfId="45317"/>
    <cellStyle name="Separador de milhares 3 17 2 2 5" xfId="12977"/>
    <cellStyle name="Separador de milhares 3 17 2 2 5 2" xfId="39219"/>
    <cellStyle name="Separador de milhares 3 17 2 2 6" xfId="32833"/>
    <cellStyle name="Separador de milhares 3 17 2 3" xfId="8264"/>
    <cellStyle name="Separador de milhares 3 17 2 3 2" xfId="26478"/>
    <cellStyle name="Separador de milhares 3 17 2 3 2 2" xfId="52711"/>
    <cellStyle name="Separador de milhares 3 17 2 3 3" xfId="20564"/>
    <cellStyle name="Separador de milhares 3 17 2 3 3 2" xfId="46803"/>
    <cellStyle name="Separador de milhares 3 17 2 3 4" xfId="14653"/>
    <cellStyle name="Separador de milhares 3 17 2 3 4 2" xfId="40895"/>
    <cellStyle name="Separador de milhares 3 17 2 3 5" xfId="34509"/>
    <cellStyle name="Separador de milhares 3 17 2 4" xfId="4887"/>
    <cellStyle name="Separador de milhares 3 17 2 4 2" xfId="23521"/>
    <cellStyle name="Separador de milhares 3 17 2 4 2 2" xfId="49757"/>
    <cellStyle name="Separador de milhares 3 17 2 4 3" xfId="31134"/>
    <cellStyle name="Separador de milhares 3 17 2 5" xfId="17607"/>
    <cellStyle name="Separador de milhares 3 17 2 5 2" xfId="43849"/>
    <cellStyle name="Separador de milhares 3 17 2 6" xfId="11276"/>
    <cellStyle name="Separador de milhares 3 17 2 6 2" xfId="37518"/>
    <cellStyle name="Separador de milhares 3 17 2 7" xfId="29436"/>
    <cellStyle name="Separador de milhares 3 17 3" xfId="821"/>
    <cellStyle name="Separador de milhares 3 17 3 2" xfId="6690"/>
    <cellStyle name="Separador de milhares 3 17 3 2 2" xfId="9837"/>
    <cellStyle name="Separador de milhares 3 17 3 2 2 2" xfId="28051"/>
    <cellStyle name="Separador de milhares 3 17 3 2 2 2 2" xfId="54281"/>
    <cellStyle name="Separador de milhares 3 17 3 2 2 3" xfId="22137"/>
    <cellStyle name="Separador de milhares 3 17 3 2 2 3 2" xfId="48373"/>
    <cellStyle name="Separador de milhares 3 17 3 2 2 4" xfId="16223"/>
    <cellStyle name="Separador de milhares 3 17 3 2 2 4 2" xfId="42465"/>
    <cellStyle name="Separador de milhares 3 17 3 2 2 5" xfId="36079"/>
    <cellStyle name="Separador de milhares 3 17 3 2 3" xfId="25094"/>
    <cellStyle name="Separador de milhares 3 17 3 2 3 2" xfId="51327"/>
    <cellStyle name="Separador de milhares 3 17 3 2 4" xfId="19180"/>
    <cellStyle name="Separador de milhares 3 17 3 2 4 2" xfId="45419"/>
    <cellStyle name="Separador de milhares 3 17 3 2 5" xfId="13079"/>
    <cellStyle name="Separador de milhares 3 17 3 2 5 2" xfId="39321"/>
    <cellStyle name="Separador de milhares 3 17 3 2 6" xfId="32935"/>
    <cellStyle name="Separador de milhares 3 17 3 3" xfId="8369"/>
    <cellStyle name="Separador de milhares 3 17 3 3 2" xfId="26583"/>
    <cellStyle name="Separador de milhares 3 17 3 3 2 2" xfId="52813"/>
    <cellStyle name="Separador de milhares 3 17 3 3 3" xfId="20669"/>
    <cellStyle name="Separador de milhares 3 17 3 3 3 2" xfId="46905"/>
    <cellStyle name="Separador de milhares 3 17 3 3 4" xfId="14755"/>
    <cellStyle name="Separador de milhares 3 17 3 3 4 2" xfId="40997"/>
    <cellStyle name="Separador de milhares 3 17 3 3 5" xfId="34611"/>
    <cellStyle name="Separador de milhares 3 17 3 4" xfId="4991"/>
    <cellStyle name="Separador de milhares 3 17 3 4 2" xfId="23626"/>
    <cellStyle name="Separador de milhares 3 17 3 4 2 2" xfId="49859"/>
    <cellStyle name="Separador de milhares 3 17 3 4 3" xfId="31236"/>
    <cellStyle name="Separador de milhares 3 17 3 5" xfId="17712"/>
    <cellStyle name="Separador de milhares 3 17 3 5 2" xfId="43951"/>
    <cellStyle name="Separador de milhares 3 17 3 6" xfId="11378"/>
    <cellStyle name="Separador de milhares 3 17 3 6 2" xfId="37620"/>
    <cellStyle name="Separador de milhares 3 17 3 7" xfId="29538"/>
    <cellStyle name="Separador de milhares 3 17 4" xfId="1172"/>
    <cellStyle name="Separador de milhares 3 17 4 2" xfId="6788"/>
    <cellStyle name="Separador de milhares 3 17 4 2 2" xfId="9935"/>
    <cellStyle name="Separador de milhares 3 17 4 2 2 2" xfId="28149"/>
    <cellStyle name="Separador de milhares 3 17 4 2 2 2 2" xfId="54379"/>
    <cellStyle name="Separador de milhares 3 17 4 2 2 3" xfId="22235"/>
    <cellStyle name="Separador de milhares 3 17 4 2 2 3 2" xfId="48471"/>
    <cellStyle name="Separador de milhares 3 17 4 2 2 4" xfId="16321"/>
    <cellStyle name="Separador de milhares 3 17 4 2 2 4 2" xfId="42563"/>
    <cellStyle name="Separador de milhares 3 17 4 2 2 5" xfId="36177"/>
    <cellStyle name="Separador de milhares 3 17 4 2 3" xfId="25192"/>
    <cellStyle name="Separador de milhares 3 17 4 2 3 2" xfId="51425"/>
    <cellStyle name="Separador de milhares 3 17 4 2 4" xfId="19278"/>
    <cellStyle name="Separador de milhares 3 17 4 2 4 2" xfId="45517"/>
    <cellStyle name="Separador de milhares 3 17 4 2 5" xfId="13177"/>
    <cellStyle name="Separador de milhares 3 17 4 2 5 2" xfId="39419"/>
    <cellStyle name="Separador de milhares 3 17 4 2 6" xfId="33033"/>
    <cellStyle name="Separador de milhares 3 17 4 3" xfId="8467"/>
    <cellStyle name="Separador de milhares 3 17 4 3 2" xfId="26681"/>
    <cellStyle name="Separador de milhares 3 17 4 3 2 2" xfId="52911"/>
    <cellStyle name="Separador de milhares 3 17 4 3 3" xfId="20767"/>
    <cellStyle name="Separador de milhares 3 17 4 3 3 2" xfId="47003"/>
    <cellStyle name="Separador de milhares 3 17 4 3 4" xfId="14853"/>
    <cellStyle name="Separador de milhares 3 17 4 3 4 2" xfId="41095"/>
    <cellStyle name="Separador de milhares 3 17 4 3 5" xfId="34709"/>
    <cellStyle name="Separador de milhares 3 17 4 4" xfId="5089"/>
    <cellStyle name="Separador de milhares 3 17 4 4 2" xfId="23724"/>
    <cellStyle name="Separador de milhares 3 17 4 4 2 2" xfId="49957"/>
    <cellStyle name="Separador de milhares 3 17 4 4 3" xfId="31334"/>
    <cellStyle name="Separador de milhares 3 17 4 5" xfId="17810"/>
    <cellStyle name="Separador de milhares 3 17 4 5 2" xfId="44049"/>
    <cellStyle name="Separador de milhares 3 17 4 6" xfId="11476"/>
    <cellStyle name="Separador de milhares 3 17 4 6 2" xfId="37718"/>
    <cellStyle name="Separador de milhares 3 17 4 7" xfId="29636"/>
    <cellStyle name="Separador de milhares 3 17 5" xfId="1607"/>
    <cellStyle name="Separador de milhares 3 17 5 2" xfId="6907"/>
    <cellStyle name="Separador de milhares 3 17 5 2 2" xfId="10054"/>
    <cellStyle name="Separador de milhares 3 17 5 2 2 2" xfId="28268"/>
    <cellStyle name="Separador de milhares 3 17 5 2 2 2 2" xfId="54498"/>
    <cellStyle name="Separador de milhares 3 17 5 2 2 3" xfId="22354"/>
    <cellStyle name="Separador de milhares 3 17 5 2 2 3 2" xfId="48590"/>
    <cellStyle name="Separador de milhares 3 17 5 2 2 4" xfId="16440"/>
    <cellStyle name="Separador de milhares 3 17 5 2 2 4 2" xfId="42682"/>
    <cellStyle name="Separador de milhares 3 17 5 2 2 5" xfId="36296"/>
    <cellStyle name="Separador de milhares 3 17 5 2 3" xfId="25311"/>
    <cellStyle name="Separador de milhares 3 17 5 2 3 2" xfId="51544"/>
    <cellStyle name="Separador de milhares 3 17 5 2 4" xfId="19397"/>
    <cellStyle name="Separador de milhares 3 17 5 2 4 2" xfId="45636"/>
    <cellStyle name="Separador de milhares 3 17 5 2 5" xfId="13296"/>
    <cellStyle name="Separador de milhares 3 17 5 2 5 2" xfId="39538"/>
    <cellStyle name="Separador de milhares 3 17 5 2 6" xfId="33152"/>
    <cellStyle name="Separador de milhares 3 17 5 3" xfId="8586"/>
    <cellStyle name="Separador de milhares 3 17 5 3 2" xfId="26800"/>
    <cellStyle name="Separador de milhares 3 17 5 3 2 2" xfId="53030"/>
    <cellStyle name="Separador de milhares 3 17 5 3 3" xfId="20886"/>
    <cellStyle name="Separador de milhares 3 17 5 3 3 2" xfId="47122"/>
    <cellStyle name="Separador de milhares 3 17 5 3 4" xfId="14972"/>
    <cellStyle name="Separador de milhares 3 17 5 3 4 2" xfId="41214"/>
    <cellStyle name="Separador de milhares 3 17 5 3 5" xfId="34828"/>
    <cellStyle name="Separador de milhares 3 17 5 4" xfId="5208"/>
    <cellStyle name="Separador de milhares 3 17 5 4 2" xfId="23843"/>
    <cellStyle name="Separador de milhares 3 17 5 4 2 2" xfId="50076"/>
    <cellStyle name="Separador de milhares 3 17 5 4 3" xfId="31453"/>
    <cellStyle name="Separador de milhares 3 17 5 5" xfId="17929"/>
    <cellStyle name="Separador de milhares 3 17 5 5 2" xfId="44168"/>
    <cellStyle name="Separador de milhares 3 17 5 6" xfId="11595"/>
    <cellStyle name="Separador de milhares 3 17 5 6 2" xfId="37837"/>
    <cellStyle name="Separador de milhares 3 17 5 7" xfId="29755"/>
    <cellStyle name="Separador de milhares 3 17 6" xfId="2137"/>
    <cellStyle name="Separador de milhares 3 17 6 2" xfId="7057"/>
    <cellStyle name="Separador de milhares 3 17 6 2 2" xfId="10201"/>
    <cellStyle name="Separador de milhares 3 17 6 2 2 2" xfId="28415"/>
    <cellStyle name="Separador de milhares 3 17 6 2 2 2 2" xfId="54645"/>
    <cellStyle name="Separador de milhares 3 17 6 2 2 3" xfId="22501"/>
    <cellStyle name="Separador de milhares 3 17 6 2 2 3 2" xfId="48737"/>
    <cellStyle name="Separador de milhares 3 17 6 2 2 4" xfId="16587"/>
    <cellStyle name="Separador de milhares 3 17 6 2 2 4 2" xfId="42829"/>
    <cellStyle name="Separador de milhares 3 17 6 2 2 5" xfId="36443"/>
    <cellStyle name="Separador de milhares 3 17 6 2 3" xfId="25458"/>
    <cellStyle name="Separador de milhares 3 17 6 2 3 2" xfId="51691"/>
    <cellStyle name="Separador de milhares 3 17 6 2 4" xfId="19544"/>
    <cellStyle name="Separador de milhares 3 17 6 2 4 2" xfId="45783"/>
    <cellStyle name="Separador de milhares 3 17 6 2 5" xfId="13446"/>
    <cellStyle name="Separador de milhares 3 17 6 2 5 2" xfId="39688"/>
    <cellStyle name="Separador de milhares 3 17 6 2 6" xfId="33302"/>
    <cellStyle name="Separador de milhares 3 17 6 3" xfId="8733"/>
    <cellStyle name="Separador de milhares 3 17 6 3 2" xfId="26947"/>
    <cellStyle name="Separador de milhares 3 17 6 3 2 2" xfId="53177"/>
    <cellStyle name="Separador de milhares 3 17 6 3 3" xfId="21033"/>
    <cellStyle name="Separador de milhares 3 17 6 3 3 2" xfId="47269"/>
    <cellStyle name="Separador de milhares 3 17 6 3 4" xfId="15119"/>
    <cellStyle name="Separador de milhares 3 17 6 3 4 2" xfId="41361"/>
    <cellStyle name="Separador de milhares 3 17 6 3 5" xfId="34975"/>
    <cellStyle name="Separador de milhares 3 17 6 4" xfId="5358"/>
    <cellStyle name="Separador de milhares 3 17 6 4 2" xfId="23990"/>
    <cellStyle name="Separador de milhares 3 17 6 4 2 2" xfId="50223"/>
    <cellStyle name="Separador de milhares 3 17 6 4 3" xfId="31603"/>
    <cellStyle name="Separador de milhares 3 17 6 5" xfId="18076"/>
    <cellStyle name="Separador de milhares 3 17 6 5 2" xfId="44315"/>
    <cellStyle name="Separador de milhares 3 17 6 6" xfId="11745"/>
    <cellStyle name="Separador de milhares 3 17 6 6 2" xfId="37987"/>
    <cellStyle name="Separador de milhares 3 17 6 7" xfId="29905"/>
    <cellStyle name="Separador de milhares 3 17 7" xfId="2664"/>
    <cellStyle name="Separador de milhares 3 17 7 2" xfId="7204"/>
    <cellStyle name="Separador de milhares 3 17 7 2 2" xfId="10348"/>
    <cellStyle name="Separador de milhares 3 17 7 2 2 2" xfId="28562"/>
    <cellStyle name="Separador de milhares 3 17 7 2 2 2 2" xfId="54792"/>
    <cellStyle name="Separador de milhares 3 17 7 2 2 3" xfId="22648"/>
    <cellStyle name="Separador de milhares 3 17 7 2 2 3 2" xfId="48884"/>
    <cellStyle name="Separador de milhares 3 17 7 2 2 4" xfId="16734"/>
    <cellStyle name="Separador de milhares 3 17 7 2 2 4 2" xfId="42976"/>
    <cellStyle name="Separador de milhares 3 17 7 2 2 5" xfId="36590"/>
    <cellStyle name="Separador de milhares 3 17 7 2 3" xfId="25605"/>
    <cellStyle name="Separador de milhares 3 17 7 2 3 2" xfId="51838"/>
    <cellStyle name="Separador de milhares 3 17 7 2 4" xfId="19691"/>
    <cellStyle name="Separador de milhares 3 17 7 2 4 2" xfId="45930"/>
    <cellStyle name="Separador de milhares 3 17 7 2 5" xfId="13593"/>
    <cellStyle name="Separador de milhares 3 17 7 2 5 2" xfId="39835"/>
    <cellStyle name="Separador de milhares 3 17 7 2 6" xfId="33449"/>
    <cellStyle name="Separador de milhares 3 17 7 3" xfId="8880"/>
    <cellStyle name="Separador de milhares 3 17 7 3 2" xfId="27094"/>
    <cellStyle name="Separador de milhares 3 17 7 3 2 2" xfId="53324"/>
    <cellStyle name="Separador de milhares 3 17 7 3 3" xfId="21180"/>
    <cellStyle name="Separador de milhares 3 17 7 3 3 2" xfId="47416"/>
    <cellStyle name="Separador de milhares 3 17 7 3 4" xfId="15266"/>
    <cellStyle name="Separador de milhares 3 17 7 3 4 2" xfId="41508"/>
    <cellStyle name="Separador de milhares 3 17 7 3 5" xfId="35122"/>
    <cellStyle name="Separador de milhares 3 17 7 4" xfId="5505"/>
    <cellStyle name="Separador de milhares 3 17 7 4 2" xfId="24137"/>
    <cellStyle name="Separador de milhares 3 17 7 4 2 2" xfId="50370"/>
    <cellStyle name="Separador de milhares 3 17 7 4 3" xfId="31750"/>
    <cellStyle name="Separador de milhares 3 17 7 5" xfId="18223"/>
    <cellStyle name="Separador de milhares 3 17 7 5 2" xfId="44462"/>
    <cellStyle name="Separador de milhares 3 17 7 6" xfId="11892"/>
    <cellStyle name="Separador de milhares 3 17 7 6 2" xfId="38134"/>
    <cellStyle name="Separador de milhares 3 17 7 7" xfId="30052"/>
    <cellStyle name="Separador de milhares 3 17 8" xfId="3191"/>
    <cellStyle name="Separador de milhares 3 17 8 2" xfId="7351"/>
    <cellStyle name="Separador de milhares 3 17 8 2 2" xfId="10495"/>
    <cellStyle name="Separador de milhares 3 17 8 2 2 2" xfId="28709"/>
    <cellStyle name="Separador de milhares 3 17 8 2 2 2 2" xfId="54939"/>
    <cellStyle name="Separador de milhares 3 17 8 2 2 3" xfId="22795"/>
    <cellStyle name="Separador de milhares 3 17 8 2 2 3 2" xfId="49031"/>
    <cellStyle name="Separador de milhares 3 17 8 2 2 4" xfId="16881"/>
    <cellStyle name="Separador de milhares 3 17 8 2 2 4 2" xfId="43123"/>
    <cellStyle name="Separador de milhares 3 17 8 2 2 5" xfId="36737"/>
    <cellStyle name="Separador de milhares 3 17 8 2 3" xfId="25752"/>
    <cellStyle name="Separador de milhares 3 17 8 2 3 2" xfId="51985"/>
    <cellStyle name="Separador de milhares 3 17 8 2 4" xfId="19838"/>
    <cellStyle name="Separador de milhares 3 17 8 2 4 2" xfId="46077"/>
    <cellStyle name="Separador de milhares 3 17 8 2 5" xfId="13740"/>
    <cellStyle name="Separador de milhares 3 17 8 2 5 2" xfId="39982"/>
    <cellStyle name="Separador de milhares 3 17 8 2 6" xfId="33596"/>
    <cellStyle name="Separador de milhares 3 17 8 3" xfId="9027"/>
    <cellStyle name="Separador de milhares 3 17 8 3 2" xfId="27241"/>
    <cellStyle name="Separador de milhares 3 17 8 3 2 2" xfId="53471"/>
    <cellStyle name="Separador de milhares 3 17 8 3 3" xfId="21327"/>
    <cellStyle name="Separador de milhares 3 17 8 3 3 2" xfId="47563"/>
    <cellStyle name="Separador de milhares 3 17 8 3 4" xfId="15413"/>
    <cellStyle name="Separador de milhares 3 17 8 3 4 2" xfId="41655"/>
    <cellStyle name="Separador de milhares 3 17 8 3 5" xfId="35269"/>
    <cellStyle name="Separador de milhares 3 17 8 4" xfId="5652"/>
    <cellStyle name="Separador de milhares 3 17 8 4 2" xfId="24284"/>
    <cellStyle name="Separador de milhares 3 17 8 4 2 2" xfId="50517"/>
    <cellStyle name="Separador de milhares 3 17 8 4 3" xfId="31897"/>
    <cellStyle name="Separador de milhares 3 17 8 5" xfId="18370"/>
    <cellStyle name="Separador de milhares 3 17 8 5 2" xfId="44609"/>
    <cellStyle name="Separador de milhares 3 17 8 6" xfId="12039"/>
    <cellStyle name="Separador de milhares 3 17 8 6 2" xfId="38281"/>
    <cellStyle name="Separador de milhares 3 17 8 7" xfId="30199"/>
    <cellStyle name="Separador de milhares 3 17 9" xfId="3718"/>
    <cellStyle name="Separador de milhares 3 17 9 2" xfId="7498"/>
    <cellStyle name="Separador de milhares 3 17 9 2 2" xfId="10642"/>
    <cellStyle name="Separador de milhares 3 17 9 2 2 2" xfId="28856"/>
    <cellStyle name="Separador de milhares 3 17 9 2 2 2 2" xfId="55086"/>
    <cellStyle name="Separador de milhares 3 17 9 2 2 3" xfId="22942"/>
    <cellStyle name="Separador de milhares 3 17 9 2 2 3 2" xfId="49178"/>
    <cellStyle name="Separador de milhares 3 17 9 2 2 4" xfId="17028"/>
    <cellStyle name="Separador de milhares 3 17 9 2 2 4 2" xfId="43270"/>
    <cellStyle name="Separador de milhares 3 17 9 2 2 5" xfId="36884"/>
    <cellStyle name="Separador de milhares 3 17 9 2 3" xfId="25899"/>
    <cellStyle name="Separador de milhares 3 17 9 2 3 2" xfId="52132"/>
    <cellStyle name="Separador de milhares 3 17 9 2 4" xfId="19985"/>
    <cellStyle name="Separador de milhares 3 17 9 2 4 2" xfId="46224"/>
    <cellStyle name="Separador de milhares 3 17 9 2 5" xfId="13887"/>
    <cellStyle name="Separador de milhares 3 17 9 2 5 2" xfId="40129"/>
    <cellStyle name="Separador de milhares 3 17 9 2 6" xfId="33743"/>
    <cellStyle name="Separador de milhares 3 17 9 3" xfId="9174"/>
    <cellStyle name="Separador de milhares 3 17 9 3 2" xfId="27388"/>
    <cellStyle name="Separador de milhares 3 17 9 3 2 2" xfId="53618"/>
    <cellStyle name="Separador de milhares 3 17 9 3 3" xfId="21474"/>
    <cellStyle name="Separador de milhares 3 17 9 3 3 2" xfId="47710"/>
    <cellStyle name="Separador de milhares 3 17 9 3 4" xfId="15560"/>
    <cellStyle name="Separador de milhares 3 17 9 3 4 2" xfId="41802"/>
    <cellStyle name="Separador de milhares 3 17 9 3 5" xfId="35416"/>
    <cellStyle name="Separador de milhares 3 17 9 4" xfId="5799"/>
    <cellStyle name="Separador de milhares 3 17 9 4 2" xfId="24431"/>
    <cellStyle name="Separador de milhares 3 17 9 4 2 2" xfId="50664"/>
    <cellStyle name="Separador de milhares 3 17 9 4 3" xfId="32044"/>
    <cellStyle name="Separador de milhares 3 17 9 5" xfId="18517"/>
    <cellStyle name="Separador de milhares 3 17 9 5 2" xfId="44756"/>
    <cellStyle name="Separador de milhares 3 17 9 6" xfId="12186"/>
    <cellStyle name="Separador de milhares 3 17 9 6 2" xfId="38428"/>
    <cellStyle name="Separador de milhares 3 17 9 7" xfId="30346"/>
    <cellStyle name="Separador de milhares 3 18" xfId="354"/>
    <cellStyle name="Separador de milhares 3 18 10" xfId="6545"/>
    <cellStyle name="Separador de milhares 3 18 10 2" xfId="9693"/>
    <cellStyle name="Separador de milhares 3 18 10 2 2" xfId="27907"/>
    <cellStyle name="Separador de milhares 3 18 10 2 2 2" xfId="54137"/>
    <cellStyle name="Separador de milhares 3 18 10 2 3" xfId="21993"/>
    <cellStyle name="Separador de milhares 3 18 10 2 3 2" xfId="48229"/>
    <cellStyle name="Separador de milhares 3 18 10 2 4" xfId="16079"/>
    <cellStyle name="Separador de milhares 3 18 10 2 4 2" xfId="42321"/>
    <cellStyle name="Separador de milhares 3 18 10 2 5" xfId="35935"/>
    <cellStyle name="Separador de milhares 3 18 10 3" xfId="24950"/>
    <cellStyle name="Separador de milhares 3 18 10 3 2" xfId="51183"/>
    <cellStyle name="Separador de milhares 3 18 10 4" xfId="19036"/>
    <cellStyle name="Separador de milhares 3 18 10 4 2" xfId="45275"/>
    <cellStyle name="Separador de milhares 3 18 10 5" xfId="12934"/>
    <cellStyle name="Separador de milhares 3 18 10 5 2" xfId="39176"/>
    <cellStyle name="Separador de milhares 3 18 10 6" xfId="32790"/>
    <cellStyle name="Separador de milhares 3 18 11" xfId="8222"/>
    <cellStyle name="Separador de milhares 3 18 11 2" xfId="26436"/>
    <cellStyle name="Separador de milhares 3 18 11 2 2" xfId="52669"/>
    <cellStyle name="Separador de milhares 3 18 11 3" xfId="20522"/>
    <cellStyle name="Separador de milhares 3 18 11 3 2" xfId="46761"/>
    <cellStyle name="Separador de milhares 3 18 11 4" xfId="14611"/>
    <cellStyle name="Separador de milhares 3 18 11 4 2" xfId="40853"/>
    <cellStyle name="Separador de milhares 3 18 11 5" xfId="34467"/>
    <cellStyle name="Separador de milhares 3 18 12" xfId="4844"/>
    <cellStyle name="Separador de milhares 3 18 12 2" xfId="23479"/>
    <cellStyle name="Separador de milhares 3 18 12 2 2" xfId="49715"/>
    <cellStyle name="Separador de milhares 3 18 12 3" xfId="31091"/>
    <cellStyle name="Separador de milhares 3 18 13" xfId="17565"/>
    <cellStyle name="Separador de milhares 3 18 13 2" xfId="43807"/>
    <cellStyle name="Separador de milhares 3 18 14" xfId="11233"/>
    <cellStyle name="Separador de milhares 3 18 14 2" xfId="37475"/>
    <cellStyle name="Separador de milhares 3 18 15" xfId="29393"/>
    <cellStyle name="Separador de milhares 3 18 2" xfId="999"/>
    <cellStyle name="Separador de milhares 3 18 2 2" xfId="6742"/>
    <cellStyle name="Separador de milhares 3 18 2 2 2" xfId="9889"/>
    <cellStyle name="Separador de milhares 3 18 2 2 2 2" xfId="28103"/>
    <cellStyle name="Separador de milhares 3 18 2 2 2 2 2" xfId="54333"/>
    <cellStyle name="Separador de milhares 3 18 2 2 2 3" xfId="22189"/>
    <cellStyle name="Separador de milhares 3 18 2 2 2 3 2" xfId="48425"/>
    <cellStyle name="Separador de milhares 3 18 2 2 2 4" xfId="16275"/>
    <cellStyle name="Separador de milhares 3 18 2 2 2 4 2" xfId="42517"/>
    <cellStyle name="Separador de milhares 3 18 2 2 2 5" xfId="36131"/>
    <cellStyle name="Separador de milhares 3 18 2 2 3" xfId="25146"/>
    <cellStyle name="Separador de milhares 3 18 2 2 3 2" xfId="51379"/>
    <cellStyle name="Separador de milhares 3 18 2 2 4" xfId="19232"/>
    <cellStyle name="Separador de milhares 3 18 2 2 4 2" xfId="45471"/>
    <cellStyle name="Separador de milhares 3 18 2 2 5" xfId="13131"/>
    <cellStyle name="Separador de milhares 3 18 2 2 5 2" xfId="39373"/>
    <cellStyle name="Separador de milhares 3 18 2 2 6" xfId="32987"/>
    <cellStyle name="Separador de milhares 3 18 2 3" xfId="8421"/>
    <cellStyle name="Separador de milhares 3 18 2 3 2" xfId="26635"/>
    <cellStyle name="Separador de milhares 3 18 2 3 2 2" xfId="52865"/>
    <cellStyle name="Separador de milhares 3 18 2 3 3" xfId="20721"/>
    <cellStyle name="Separador de milhares 3 18 2 3 3 2" xfId="46957"/>
    <cellStyle name="Separador de milhares 3 18 2 3 4" xfId="14807"/>
    <cellStyle name="Separador de milhares 3 18 2 3 4 2" xfId="41049"/>
    <cellStyle name="Separador de milhares 3 18 2 3 5" xfId="34663"/>
    <cellStyle name="Separador de milhares 3 18 2 4" xfId="5043"/>
    <cellStyle name="Separador de milhares 3 18 2 4 2" xfId="23678"/>
    <cellStyle name="Separador de milhares 3 18 2 4 2 2" xfId="49911"/>
    <cellStyle name="Separador de milhares 3 18 2 4 3" xfId="31288"/>
    <cellStyle name="Separador de milhares 3 18 2 5" xfId="17764"/>
    <cellStyle name="Separador de milhares 3 18 2 5 2" xfId="44003"/>
    <cellStyle name="Separador de milhares 3 18 2 6" xfId="11430"/>
    <cellStyle name="Separador de milhares 3 18 2 6 2" xfId="37672"/>
    <cellStyle name="Separador de milhares 3 18 2 7" xfId="29590"/>
    <cellStyle name="Separador de milhares 3 18 3" xfId="1350"/>
    <cellStyle name="Separador de milhares 3 18 3 2" xfId="6840"/>
    <cellStyle name="Separador de milhares 3 18 3 2 2" xfId="9987"/>
    <cellStyle name="Separador de milhares 3 18 3 2 2 2" xfId="28201"/>
    <cellStyle name="Separador de milhares 3 18 3 2 2 2 2" xfId="54431"/>
    <cellStyle name="Separador de milhares 3 18 3 2 2 3" xfId="22287"/>
    <cellStyle name="Separador de milhares 3 18 3 2 2 3 2" xfId="48523"/>
    <cellStyle name="Separador de milhares 3 18 3 2 2 4" xfId="16373"/>
    <cellStyle name="Separador de milhares 3 18 3 2 2 4 2" xfId="42615"/>
    <cellStyle name="Separador de milhares 3 18 3 2 2 5" xfId="36229"/>
    <cellStyle name="Separador de milhares 3 18 3 2 3" xfId="25244"/>
    <cellStyle name="Separador de milhares 3 18 3 2 3 2" xfId="51477"/>
    <cellStyle name="Separador de milhares 3 18 3 2 4" xfId="19330"/>
    <cellStyle name="Separador de milhares 3 18 3 2 4 2" xfId="45569"/>
    <cellStyle name="Separador de milhares 3 18 3 2 5" xfId="13229"/>
    <cellStyle name="Separador de milhares 3 18 3 2 5 2" xfId="39471"/>
    <cellStyle name="Separador de milhares 3 18 3 2 6" xfId="33085"/>
    <cellStyle name="Separador de milhares 3 18 3 3" xfId="8519"/>
    <cellStyle name="Separador de milhares 3 18 3 3 2" xfId="26733"/>
    <cellStyle name="Separador de milhares 3 18 3 3 2 2" xfId="52963"/>
    <cellStyle name="Separador de milhares 3 18 3 3 3" xfId="20819"/>
    <cellStyle name="Separador de milhares 3 18 3 3 3 2" xfId="47055"/>
    <cellStyle name="Separador de milhares 3 18 3 3 4" xfId="14905"/>
    <cellStyle name="Separador de milhares 3 18 3 3 4 2" xfId="41147"/>
    <cellStyle name="Separador de milhares 3 18 3 3 5" xfId="34761"/>
    <cellStyle name="Separador de milhares 3 18 3 4" xfId="5141"/>
    <cellStyle name="Separador de milhares 3 18 3 4 2" xfId="23776"/>
    <cellStyle name="Separador de milhares 3 18 3 4 2 2" xfId="50009"/>
    <cellStyle name="Separador de milhares 3 18 3 4 3" xfId="31386"/>
    <cellStyle name="Separador de milhares 3 18 3 5" xfId="17862"/>
    <cellStyle name="Separador de milhares 3 18 3 5 2" xfId="44101"/>
    <cellStyle name="Separador de milhares 3 18 3 6" xfId="11528"/>
    <cellStyle name="Separador de milhares 3 18 3 6 2" xfId="37770"/>
    <cellStyle name="Separador de milhares 3 18 3 7" xfId="29688"/>
    <cellStyle name="Separador de milhares 3 18 4" xfId="1785"/>
    <cellStyle name="Separador de milhares 3 18 4 2" xfId="6959"/>
    <cellStyle name="Separador de milhares 3 18 4 2 2" xfId="10106"/>
    <cellStyle name="Separador de milhares 3 18 4 2 2 2" xfId="28320"/>
    <cellStyle name="Separador de milhares 3 18 4 2 2 2 2" xfId="54550"/>
    <cellStyle name="Separador de milhares 3 18 4 2 2 3" xfId="22406"/>
    <cellStyle name="Separador de milhares 3 18 4 2 2 3 2" xfId="48642"/>
    <cellStyle name="Separador de milhares 3 18 4 2 2 4" xfId="16492"/>
    <cellStyle name="Separador de milhares 3 18 4 2 2 4 2" xfId="42734"/>
    <cellStyle name="Separador de milhares 3 18 4 2 2 5" xfId="36348"/>
    <cellStyle name="Separador de milhares 3 18 4 2 3" xfId="25363"/>
    <cellStyle name="Separador de milhares 3 18 4 2 3 2" xfId="51596"/>
    <cellStyle name="Separador de milhares 3 18 4 2 4" xfId="19449"/>
    <cellStyle name="Separador de milhares 3 18 4 2 4 2" xfId="45688"/>
    <cellStyle name="Separador de milhares 3 18 4 2 5" xfId="13348"/>
    <cellStyle name="Separador de milhares 3 18 4 2 5 2" xfId="39590"/>
    <cellStyle name="Separador de milhares 3 18 4 2 6" xfId="33204"/>
    <cellStyle name="Separador de milhares 3 18 4 3" xfId="8638"/>
    <cellStyle name="Separador de milhares 3 18 4 3 2" xfId="26852"/>
    <cellStyle name="Separador de milhares 3 18 4 3 2 2" xfId="53082"/>
    <cellStyle name="Separador de milhares 3 18 4 3 3" xfId="20938"/>
    <cellStyle name="Separador de milhares 3 18 4 3 3 2" xfId="47174"/>
    <cellStyle name="Separador de milhares 3 18 4 3 4" xfId="15024"/>
    <cellStyle name="Separador de milhares 3 18 4 3 4 2" xfId="41266"/>
    <cellStyle name="Separador de milhares 3 18 4 3 5" xfId="34880"/>
    <cellStyle name="Separador de milhares 3 18 4 4" xfId="5260"/>
    <cellStyle name="Separador de milhares 3 18 4 4 2" xfId="23895"/>
    <cellStyle name="Separador de milhares 3 18 4 4 2 2" xfId="50128"/>
    <cellStyle name="Separador de milhares 3 18 4 4 3" xfId="31505"/>
    <cellStyle name="Separador de milhares 3 18 4 5" xfId="17981"/>
    <cellStyle name="Separador de milhares 3 18 4 5 2" xfId="44220"/>
    <cellStyle name="Separador de milhares 3 18 4 6" xfId="11647"/>
    <cellStyle name="Separador de milhares 3 18 4 6 2" xfId="37889"/>
    <cellStyle name="Separador de milhares 3 18 4 7" xfId="29807"/>
    <cellStyle name="Separador de milhares 3 18 5" xfId="2315"/>
    <cellStyle name="Separador de milhares 3 18 5 2" xfId="7109"/>
    <cellStyle name="Separador de milhares 3 18 5 2 2" xfId="10253"/>
    <cellStyle name="Separador de milhares 3 18 5 2 2 2" xfId="28467"/>
    <cellStyle name="Separador de milhares 3 18 5 2 2 2 2" xfId="54697"/>
    <cellStyle name="Separador de milhares 3 18 5 2 2 3" xfId="22553"/>
    <cellStyle name="Separador de milhares 3 18 5 2 2 3 2" xfId="48789"/>
    <cellStyle name="Separador de milhares 3 18 5 2 2 4" xfId="16639"/>
    <cellStyle name="Separador de milhares 3 18 5 2 2 4 2" xfId="42881"/>
    <cellStyle name="Separador de milhares 3 18 5 2 2 5" xfId="36495"/>
    <cellStyle name="Separador de milhares 3 18 5 2 3" xfId="25510"/>
    <cellStyle name="Separador de milhares 3 18 5 2 3 2" xfId="51743"/>
    <cellStyle name="Separador de milhares 3 18 5 2 4" xfId="19596"/>
    <cellStyle name="Separador de milhares 3 18 5 2 4 2" xfId="45835"/>
    <cellStyle name="Separador de milhares 3 18 5 2 5" xfId="13498"/>
    <cellStyle name="Separador de milhares 3 18 5 2 5 2" xfId="39740"/>
    <cellStyle name="Separador de milhares 3 18 5 2 6" xfId="33354"/>
    <cellStyle name="Separador de milhares 3 18 5 3" xfId="8785"/>
    <cellStyle name="Separador de milhares 3 18 5 3 2" xfId="26999"/>
    <cellStyle name="Separador de milhares 3 18 5 3 2 2" xfId="53229"/>
    <cellStyle name="Separador de milhares 3 18 5 3 3" xfId="21085"/>
    <cellStyle name="Separador de milhares 3 18 5 3 3 2" xfId="47321"/>
    <cellStyle name="Separador de milhares 3 18 5 3 4" xfId="15171"/>
    <cellStyle name="Separador de milhares 3 18 5 3 4 2" xfId="41413"/>
    <cellStyle name="Separador de milhares 3 18 5 3 5" xfId="35027"/>
    <cellStyle name="Separador de milhares 3 18 5 4" xfId="5410"/>
    <cellStyle name="Separador de milhares 3 18 5 4 2" xfId="24042"/>
    <cellStyle name="Separador de milhares 3 18 5 4 2 2" xfId="50275"/>
    <cellStyle name="Separador de milhares 3 18 5 4 3" xfId="31655"/>
    <cellStyle name="Separador de milhares 3 18 5 5" xfId="18128"/>
    <cellStyle name="Separador de milhares 3 18 5 5 2" xfId="44367"/>
    <cellStyle name="Separador de milhares 3 18 5 6" xfId="11797"/>
    <cellStyle name="Separador de milhares 3 18 5 6 2" xfId="38039"/>
    <cellStyle name="Separador de milhares 3 18 5 7" xfId="29957"/>
    <cellStyle name="Separador de milhares 3 18 6" xfId="2842"/>
    <cellStyle name="Separador de milhares 3 18 6 2" xfId="7256"/>
    <cellStyle name="Separador de milhares 3 18 6 2 2" xfId="10400"/>
    <cellStyle name="Separador de milhares 3 18 6 2 2 2" xfId="28614"/>
    <cellStyle name="Separador de milhares 3 18 6 2 2 2 2" xfId="54844"/>
    <cellStyle name="Separador de milhares 3 18 6 2 2 3" xfId="22700"/>
    <cellStyle name="Separador de milhares 3 18 6 2 2 3 2" xfId="48936"/>
    <cellStyle name="Separador de milhares 3 18 6 2 2 4" xfId="16786"/>
    <cellStyle name="Separador de milhares 3 18 6 2 2 4 2" xfId="43028"/>
    <cellStyle name="Separador de milhares 3 18 6 2 2 5" xfId="36642"/>
    <cellStyle name="Separador de milhares 3 18 6 2 3" xfId="25657"/>
    <cellStyle name="Separador de milhares 3 18 6 2 3 2" xfId="51890"/>
    <cellStyle name="Separador de milhares 3 18 6 2 4" xfId="19743"/>
    <cellStyle name="Separador de milhares 3 18 6 2 4 2" xfId="45982"/>
    <cellStyle name="Separador de milhares 3 18 6 2 5" xfId="13645"/>
    <cellStyle name="Separador de milhares 3 18 6 2 5 2" xfId="39887"/>
    <cellStyle name="Separador de milhares 3 18 6 2 6" xfId="33501"/>
    <cellStyle name="Separador de milhares 3 18 6 3" xfId="8932"/>
    <cellStyle name="Separador de milhares 3 18 6 3 2" xfId="27146"/>
    <cellStyle name="Separador de milhares 3 18 6 3 2 2" xfId="53376"/>
    <cellStyle name="Separador de milhares 3 18 6 3 3" xfId="21232"/>
    <cellStyle name="Separador de milhares 3 18 6 3 3 2" xfId="47468"/>
    <cellStyle name="Separador de milhares 3 18 6 3 4" xfId="15318"/>
    <cellStyle name="Separador de milhares 3 18 6 3 4 2" xfId="41560"/>
    <cellStyle name="Separador de milhares 3 18 6 3 5" xfId="35174"/>
    <cellStyle name="Separador de milhares 3 18 6 4" xfId="5557"/>
    <cellStyle name="Separador de milhares 3 18 6 4 2" xfId="24189"/>
    <cellStyle name="Separador de milhares 3 18 6 4 2 2" xfId="50422"/>
    <cellStyle name="Separador de milhares 3 18 6 4 3" xfId="31802"/>
    <cellStyle name="Separador de milhares 3 18 6 5" xfId="18275"/>
    <cellStyle name="Separador de milhares 3 18 6 5 2" xfId="44514"/>
    <cellStyle name="Separador de milhares 3 18 6 6" xfId="11944"/>
    <cellStyle name="Separador de milhares 3 18 6 6 2" xfId="38186"/>
    <cellStyle name="Separador de milhares 3 18 6 7" xfId="30104"/>
    <cellStyle name="Separador de milhares 3 18 7" xfId="3369"/>
    <cellStyle name="Separador de milhares 3 18 7 2" xfId="7403"/>
    <cellStyle name="Separador de milhares 3 18 7 2 2" xfId="10547"/>
    <cellStyle name="Separador de milhares 3 18 7 2 2 2" xfId="28761"/>
    <cellStyle name="Separador de milhares 3 18 7 2 2 2 2" xfId="54991"/>
    <cellStyle name="Separador de milhares 3 18 7 2 2 3" xfId="22847"/>
    <cellStyle name="Separador de milhares 3 18 7 2 2 3 2" xfId="49083"/>
    <cellStyle name="Separador de milhares 3 18 7 2 2 4" xfId="16933"/>
    <cellStyle name="Separador de milhares 3 18 7 2 2 4 2" xfId="43175"/>
    <cellStyle name="Separador de milhares 3 18 7 2 2 5" xfId="36789"/>
    <cellStyle name="Separador de milhares 3 18 7 2 3" xfId="25804"/>
    <cellStyle name="Separador de milhares 3 18 7 2 3 2" xfId="52037"/>
    <cellStyle name="Separador de milhares 3 18 7 2 4" xfId="19890"/>
    <cellStyle name="Separador de milhares 3 18 7 2 4 2" xfId="46129"/>
    <cellStyle name="Separador de milhares 3 18 7 2 5" xfId="13792"/>
    <cellStyle name="Separador de milhares 3 18 7 2 5 2" xfId="40034"/>
    <cellStyle name="Separador de milhares 3 18 7 2 6" xfId="33648"/>
    <cellStyle name="Separador de milhares 3 18 7 3" xfId="9079"/>
    <cellStyle name="Separador de milhares 3 18 7 3 2" xfId="27293"/>
    <cellStyle name="Separador de milhares 3 18 7 3 2 2" xfId="53523"/>
    <cellStyle name="Separador de milhares 3 18 7 3 3" xfId="21379"/>
    <cellStyle name="Separador de milhares 3 18 7 3 3 2" xfId="47615"/>
    <cellStyle name="Separador de milhares 3 18 7 3 4" xfId="15465"/>
    <cellStyle name="Separador de milhares 3 18 7 3 4 2" xfId="41707"/>
    <cellStyle name="Separador de milhares 3 18 7 3 5" xfId="35321"/>
    <cellStyle name="Separador de milhares 3 18 7 4" xfId="5704"/>
    <cellStyle name="Separador de milhares 3 18 7 4 2" xfId="24336"/>
    <cellStyle name="Separador de milhares 3 18 7 4 2 2" xfId="50569"/>
    <cellStyle name="Separador de milhares 3 18 7 4 3" xfId="31949"/>
    <cellStyle name="Separador de milhares 3 18 7 5" xfId="18422"/>
    <cellStyle name="Separador de milhares 3 18 7 5 2" xfId="44661"/>
    <cellStyle name="Separador de milhares 3 18 7 6" xfId="12091"/>
    <cellStyle name="Separador de milhares 3 18 7 6 2" xfId="38333"/>
    <cellStyle name="Separador de milhares 3 18 7 7" xfId="30251"/>
    <cellStyle name="Separador de milhares 3 18 8" xfId="3896"/>
    <cellStyle name="Separador de milhares 3 18 8 2" xfId="7550"/>
    <cellStyle name="Separador de milhares 3 18 8 2 2" xfId="10694"/>
    <cellStyle name="Separador de milhares 3 18 8 2 2 2" xfId="28908"/>
    <cellStyle name="Separador de milhares 3 18 8 2 2 2 2" xfId="55138"/>
    <cellStyle name="Separador de milhares 3 18 8 2 2 3" xfId="22994"/>
    <cellStyle name="Separador de milhares 3 18 8 2 2 3 2" xfId="49230"/>
    <cellStyle name="Separador de milhares 3 18 8 2 2 4" xfId="17080"/>
    <cellStyle name="Separador de milhares 3 18 8 2 2 4 2" xfId="43322"/>
    <cellStyle name="Separador de milhares 3 18 8 2 2 5" xfId="36936"/>
    <cellStyle name="Separador de milhares 3 18 8 2 3" xfId="25951"/>
    <cellStyle name="Separador de milhares 3 18 8 2 3 2" xfId="52184"/>
    <cellStyle name="Separador de milhares 3 18 8 2 4" xfId="20037"/>
    <cellStyle name="Separador de milhares 3 18 8 2 4 2" xfId="46276"/>
    <cellStyle name="Separador de milhares 3 18 8 2 5" xfId="13939"/>
    <cellStyle name="Separador de milhares 3 18 8 2 5 2" xfId="40181"/>
    <cellStyle name="Separador de milhares 3 18 8 2 6" xfId="33795"/>
    <cellStyle name="Separador de milhares 3 18 8 3" xfId="9226"/>
    <cellStyle name="Separador de milhares 3 18 8 3 2" xfId="27440"/>
    <cellStyle name="Separador de milhares 3 18 8 3 2 2" xfId="53670"/>
    <cellStyle name="Separador de milhares 3 18 8 3 3" xfId="21526"/>
    <cellStyle name="Separador de milhares 3 18 8 3 3 2" xfId="47762"/>
    <cellStyle name="Separador de milhares 3 18 8 3 4" xfId="15612"/>
    <cellStyle name="Separador de milhares 3 18 8 3 4 2" xfId="41854"/>
    <cellStyle name="Separador de milhares 3 18 8 3 5" xfId="35468"/>
    <cellStyle name="Separador de milhares 3 18 8 4" xfId="5851"/>
    <cellStyle name="Separador de milhares 3 18 8 4 2" xfId="24483"/>
    <cellStyle name="Separador de milhares 3 18 8 4 2 2" xfId="50716"/>
    <cellStyle name="Separador de milhares 3 18 8 4 3" xfId="32096"/>
    <cellStyle name="Separador de milhares 3 18 8 5" xfId="18569"/>
    <cellStyle name="Separador de milhares 3 18 8 5 2" xfId="44808"/>
    <cellStyle name="Separador de milhares 3 18 8 6" xfId="12238"/>
    <cellStyle name="Separador de milhares 3 18 8 6 2" xfId="38480"/>
    <cellStyle name="Separador de milhares 3 18 8 7" xfId="30398"/>
    <cellStyle name="Separador de milhares 3 18 9" xfId="709"/>
    <cellStyle name="Separador de milhares 3 18 9 2" xfId="6644"/>
    <cellStyle name="Separador de milhares 3 18 9 2 2" xfId="9791"/>
    <cellStyle name="Separador de milhares 3 18 9 2 2 2" xfId="28005"/>
    <cellStyle name="Separador de milhares 3 18 9 2 2 2 2" xfId="54235"/>
    <cellStyle name="Separador de milhares 3 18 9 2 2 3" xfId="22091"/>
    <cellStyle name="Separador de milhares 3 18 9 2 2 3 2" xfId="48327"/>
    <cellStyle name="Separador de milhares 3 18 9 2 2 4" xfId="16177"/>
    <cellStyle name="Separador de milhares 3 18 9 2 2 4 2" xfId="42419"/>
    <cellStyle name="Separador de milhares 3 18 9 2 2 5" xfId="36033"/>
    <cellStyle name="Separador de milhares 3 18 9 2 3" xfId="25048"/>
    <cellStyle name="Separador de milhares 3 18 9 2 3 2" xfId="51281"/>
    <cellStyle name="Separador de milhares 3 18 9 2 4" xfId="19134"/>
    <cellStyle name="Separador de milhares 3 18 9 2 4 2" xfId="45373"/>
    <cellStyle name="Separador de milhares 3 18 9 2 5" xfId="13033"/>
    <cellStyle name="Separador de milhares 3 18 9 2 5 2" xfId="39275"/>
    <cellStyle name="Separador de milhares 3 18 9 2 6" xfId="32889"/>
    <cellStyle name="Separador de milhares 3 18 9 3" xfId="8323"/>
    <cellStyle name="Separador de milhares 3 18 9 3 2" xfId="26537"/>
    <cellStyle name="Separador de milhares 3 18 9 3 2 2" xfId="52767"/>
    <cellStyle name="Separador de milhares 3 18 9 3 3" xfId="20623"/>
    <cellStyle name="Separador de milhares 3 18 9 3 3 2" xfId="46859"/>
    <cellStyle name="Separador de milhares 3 18 9 3 4" xfId="14709"/>
    <cellStyle name="Separador de milhares 3 18 9 3 4 2" xfId="40951"/>
    <cellStyle name="Separador de milhares 3 18 9 3 5" xfId="34565"/>
    <cellStyle name="Separador de milhares 3 18 9 4" xfId="4945"/>
    <cellStyle name="Separador de milhares 3 18 9 4 2" xfId="23580"/>
    <cellStyle name="Separador de milhares 3 18 9 4 2 2" xfId="49813"/>
    <cellStyle name="Separador de milhares 3 18 9 4 3" xfId="31190"/>
    <cellStyle name="Separador de milhares 3 18 9 5" xfId="17666"/>
    <cellStyle name="Separador de milhares 3 18 9 5 2" xfId="43905"/>
    <cellStyle name="Separador de milhares 3 18 9 6" xfId="11332"/>
    <cellStyle name="Separador de milhares 3 18 9 6 2" xfId="37574"/>
    <cellStyle name="Separador de milhares 3 18 9 7" xfId="29492"/>
    <cellStyle name="Separador de milhares 3 19" xfId="611"/>
    <cellStyle name="Separador de milhares 3 19 10" xfId="4909"/>
    <cellStyle name="Separador de milhares 3 19 10 2" xfId="23543"/>
    <cellStyle name="Separador de milhares 3 19 10 2 2" xfId="49779"/>
    <cellStyle name="Separador de milhares 3 19 10 3" xfId="31156"/>
    <cellStyle name="Separador de milhares 3 19 11" xfId="17629"/>
    <cellStyle name="Separador de milhares 3 19 11 2" xfId="43871"/>
    <cellStyle name="Separador de milhares 3 19 12" xfId="11298"/>
    <cellStyle name="Separador de milhares 3 19 12 2" xfId="37540"/>
    <cellStyle name="Separador de milhares 3 19 13" xfId="29458"/>
    <cellStyle name="Separador de milhares 3 19 2" xfId="1434"/>
    <cellStyle name="Separador de milhares 3 19 2 2" xfId="6861"/>
    <cellStyle name="Separador de milhares 3 19 2 2 2" xfId="10008"/>
    <cellStyle name="Separador de milhares 3 19 2 2 2 2" xfId="28222"/>
    <cellStyle name="Separador de milhares 3 19 2 2 2 2 2" xfId="54452"/>
    <cellStyle name="Separador de milhares 3 19 2 2 2 3" xfId="22308"/>
    <cellStyle name="Separador de milhares 3 19 2 2 2 3 2" xfId="48544"/>
    <cellStyle name="Separador de milhares 3 19 2 2 2 4" xfId="16394"/>
    <cellStyle name="Separador de milhares 3 19 2 2 2 4 2" xfId="42636"/>
    <cellStyle name="Separador de milhares 3 19 2 2 2 5" xfId="36250"/>
    <cellStyle name="Separador de milhares 3 19 2 2 3" xfId="25265"/>
    <cellStyle name="Separador de milhares 3 19 2 2 3 2" xfId="51498"/>
    <cellStyle name="Separador de milhares 3 19 2 2 4" xfId="19351"/>
    <cellStyle name="Separador de milhares 3 19 2 2 4 2" xfId="45590"/>
    <cellStyle name="Separador de milhares 3 19 2 2 5" xfId="13250"/>
    <cellStyle name="Separador de milhares 3 19 2 2 5 2" xfId="39492"/>
    <cellStyle name="Separador de milhares 3 19 2 2 6" xfId="33106"/>
    <cellStyle name="Separador de milhares 3 19 2 3" xfId="8540"/>
    <cellStyle name="Separador de milhares 3 19 2 3 2" xfId="26754"/>
    <cellStyle name="Separador de milhares 3 19 2 3 2 2" xfId="52984"/>
    <cellStyle name="Separador de milhares 3 19 2 3 3" xfId="20840"/>
    <cellStyle name="Separador de milhares 3 19 2 3 3 2" xfId="47076"/>
    <cellStyle name="Separador de milhares 3 19 2 3 4" xfId="14926"/>
    <cellStyle name="Separador de milhares 3 19 2 3 4 2" xfId="41168"/>
    <cellStyle name="Separador de milhares 3 19 2 3 5" xfId="34782"/>
    <cellStyle name="Separador de milhares 3 19 2 4" xfId="5162"/>
    <cellStyle name="Separador de milhares 3 19 2 4 2" xfId="23797"/>
    <cellStyle name="Separador de milhares 3 19 2 4 2 2" xfId="50030"/>
    <cellStyle name="Separador de milhares 3 19 2 4 3" xfId="31407"/>
    <cellStyle name="Separador de milhares 3 19 2 5" xfId="17883"/>
    <cellStyle name="Separador de milhares 3 19 2 5 2" xfId="44122"/>
    <cellStyle name="Separador de milhares 3 19 2 6" xfId="11549"/>
    <cellStyle name="Separador de milhares 3 19 2 6 2" xfId="37791"/>
    <cellStyle name="Separador de milhares 3 19 2 7" xfId="29709"/>
    <cellStyle name="Separador de milhares 3 19 3" xfId="1869"/>
    <cellStyle name="Separador de milhares 3 19 3 2" xfId="6980"/>
    <cellStyle name="Separador de milhares 3 19 3 2 2" xfId="10127"/>
    <cellStyle name="Separador de milhares 3 19 3 2 2 2" xfId="28341"/>
    <cellStyle name="Separador de milhares 3 19 3 2 2 2 2" xfId="54571"/>
    <cellStyle name="Separador de milhares 3 19 3 2 2 3" xfId="22427"/>
    <cellStyle name="Separador de milhares 3 19 3 2 2 3 2" xfId="48663"/>
    <cellStyle name="Separador de milhares 3 19 3 2 2 4" xfId="16513"/>
    <cellStyle name="Separador de milhares 3 19 3 2 2 4 2" xfId="42755"/>
    <cellStyle name="Separador de milhares 3 19 3 2 2 5" xfId="36369"/>
    <cellStyle name="Separador de milhares 3 19 3 2 3" xfId="25384"/>
    <cellStyle name="Separador de milhares 3 19 3 2 3 2" xfId="51617"/>
    <cellStyle name="Separador de milhares 3 19 3 2 4" xfId="19470"/>
    <cellStyle name="Separador de milhares 3 19 3 2 4 2" xfId="45709"/>
    <cellStyle name="Separador de milhares 3 19 3 2 5" xfId="13369"/>
    <cellStyle name="Separador de milhares 3 19 3 2 5 2" xfId="39611"/>
    <cellStyle name="Separador de milhares 3 19 3 2 6" xfId="33225"/>
    <cellStyle name="Separador de milhares 3 19 3 3" xfId="8659"/>
    <cellStyle name="Separador de milhares 3 19 3 3 2" xfId="26873"/>
    <cellStyle name="Separador de milhares 3 19 3 3 2 2" xfId="53103"/>
    <cellStyle name="Separador de milhares 3 19 3 3 3" xfId="20959"/>
    <cellStyle name="Separador de milhares 3 19 3 3 3 2" xfId="47195"/>
    <cellStyle name="Separador de milhares 3 19 3 3 4" xfId="15045"/>
    <cellStyle name="Separador de milhares 3 19 3 3 4 2" xfId="41287"/>
    <cellStyle name="Separador de milhares 3 19 3 3 5" xfId="34901"/>
    <cellStyle name="Separador de milhares 3 19 3 4" xfId="5281"/>
    <cellStyle name="Separador de milhares 3 19 3 4 2" xfId="23916"/>
    <cellStyle name="Separador de milhares 3 19 3 4 2 2" xfId="50149"/>
    <cellStyle name="Separador de milhares 3 19 3 4 3" xfId="31526"/>
    <cellStyle name="Separador de milhares 3 19 3 5" xfId="18002"/>
    <cellStyle name="Separador de milhares 3 19 3 5 2" xfId="44241"/>
    <cellStyle name="Separador de milhares 3 19 3 6" xfId="11668"/>
    <cellStyle name="Separador de milhares 3 19 3 6 2" xfId="37910"/>
    <cellStyle name="Separador de milhares 3 19 3 7" xfId="29828"/>
    <cellStyle name="Separador de milhares 3 19 4" xfId="2399"/>
    <cellStyle name="Separador de milhares 3 19 4 2" xfId="7130"/>
    <cellStyle name="Separador de milhares 3 19 4 2 2" xfId="10274"/>
    <cellStyle name="Separador de milhares 3 19 4 2 2 2" xfId="28488"/>
    <cellStyle name="Separador de milhares 3 19 4 2 2 2 2" xfId="54718"/>
    <cellStyle name="Separador de milhares 3 19 4 2 2 3" xfId="22574"/>
    <cellStyle name="Separador de milhares 3 19 4 2 2 3 2" xfId="48810"/>
    <cellStyle name="Separador de milhares 3 19 4 2 2 4" xfId="16660"/>
    <cellStyle name="Separador de milhares 3 19 4 2 2 4 2" xfId="42902"/>
    <cellStyle name="Separador de milhares 3 19 4 2 2 5" xfId="36516"/>
    <cellStyle name="Separador de milhares 3 19 4 2 3" xfId="25531"/>
    <cellStyle name="Separador de milhares 3 19 4 2 3 2" xfId="51764"/>
    <cellStyle name="Separador de milhares 3 19 4 2 4" xfId="19617"/>
    <cellStyle name="Separador de milhares 3 19 4 2 4 2" xfId="45856"/>
    <cellStyle name="Separador de milhares 3 19 4 2 5" xfId="13519"/>
    <cellStyle name="Separador de milhares 3 19 4 2 5 2" xfId="39761"/>
    <cellStyle name="Separador de milhares 3 19 4 2 6" xfId="33375"/>
    <cellStyle name="Separador de milhares 3 19 4 3" xfId="8806"/>
    <cellStyle name="Separador de milhares 3 19 4 3 2" xfId="27020"/>
    <cellStyle name="Separador de milhares 3 19 4 3 2 2" xfId="53250"/>
    <cellStyle name="Separador de milhares 3 19 4 3 3" xfId="21106"/>
    <cellStyle name="Separador de milhares 3 19 4 3 3 2" xfId="47342"/>
    <cellStyle name="Separador de milhares 3 19 4 3 4" xfId="15192"/>
    <cellStyle name="Separador de milhares 3 19 4 3 4 2" xfId="41434"/>
    <cellStyle name="Separador de milhares 3 19 4 3 5" xfId="35048"/>
    <cellStyle name="Separador de milhares 3 19 4 4" xfId="5431"/>
    <cellStyle name="Separador de milhares 3 19 4 4 2" xfId="24063"/>
    <cellStyle name="Separador de milhares 3 19 4 4 2 2" xfId="50296"/>
    <cellStyle name="Separador de milhares 3 19 4 4 3" xfId="31676"/>
    <cellStyle name="Separador de milhares 3 19 4 5" xfId="18149"/>
    <cellStyle name="Separador de milhares 3 19 4 5 2" xfId="44388"/>
    <cellStyle name="Separador de milhares 3 19 4 6" xfId="11818"/>
    <cellStyle name="Separador de milhares 3 19 4 6 2" xfId="38060"/>
    <cellStyle name="Separador de milhares 3 19 4 7" xfId="29978"/>
    <cellStyle name="Separador de milhares 3 19 5" xfId="2926"/>
    <cellStyle name="Separador de milhares 3 19 5 2" xfId="7277"/>
    <cellStyle name="Separador de milhares 3 19 5 2 2" xfId="10421"/>
    <cellStyle name="Separador de milhares 3 19 5 2 2 2" xfId="28635"/>
    <cellStyle name="Separador de milhares 3 19 5 2 2 2 2" xfId="54865"/>
    <cellStyle name="Separador de milhares 3 19 5 2 2 3" xfId="22721"/>
    <cellStyle name="Separador de milhares 3 19 5 2 2 3 2" xfId="48957"/>
    <cellStyle name="Separador de milhares 3 19 5 2 2 4" xfId="16807"/>
    <cellStyle name="Separador de milhares 3 19 5 2 2 4 2" xfId="43049"/>
    <cellStyle name="Separador de milhares 3 19 5 2 2 5" xfId="36663"/>
    <cellStyle name="Separador de milhares 3 19 5 2 3" xfId="25678"/>
    <cellStyle name="Separador de milhares 3 19 5 2 3 2" xfId="51911"/>
    <cellStyle name="Separador de milhares 3 19 5 2 4" xfId="19764"/>
    <cellStyle name="Separador de milhares 3 19 5 2 4 2" xfId="46003"/>
    <cellStyle name="Separador de milhares 3 19 5 2 5" xfId="13666"/>
    <cellStyle name="Separador de milhares 3 19 5 2 5 2" xfId="39908"/>
    <cellStyle name="Separador de milhares 3 19 5 2 6" xfId="33522"/>
    <cellStyle name="Separador de milhares 3 19 5 3" xfId="8953"/>
    <cellStyle name="Separador de milhares 3 19 5 3 2" xfId="27167"/>
    <cellStyle name="Separador de milhares 3 19 5 3 2 2" xfId="53397"/>
    <cellStyle name="Separador de milhares 3 19 5 3 3" xfId="21253"/>
    <cellStyle name="Separador de milhares 3 19 5 3 3 2" xfId="47489"/>
    <cellStyle name="Separador de milhares 3 19 5 3 4" xfId="15339"/>
    <cellStyle name="Separador de milhares 3 19 5 3 4 2" xfId="41581"/>
    <cellStyle name="Separador de milhares 3 19 5 3 5" xfId="35195"/>
    <cellStyle name="Separador de milhares 3 19 5 4" xfId="5578"/>
    <cellStyle name="Separador de milhares 3 19 5 4 2" xfId="24210"/>
    <cellStyle name="Separador de milhares 3 19 5 4 2 2" xfId="50443"/>
    <cellStyle name="Separador de milhares 3 19 5 4 3" xfId="31823"/>
    <cellStyle name="Separador de milhares 3 19 5 5" xfId="18296"/>
    <cellStyle name="Separador de milhares 3 19 5 5 2" xfId="44535"/>
    <cellStyle name="Separador de milhares 3 19 5 6" xfId="11965"/>
    <cellStyle name="Separador de milhares 3 19 5 6 2" xfId="38207"/>
    <cellStyle name="Separador de milhares 3 19 5 7" xfId="30125"/>
    <cellStyle name="Separador de milhares 3 19 6" xfId="3453"/>
    <cellStyle name="Separador de milhares 3 19 6 2" xfId="7424"/>
    <cellStyle name="Separador de milhares 3 19 6 2 2" xfId="10568"/>
    <cellStyle name="Separador de milhares 3 19 6 2 2 2" xfId="28782"/>
    <cellStyle name="Separador de milhares 3 19 6 2 2 2 2" xfId="55012"/>
    <cellStyle name="Separador de milhares 3 19 6 2 2 3" xfId="22868"/>
    <cellStyle name="Separador de milhares 3 19 6 2 2 3 2" xfId="49104"/>
    <cellStyle name="Separador de milhares 3 19 6 2 2 4" xfId="16954"/>
    <cellStyle name="Separador de milhares 3 19 6 2 2 4 2" xfId="43196"/>
    <cellStyle name="Separador de milhares 3 19 6 2 2 5" xfId="36810"/>
    <cellStyle name="Separador de milhares 3 19 6 2 3" xfId="25825"/>
    <cellStyle name="Separador de milhares 3 19 6 2 3 2" xfId="52058"/>
    <cellStyle name="Separador de milhares 3 19 6 2 4" xfId="19911"/>
    <cellStyle name="Separador de milhares 3 19 6 2 4 2" xfId="46150"/>
    <cellStyle name="Separador de milhares 3 19 6 2 5" xfId="13813"/>
    <cellStyle name="Separador de milhares 3 19 6 2 5 2" xfId="40055"/>
    <cellStyle name="Separador de milhares 3 19 6 2 6" xfId="33669"/>
    <cellStyle name="Separador de milhares 3 19 6 3" xfId="9100"/>
    <cellStyle name="Separador de milhares 3 19 6 3 2" xfId="27314"/>
    <cellStyle name="Separador de milhares 3 19 6 3 2 2" xfId="53544"/>
    <cellStyle name="Separador de milhares 3 19 6 3 3" xfId="21400"/>
    <cellStyle name="Separador de milhares 3 19 6 3 3 2" xfId="47636"/>
    <cellStyle name="Separador de milhares 3 19 6 3 4" xfId="15486"/>
    <cellStyle name="Separador de milhares 3 19 6 3 4 2" xfId="41728"/>
    <cellStyle name="Separador de milhares 3 19 6 3 5" xfId="35342"/>
    <cellStyle name="Separador de milhares 3 19 6 4" xfId="5725"/>
    <cellStyle name="Separador de milhares 3 19 6 4 2" xfId="24357"/>
    <cellStyle name="Separador de milhares 3 19 6 4 2 2" xfId="50590"/>
    <cellStyle name="Separador de milhares 3 19 6 4 3" xfId="31970"/>
    <cellStyle name="Separador de milhares 3 19 6 5" xfId="18443"/>
    <cellStyle name="Separador de milhares 3 19 6 5 2" xfId="44682"/>
    <cellStyle name="Separador de milhares 3 19 6 6" xfId="12112"/>
    <cellStyle name="Separador de milhares 3 19 6 6 2" xfId="38354"/>
    <cellStyle name="Separador de milhares 3 19 6 7" xfId="30272"/>
    <cellStyle name="Separador de milhares 3 19 7" xfId="3980"/>
    <cellStyle name="Separador de milhares 3 19 7 2" xfId="7571"/>
    <cellStyle name="Separador de milhares 3 19 7 2 2" xfId="10715"/>
    <cellStyle name="Separador de milhares 3 19 7 2 2 2" xfId="28929"/>
    <cellStyle name="Separador de milhares 3 19 7 2 2 2 2" xfId="55159"/>
    <cellStyle name="Separador de milhares 3 19 7 2 2 3" xfId="23015"/>
    <cellStyle name="Separador de milhares 3 19 7 2 2 3 2" xfId="49251"/>
    <cellStyle name="Separador de milhares 3 19 7 2 2 4" xfId="17101"/>
    <cellStyle name="Separador de milhares 3 19 7 2 2 4 2" xfId="43343"/>
    <cellStyle name="Separador de milhares 3 19 7 2 2 5" xfId="36957"/>
    <cellStyle name="Separador de milhares 3 19 7 2 3" xfId="25972"/>
    <cellStyle name="Separador de milhares 3 19 7 2 3 2" xfId="52205"/>
    <cellStyle name="Separador de milhares 3 19 7 2 4" xfId="20058"/>
    <cellStyle name="Separador de milhares 3 19 7 2 4 2" xfId="46297"/>
    <cellStyle name="Separador de milhares 3 19 7 2 5" xfId="13960"/>
    <cellStyle name="Separador de milhares 3 19 7 2 5 2" xfId="40202"/>
    <cellStyle name="Separador de milhares 3 19 7 2 6" xfId="33816"/>
    <cellStyle name="Separador de milhares 3 19 7 3" xfId="9247"/>
    <cellStyle name="Separador de milhares 3 19 7 3 2" xfId="27461"/>
    <cellStyle name="Separador de milhares 3 19 7 3 2 2" xfId="53691"/>
    <cellStyle name="Separador de milhares 3 19 7 3 3" xfId="21547"/>
    <cellStyle name="Separador de milhares 3 19 7 3 3 2" xfId="47783"/>
    <cellStyle name="Separador de milhares 3 19 7 3 4" xfId="15633"/>
    <cellStyle name="Separador de milhares 3 19 7 3 4 2" xfId="41875"/>
    <cellStyle name="Separador de milhares 3 19 7 3 5" xfId="35489"/>
    <cellStyle name="Separador de milhares 3 19 7 4" xfId="5872"/>
    <cellStyle name="Separador de milhares 3 19 7 4 2" xfId="24504"/>
    <cellStyle name="Separador de milhares 3 19 7 4 2 2" xfId="50737"/>
    <cellStyle name="Separador de milhares 3 19 7 4 3" xfId="32117"/>
    <cellStyle name="Separador de milhares 3 19 7 5" xfId="18590"/>
    <cellStyle name="Separador de milhares 3 19 7 5 2" xfId="44829"/>
    <cellStyle name="Separador de milhares 3 19 7 6" xfId="12259"/>
    <cellStyle name="Separador de milhares 3 19 7 6 2" xfId="38501"/>
    <cellStyle name="Separador de milhares 3 19 7 7" xfId="30419"/>
    <cellStyle name="Separador de milhares 3 19 8" xfId="6610"/>
    <cellStyle name="Separador de milhares 3 19 8 2" xfId="9757"/>
    <cellStyle name="Separador de milhares 3 19 8 2 2" xfId="27971"/>
    <cellStyle name="Separador de milhares 3 19 8 2 2 2" xfId="54201"/>
    <cellStyle name="Separador de milhares 3 19 8 2 3" xfId="22057"/>
    <cellStyle name="Separador de milhares 3 19 8 2 3 2" xfId="48293"/>
    <cellStyle name="Separador de milhares 3 19 8 2 4" xfId="16143"/>
    <cellStyle name="Separador de milhares 3 19 8 2 4 2" xfId="42385"/>
    <cellStyle name="Separador de milhares 3 19 8 2 5" xfId="35999"/>
    <cellStyle name="Separador de milhares 3 19 8 3" xfId="25014"/>
    <cellStyle name="Separador de milhares 3 19 8 3 2" xfId="51247"/>
    <cellStyle name="Separador de milhares 3 19 8 4" xfId="19100"/>
    <cellStyle name="Separador de milhares 3 19 8 4 2" xfId="45339"/>
    <cellStyle name="Separador de milhares 3 19 8 5" xfId="12999"/>
    <cellStyle name="Separador de milhares 3 19 8 5 2" xfId="39241"/>
    <cellStyle name="Separador de milhares 3 19 8 6" xfId="32855"/>
    <cellStyle name="Separador de milhares 3 19 9" xfId="8286"/>
    <cellStyle name="Separador de milhares 3 19 9 2" xfId="26500"/>
    <cellStyle name="Separador de milhares 3 19 9 2 2" xfId="52733"/>
    <cellStyle name="Separador de milhares 3 19 9 3" xfId="20586"/>
    <cellStyle name="Separador de milhares 3 19 9 3 2" xfId="46825"/>
    <cellStyle name="Separador de milhares 3 19 9 4" xfId="14675"/>
    <cellStyle name="Separador de milhares 3 19 9 4 2" xfId="40917"/>
    <cellStyle name="Separador de milhares 3 19 9 5" xfId="34531"/>
    <cellStyle name="Separador de milhares 3 2" xfId="76"/>
    <cellStyle name="Separador de milhares 3 2 10" xfId="358"/>
    <cellStyle name="Separador de milhares 3 2 10 10" xfId="6546"/>
    <cellStyle name="Separador de milhares 3 2 10 10 2" xfId="9694"/>
    <cellStyle name="Separador de milhares 3 2 10 10 2 2" xfId="27908"/>
    <cellStyle name="Separador de milhares 3 2 10 10 2 2 2" xfId="54138"/>
    <cellStyle name="Separador de milhares 3 2 10 10 2 3" xfId="21994"/>
    <cellStyle name="Separador de milhares 3 2 10 10 2 3 2" xfId="48230"/>
    <cellStyle name="Separador de milhares 3 2 10 10 2 4" xfId="16080"/>
    <cellStyle name="Separador de milhares 3 2 10 10 2 4 2" xfId="42322"/>
    <cellStyle name="Separador de milhares 3 2 10 10 2 5" xfId="35936"/>
    <cellStyle name="Separador de milhares 3 2 10 10 3" xfId="24951"/>
    <cellStyle name="Separador de milhares 3 2 10 10 3 2" xfId="51184"/>
    <cellStyle name="Separador de milhares 3 2 10 10 4" xfId="19037"/>
    <cellStyle name="Separador de milhares 3 2 10 10 4 2" xfId="45276"/>
    <cellStyle name="Separador de milhares 3 2 10 10 5" xfId="12935"/>
    <cellStyle name="Separador de milhares 3 2 10 10 5 2" xfId="39177"/>
    <cellStyle name="Separador de milhares 3 2 10 10 6" xfId="32791"/>
    <cellStyle name="Separador de milhares 3 2 10 11" xfId="8223"/>
    <cellStyle name="Separador de milhares 3 2 10 11 2" xfId="26437"/>
    <cellStyle name="Separador de milhares 3 2 10 11 2 2" xfId="52670"/>
    <cellStyle name="Separador de milhares 3 2 10 11 3" xfId="20523"/>
    <cellStyle name="Separador de milhares 3 2 10 11 3 2" xfId="46762"/>
    <cellStyle name="Separador de milhares 3 2 10 11 4" xfId="14612"/>
    <cellStyle name="Separador de milhares 3 2 10 11 4 2" xfId="40854"/>
    <cellStyle name="Separador de milhares 3 2 10 11 5" xfId="34468"/>
    <cellStyle name="Separador de milhares 3 2 10 12" xfId="4845"/>
    <cellStyle name="Separador de milhares 3 2 10 12 2" xfId="23480"/>
    <cellStyle name="Separador de milhares 3 2 10 12 2 2" xfId="49716"/>
    <cellStyle name="Separador de milhares 3 2 10 12 3" xfId="31092"/>
    <cellStyle name="Separador de milhares 3 2 10 13" xfId="17566"/>
    <cellStyle name="Separador de milhares 3 2 10 13 2" xfId="43808"/>
    <cellStyle name="Separador de milhares 3 2 10 14" xfId="11234"/>
    <cellStyle name="Separador de milhares 3 2 10 14 2" xfId="37476"/>
    <cellStyle name="Separador de milhares 3 2 10 15" xfId="29394"/>
    <cellStyle name="Separador de milhares 3 2 10 2" xfId="1003"/>
    <cellStyle name="Separador de milhares 3 2 10 2 2" xfId="6743"/>
    <cellStyle name="Separador de milhares 3 2 10 2 2 2" xfId="9890"/>
    <cellStyle name="Separador de milhares 3 2 10 2 2 2 2" xfId="28104"/>
    <cellStyle name="Separador de milhares 3 2 10 2 2 2 2 2" xfId="54334"/>
    <cellStyle name="Separador de milhares 3 2 10 2 2 2 3" xfId="22190"/>
    <cellStyle name="Separador de milhares 3 2 10 2 2 2 3 2" xfId="48426"/>
    <cellStyle name="Separador de milhares 3 2 10 2 2 2 4" xfId="16276"/>
    <cellStyle name="Separador de milhares 3 2 10 2 2 2 4 2" xfId="42518"/>
    <cellStyle name="Separador de milhares 3 2 10 2 2 2 5" xfId="36132"/>
    <cellStyle name="Separador de milhares 3 2 10 2 2 3" xfId="25147"/>
    <cellStyle name="Separador de milhares 3 2 10 2 2 3 2" xfId="51380"/>
    <cellStyle name="Separador de milhares 3 2 10 2 2 4" xfId="19233"/>
    <cellStyle name="Separador de milhares 3 2 10 2 2 4 2" xfId="45472"/>
    <cellStyle name="Separador de milhares 3 2 10 2 2 5" xfId="13132"/>
    <cellStyle name="Separador de milhares 3 2 10 2 2 5 2" xfId="39374"/>
    <cellStyle name="Separador de milhares 3 2 10 2 2 6" xfId="32988"/>
    <cellStyle name="Separador de milhares 3 2 10 2 3" xfId="8422"/>
    <cellStyle name="Separador de milhares 3 2 10 2 3 2" xfId="26636"/>
    <cellStyle name="Separador de milhares 3 2 10 2 3 2 2" xfId="52866"/>
    <cellStyle name="Separador de milhares 3 2 10 2 3 3" xfId="20722"/>
    <cellStyle name="Separador de milhares 3 2 10 2 3 3 2" xfId="46958"/>
    <cellStyle name="Separador de milhares 3 2 10 2 3 4" xfId="14808"/>
    <cellStyle name="Separador de milhares 3 2 10 2 3 4 2" xfId="41050"/>
    <cellStyle name="Separador de milhares 3 2 10 2 3 5" xfId="34664"/>
    <cellStyle name="Separador de milhares 3 2 10 2 4" xfId="5044"/>
    <cellStyle name="Separador de milhares 3 2 10 2 4 2" xfId="23679"/>
    <cellStyle name="Separador de milhares 3 2 10 2 4 2 2" xfId="49912"/>
    <cellStyle name="Separador de milhares 3 2 10 2 4 3" xfId="31289"/>
    <cellStyle name="Separador de milhares 3 2 10 2 5" xfId="17765"/>
    <cellStyle name="Separador de milhares 3 2 10 2 5 2" xfId="44004"/>
    <cellStyle name="Separador de milhares 3 2 10 2 6" xfId="11431"/>
    <cellStyle name="Separador de milhares 3 2 10 2 6 2" xfId="37673"/>
    <cellStyle name="Separador de milhares 3 2 10 2 7" xfId="29591"/>
    <cellStyle name="Separador de milhares 3 2 10 3" xfId="1354"/>
    <cellStyle name="Separador de milhares 3 2 10 3 2" xfId="6841"/>
    <cellStyle name="Separador de milhares 3 2 10 3 2 2" xfId="9988"/>
    <cellStyle name="Separador de milhares 3 2 10 3 2 2 2" xfId="28202"/>
    <cellStyle name="Separador de milhares 3 2 10 3 2 2 2 2" xfId="54432"/>
    <cellStyle name="Separador de milhares 3 2 10 3 2 2 3" xfId="22288"/>
    <cellStyle name="Separador de milhares 3 2 10 3 2 2 3 2" xfId="48524"/>
    <cellStyle name="Separador de milhares 3 2 10 3 2 2 4" xfId="16374"/>
    <cellStyle name="Separador de milhares 3 2 10 3 2 2 4 2" xfId="42616"/>
    <cellStyle name="Separador de milhares 3 2 10 3 2 2 5" xfId="36230"/>
    <cellStyle name="Separador de milhares 3 2 10 3 2 3" xfId="25245"/>
    <cellStyle name="Separador de milhares 3 2 10 3 2 3 2" xfId="51478"/>
    <cellStyle name="Separador de milhares 3 2 10 3 2 4" xfId="19331"/>
    <cellStyle name="Separador de milhares 3 2 10 3 2 4 2" xfId="45570"/>
    <cellStyle name="Separador de milhares 3 2 10 3 2 5" xfId="13230"/>
    <cellStyle name="Separador de milhares 3 2 10 3 2 5 2" xfId="39472"/>
    <cellStyle name="Separador de milhares 3 2 10 3 2 6" xfId="33086"/>
    <cellStyle name="Separador de milhares 3 2 10 3 3" xfId="8520"/>
    <cellStyle name="Separador de milhares 3 2 10 3 3 2" xfId="26734"/>
    <cellStyle name="Separador de milhares 3 2 10 3 3 2 2" xfId="52964"/>
    <cellStyle name="Separador de milhares 3 2 10 3 3 3" xfId="20820"/>
    <cellStyle name="Separador de milhares 3 2 10 3 3 3 2" xfId="47056"/>
    <cellStyle name="Separador de milhares 3 2 10 3 3 4" xfId="14906"/>
    <cellStyle name="Separador de milhares 3 2 10 3 3 4 2" xfId="41148"/>
    <cellStyle name="Separador de milhares 3 2 10 3 3 5" xfId="34762"/>
    <cellStyle name="Separador de milhares 3 2 10 3 4" xfId="5142"/>
    <cellStyle name="Separador de milhares 3 2 10 3 4 2" xfId="23777"/>
    <cellStyle name="Separador de milhares 3 2 10 3 4 2 2" xfId="50010"/>
    <cellStyle name="Separador de milhares 3 2 10 3 4 3" xfId="31387"/>
    <cellStyle name="Separador de milhares 3 2 10 3 5" xfId="17863"/>
    <cellStyle name="Separador de milhares 3 2 10 3 5 2" xfId="44102"/>
    <cellStyle name="Separador de milhares 3 2 10 3 6" xfId="11529"/>
    <cellStyle name="Separador de milhares 3 2 10 3 6 2" xfId="37771"/>
    <cellStyle name="Separador de milhares 3 2 10 3 7" xfId="29689"/>
    <cellStyle name="Separador de milhares 3 2 10 4" xfId="1789"/>
    <cellStyle name="Separador de milhares 3 2 10 4 2" xfId="6960"/>
    <cellStyle name="Separador de milhares 3 2 10 4 2 2" xfId="10107"/>
    <cellStyle name="Separador de milhares 3 2 10 4 2 2 2" xfId="28321"/>
    <cellStyle name="Separador de milhares 3 2 10 4 2 2 2 2" xfId="54551"/>
    <cellStyle name="Separador de milhares 3 2 10 4 2 2 3" xfId="22407"/>
    <cellStyle name="Separador de milhares 3 2 10 4 2 2 3 2" xfId="48643"/>
    <cellStyle name="Separador de milhares 3 2 10 4 2 2 4" xfId="16493"/>
    <cellStyle name="Separador de milhares 3 2 10 4 2 2 4 2" xfId="42735"/>
    <cellStyle name="Separador de milhares 3 2 10 4 2 2 5" xfId="36349"/>
    <cellStyle name="Separador de milhares 3 2 10 4 2 3" xfId="25364"/>
    <cellStyle name="Separador de milhares 3 2 10 4 2 3 2" xfId="51597"/>
    <cellStyle name="Separador de milhares 3 2 10 4 2 4" xfId="19450"/>
    <cellStyle name="Separador de milhares 3 2 10 4 2 4 2" xfId="45689"/>
    <cellStyle name="Separador de milhares 3 2 10 4 2 5" xfId="13349"/>
    <cellStyle name="Separador de milhares 3 2 10 4 2 5 2" xfId="39591"/>
    <cellStyle name="Separador de milhares 3 2 10 4 2 6" xfId="33205"/>
    <cellStyle name="Separador de milhares 3 2 10 4 3" xfId="8639"/>
    <cellStyle name="Separador de milhares 3 2 10 4 3 2" xfId="26853"/>
    <cellStyle name="Separador de milhares 3 2 10 4 3 2 2" xfId="53083"/>
    <cellStyle name="Separador de milhares 3 2 10 4 3 3" xfId="20939"/>
    <cellStyle name="Separador de milhares 3 2 10 4 3 3 2" xfId="47175"/>
    <cellStyle name="Separador de milhares 3 2 10 4 3 4" xfId="15025"/>
    <cellStyle name="Separador de milhares 3 2 10 4 3 4 2" xfId="41267"/>
    <cellStyle name="Separador de milhares 3 2 10 4 3 5" xfId="34881"/>
    <cellStyle name="Separador de milhares 3 2 10 4 4" xfId="5261"/>
    <cellStyle name="Separador de milhares 3 2 10 4 4 2" xfId="23896"/>
    <cellStyle name="Separador de milhares 3 2 10 4 4 2 2" xfId="50129"/>
    <cellStyle name="Separador de milhares 3 2 10 4 4 3" xfId="31506"/>
    <cellStyle name="Separador de milhares 3 2 10 4 5" xfId="17982"/>
    <cellStyle name="Separador de milhares 3 2 10 4 5 2" xfId="44221"/>
    <cellStyle name="Separador de milhares 3 2 10 4 6" xfId="11648"/>
    <cellStyle name="Separador de milhares 3 2 10 4 6 2" xfId="37890"/>
    <cellStyle name="Separador de milhares 3 2 10 4 7" xfId="29808"/>
    <cellStyle name="Separador de milhares 3 2 10 5" xfId="2319"/>
    <cellStyle name="Separador de milhares 3 2 10 5 2" xfId="7110"/>
    <cellStyle name="Separador de milhares 3 2 10 5 2 2" xfId="10254"/>
    <cellStyle name="Separador de milhares 3 2 10 5 2 2 2" xfId="28468"/>
    <cellStyle name="Separador de milhares 3 2 10 5 2 2 2 2" xfId="54698"/>
    <cellStyle name="Separador de milhares 3 2 10 5 2 2 3" xfId="22554"/>
    <cellStyle name="Separador de milhares 3 2 10 5 2 2 3 2" xfId="48790"/>
    <cellStyle name="Separador de milhares 3 2 10 5 2 2 4" xfId="16640"/>
    <cellStyle name="Separador de milhares 3 2 10 5 2 2 4 2" xfId="42882"/>
    <cellStyle name="Separador de milhares 3 2 10 5 2 2 5" xfId="36496"/>
    <cellStyle name="Separador de milhares 3 2 10 5 2 3" xfId="25511"/>
    <cellStyle name="Separador de milhares 3 2 10 5 2 3 2" xfId="51744"/>
    <cellStyle name="Separador de milhares 3 2 10 5 2 4" xfId="19597"/>
    <cellStyle name="Separador de milhares 3 2 10 5 2 4 2" xfId="45836"/>
    <cellStyle name="Separador de milhares 3 2 10 5 2 5" xfId="13499"/>
    <cellStyle name="Separador de milhares 3 2 10 5 2 5 2" xfId="39741"/>
    <cellStyle name="Separador de milhares 3 2 10 5 2 6" xfId="33355"/>
    <cellStyle name="Separador de milhares 3 2 10 5 3" xfId="8786"/>
    <cellStyle name="Separador de milhares 3 2 10 5 3 2" xfId="27000"/>
    <cellStyle name="Separador de milhares 3 2 10 5 3 2 2" xfId="53230"/>
    <cellStyle name="Separador de milhares 3 2 10 5 3 3" xfId="21086"/>
    <cellStyle name="Separador de milhares 3 2 10 5 3 3 2" xfId="47322"/>
    <cellStyle name="Separador de milhares 3 2 10 5 3 4" xfId="15172"/>
    <cellStyle name="Separador de milhares 3 2 10 5 3 4 2" xfId="41414"/>
    <cellStyle name="Separador de milhares 3 2 10 5 3 5" xfId="35028"/>
    <cellStyle name="Separador de milhares 3 2 10 5 4" xfId="5411"/>
    <cellStyle name="Separador de milhares 3 2 10 5 4 2" xfId="24043"/>
    <cellStyle name="Separador de milhares 3 2 10 5 4 2 2" xfId="50276"/>
    <cellStyle name="Separador de milhares 3 2 10 5 4 3" xfId="31656"/>
    <cellStyle name="Separador de milhares 3 2 10 5 5" xfId="18129"/>
    <cellStyle name="Separador de milhares 3 2 10 5 5 2" xfId="44368"/>
    <cellStyle name="Separador de milhares 3 2 10 5 6" xfId="11798"/>
    <cellStyle name="Separador de milhares 3 2 10 5 6 2" xfId="38040"/>
    <cellStyle name="Separador de milhares 3 2 10 5 7" xfId="29958"/>
    <cellStyle name="Separador de milhares 3 2 10 6" xfId="2846"/>
    <cellStyle name="Separador de milhares 3 2 10 6 2" xfId="7257"/>
    <cellStyle name="Separador de milhares 3 2 10 6 2 2" xfId="10401"/>
    <cellStyle name="Separador de milhares 3 2 10 6 2 2 2" xfId="28615"/>
    <cellStyle name="Separador de milhares 3 2 10 6 2 2 2 2" xfId="54845"/>
    <cellStyle name="Separador de milhares 3 2 10 6 2 2 3" xfId="22701"/>
    <cellStyle name="Separador de milhares 3 2 10 6 2 2 3 2" xfId="48937"/>
    <cellStyle name="Separador de milhares 3 2 10 6 2 2 4" xfId="16787"/>
    <cellStyle name="Separador de milhares 3 2 10 6 2 2 4 2" xfId="43029"/>
    <cellStyle name="Separador de milhares 3 2 10 6 2 2 5" xfId="36643"/>
    <cellStyle name="Separador de milhares 3 2 10 6 2 3" xfId="25658"/>
    <cellStyle name="Separador de milhares 3 2 10 6 2 3 2" xfId="51891"/>
    <cellStyle name="Separador de milhares 3 2 10 6 2 4" xfId="19744"/>
    <cellStyle name="Separador de milhares 3 2 10 6 2 4 2" xfId="45983"/>
    <cellStyle name="Separador de milhares 3 2 10 6 2 5" xfId="13646"/>
    <cellStyle name="Separador de milhares 3 2 10 6 2 5 2" xfId="39888"/>
    <cellStyle name="Separador de milhares 3 2 10 6 2 6" xfId="33502"/>
    <cellStyle name="Separador de milhares 3 2 10 6 3" xfId="8933"/>
    <cellStyle name="Separador de milhares 3 2 10 6 3 2" xfId="27147"/>
    <cellStyle name="Separador de milhares 3 2 10 6 3 2 2" xfId="53377"/>
    <cellStyle name="Separador de milhares 3 2 10 6 3 3" xfId="21233"/>
    <cellStyle name="Separador de milhares 3 2 10 6 3 3 2" xfId="47469"/>
    <cellStyle name="Separador de milhares 3 2 10 6 3 4" xfId="15319"/>
    <cellStyle name="Separador de milhares 3 2 10 6 3 4 2" xfId="41561"/>
    <cellStyle name="Separador de milhares 3 2 10 6 3 5" xfId="35175"/>
    <cellStyle name="Separador de milhares 3 2 10 6 4" xfId="5558"/>
    <cellStyle name="Separador de milhares 3 2 10 6 4 2" xfId="24190"/>
    <cellStyle name="Separador de milhares 3 2 10 6 4 2 2" xfId="50423"/>
    <cellStyle name="Separador de milhares 3 2 10 6 4 3" xfId="31803"/>
    <cellStyle name="Separador de milhares 3 2 10 6 5" xfId="18276"/>
    <cellStyle name="Separador de milhares 3 2 10 6 5 2" xfId="44515"/>
    <cellStyle name="Separador de milhares 3 2 10 6 6" xfId="11945"/>
    <cellStyle name="Separador de milhares 3 2 10 6 6 2" xfId="38187"/>
    <cellStyle name="Separador de milhares 3 2 10 6 7" xfId="30105"/>
    <cellStyle name="Separador de milhares 3 2 10 7" xfId="3373"/>
    <cellStyle name="Separador de milhares 3 2 10 7 2" xfId="7404"/>
    <cellStyle name="Separador de milhares 3 2 10 7 2 2" xfId="10548"/>
    <cellStyle name="Separador de milhares 3 2 10 7 2 2 2" xfId="28762"/>
    <cellStyle name="Separador de milhares 3 2 10 7 2 2 2 2" xfId="54992"/>
    <cellStyle name="Separador de milhares 3 2 10 7 2 2 3" xfId="22848"/>
    <cellStyle name="Separador de milhares 3 2 10 7 2 2 3 2" xfId="49084"/>
    <cellStyle name="Separador de milhares 3 2 10 7 2 2 4" xfId="16934"/>
    <cellStyle name="Separador de milhares 3 2 10 7 2 2 4 2" xfId="43176"/>
    <cellStyle name="Separador de milhares 3 2 10 7 2 2 5" xfId="36790"/>
    <cellStyle name="Separador de milhares 3 2 10 7 2 3" xfId="25805"/>
    <cellStyle name="Separador de milhares 3 2 10 7 2 3 2" xfId="52038"/>
    <cellStyle name="Separador de milhares 3 2 10 7 2 4" xfId="19891"/>
    <cellStyle name="Separador de milhares 3 2 10 7 2 4 2" xfId="46130"/>
    <cellStyle name="Separador de milhares 3 2 10 7 2 5" xfId="13793"/>
    <cellStyle name="Separador de milhares 3 2 10 7 2 5 2" xfId="40035"/>
    <cellStyle name="Separador de milhares 3 2 10 7 2 6" xfId="33649"/>
    <cellStyle name="Separador de milhares 3 2 10 7 3" xfId="9080"/>
    <cellStyle name="Separador de milhares 3 2 10 7 3 2" xfId="27294"/>
    <cellStyle name="Separador de milhares 3 2 10 7 3 2 2" xfId="53524"/>
    <cellStyle name="Separador de milhares 3 2 10 7 3 3" xfId="21380"/>
    <cellStyle name="Separador de milhares 3 2 10 7 3 3 2" xfId="47616"/>
    <cellStyle name="Separador de milhares 3 2 10 7 3 4" xfId="15466"/>
    <cellStyle name="Separador de milhares 3 2 10 7 3 4 2" xfId="41708"/>
    <cellStyle name="Separador de milhares 3 2 10 7 3 5" xfId="35322"/>
    <cellStyle name="Separador de milhares 3 2 10 7 4" xfId="5705"/>
    <cellStyle name="Separador de milhares 3 2 10 7 4 2" xfId="24337"/>
    <cellStyle name="Separador de milhares 3 2 10 7 4 2 2" xfId="50570"/>
    <cellStyle name="Separador de milhares 3 2 10 7 4 3" xfId="31950"/>
    <cellStyle name="Separador de milhares 3 2 10 7 5" xfId="18423"/>
    <cellStyle name="Separador de milhares 3 2 10 7 5 2" xfId="44662"/>
    <cellStyle name="Separador de milhares 3 2 10 7 6" xfId="12092"/>
    <cellStyle name="Separador de milhares 3 2 10 7 6 2" xfId="38334"/>
    <cellStyle name="Separador de milhares 3 2 10 7 7" xfId="30252"/>
    <cellStyle name="Separador de milhares 3 2 10 8" xfId="3900"/>
    <cellStyle name="Separador de milhares 3 2 10 8 2" xfId="7551"/>
    <cellStyle name="Separador de milhares 3 2 10 8 2 2" xfId="10695"/>
    <cellStyle name="Separador de milhares 3 2 10 8 2 2 2" xfId="28909"/>
    <cellStyle name="Separador de milhares 3 2 10 8 2 2 2 2" xfId="55139"/>
    <cellStyle name="Separador de milhares 3 2 10 8 2 2 3" xfId="22995"/>
    <cellStyle name="Separador de milhares 3 2 10 8 2 2 3 2" xfId="49231"/>
    <cellStyle name="Separador de milhares 3 2 10 8 2 2 4" xfId="17081"/>
    <cellStyle name="Separador de milhares 3 2 10 8 2 2 4 2" xfId="43323"/>
    <cellStyle name="Separador de milhares 3 2 10 8 2 2 5" xfId="36937"/>
    <cellStyle name="Separador de milhares 3 2 10 8 2 3" xfId="25952"/>
    <cellStyle name="Separador de milhares 3 2 10 8 2 3 2" xfId="52185"/>
    <cellStyle name="Separador de milhares 3 2 10 8 2 4" xfId="20038"/>
    <cellStyle name="Separador de milhares 3 2 10 8 2 4 2" xfId="46277"/>
    <cellStyle name="Separador de milhares 3 2 10 8 2 5" xfId="13940"/>
    <cellStyle name="Separador de milhares 3 2 10 8 2 5 2" xfId="40182"/>
    <cellStyle name="Separador de milhares 3 2 10 8 2 6" xfId="33796"/>
    <cellStyle name="Separador de milhares 3 2 10 8 3" xfId="9227"/>
    <cellStyle name="Separador de milhares 3 2 10 8 3 2" xfId="27441"/>
    <cellStyle name="Separador de milhares 3 2 10 8 3 2 2" xfId="53671"/>
    <cellStyle name="Separador de milhares 3 2 10 8 3 3" xfId="21527"/>
    <cellStyle name="Separador de milhares 3 2 10 8 3 3 2" xfId="47763"/>
    <cellStyle name="Separador de milhares 3 2 10 8 3 4" xfId="15613"/>
    <cellStyle name="Separador de milhares 3 2 10 8 3 4 2" xfId="41855"/>
    <cellStyle name="Separador de milhares 3 2 10 8 3 5" xfId="35469"/>
    <cellStyle name="Separador de milhares 3 2 10 8 4" xfId="5852"/>
    <cellStyle name="Separador de milhares 3 2 10 8 4 2" xfId="24484"/>
    <cellStyle name="Separador de milhares 3 2 10 8 4 2 2" xfId="50717"/>
    <cellStyle name="Separador de milhares 3 2 10 8 4 3" xfId="32097"/>
    <cellStyle name="Separador de milhares 3 2 10 8 5" xfId="18570"/>
    <cellStyle name="Separador de milhares 3 2 10 8 5 2" xfId="44809"/>
    <cellStyle name="Separador de milhares 3 2 10 8 6" xfId="12239"/>
    <cellStyle name="Separador de milhares 3 2 10 8 6 2" xfId="38481"/>
    <cellStyle name="Separador de milhares 3 2 10 8 7" xfId="30399"/>
    <cellStyle name="Separador de milhares 3 2 10 9" xfId="710"/>
    <cellStyle name="Separador de milhares 3 2 10 9 2" xfId="6645"/>
    <cellStyle name="Separador de milhares 3 2 10 9 2 2" xfId="9792"/>
    <cellStyle name="Separador de milhares 3 2 10 9 2 2 2" xfId="28006"/>
    <cellStyle name="Separador de milhares 3 2 10 9 2 2 2 2" xfId="54236"/>
    <cellStyle name="Separador de milhares 3 2 10 9 2 2 3" xfId="22092"/>
    <cellStyle name="Separador de milhares 3 2 10 9 2 2 3 2" xfId="48328"/>
    <cellStyle name="Separador de milhares 3 2 10 9 2 2 4" xfId="16178"/>
    <cellStyle name="Separador de milhares 3 2 10 9 2 2 4 2" xfId="42420"/>
    <cellStyle name="Separador de milhares 3 2 10 9 2 2 5" xfId="36034"/>
    <cellStyle name="Separador de milhares 3 2 10 9 2 3" xfId="25049"/>
    <cellStyle name="Separador de milhares 3 2 10 9 2 3 2" xfId="51282"/>
    <cellStyle name="Separador de milhares 3 2 10 9 2 4" xfId="19135"/>
    <cellStyle name="Separador de milhares 3 2 10 9 2 4 2" xfId="45374"/>
    <cellStyle name="Separador de milhares 3 2 10 9 2 5" xfId="13034"/>
    <cellStyle name="Separador de milhares 3 2 10 9 2 5 2" xfId="39276"/>
    <cellStyle name="Separador de milhares 3 2 10 9 2 6" xfId="32890"/>
    <cellStyle name="Separador de milhares 3 2 10 9 3" xfId="8324"/>
    <cellStyle name="Separador de milhares 3 2 10 9 3 2" xfId="26538"/>
    <cellStyle name="Separador de milhares 3 2 10 9 3 2 2" xfId="52768"/>
    <cellStyle name="Separador de milhares 3 2 10 9 3 3" xfId="20624"/>
    <cellStyle name="Separador de milhares 3 2 10 9 3 3 2" xfId="46860"/>
    <cellStyle name="Separador de milhares 3 2 10 9 3 4" xfId="14710"/>
    <cellStyle name="Separador de milhares 3 2 10 9 3 4 2" xfId="40952"/>
    <cellStyle name="Separador de milhares 3 2 10 9 3 5" xfId="34566"/>
    <cellStyle name="Separador de milhares 3 2 10 9 4" xfId="4946"/>
    <cellStyle name="Separador de milhares 3 2 10 9 4 2" xfId="23581"/>
    <cellStyle name="Separador de milhares 3 2 10 9 4 2 2" xfId="49814"/>
    <cellStyle name="Separador de milhares 3 2 10 9 4 3" xfId="31191"/>
    <cellStyle name="Separador de milhares 3 2 10 9 5" xfId="17667"/>
    <cellStyle name="Separador de milhares 3 2 10 9 5 2" xfId="43906"/>
    <cellStyle name="Separador de milhares 3 2 10 9 6" xfId="11333"/>
    <cellStyle name="Separador de milhares 3 2 10 9 6 2" xfId="37575"/>
    <cellStyle name="Separador de milhares 3 2 10 9 7" xfId="29493"/>
    <cellStyle name="Separador de milhares 3 2 11" xfId="615"/>
    <cellStyle name="Separador de milhares 3 2 11 10" xfId="4910"/>
    <cellStyle name="Separador de milhares 3 2 11 10 2" xfId="23544"/>
    <cellStyle name="Separador de milhares 3 2 11 10 2 2" xfId="49780"/>
    <cellStyle name="Separador de milhares 3 2 11 10 3" xfId="31157"/>
    <cellStyle name="Separador de milhares 3 2 11 11" xfId="17630"/>
    <cellStyle name="Separador de milhares 3 2 11 11 2" xfId="43872"/>
    <cellStyle name="Separador de milhares 3 2 11 12" xfId="11299"/>
    <cellStyle name="Separador de milhares 3 2 11 12 2" xfId="37541"/>
    <cellStyle name="Separador de milhares 3 2 11 13" xfId="29459"/>
    <cellStyle name="Separador de milhares 3 2 11 2" xfId="1438"/>
    <cellStyle name="Separador de milhares 3 2 11 2 2" xfId="6862"/>
    <cellStyle name="Separador de milhares 3 2 11 2 2 2" xfId="10009"/>
    <cellStyle name="Separador de milhares 3 2 11 2 2 2 2" xfId="28223"/>
    <cellStyle name="Separador de milhares 3 2 11 2 2 2 2 2" xfId="54453"/>
    <cellStyle name="Separador de milhares 3 2 11 2 2 2 3" xfId="22309"/>
    <cellStyle name="Separador de milhares 3 2 11 2 2 2 3 2" xfId="48545"/>
    <cellStyle name="Separador de milhares 3 2 11 2 2 2 4" xfId="16395"/>
    <cellStyle name="Separador de milhares 3 2 11 2 2 2 4 2" xfId="42637"/>
    <cellStyle name="Separador de milhares 3 2 11 2 2 2 5" xfId="36251"/>
    <cellStyle name="Separador de milhares 3 2 11 2 2 3" xfId="25266"/>
    <cellStyle name="Separador de milhares 3 2 11 2 2 3 2" xfId="51499"/>
    <cellStyle name="Separador de milhares 3 2 11 2 2 4" xfId="19352"/>
    <cellStyle name="Separador de milhares 3 2 11 2 2 4 2" xfId="45591"/>
    <cellStyle name="Separador de milhares 3 2 11 2 2 5" xfId="13251"/>
    <cellStyle name="Separador de milhares 3 2 11 2 2 5 2" xfId="39493"/>
    <cellStyle name="Separador de milhares 3 2 11 2 2 6" xfId="33107"/>
    <cellStyle name="Separador de milhares 3 2 11 2 3" xfId="8541"/>
    <cellStyle name="Separador de milhares 3 2 11 2 3 2" xfId="26755"/>
    <cellStyle name="Separador de milhares 3 2 11 2 3 2 2" xfId="52985"/>
    <cellStyle name="Separador de milhares 3 2 11 2 3 3" xfId="20841"/>
    <cellStyle name="Separador de milhares 3 2 11 2 3 3 2" xfId="47077"/>
    <cellStyle name="Separador de milhares 3 2 11 2 3 4" xfId="14927"/>
    <cellStyle name="Separador de milhares 3 2 11 2 3 4 2" xfId="41169"/>
    <cellStyle name="Separador de milhares 3 2 11 2 3 5" xfId="34783"/>
    <cellStyle name="Separador de milhares 3 2 11 2 4" xfId="5163"/>
    <cellStyle name="Separador de milhares 3 2 11 2 4 2" xfId="23798"/>
    <cellStyle name="Separador de milhares 3 2 11 2 4 2 2" xfId="50031"/>
    <cellStyle name="Separador de milhares 3 2 11 2 4 3" xfId="31408"/>
    <cellStyle name="Separador de milhares 3 2 11 2 5" xfId="17884"/>
    <cellStyle name="Separador de milhares 3 2 11 2 5 2" xfId="44123"/>
    <cellStyle name="Separador de milhares 3 2 11 2 6" xfId="11550"/>
    <cellStyle name="Separador de milhares 3 2 11 2 6 2" xfId="37792"/>
    <cellStyle name="Separador de milhares 3 2 11 2 7" xfId="29710"/>
    <cellStyle name="Separador de milhares 3 2 11 3" xfId="1873"/>
    <cellStyle name="Separador de milhares 3 2 11 3 2" xfId="6981"/>
    <cellStyle name="Separador de milhares 3 2 11 3 2 2" xfId="10128"/>
    <cellStyle name="Separador de milhares 3 2 11 3 2 2 2" xfId="28342"/>
    <cellStyle name="Separador de milhares 3 2 11 3 2 2 2 2" xfId="54572"/>
    <cellStyle name="Separador de milhares 3 2 11 3 2 2 3" xfId="22428"/>
    <cellStyle name="Separador de milhares 3 2 11 3 2 2 3 2" xfId="48664"/>
    <cellStyle name="Separador de milhares 3 2 11 3 2 2 4" xfId="16514"/>
    <cellStyle name="Separador de milhares 3 2 11 3 2 2 4 2" xfId="42756"/>
    <cellStyle name="Separador de milhares 3 2 11 3 2 2 5" xfId="36370"/>
    <cellStyle name="Separador de milhares 3 2 11 3 2 3" xfId="25385"/>
    <cellStyle name="Separador de milhares 3 2 11 3 2 3 2" xfId="51618"/>
    <cellStyle name="Separador de milhares 3 2 11 3 2 4" xfId="19471"/>
    <cellStyle name="Separador de milhares 3 2 11 3 2 4 2" xfId="45710"/>
    <cellStyle name="Separador de milhares 3 2 11 3 2 5" xfId="13370"/>
    <cellStyle name="Separador de milhares 3 2 11 3 2 5 2" xfId="39612"/>
    <cellStyle name="Separador de milhares 3 2 11 3 2 6" xfId="33226"/>
    <cellStyle name="Separador de milhares 3 2 11 3 3" xfId="8660"/>
    <cellStyle name="Separador de milhares 3 2 11 3 3 2" xfId="26874"/>
    <cellStyle name="Separador de milhares 3 2 11 3 3 2 2" xfId="53104"/>
    <cellStyle name="Separador de milhares 3 2 11 3 3 3" xfId="20960"/>
    <cellStyle name="Separador de milhares 3 2 11 3 3 3 2" xfId="47196"/>
    <cellStyle name="Separador de milhares 3 2 11 3 3 4" xfId="15046"/>
    <cellStyle name="Separador de milhares 3 2 11 3 3 4 2" xfId="41288"/>
    <cellStyle name="Separador de milhares 3 2 11 3 3 5" xfId="34902"/>
    <cellStyle name="Separador de milhares 3 2 11 3 4" xfId="5282"/>
    <cellStyle name="Separador de milhares 3 2 11 3 4 2" xfId="23917"/>
    <cellStyle name="Separador de milhares 3 2 11 3 4 2 2" xfId="50150"/>
    <cellStyle name="Separador de milhares 3 2 11 3 4 3" xfId="31527"/>
    <cellStyle name="Separador de milhares 3 2 11 3 5" xfId="18003"/>
    <cellStyle name="Separador de milhares 3 2 11 3 5 2" xfId="44242"/>
    <cellStyle name="Separador de milhares 3 2 11 3 6" xfId="11669"/>
    <cellStyle name="Separador de milhares 3 2 11 3 6 2" xfId="37911"/>
    <cellStyle name="Separador de milhares 3 2 11 3 7" xfId="29829"/>
    <cellStyle name="Separador de milhares 3 2 11 4" xfId="2403"/>
    <cellStyle name="Separador de milhares 3 2 11 4 2" xfId="7131"/>
    <cellStyle name="Separador de milhares 3 2 11 4 2 2" xfId="10275"/>
    <cellStyle name="Separador de milhares 3 2 11 4 2 2 2" xfId="28489"/>
    <cellStyle name="Separador de milhares 3 2 11 4 2 2 2 2" xfId="54719"/>
    <cellStyle name="Separador de milhares 3 2 11 4 2 2 3" xfId="22575"/>
    <cellStyle name="Separador de milhares 3 2 11 4 2 2 3 2" xfId="48811"/>
    <cellStyle name="Separador de milhares 3 2 11 4 2 2 4" xfId="16661"/>
    <cellStyle name="Separador de milhares 3 2 11 4 2 2 4 2" xfId="42903"/>
    <cellStyle name="Separador de milhares 3 2 11 4 2 2 5" xfId="36517"/>
    <cellStyle name="Separador de milhares 3 2 11 4 2 3" xfId="25532"/>
    <cellStyle name="Separador de milhares 3 2 11 4 2 3 2" xfId="51765"/>
    <cellStyle name="Separador de milhares 3 2 11 4 2 4" xfId="19618"/>
    <cellStyle name="Separador de milhares 3 2 11 4 2 4 2" xfId="45857"/>
    <cellStyle name="Separador de milhares 3 2 11 4 2 5" xfId="13520"/>
    <cellStyle name="Separador de milhares 3 2 11 4 2 5 2" xfId="39762"/>
    <cellStyle name="Separador de milhares 3 2 11 4 2 6" xfId="33376"/>
    <cellStyle name="Separador de milhares 3 2 11 4 3" xfId="8807"/>
    <cellStyle name="Separador de milhares 3 2 11 4 3 2" xfId="27021"/>
    <cellStyle name="Separador de milhares 3 2 11 4 3 2 2" xfId="53251"/>
    <cellStyle name="Separador de milhares 3 2 11 4 3 3" xfId="21107"/>
    <cellStyle name="Separador de milhares 3 2 11 4 3 3 2" xfId="47343"/>
    <cellStyle name="Separador de milhares 3 2 11 4 3 4" xfId="15193"/>
    <cellStyle name="Separador de milhares 3 2 11 4 3 4 2" xfId="41435"/>
    <cellStyle name="Separador de milhares 3 2 11 4 3 5" xfId="35049"/>
    <cellStyle name="Separador de milhares 3 2 11 4 4" xfId="5432"/>
    <cellStyle name="Separador de milhares 3 2 11 4 4 2" xfId="24064"/>
    <cellStyle name="Separador de milhares 3 2 11 4 4 2 2" xfId="50297"/>
    <cellStyle name="Separador de milhares 3 2 11 4 4 3" xfId="31677"/>
    <cellStyle name="Separador de milhares 3 2 11 4 5" xfId="18150"/>
    <cellStyle name="Separador de milhares 3 2 11 4 5 2" xfId="44389"/>
    <cellStyle name="Separador de milhares 3 2 11 4 6" xfId="11819"/>
    <cellStyle name="Separador de milhares 3 2 11 4 6 2" xfId="38061"/>
    <cellStyle name="Separador de milhares 3 2 11 4 7" xfId="29979"/>
    <cellStyle name="Separador de milhares 3 2 11 5" xfId="2930"/>
    <cellStyle name="Separador de milhares 3 2 11 5 2" xfId="7278"/>
    <cellStyle name="Separador de milhares 3 2 11 5 2 2" xfId="10422"/>
    <cellStyle name="Separador de milhares 3 2 11 5 2 2 2" xfId="28636"/>
    <cellStyle name="Separador de milhares 3 2 11 5 2 2 2 2" xfId="54866"/>
    <cellStyle name="Separador de milhares 3 2 11 5 2 2 3" xfId="22722"/>
    <cellStyle name="Separador de milhares 3 2 11 5 2 2 3 2" xfId="48958"/>
    <cellStyle name="Separador de milhares 3 2 11 5 2 2 4" xfId="16808"/>
    <cellStyle name="Separador de milhares 3 2 11 5 2 2 4 2" xfId="43050"/>
    <cellStyle name="Separador de milhares 3 2 11 5 2 2 5" xfId="36664"/>
    <cellStyle name="Separador de milhares 3 2 11 5 2 3" xfId="25679"/>
    <cellStyle name="Separador de milhares 3 2 11 5 2 3 2" xfId="51912"/>
    <cellStyle name="Separador de milhares 3 2 11 5 2 4" xfId="19765"/>
    <cellStyle name="Separador de milhares 3 2 11 5 2 4 2" xfId="46004"/>
    <cellStyle name="Separador de milhares 3 2 11 5 2 5" xfId="13667"/>
    <cellStyle name="Separador de milhares 3 2 11 5 2 5 2" xfId="39909"/>
    <cellStyle name="Separador de milhares 3 2 11 5 2 6" xfId="33523"/>
    <cellStyle name="Separador de milhares 3 2 11 5 3" xfId="8954"/>
    <cellStyle name="Separador de milhares 3 2 11 5 3 2" xfId="27168"/>
    <cellStyle name="Separador de milhares 3 2 11 5 3 2 2" xfId="53398"/>
    <cellStyle name="Separador de milhares 3 2 11 5 3 3" xfId="21254"/>
    <cellStyle name="Separador de milhares 3 2 11 5 3 3 2" xfId="47490"/>
    <cellStyle name="Separador de milhares 3 2 11 5 3 4" xfId="15340"/>
    <cellStyle name="Separador de milhares 3 2 11 5 3 4 2" xfId="41582"/>
    <cellStyle name="Separador de milhares 3 2 11 5 3 5" xfId="35196"/>
    <cellStyle name="Separador de milhares 3 2 11 5 4" xfId="5579"/>
    <cellStyle name="Separador de milhares 3 2 11 5 4 2" xfId="24211"/>
    <cellStyle name="Separador de milhares 3 2 11 5 4 2 2" xfId="50444"/>
    <cellStyle name="Separador de milhares 3 2 11 5 4 3" xfId="31824"/>
    <cellStyle name="Separador de milhares 3 2 11 5 5" xfId="18297"/>
    <cellStyle name="Separador de milhares 3 2 11 5 5 2" xfId="44536"/>
    <cellStyle name="Separador de milhares 3 2 11 5 6" xfId="11966"/>
    <cellStyle name="Separador de milhares 3 2 11 5 6 2" xfId="38208"/>
    <cellStyle name="Separador de milhares 3 2 11 5 7" xfId="30126"/>
    <cellStyle name="Separador de milhares 3 2 11 6" xfId="3457"/>
    <cellStyle name="Separador de milhares 3 2 11 6 2" xfId="7425"/>
    <cellStyle name="Separador de milhares 3 2 11 6 2 2" xfId="10569"/>
    <cellStyle name="Separador de milhares 3 2 11 6 2 2 2" xfId="28783"/>
    <cellStyle name="Separador de milhares 3 2 11 6 2 2 2 2" xfId="55013"/>
    <cellStyle name="Separador de milhares 3 2 11 6 2 2 3" xfId="22869"/>
    <cellStyle name="Separador de milhares 3 2 11 6 2 2 3 2" xfId="49105"/>
    <cellStyle name="Separador de milhares 3 2 11 6 2 2 4" xfId="16955"/>
    <cellStyle name="Separador de milhares 3 2 11 6 2 2 4 2" xfId="43197"/>
    <cellStyle name="Separador de milhares 3 2 11 6 2 2 5" xfId="36811"/>
    <cellStyle name="Separador de milhares 3 2 11 6 2 3" xfId="25826"/>
    <cellStyle name="Separador de milhares 3 2 11 6 2 3 2" xfId="52059"/>
    <cellStyle name="Separador de milhares 3 2 11 6 2 4" xfId="19912"/>
    <cellStyle name="Separador de milhares 3 2 11 6 2 4 2" xfId="46151"/>
    <cellStyle name="Separador de milhares 3 2 11 6 2 5" xfId="13814"/>
    <cellStyle name="Separador de milhares 3 2 11 6 2 5 2" xfId="40056"/>
    <cellStyle name="Separador de milhares 3 2 11 6 2 6" xfId="33670"/>
    <cellStyle name="Separador de milhares 3 2 11 6 3" xfId="9101"/>
    <cellStyle name="Separador de milhares 3 2 11 6 3 2" xfId="27315"/>
    <cellStyle name="Separador de milhares 3 2 11 6 3 2 2" xfId="53545"/>
    <cellStyle name="Separador de milhares 3 2 11 6 3 3" xfId="21401"/>
    <cellStyle name="Separador de milhares 3 2 11 6 3 3 2" xfId="47637"/>
    <cellStyle name="Separador de milhares 3 2 11 6 3 4" xfId="15487"/>
    <cellStyle name="Separador de milhares 3 2 11 6 3 4 2" xfId="41729"/>
    <cellStyle name="Separador de milhares 3 2 11 6 3 5" xfId="35343"/>
    <cellStyle name="Separador de milhares 3 2 11 6 4" xfId="5726"/>
    <cellStyle name="Separador de milhares 3 2 11 6 4 2" xfId="24358"/>
    <cellStyle name="Separador de milhares 3 2 11 6 4 2 2" xfId="50591"/>
    <cellStyle name="Separador de milhares 3 2 11 6 4 3" xfId="31971"/>
    <cellStyle name="Separador de milhares 3 2 11 6 5" xfId="18444"/>
    <cellStyle name="Separador de milhares 3 2 11 6 5 2" xfId="44683"/>
    <cellStyle name="Separador de milhares 3 2 11 6 6" xfId="12113"/>
    <cellStyle name="Separador de milhares 3 2 11 6 6 2" xfId="38355"/>
    <cellStyle name="Separador de milhares 3 2 11 6 7" xfId="30273"/>
    <cellStyle name="Separador de milhares 3 2 11 7" xfId="3984"/>
    <cellStyle name="Separador de milhares 3 2 11 7 2" xfId="7572"/>
    <cellStyle name="Separador de milhares 3 2 11 7 2 2" xfId="10716"/>
    <cellStyle name="Separador de milhares 3 2 11 7 2 2 2" xfId="28930"/>
    <cellStyle name="Separador de milhares 3 2 11 7 2 2 2 2" xfId="55160"/>
    <cellStyle name="Separador de milhares 3 2 11 7 2 2 3" xfId="23016"/>
    <cellStyle name="Separador de milhares 3 2 11 7 2 2 3 2" xfId="49252"/>
    <cellStyle name="Separador de milhares 3 2 11 7 2 2 4" xfId="17102"/>
    <cellStyle name="Separador de milhares 3 2 11 7 2 2 4 2" xfId="43344"/>
    <cellStyle name="Separador de milhares 3 2 11 7 2 2 5" xfId="36958"/>
    <cellStyle name="Separador de milhares 3 2 11 7 2 3" xfId="25973"/>
    <cellStyle name="Separador de milhares 3 2 11 7 2 3 2" xfId="52206"/>
    <cellStyle name="Separador de milhares 3 2 11 7 2 4" xfId="20059"/>
    <cellStyle name="Separador de milhares 3 2 11 7 2 4 2" xfId="46298"/>
    <cellStyle name="Separador de milhares 3 2 11 7 2 5" xfId="13961"/>
    <cellStyle name="Separador de milhares 3 2 11 7 2 5 2" xfId="40203"/>
    <cellStyle name="Separador de milhares 3 2 11 7 2 6" xfId="33817"/>
    <cellStyle name="Separador de milhares 3 2 11 7 3" xfId="9248"/>
    <cellStyle name="Separador de milhares 3 2 11 7 3 2" xfId="27462"/>
    <cellStyle name="Separador de milhares 3 2 11 7 3 2 2" xfId="53692"/>
    <cellStyle name="Separador de milhares 3 2 11 7 3 3" xfId="21548"/>
    <cellStyle name="Separador de milhares 3 2 11 7 3 3 2" xfId="47784"/>
    <cellStyle name="Separador de milhares 3 2 11 7 3 4" xfId="15634"/>
    <cellStyle name="Separador de milhares 3 2 11 7 3 4 2" xfId="41876"/>
    <cellStyle name="Separador de milhares 3 2 11 7 3 5" xfId="35490"/>
    <cellStyle name="Separador de milhares 3 2 11 7 4" xfId="5873"/>
    <cellStyle name="Separador de milhares 3 2 11 7 4 2" xfId="24505"/>
    <cellStyle name="Separador de milhares 3 2 11 7 4 2 2" xfId="50738"/>
    <cellStyle name="Separador de milhares 3 2 11 7 4 3" xfId="32118"/>
    <cellStyle name="Separador de milhares 3 2 11 7 5" xfId="18591"/>
    <cellStyle name="Separador de milhares 3 2 11 7 5 2" xfId="44830"/>
    <cellStyle name="Separador de milhares 3 2 11 7 6" xfId="12260"/>
    <cellStyle name="Separador de milhares 3 2 11 7 6 2" xfId="38502"/>
    <cellStyle name="Separador de milhares 3 2 11 7 7" xfId="30420"/>
    <cellStyle name="Separador de milhares 3 2 11 8" xfId="6611"/>
    <cellStyle name="Separador de milhares 3 2 11 8 2" xfId="9758"/>
    <cellStyle name="Separador de milhares 3 2 11 8 2 2" xfId="27972"/>
    <cellStyle name="Separador de milhares 3 2 11 8 2 2 2" xfId="54202"/>
    <cellStyle name="Separador de milhares 3 2 11 8 2 3" xfId="22058"/>
    <cellStyle name="Separador de milhares 3 2 11 8 2 3 2" xfId="48294"/>
    <cellStyle name="Separador de milhares 3 2 11 8 2 4" xfId="16144"/>
    <cellStyle name="Separador de milhares 3 2 11 8 2 4 2" xfId="42386"/>
    <cellStyle name="Separador de milhares 3 2 11 8 2 5" xfId="36000"/>
    <cellStyle name="Separador de milhares 3 2 11 8 3" xfId="25015"/>
    <cellStyle name="Separador de milhares 3 2 11 8 3 2" xfId="51248"/>
    <cellStyle name="Separador de milhares 3 2 11 8 4" xfId="19101"/>
    <cellStyle name="Separador de milhares 3 2 11 8 4 2" xfId="45340"/>
    <cellStyle name="Separador de milhares 3 2 11 8 5" xfId="13000"/>
    <cellStyle name="Separador de milhares 3 2 11 8 5 2" xfId="39242"/>
    <cellStyle name="Separador de milhares 3 2 11 8 6" xfId="32856"/>
    <cellStyle name="Separador de milhares 3 2 11 9" xfId="8287"/>
    <cellStyle name="Separador de milhares 3 2 11 9 2" xfId="26501"/>
    <cellStyle name="Separador de milhares 3 2 11 9 2 2" xfId="52734"/>
    <cellStyle name="Separador de milhares 3 2 11 9 3" xfId="20587"/>
    <cellStyle name="Separador de milhares 3 2 11 9 3 2" xfId="46826"/>
    <cellStyle name="Separador de milhares 3 2 11 9 4" xfId="14676"/>
    <cellStyle name="Separador de milhares 3 2 11 9 4 2" xfId="40918"/>
    <cellStyle name="Separador de milhares 3 2 11 9 5" xfId="34532"/>
    <cellStyle name="Separador de milhares 3 2 12" xfId="736"/>
    <cellStyle name="Separador de milhares 3 2 12 2" xfId="4160"/>
    <cellStyle name="Separador de milhares 3 2 12 2 2" xfId="7621"/>
    <cellStyle name="Separador de milhares 3 2 12 2 2 2" xfId="10765"/>
    <cellStyle name="Separador de milhares 3 2 12 2 2 2 2" xfId="28979"/>
    <cellStyle name="Separador de milhares 3 2 12 2 2 2 2 2" xfId="55209"/>
    <cellStyle name="Separador de milhares 3 2 12 2 2 2 3" xfId="23065"/>
    <cellStyle name="Separador de milhares 3 2 12 2 2 2 3 2" xfId="49301"/>
    <cellStyle name="Separador de milhares 3 2 12 2 2 2 4" xfId="17151"/>
    <cellStyle name="Separador de milhares 3 2 12 2 2 2 4 2" xfId="43393"/>
    <cellStyle name="Separador de milhares 3 2 12 2 2 2 5" xfId="37007"/>
    <cellStyle name="Separador de milhares 3 2 12 2 2 3" xfId="26022"/>
    <cellStyle name="Separador de milhares 3 2 12 2 2 3 2" xfId="52255"/>
    <cellStyle name="Separador de milhares 3 2 12 2 2 4" xfId="20108"/>
    <cellStyle name="Separador de milhares 3 2 12 2 2 4 2" xfId="46347"/>
    <cellStyle name="Separador de milhares 3 2 12 2 2 5" xfId="14010"/>
    <cellStyle name="Separador de milhares 3 2 12 2 2 5 2" xfId="40252"/>
    <cellStyle name="Separador de milhares 3 2 12 2 2 6" xfId="33866"/>
    <cellStyle name="Separador de milhares 3 2 12 2 3" xfId="9297"/>
    <cellStyle name="Separador de milhares 3 2 12 2 3 2" xfId="27511"/>
    <cellStyle name="Separador de milhares 3 2 12 2 3 2 2" xfId="53741"/>
    <cellStyle name="Separador de milhares 3 2 12 2 3 3" xfId="21597"/>
    <cellStyle name="Separador de milhares 3 2 12 2 3 3 2" xfId="47833"/>
    <cellStyle name="Separador de milhares 3 2 12 2 3 4" xfId="15683"/>
    <cellStyle name="Separador de milhares 3 2 12 2 3 4 2" xfId="41925"/>
    <cellStyle name="Separador de milhares 3 2 12 2 3 5" xfId="35539"/>
    <cellStyle name="Separador de milhares 3 2 12 2 4" xfId="5922"/>
    <cellStyle name="Separador de milhares 3 2 12 2 4 2" xfId="24554"/>
    <cellStyle name="Separador de milhares 3 2 12 2 4 2 2" xfId="50787"/>
    <cellStyle name="Separador de milhares 3 2 12 2 4 3" xfId="32167"/>
    <cellStyle name="Separador de milhares 3 2 12 2 5" xfId="18640"/>
    <cellStyle name="Separador de milhares 3 2 12 2 5 2" xfId="44879"/>
    <cellStyle name="Separador de milhares 3 2 12 2 6" xfId="12309"/>
    <cellStyle name="Separador de milhares 3 2 12 2 6 2" xfId="38551"/>
    <cellStyle name="Separador de milhares 3 2 12 2 7" xfId="30469"/>
    <cellStyle name="Separador de milhares 3 2 12 3" xfId="6666"/>
    <cellStyle name="Separador de milhares 3 2 12 3 2" xfId="9813"/>
    <cellStyle name="Separador de milhares 3 2 12 3 2 2" xfId="28027"/>
    <cellStyle name="Separador de milhares 3 2 12 3 2 2 2" xfId="54257"/>
    <cellStyle name="Separador de milhares 3 2 12 3 2 3" xfId="22113"/>
    <cellStyle name="Separador de milhares 3 2 12 3 2 3 2" xfId="48349"/>
    <cellStyle name="Separador de milhares 3 2 12 3 2 4" xfId="16199"/>
    <cellStyle name="Separador de milhares 3 2 12 3 2 4 2" xfId="42441"/>
    <cellStyle name="Separador de milhares 3 2 12 3 2 5" xfId="36055"/>
    <cellStyle name="Separador de milhares 3 2 12 3 3" xfId="25070"/>
    <cellStyle name="Separador de milhares 3 2 12 3 3 2" xfId="51303"/>
    <cellStyle name="Separador de milhares 3 2 12 3 4" xfId="19156"/>
    <cellStyle name="Separador de milhares 3 2 12 3 4 2" xfId="45395"/>
    <cellStyle name="Separador de milhares 3 2 12 3 5" xfId="13055"/>
    <cellStyle name="Separador de milhares 3 2 12 3 5 2" xfId="39297"/>
    <cellStyle name="Separador de milhares 3 2 12 3 6" xfId="32911"/>
    <cellStyle name="Separador de milhares 3 2 12 4" xfId="8345"/>
    <cellStyle name="Separador de milhares 3 2 12 4 2" xfId="26559"/>
    <cellStyle name="Separador de milhares 3 2 12 4 2 2" xfId="52789"/>
    <cellStyle name="Separador de milhares 3 2 12 4 3" xfId="20645"/>
    <cellStyle name="Separador de milhares 3 2 12 4 3 2" xfId="46881"/>
    <cellStyle name="Separador de milhares 3 2 12 4 4" xfId="14731"/>
    <cellStyle name="Separador de milhares 3 2 12 4 4 2" xfId="40973"/>
    <cellStyle name="Separador de milhares 3 2 12 4 5" xfId="34587"/>
    <cellStyle name="Separador de milhares 3 2 12 5" xfId="4967"/>
    <cellStyle name="Separador de milhares 3 2 12 5 2" xfId="23602"/>
    <cellStyle name="Separador de milhares 3 2 12 5 2 2" xfId="49835"/>
    <cellStyle name="Separador de milhares 3 2 12 5 3" xfId="31212"/>
    <cellStyle name="Separador de milhares 3 2 12 6" xfId="17688"/>
    <cellStyle name="Separador de milhares 3 2 12 6 2" xfId="43927"/>
    <cellStyle name="Separador de milhares 3 2 12 7" xfId="11354"/>
    <cellStyle name="Separador de milhares 3 2 12 7 2" xfId="37596"/>
    <cellStyle name="Separador de milhares 3 2 12 8" xfId="29514"/>
    <cellStyle name="Separador de milhares 3 2 13" xfId="1087"/>
    <cellStyle name="Separador de milhares 3 2 13 2" xfId="6764"/>
    <cellStyle name="Separador de milhares 3 2 13 2 2" xfId="9911"/>
    <cellStyle name="Separador de milhares 3 2 13 2 2 2" xfId="28125"/>
    <cellStyle name="Separador de milhares 3 2 13 2 2 2 2" xfId="54355"/>
    <cellStyle name="Separador de milhares 3 2 13 2 2 3" xfId="22211"/>
    <cellStyle name="Separador de milhares 3 2 13 2 2 3 2" xfId="48447"/>
    <cellStyle name="Separador de milhares 3 2 13 2 2 4" xfId="16297"/>
    <cellStyle name="Separador de milhares 3 2 13 2 2 4 2" xfId="42539"/>
    <cellStyle name="Separador de milhares 3 2 13 2 2 5" xfId="36153"/>
    <cellStyle name="Separador de milhares 3 2 13 2 3" xfId="25168"/>
    <cellStyle name="Separador de milhares 3 2 13 2 3 2" xfId="51401"/>
    <cellStyle name="Separador de milhares 3 2 13 2 4" xfId="19254"/>
    <cellStyle name="Separador de milhares 3 2 13 2 4 2" xfId="45493"/>
    <cellStyle name="Separador de milhares 3 2 13 2 5" xfId="13153"/>
    <cellStyle name="Separador de milhares 3 2 13 2 5 2" xfId="39395"/>
    <cellStyle name="Separador de milhares 3 2 13 2 6" xfId="33009"/>
    <cellStyle name="Separador de milhares 3 2 13 3" xfId="8443"/>
    <cellStyle name="Separador de milhares 3 2 13 3 2" xfId="26657"/>
    <cellStyle name="Separador de milhares 3 2 13 3 2 2" xfId="52887"/>
    <cellStyle name="Separador de milhares 3 2 13 3 3" xfId="20743"/>
    <cellStyle name="Separador de milhares 3 2 13 3 3 2" xfId="46979"/>
    <cellStyle name="Separador de milhares 3 2 13 3 4" xfId="14829"/>
    <cellStyle name="Separador de milhares 3 2 13 3 4 2" xfId="41071"/>
    <cellStyle name="Separador de milhares 3 2 13 3 5" xfId="34685"/>
    <cellStyle name="Separador de milhares 3 2 13 4" xfId="5065"/>
    <cellStyle name="Separador de milhares 3 2 13 4 2" xfId="23700"/>
    <cellStyle name="Separador de milhares 3 2 13 4 2 2" xfId="49933"/>
    <cellStyle name="Separador de milhares 3 2 13 4 3" xfId="31310"/>
    <cellStyle name="Separador de milhares 3 2 13 5" xfId="17786"/>
    <cellStyle name="Separador de milhares 3 2 13 5 2" xfId="44025"/>
    <cellStyle name="Separador de milhares 3 2 13 6" xfId="11452"/>
    <cellStyle name="Separador de milhares 3 2 13 6 2" xfId="37694"/>
    <cellStyle name="Separador de milhares 3 2 13 7" xfId="29612"/>
    <cellStyle name="Separador de milhares 3 2 14" xfId="1522"/>
    <cellStyle name="Separador de milhares 3 2 14 2" xfId="6883"/>
    <cellStyle name="Separador de milhares 3 2 14 2 2" xfId="10030"/>
    <cellStyle name="Separador de milhares 3 2 14 2 2 2" xfId="28244"/>
    <cellStyle name="Separador de milhares 3 2 14 2 2 2 2" xfId="54474"/>
    <cellStyle name="Separador de milhares 3 2 14 2 2 3" xfId="22330"/>
    <cellStyle name="Separador de milhares 3 2 14 2 2 3 2" xfId="48566"/>
    <cellStyle name="Separador de milhares 3 2 14 2 2 4" xfId="16416"/>
    <cellStyle name="Separador de milhares 3 2 14 2 2 4 2" xfId="42658"/>
    <cellStyle name="Separador de milhares 3 2 14 2 2 5" xfId="36272"/>
    <cellStyle name="Separador de milhares 3 2 14 2 3" xfId="25287"/>
    <cellStyle name="Separador de milhares 3 2 14 2 3 2" xfId="51520"/>
    <cellStyle name="Separador de milhares 3 2 14 2 4" xfId="19373"/>
    <cellStyle name="Separador de milhares 3 2 14 2 4 2" xfId="45612"/>
    <cellStyle name="Separador de milhares 3 2 14 2 5" xfId="13272"/>
    <cellStyle name="Separador de milhares 3 2 14 2 5 2" xfId="39514"/>
    <cellStyle name="Separador de milhares 3 2 14 2 6" xfId="33128"/>
    <cellStyle name="Separador de milhares 3 2 14 3" xfId="8562"/>
    <cellStyle name="Separador de milhares 3 2 14 3 2" xfId="26776"/>
    <cellStyle name="Separador de milhares 3 2 14 3 2 2" xfId="53006"/>
    <cellStyle name="Separador de milhares 3 2 14 3 3" xfId="20862"/>
    <cellStyle name="Separador de milhares 3 2 14 3 3 2" xfId="47098"/>
    <cellStyle name="Separador de milhares 3 2 14 3 4" xfId="14948"/>
    <cellStyle name="Separador de milhares 3 2 14 3 4 2" xfId="41190"/>
    <cellStyle name="Separador de milhares 3 2 14 3 5" xfId="34804"/>
    <cellStyle name="Separador de milhares 3 2 14 4" xfId="5184"/>
    <cellStyle name="Separador de milhares 3 2 14 4 2" xfId="23819"/>
    <cellStyle name="Separador de milhares 3 2 14 4 2 2" xfId="50052"/>
    <cellStyle name="Separador de milhares 3 2 14 4 3" xfId="31429"/>
    <cellStyle name="Separador de milhares 3 2 14 5" xfId="17905"/>
    <cellStyle name="Separador de milhares 3 2 14 5 2" xfId="44144"/>
    <cellStyle name="Separador de milhares 3 2 14 6" xfId="11571"/>
    <cellStyle name="Separador de milhares 3 2 14 6 2" xfId="37813"/>
    <cellStyle name="Separador de milhares 3 2 14 7" xfId="29731"/>
    <cellStyle name="Separador de milhares 3 2 15" xfId="2052"/>
    <cellStyle name="Separador de milhares 3 2 15 2" xfId="7033"/>
    <cellStyle name="Separador de milhares 3 2 15 2 2" xfId="10177"/>
    <cellStyle name="Separador de milhares 3 2 15 2 2 2" xfId="28391"/>
    <cellStyle name="Separador de milhares 3 2 15 2 2 2 2" xfId="54621"/>
    <cellStyle name="Separador de milhares 3 2 15 2 2 3" xfId="22477"/>
    <cellStyle name="Separador de milhares 3 2 15 2 2 3 2" xfId="48713"/>
    <cellStyle name="Separador de milhares 3 2 15 2 2 4" xfId="16563"/>
    <cellStyle name="Separador de milhares 3 2 15 2 2 4 2" xfId="42805"/>
    <cellStyle name="Separador de milhares 3 2 15 2 2 5" xfId="36419"/>
    <cellStyle name="Separador de milhares 3 2 15 2 3" xfId="25434"/>
    <cellStyle name="Separador de milhares 3 2 15 2 3 2" xfId="51667"/>
    <cellStyle name="Separador de milhares 3 2 15 2 4" xfId="19520"/>
    <cellStyle name="Separador de milhares 3 2 15 2 4 2" xfId="45759"/>
    <cellStyle name="Separador de milhares 3 2 15 2 5" xfId="13422"/>
    <cellStyle name="Separador de milhares 3 2 15 2 5 2" xfId="39664"/>
    <cellStyle name="Separador de milhares 3 2 15 2 6" xfId="33278"/>
    <cellStyle name="Separador de milhares 3 2 15 3" xfId="8709"/>
    <cellStyle name="Separador de milhares 3 2 15 3 2" xfId="26923"/>
    <cellStyle name="Separador de milhares 3 2 15 3 2 2" xfId="53153"/>
    <cellStyle name="Separador de milhares 3 2 15 3 3" xfId="21009"/>
    <cellStyle name="Separador de milhares 3 2 15 3 3 2" xfId="47245"/>
    <cellStyle name="Separador de milhares 3 2 15 3 4" xfId="15095"/>
    <cellStyle name="Separador de milhares 3 2 15 3 4 2" xfId="41337"/>
    <cellStyle name="Separador de milhares 3 2 15 3 5" xfId="34951"/>
    <cellStyle name="Separador de milhares 3 2 15 4" xfId="5334"/>
    <cellStyle name="Separador de milhares 3 2 15 4 2" xfId="23966"/>
    <cellStyle name="Separador de milhares 3 2 15 4 2 2" xfId="50199"/>
    <cellStyle name="Separador de milhares 3 2 15 4 3" xfId="31579"/>
    <cellStyle name="Separador de milhares 3 2 15 5" xfId="18052"/>
    <cellStyle name="Separador de milhares 3 2 15 5 2" xfId="44291"/>
    <cellStyle name="Separador de milhares 3 2 15 6" xfId="11721"/>
    <cellStyle name="Separador de milhares 3 2 15 6 2" xfId="37963"/>
    <cellStyle name="Separador de milhares 3 2 15 7" xfId="29881"/>
    <cellStyle name="Separador de milhares 3 2 16" xfId="2579"/>
    <cellStyle name="Separador de milhares 3 2 16 2" xfId="7180"/>
    <cellStyle name="Separador de milhares 3 2 16 2 2" xfId="10324"/>
    <cellStyle name="Separador de milhares 3 2 16 2 2 2" xfId="28538"/>
    <cellStyle name="Separador de milhares 3 2 16 2 2 2 2" xfId="54768"/>
    <cellStyle name="Separador de milhares 3 2 16 2 2 3" xfId="22624"/>
    <cellStyle name="Separador de milhares 3 2 16 2 2 3 2" xfId="48860"/>
    <cellStyle name="Separador de milhares 3 2 16 2 2 4" xfId="16710"/>
    <cellStyle name="Separador de milhares 3 2 16 2 2 4 2" xfId="42952"/>
    <cellStyle name="Separador de milhares 3 2 16 2 2 5" xfId="36566"/>
    <cellStyle name="Separador de milhares 3 2 16 2 3" xfId="25581"/>
    <cellStyle name="Separador de milhares 3 2 16 2 3 2" xfId="51814"/>
    <cellStyle name="Separador de milhares 3 2 16 2 4" xfId="19667"/>
    <cellStyle name="Separador de milhares 3 2 16 2 4 2" xfId="45906"/>
    <cellStyle name="Separador de milhares 3 2 16 2 5" xfId="13569"/>
    <cellStyle name="Separador de milhares 3 2 16 2 5 2" xfId="39811"/>
    <cellStyle name="Separador de milhares 3 2 16 2 6" xfId="33425"/>
    <cellStyle name="Separador de milhares 3 2 16 3" xfId="8856"/>
    <cellStyle name="Separador de milhares 3 2 16 3 2" xfId="27070"/>
    <cellStyle name="Separador de milhares 3 2 16 3 2 2" xfId="53300"/>
    <cellStyle name="Separador de milhares 3 2 16 3 3" xfId="21156"/>
    <cellStyle name="Separador de milhares 3 2 16 3 3 2" xfId="47392"/>
    <cellStyle name="Separador de milhares 3 2 16 3 4" xfId="15242"/>
    <cellStyle name="Separador de milhares 3 2 16 3 4 2" xfId="41484"/>
    <cellStyle name="Separador de milhares 3 2 16 3 5" xfId="35098"/>
    <cellStyle name="Separador de milhares 3 2 16 4" xfId="5481"/>
    <cellStyle name="Separador de milhares 3 2 16 4 2" xfId="24113"/>
    <cellStyle name="Separador de milhares 3 2 16 4 2 2" xfId="50346"/>
    <cellStyle name="Separador de milhares 3 2 16 4 3" xfId="31726"/>
    <cellStyle name="Separador de milhares 3 2 16 5" xfId="18199"/>
    <cellStyle name="Separador de milhares 3 2 16 5 2" xfId="44438"/>
    <cellStyle name="Separador de milhares 3 2 16 6" xfId="11868"/>
    <cellStyle name="Separador de milhares 3 2 16 6 2" xfId="38110"/>
    <cellStyle name="Separador de milhares 3 2 16 7" xfId="30028"/>
    <cellStyle name="Separador de milhares 3 2 17" xfId="3106"/>
    <cellStyle name="Separador de milhares 3 2 17 2" xfId="7327"/>
    <cellStyle name="Separador de milhares 3 2 17 2 2" xfId="10471"/>
    <cellStyle name="Separador de milhares 3 2 17 2 2 2" xfId="28685"/>
    <cellStyle name="Separador de milhares 3 2 17 2 2 2 2" xfId="54915"/>
    <cellStyle name="Separador de milhares 3 2 17 2 2 3" xfId="22771"/>
    <cellStyle name="Separador de milhares 3 2 17 2 2 3 2" xfId="49007"/>
    <cellStyle name="Separador de milhares 3 2 17 2 2 4" xfId="16857"/>
    <cellStyle name="Separador de milhares 3 2 17 2 2 4 2" xfId="43099"/>
    <cellStyle name="Separador de milhares 3 2 17 2 2 5" xfId="36713"/>
    <cellStyle name="Separador de milhares 3 2 17 2 3" xfId="25728"/>
    <cellStyle name="Separador de milhares 3 2 17 2 3 2" xfId="51961"/>
    <cellStyle name="Separador de milhares 3 2 17 2 4" xfId="19814"/>
    <cellStyle name="Separador de milhares 3 2 17 2 4 2" xfId="46053"/>
    <cellStyle name="Separador de milhares 3 2 17 2 5" xfId="13716"/>
    <cellStyle name="Separador de milhares 3 2 17 2 5 2" xfId="39958"/>
    <cellStyle name="Separador de milhares 3 2 17 2 6" xfId="33572"/>
    <cellStyle name="Separador de milhares 3 2 17 3" xfId="9003"/>
    <cellStyle name="Separador de milhares 3 2 17 3 2" xfId="27217"/>
    <cellStyle name="Separador de milhares 3 2 17 3 2 2" xfId="53447"/>
    <cellStyle name="Separador de milhares 3 2 17 3 3" xfId="21303"/>
    <cellStyle name="Separador de milhares 3 2 17 3 3 2" xfId="47539"/>
    <cellStyle name="Separador de milhares 3 2 17 3 4" xfId="15389"/>
    <cellStyle name="Separador de milhares 3 2 17 3 4 2" xfId="41631"/>
    <cellStyle name="Separador de milhares 3 2 17 3 5" xfId="35245"/>
    <cellStyle name="Separador de milhares 3 2 17 4" xfId="5628"/>
    <cellStyle name="Separador de milhares 3 2 17 4 2" xfId="24260"/>
    <cellStyle name="Separador de milhares 3 2 17 4 2 2" xfId="50493"/>
    <cellStyle name="Separador de milhares 3 2 17 4 3" xfId="31873"/>
    <cellStyle name="Separador de milhares 3 2 17 5" xfId="18346"/>
    <cellStyle name="Separador de milhares 3 2 17 5 2" xfId="44585"/>
    <cellStyle name="Separador de milhares 3 2 17 6" xfId="12015"/>
    <cellStyle name="Separador de milhares 3 2 17 6 2" xfId="38257"/>
    <cellStyle name="Separador de milhares 3 2 17 7" xfId="30175"/>
    <cellStyle name="Separador de milhares 3 2 18" xfId="3633"/>
    <cellStyle name="Separador de milhares 3 2 18 2" xfId="7474"/>
    <cellStyle name="Separador de milhares 3 2 18 2 2" xfId="10618"/>
    <cellStyle name="Separador de milhares 3 2 18 2 2 2" xfId="28832"/>
    <cellStyle name="Separador de milhares 3 2 18 2 2 2 2" xfId="55062"/>
    <cellStyle name="Separador de milhares 3 2 18 2 2 3" xfId="22918"/>
    <cellStyle name="Separador de milhares 3 2 18 2 2 3 2" xfId="49154"/>
    <cellStyle name="Separador de milhares 3 2 18 2 2 4" xfId="17004"/>
    <cellStyle name="Separador de milhares 3 2 18 2 2 4 2" xfId="43246"/>
    <cellStyle name="Separador de milhares 3 2 18 2 2 5" xfId="36860"/>
    <cellStyle name="Separador de milhares 3 2 18 2 3" xfId="25875"/>
    <cellStyle name="Separador de milhares 3 2 18 2 3 2" xfId="52108"/>
    <cellStyle name="Separador de milhares 3 2 18 2 4" xfId="19961"/>
    <cellStyle name="Separador de milhares 3 2 18 2 4 2" xfId="46200"/>
    <cellStyle name="Separador de milhares 3 2 18 2 5" xfId="13863"/>
    <cellStyle name="Separador de milhares 3 2 18 2 5 2" xfId="40105"/>
    <cellStyle name="Separador de milhares 3 2 18 2 6" xfId="33719"/>
    <cellStyle name="Separador de milhares 3 2 18 3" xfId="9150"/>
    <cellStyle name="Separador de milhares 3 2 18 3 2" xfId="27364"/>
    <cellStyle name="Separador de milhares 3 2 18 3 2 2" xfId="53594"/>
    <cellStyle name="Separador de milhares 3 2 18 3 3" xfId="21450"/>
    <cellStyle name="Separador de milhares 3 2 18 3 3 2" xfId="47686"/>
    <cellStyle name="Separador de milhares 3 2 18 3 4" xfId="15536"/>
    <cellStyle name="Separador de milhares 3 2 18 3 4 2" xfId="41778"/>
    <cellStyle name="Separador de milhares 3 2 18 3 5" xfId="35392"/>
    <cellStyle name="Separador de milhares 3 2 18 4" xfId="5775"/>
    <cellStyle name="Separador de milhares 3 2 18 4 2" xfId="24407"/>
    <cellStyle name="Separador de milhares 3 2 18 4 2 2" xfId="50640"/>
    <cellStyle name="Separador de milhares 3 2 18 4 3" xfId="32020"/>
    <cellStyle name="Separador de milhares 3 2 18 5" xfId="18493"/>
    <cellStyle name="Separador de milhares 3 2 18 5 2" xfId="44732"/>
    <cellStyle name="Separador de milhares 3 2 18 6" xfId="12162"/>
    <cellStyle name="Separador de milhares 3 2 18 6 2" xfId="38404"/>
    <cellStyle name="Separador de milhares 3 2 18 7" xfId="30322"/>
    <cellStyle name="Separador de milhares 3 2 19" xfId="6458"/>
    <cellStyle name="Separador de milhares 3 2 19 2" xfId="9614"/>
    <cellStyle name="Separador de milhares 3 2 19 2 2" xfId="27828"/>
    <cellStyle name="Separador de milhares 3 2 19 2 2 2" xfId="54058"/>
    <cellStyle name="Separador de milhares 3 2 19 2 3" xfId="21914"/>
    <cellStyle name="Separador de milhares 3 2 19 2 3 2" xfId="48150"/>
    <cellStyle name="Separador de milhares 3 2 19 2 4" xfId="16000"/>
    <cellStyle name="Separador de milhares 3 2 19 2 4 2" xfId="42242"/>
    <cellStyle name="Separador de milhares 3 2 19 2 5" xfId="35856"/>
    <cellStyle name="Separador de milhares 3 2 19 3" xfId="24871"/>
    <cellStyle name="Separador de milhares 3 2 19 3 2" xfId="51104"/>
    <cellStyle name="Separador de milhares 3 2 19 4" xfId="18957"/>
    <cellStyle name="Separador de milhares 3 2 19 4 2" xfId="45196"/>
    <cellStyle name="Separador de milhares 3 2 19 5" xfId="12847"/>
    <cellStyle name="Separador de milhares 3 2 19 5 2" xfId="39089"/>
    <cellStyle name="Separador de milhares 3 2 19 6" xfId="32703"/>
    <cellStyle name="Separador de milhares 3 2 2" xfId="112"/>
    <cellStyle name="Separador de milhares 3 2 2 10" xfId="2615"/>
    <cellStyle name="Separador de milhares 3 2 2 10 2" xfId="7189"/>
    <cellStyle name="Separador de milhares 3 2 2 10 2 2" xfId="10333"/>
    <cellStyle name="Separador de milhares 3 2 2 10 2 2 2" xfId="28547"/>
    <cellStyle name="Separador de milhares 3 2 2 10 2 2 2 2" xfId="54777"/>
    <cellStyle name="Separador de milhares 3 2 2 10 2 2 3" xfId="22633"/>
    <cellStyle name="Separador de milhares 3 2 2 10 2 2 3 2" xfId="48869"/>
    <cellStyle name="Separador de milhares 3 2 2 10 2 2 4" xfId="16719"/>
    <cellStyle name="Separador de milhares 3 2 2 10 2 2 4 2" xfId="42961"/>
    <cellStyle name="Separador de milhares 3 2 2 10 2 2 5" xfId="36575"/>
    <cellStyle name="Separador de milhares 3 2 2 10 2 3" xfId="25590"/>
    <cellStyle name="Separador de milhares 3 2 2 10 2 3 2" xfId="51823"/>
    <cellStyle name="Separador de milhares 3 2 2 10 2 4" xfId="19676"/>
    <cellStyle name="Separador de milhares 3 2 2 10 2 4 2" xfId="45915"/>
    <cellStyle name="Separador de milhares 3 2 2 10 2 5" xfId="13578"/>
    <cellStyle name="Separador de milhares 3 2 2 10 2 5 2" xfId="39820"/>
    <cellStyle name="Separador de milhares 3 2 2 10 2 6" xfId="33434"/>
    <cellStyle name="Separador de milhares 3 2 2 10 3" xfId="8865"/>
    <cellStyle name="Separador de milhares 3 2 2 10 3 2" xfId="27079"/>
    <cellStyle name="Separador de milhares 3 2 2 10 3 2 2" xfId="53309"/>
    <cellStyle name="Separador de milhares 3 2 2 10 3 3" xfId="21165"/>
    <cellStyle name="Separador de milhares 3 2 2 10 3 3 2" xfId="47401"/>
    <cellStyle name="Separador de milhares 3 2 2 10 3 4" xfId="15251"/>
    <cellStyle name="Separador de milhares 3 2 2 10 3 4 2" xfId="41493"/>
    <cellStyle name="Separador de milhares 3 2 2 10 3 5" xfId="35107"/>
    <cellStyle name="Separador de milhares 3 2 2 10 4" xfId="5490"/>
    <cellStyle name="Separador de milhares 3 2 2 10 4 2" xfId="24122"/>
    <cellStyle name="Separador de milhares 3 2 2 10 4 2 2" xfId="50355"/>
    <cellStyle name="Separador de milhares 3 2 2 10 4 3" xfId="31735"/>
    <cellStyle name="Separador de milhares 3 2 2 10 5" xfId="18208"/>
    <cellStyle name="Separador de milhares 3 2 2 10 5 2" xfId="44447"/>
    <cellStyle name="Separador de milhares 3 2 2 10 6" xfId="11877"/>
    <cellStyle name="Separador de milhares 3 2 2 10 6 2" xfId="38119"/>
    <cellStyle name="Separador de milhares 3 2 2 10 7" xfId="30037"/>
    <cellStyle name="Separador de milhares 3 2 2 11" xfId="3142"/>
    <cellStyle name="Separador de milhares 3 2 2 11 2" xfId="7336"/>
    <cellStyle name="Separador de milhares 3 2 2 11 2 2" xfId="10480"/>
    <cellStyle name="Separador de milhares 3 2 2 11 2 2 2" xfId="28694"/>
    <cellStyle name="Separador de milhares 3 2 2 11 2 2 2 2" xfId="54924"/>
    <cellStyle name="Separador de milhares 3 2 2 11 2 2 3" xfId="22780"/>
    <cellStyle name="Separador de milhares 3 2 2 11 2 2 3 2" xfId="49016"/>
    <cellStyle name="Separador de milhares 3 2 2 11 2 2 4" xfId="16866"/>
    <cellStyle name="Separador de milhares 3 2 2 11 2 2 4 2" xfId="43108"/>
    <cellStyle name="Separador de milhares 3 2 2 11 2 2 5" xfId="36722"/>
    <cellStyle name="Separador de milhares 3 2 2 11 2 3" xfId="25737"/>
    <cellStyle name="Separador de milhares 3 2 2 11 2 3 2" xfId="51970"/>
    <cellStyle name="Separador de milhares 3 2 2 11 2 4" xfId="19823"/>
    <cellStyle name="Separador de milhares 3 2 2 11 2 4 2" xfId="46062"/>
    <cellStyle name="Separador de milhares 3 2 2 11 2 5" xfId="13725"/>
    <cellStyle name="Separador de milhares 3 2 2 11 2 5 2" xfId="39967"/>
    <cellStyle name="Separador de milhares 3 2 2 11 2 6" xfId="33581"/>
    <cellStyle name="Separador de milhares 3 2 2 11 3" xfId="9012"/>
    <cellStyle name="Separador de milhares 3 2 2 11 3 2" xfId="27226"/>
    <cellStyle name="Separador de milhares 3 2 2 11 3 2 2" xfId="53456"/>
    <cellStyle name="Separador de milhares 3 2 2 11 3 3" xfId="21312"/>
    <cellStyle name="Separador de milhares 3 2 2 11 3 3 2" xfId="47548"/>
    <cellStyle name="Separador de milhares 3 2 2 11 3 4" xfId="15398"/>
    <cellStyle name="Separador de milhares 3 2 2 11 3 4 2" xfId="41640"/>
    <cellStyle name="Separador de milhares 3 2 2 11 3 5" xfId="35254"/>
    <cellStyle name="Separador de milhares 3 2 2 11 4" xfId="5637"/>
    <cellStyle name="Separador de milhares 3 2 2 11 4 2" xfId="24269"/>
    <cellStyle name="Separador de milhares 3 2 2 11 4 2 2" xfId="50502"/>
    <cellStyle name="Separador de milhares 3 2 2 11 4 3" xfId="31882"/>
    <cellStyle name="Separador de milhares 3 2 2 11 5" xfId="18355"/>
    <cellStyle name="Separador de milhares 3 2 2 11 5 2" xfId="44594"/>
    <cellStyle name="Separador de milhares 3 2 2 11 6" xfId="12024"/>
    <cellStyle name="Separador de milhares 3 2 2 11 6 2" xfId="38266"/>
    <cellStyle name="Separador de milhares 3 2 2 11 7" xfId="30184"/>
    <cellStyle name="Separador de milhares 3 2 2 12" xfId="3669"/>
    <cellStyle name="Separador de milhares 3 2 2 12 2" xfId="7483"/>
    <cellStyle name="Separador de milhares 3 2 2 12 2 2" xfId="10627"/>
    <cellStyle name="Separador de milhares 3 2 2 12 2 2 2" xfId="28841"/>
    <cellStyle name="Separador de milhares 3 2 2 12 2 2 2 2" xfId="55071"/>
    <cellStyle name="Separador de milhares 3 2 2 12 2 2 3" xfId="22927"/>
    <cellStyle name="Separador de milhares 3 2 2 12 2 2 3 2" xfId="49163"/>
    <cellStyle name="Separador de milhares 3 2 2 12 2 2 4" xfId="17013"/>
    <cellStyle name="Separador de milhares 3 2 2 12 2 2 4 2" xfId="43255"/>
    <cellStyle name="Separador de milhares 3 2 2 12 2 2 5" xfId="36869"/>
    <cellStyle name="Separador de milhares 3 2 2 12 2 3" xfId="25884"/>
    <cellStyle name="Separador de milhares 3 2 2 12 2 3 2" xfId="52117"/>
    <cellStyle name="Separador de milhares 3 2 2 12 2 4" xfId="19970"/>
    <cellStyle name="Separador de milhares 3 2 2 12 2 4 2" xfId="46209"/>
    <cellStyle name="Separador de milhares 3 2 2 12 2 5" xfId="13872"/>
    <cellStyle name="Separador de milhares 3 2 2 12 2 5 2" xfId="40114"/>
    <cellStyle name="Separador de milhares 3 2 2 12 2 6" xfId="33728"/>
    <cellStyle name="Separador de milhares 3 2 2 12 3" xfId="9159"/>
    <cellStyle name="Separador de milhares 3 2 2 12 3 2" xfId="27373"/>
    <cellStyle name="Separador de milhares 3 2 2 12 3 2 2" xfId="53603"/>
    <cellStyle name="Separador de milhares 3 2 2 12 3 3" xfId="21459"/>
    <cellStyle name="Separador de milhares 3 2 2 12 3 3 2" xfId="47695"/>
    <cellStyle name="Separador de milhares 3 2 2 12 3 4" xfId="15545"/>
    <cellStyle name="Separador de milhares 3 2 2 12 3 4 2" xfId="41787"/>
    <cellStyle name="Separador de milhares 3 2 2 12 3 5" xfId="35401"/>
    <cellStyle name="Separador de milhares 3 2 2 12 4" xfId="5784"/>
    <cellStyle name="Separador de milhares 3 2 2 12 4 2" xfId="24416"/>
    <cellStyle name="Separador de milhares 3 2 2 12 4 2 2" xfId="50649"/>
    <cellStyle name="Separador de milhares 3 2 2 12 4 3" xfId="32029"/>
    <cellStyle name="Separador de milhares 3 2 2 12 5" xfId="18502"/>
    <cellStyle name="Separador de milhares 3 2 2 12 5 2" xfId="44741"/>
    <cellStyle name="Separador de milhares 3 2 2 12 6" xfId="12171"/>
    <cellStyle name="Separador de milhares 3 2 2 12 6 2" xfId="38413"/>
    <cellStyle name="Separador de milhares 3 2 2 12 7" xfId="30331"/>
    <cellStyle name="Separador de milhares 3 2 2 13" xfId="6467"/>
    <cellStyle name="Separador de milhares 3 2 2 13 2" xfId="9623"/>
    <cellStyle name="Separador de milhares 3 2 2 13 2 2" xfId="27837"/>
    <cellStyle name="Separador de milhares 3 2 2 13 2 2 2" xfId="54067"/>
    <cellStyle name="Separador de milhares 3 2 2 13 2 3" xfId="21923"/>
    <cellStyle name="Separador de milhares 3 2 2 13 2 3 2" xfId="48159"/>
    <cellStyle name="Separador de milhares 3 2 2 13 2 4" xfId="16009"/>
    <cellStyle name="Separador de milhares 3 2 2 13 2 4 2" xfId="42251"/>
    <cellStyle name="Separador de milhares 3 2 2 13 2 5" xfId="35865"/>
    <cellStyle name="Separador de milhares 3 2 2 13 3" xfId="24880"/>
    <cellStyle name="Separador de milhares 3 2 2 13 3 2" xfId="51113"/>
    <cellStyle name="Separador de milhares 3 2 2 13 4" xfId="18966"/>
    <cellStyle name="Separador de milhares 3 2 2 13 4 2" xfId="45205"/>
    <cellStyle name="Separador de milhares 3 2 2 13 5" xfId="12856"/>
    <cellStyle name="Separador de milhares 3 2 2 13 5 2" xfId="39098"/>
    <cellStyle name="Separador de milhares 3 2 2 13 6" xfId="32712"/>
    <cellStyle name="Separador de milhares 3 2 2 14" xfId="8152"/>
    <cellStyle name="Separador de milhares 3 2 2 14 2" xfId="26366"/>
    <cellStyle name="Separador de milhares 3 2 2 14 2 2" xfId="52599"/>
    <cellStyle name="Separador de milhares 3 2 2 14 3" xfId="20452"/>
    <cellStyle name="Separador de milhares 3 2 2 14 3 2" xfId="46691"/>
    <cellStyle name="Separador de milhares 3 2 2 14 4" xfId="14541"/>
    <cellStyle name="Separador de milhares 3 2 2 14 4 2" xfId="40783"/>
    <cellStyle name="Separador de milhares 3 2 2 14 5" xfId="34397"/>
    <cellStyle name="Separador de milhares 3 2 2 15" xfId="4765"/>
    <cellStyle name="Separador de milhares 3 2 2 15 2" xfId="23409"/>
    <cellStyle name="Separador de milhares 3 2 2 15 2 2" xfId="49645"/>
    <cellStyle name="Separador de milhares 3 2 2 15 3" xfId="31013"/>
    <cellStyle name="Separador de milhares 3 2 2 16" xfId="17495"/>
    <cellStyle name="Separador de milhares 3 2 2 16 2" xfId="43737"/>
    <cellStyle name="Separador de milhares 3 2 2 17" xfId="11155"/>
    <cellStyle name="Separador de milhares 3 2 2 17 2" xfId="37397"/>
    <cellStyle name="Separador de milhares 3 2 2 18" xfId="29315"/>
    <cellStyle name="Separador de milhares 3 2 2 2" xfId="206"/>
    <cellStyle name="Separador de milhares 3 2 2 2 10" xfId="6496"/>
    <cellStyle name="Separador de milhares 3 2 2 2 10 2" xfId="9650"/>
    <cellStyle name="Separador de milhares 3 2 2 2 10 2 2" xfId="27864"/>
    <cellStyle name="Separador de milhares 3 2 2 2 10 2 2 2" xfId="54094"/>
    <cellStyle name="Separador de milhares 3 2 2 2 10 2 3" xfId="21950"/>
    <cellStyle name="Separador de milhares 3 2 2 2 10 2 3 2" xfId="48186"/>
    <cellStyle name="Separador de milhares 3 2 2 2 10 2 4" xfId="16036"/>
    <cellStyle name="Separador de milhares 3 2 2 2 10 2 4 2" xfId="42278"/>
    <cellStyle name="Separador de milhares 3 2 2 2 10 2 5" xfId="35892"/>
    <cellStyle name="Separador de milhares 3 2 2 2 10 3" xfId="24907"/>
    <cellStyle name="Separador de milhares 3 2 2 2 10 3 2" xfId="51140"/>
    <cellStyle name="Separador de milhares 3 2 2 2 10 4" xfId="18993"/>
    <cellStyle name="Separador de milhares 3 2 2 2 10 4 2" xfId="45232"/>
    <cellStyle name="Separador de milhares 3 2 2 2 10 5" xfId="12885"/>
    <cellStyle name="Separador de milhares 3 2 2 2 10 5 2" xfId="39127"/>
    <cellStyle name="Separador de milhares 3 2 2 2 10 6" xfId="32741"/>
    <cellStyle name="Separador de milhares 3 2 2 2 11" xfId="8179"/>
    <cellStyle name="Separador de milhares 3 2 2 2 11 2" xfId="26393"/>
    <cellStyle name="Separador de milhares 3 2 2 2 11 2 2" xfId="52626"/>
    <cellStyle name="Separador de milhares 3 2 2 2 11 3" xfId="20479"/>
    <cellStyle name="Separador de milhares 3 2 2 2 11 3 2" xfId="46718"/>
    <cellStyle name="Separador de milhares 3 2 2 2 11 4" xfId="14568"/>
    <cellStyle name="Separador de milhares 3 2 2 2 11 4 2" xfId="40810"/>
    <cellStyle name="Separador de milhares 3 2 2 2 11 5" xfId="34424"/>
    <cellStyle name="Separador de milhares 3 2 2 2 12" xfId="4795"/>
    <cellStyle name="Separador de milhares 3 2 2 2 12 2" xfId="23436"/>
    <cellStyle name="Separador de milhares 3 2 2 2 12 2 2" xfId="49672"/>
    <cellStyle name="Separador de milhares 3 2 2 2 12 3" xfId="31042"/>
    <cellStyle name="Separador de milhares 3 2 2 2 13" xfId="17522"/>
    <cellStyle name="Separador de milhares 3 2 2 2 13 2" xfId="43764"/>
    <cellStyle name="Separador de milhares 3 2 2 2 14" xfId="11184"/>
    <cellStyle name="Separador de milhares 3 2 2 2 14 2" xfId="37426"/>
    <cellStyle name="Separador de milhares 3 2 2 2 15" xfId="29345"/>
    <cellStyle name="Separador de milhares 3 2 2 2 2" xfId="479"/>
    <cellStyle name="Separador de milhares 3 2 2 2 2 10" xfId="17596"/>
    <cellStyle name="Separador de milhares 3 2 2 2 2 10 2" xfId="43838"/>
    <cellStyle name="Separador de milhares 3 2 2 2 2 11" xfId="11265"/>
    <cellStyle name="Separador de milhares 3 2 2 2 2 11 2" xfId="37507"/>
    <cellStyle name="Separador de milhares 3 2 2 2 2 12" xfId="29425"/>
    <cellStyle name="Separador de milhares 3 2 2 2 2 2" xfId="1998"/>
    <cellStyle name="Separador de milhares 3 2 2 2 2 2 2" xfId="7015"/>
    <cellStyle name="Separador de milhares 3 2 2 2 2 2 2 2" xfId="10162"/>
    <cellStyle name="Separador de milhares 3 2 2 2 2 2 2 2 2" xfId="28376"/>
    <cellStyle name="Separador de milhares 3 2 2 2 2 2 2 2 2 2" xfId="54606"/>
    <cellStyle name="Separador de milhares 3 2 2 2 2 2 2 2 3" xfId="22462"/>
    <cellStyle name="Separador de milhares 3 2 2 2 2 2 2 2 3 2" xfId="48698"/>
    <cellStyle name="Separador de milhares 3 2 2 2 2 2 2 2 4" xfId="16548"/>
    <cellStyle name="Separador de milhares 3 2 2 2 2 2 2 2 4 2" xfId="42790"/>
    <cellStyle name="Separador de milhares 3 2 2 2 2 2 2 2 5" xfId="36404"/>
    <cellStyle name="Separador de milhares 3 2 2 2 2 2 2 3" xfId="25419"/>
    <cellStyle name="Separador de milhares 3 2 2 2 2 2 2 3 2" xfId="51652"/>
    <cellStyle name="Separador de milhares 3 2 2 2 2 2 2 4" xfId="19505"/>
    <cellStyle name="Separador de milhares 3 2 2 2 2 2 2 4 2" xfId="45744"/>
    <cellStyle name="Separador de milhares 3 2 2 2 2 2 2 5" xfId="13404"/>
    <cellStyle name="Separador de milhares 3 2 2 2 2 2 2 5 2" xfId="39646"/>
    <cellStyle name="Separador de milhares 3 2 2 2 2 2 2 6" xfId="33260"/>
    <cellStyle name="Separador de milhares 3 2 2 2 2 2 3" xfId="8694"/>
    <cellStyle name="Separador de milhares 3 2 2 2 2 2 3 2" xfId="26908"/>
    <cellStyle name="Separador de milhares 3 2 2 2 2 2 3 2 2" xfId="53138"/>
    <cellStyle name="Separador de milhares 3 2 2 2 2 2 3 3" xfId="20994"/>
    <cellStyle name="Separador de milhares 3 2 2 2 2 2 3 3 2" xfId="47230"/>
    <cellStyle name="Separador de milhares 3 2 2 2 2 2 3 4" xfId="15080"/>
    <cellStyle name="Separador de milhares 3 2 2 2 2 2 3 4 2" xfId="41322"/>
    <cellStyle name="Separador de milhares 3 2 2 2 2 2 3 5" xfId="34936"/>
    <cellStyle name="Separador de milhares 3 2 2 2 2 2 4" xfId="5316"/>
    <cellStyle name="Separador de milhares 3 2 2 2 2 2 4 2" xfId="23951"/>
    <cellStyle name="Separador de milhares 3 2 2 2 2 2 4 2 2" xfId="50184"/>
    <cellStyle name="Separador de milhares 3 2 2 2 2 2 4 3" xfId="31561"/>
    <cellStyle name="Separador de milhares 3 2 2 2 2 2 5" xfId="18037"/>
    <cellStyle name="Separador de milhares 3 2 2 2 2 2 5 2" xfId="44276"/>
    <cellStyle name="Separador de milhares 3 2 2 2 2 2 6" xfId="11703"/>
    <cellStyle name="Separador de milhares 3 2 2 2 2 2 6 2" xfId="37945"/>
    <cellStyle name="Separador de milhares 3 2 2 2 2 2 7" xfId="29863"/>
    <cellStyle name="Separador de milhares 3 2 2 2 2 3" xfId="2528"/>
    <cellStyle name="Separador de milhares 3 2 2 2 2 3 2" xfId="7165"/>
    <cellStyle name="Separador de milhares 3 2 2 2 2 3 2 2" xfId="10309"/>
    <cellStyle name="Separador de milhares 3 2 2 2 2 3 2 2 2" xfId="28523"/>
    <cellStyle name="Separador de milhares 3 2 2 2 2 3 2 2 2 2" xfId="54753"/>
    <cellStyle name="Separador de milhares 3 2 2 2 2 3 2 2 3" xfId="22609"/>
    <cellStyle name="Separador de milhares 3 2 2 2 2 3 2 2 3 2" xfId="48845"/>
    <cellStyle name="Separador de milhares 3 2 2 2 2 3 2 2 4" xfId="16695"/>
    <cellStyle name="Separador de milhares 3 2 2 2 2 3 2 2 4 2" xfId="42937"/>
    <cellStyle name="Separador de milhares 3 2 2 2 2 3 2 2 5" xfId="36551"/>
    <cellStyle name="Separador de milhares 3 2 2 2 2 3 2 3" xfId="25566"/>
    <cellStyle name="Separador de milhares 3 2 2 2 2 3 2 3 2" xfId="51799"/>
    <cellStyle name="Separador de milhares 3 2 2 2 2 3 2 4" xfId="19652"/>
    <cellStyle name="Separador de milhares 3 2 2 2 2 3 2 4 2" xfId="45891"/>
    <cellStyle name="Separador de milhares 3 2 2 2 2 3 2 5" xfId="13554"/>
    <cellStyle name="Separador de milhares 3 2 2 2 2 3 2 5 2" xfId="39796"/>
    <cellStyle name="Separador de milhares 3 2 2 2 2 3 2 6" xfId="33410"/>
    <cellStyle name="Separador de milhares 3 2 2 2 2 3 3" xfId="8841"/>
    <cellStyle name="Separador de milhares 3 2 2 2 2 3 3 2" xfId="27055"/>
    <cellStyle name="Separador de milhares 3 2 2 2 2 3 3 2 2" xfId="53285"/>
    <cellStyle name="Separador de milhares 3 2 2 2 2 3 3 3" xfId="21141"/>
    <cellStyle name="Separador de milhares 3 2 2 2 2 3 3 3 2" xfId="47377"/>
    <cellStyle name="Separador de milhares 3 2 2 2 2 3 3 4" xfId="15227"/>
    <cellStyle name="Separador de milhares 3 2 2 2 2 3 3 4 2" xfId="41469"/>
    <cellStyle name="Separador de milhares 3 2 2 2 2 3 3 5" xfId="35083"/>
    <cellStyle name="Separador de milhares 3 2 2 2 2 3 4" xfId="5466"/>
    <cellStyle name="Separador de milhares 3 2 2 2 2 3 4 2" xfId="24098"/>
    <cellStyle name="Separador de milhares 3 2 2 2 2 3 4 2 2" xfId="50331"/>
    <cellStyle name="Separador de milhares 3 2 2 2 2 3 4 3" xfId="31711"/>
    <cellStyle name="Separador de milhares 3 2 2 2 2 3 5" xfId="18184"/>
    <cellStyle name="Separador de milhares 3 2 2 2 2 3 5 2" xfId="44423"/>
    <cellStyle name="Separador de milhares 3 2 2 2 2 3 6" xfId="11853"/>
    <cellStyle name="Separador de milhares 3 2 2 2 2 3 6 2" xfId="38095"/>
    <cellStyle name="Separador de milhares 3 2 2 2 2 3 7" xfId="30013"/>
    <cellStyle name="Separador de milhares 3 2 2 2 2 4" xfId="3055"/>
    <cellStyle name="Separador de milhares 3 2 2 2 2 4 2" xfId="7312"/>
    <cellStyle name="Separador de milhares 3 2 2 2 2 4 2 2" xfId="10456"/>
    <cellStyle name="Separador de milhares 3 2 2 2 2 4 2 2 2" xfId="28670"/>
    <cellStyle name="Separador de milhares 3 2 2 2 2 4 2 2 2 2" xfId="54900"/>
    <cellStyle name="Separador de milhares 3 2 2 2 2 4 2 2 3" xfId="22756"/>
    <cellStyle name="Separador de milhares 3 2 2 2 2 4 2 2 3 2" xfId="48992"/>
    <cellStyle name="Separador de milhares 3 2 2 2 2 4 2 2 4" xfId="16842"/>
    <cellStyle name="Separador de milhares 3 2 2 2 2 4 2 2 4 2" xfId="43084"/>
    <cellStyle name="Separador de milhares 3 2 2 2 2 4 2 2 5" xfId="36698"/>
    <cellStyle name="Separador de milhares 3 2 2 2 2 4 2 3" xfId="25713"/>
    <cellStyle name="Separador de milhares 3 2 2 2 2 4 2 3 2" xfId="51946"/>
    <cellStyle name="Separador de milhares 3 2 2 2 2 4 2 4" xfId="19799"/>
    <cellStyle name="Separador de milhares 3 2 2 2 2 4 2 4 2" xfId="46038"/>
    <cellStyle name="Separador de milhares 3 2 2 2 2 4 2 5" xfId="13701"/>
    <cellStyle name="Separador de milhares 3 2 2 2 2 4 2 5 2" xfId="39943"/>
    <cellStyle name="Separador de milhares 3 2 2 2 2 4 2 6" xfId="33557"/>
    <cellStyle name="Separador de milhares 3 2 2 2 2 4 3" xfId="8988"/>
    <cellStyle name="Separador de milhares 3 2 2 2 2 4 3 2" xfId="27202"/>
    <cellStyle name="Separador de milhares 3 2 2 2 2 4 3 2 2" xfId="53432"/>
    <cellStyle name="Separador de milhares 3 2 2 2 2 4 3 3" xfId="21288"/>
    <cellStyle name="Separador de milhares 3 2 2 2 2 4 3 3 2" xfId="47524"/>
    <cellStyle name="Separador de milhares 3 2 2 2 2 4 3 4" xfId="15374"/>
    <cellStyle name="Separador de milhares 3 2 2 2 2 4 3 4 2" xfId="41616"/>
    <cellStyle name="Separador de milhares 3 2 2 2 2 4 3 5" xfId="35230"/>
    <cellStyle name="Separador de milhares 3 2 2 2 2 4 4" xfId="5613"/>
    <cellStyle name="Separador de milhares 3 2 2 2 2 4 4 2" xfId="24245"/>
    <cellStyle name="Separador de milhares 3 2 2 2 2 4 4 2 2" xfId="50478"/>
    <cellStyle name="Separador de milhares 3 2 2 2 2 4 4 3" xfId="31858"/>
    <cellStyle name="Separador de milhares 3 2 2 2 2 4 5" xfId="18331"/>
    <cellStyle name="Separador de milhares 3 2 2 2 2 4 5 2" xfId="44570"/>
    <cellStyle name="Separador de milhares 3 2 2 2 2 4 6" xfId="12000"/>
    <cellStyle name="Separador de milhares 3 2 2 2 2 4 6 2" xfId="38242"/>
    <cellStyle name="Separador de milhares 3 2 2 2 2 4 7" xfId="30160"/>
    <cellStyle name="Separador de milhares 3 2 2 2 2 5" xfId="3582"/>
    <cellStyle name="Separador de milhares 3 2 2 2 2 5 2" xfId="7459"/>
    <cellStyle name="Separador de milhares 3 2 2 2 2 5 2 2" xfId="10603"/>
    <cellStyle name="Separador de milhares 3 2 2 2 2 5 2 2 2" xfId="28817"/>
    <cellStyle name="Separador de milhares 3 2 2 2 2 5 2 2 2 2" xfId="55047"/>
    <cellStyle name="Separador de milhares 3 2 2 2 2 5 2 2 3" xfId="22903"/>
    <cellStyle name="Separador de milhares 3 2 2 2 2 5 2 2 3 2" xfId="49139"/>
    <cellStyle name="Separador de milhares 3 2 2 2 2 5 2 2 4" xfId="16989"/>
    <cellStyle name="Separador de milhares 3 2 2 2 2 5 2 2 4 2" xfId="43231"/>
    <cellStyle name="Separador de milhares 3 2 2 2 2 5 2 2 5" xfId="36845"/>
    <cellStyle name="Separador de milhares 3 2 2 2 2 5 2 3" xfId="25860"/>
    <cellStyle name="Separador de milhares 3 2 2 2 2 5 2 3 2" xfId="52093"/>
    <cellStyle name="Separador de milhares 3 2 2 2 2 5 2 4" xfId="19946"/>
    <cellStyle name="Separador de milhares 3 2 2 2 2 5 2 4 2" xfId="46185"/>
    <cellStyle name="Separador de milhares 3 2 2 2 2 5 2 5" xfId="13848"/>
    <cellStyle name="Separador de milhares 3 2 2 2 2 5 2 5 2" xfId="40090"/>
    <cellStyle name="Separador de milhares 3 2 2 2 2 5 2 6" xfId="33704"/>
    <cellStyle name="Separador de milhares 3 2 2 2 2 5 3" xfId="9135"/>
    <cellStyle name="Separador de milhares 3 2 2 2 2 5 3 2" xfId="27349"/>
    <cellStyle name="Separador de milhares 3 2 2 2 2 5 3 2 2" xfId="53579"/>
    <cellStyle name="Separador de milhares 3 2 2 2 2 5 3 3" xfId="21435"/>
    <cellStyle name="Separador de milhares 3 2 2 2 2 5 3 3 2" xfId="47671"/>
    <cellStyle name="Separador de milhares 3 2 2 2 2 5 3 4" xfId="15521"/>
    <cellStyle name="Separador de milhares 3 2 2 2 2 5 3 4 2" xfId="41763"/>
    <cellStyle name="Separador de milhares 3 2 2 2 2 5 3 5" xfId="35377"/>
    <cellStyle name="Separador de milhares 3 2 2 2 2 5 4" xfId="5760"/>
    <cellStyle name="Separador de milhares 3 2 2 2 2 5 4 2" xfId="24392"/>
    <cellStyle name="Separador de milhares 3 2 2 2 2 5 4 2 2" xfId="50625"/>
    <cellStyle name="Separador de milhares 3 2 2 2 2 5 4 3" xfId="32005"/>
    <cellStyle name="Separador de milhares 3 2 2 2 2 5 5" xfId="18478"/>
    <cellStyle name="Separador de milhares 3 2 2 2 2 5 5 2" xfId="44717"/>
    <cellStyle name="Separador de milhares 3 2 2 2 2 5 6" xfId="12147"/>
    <cellStyle name="Separador de milhares 3 2 2 2 2 5 6 2" xfId="38389"/>
    <cellStyle name="Separador de milhares 3 2 2 2 2 5 7" xfId="30307"/>
    <cellStyle name="Separador de milhares 3 2 2 2 2 6" xfId="4109"/>
    <cellStyle name="Separador de milhares 3 2 2 2 2 6 2" xfId="7606"/>
    <cellStyle name="Separador de milhares 3 2 2 2 2 6 2 2" xfId="10750"/>
    <cellStyle name="Separador de milhares 3 2 2 2 2 6 2 2 2" xfId="28964"/>
    <cellStyle name="Separador de milhares 3 2 2 2 2 6 2 2 2 2" xfId="55194"/>
    <cellStyle name="Separador de milhares 3 2 2 2 2 6 2 2 3" xfId="23050"/>
    <cellStyle name="Separador de milhares 3 2 2 2 2 6 2 2 3 2" xfId="49286"/>
    <cellStyle name="Separador de milhares 3 2 2 2 2 6 2 2 4" xfId="17136"/>
    <cellStyle name="Separador de milhares 3 2 2 2 2 6 2 2 4 2" xfId="43378"/>
    <cellStyle name="Separador de milhares 3 2 2 2 2 6 2 2 5" xfId="36992"/>
    <cellStyle name="Separador de milhares 3 2 2 2 2 6 2 3" xfId="26007"/>
    <cellStyle name="Separador de milhares 3 2 2 2 2 6 2 3 2" xfId="52240"/>
    <cellStyle name="Separador de milhares 3 2 2 2 2 6 2 4" xfId="20093"/>
    <cellStyle name="Separador de milhares 3 2 2 2 2 6 2 4 2" xfId="46332"/>
    <cellStyle name="Separador de milhares 3 2 2 2 2 6 2 5" xfId="13995"/>
    <cellStyle name="Separador de milhares 3 2 2 2 2 6 2 5 2" xfId="40237"/>
    <cellStyle name="Separador de milhares 3 2 2 2 2 6 2 6" xfId="33851"/>
    <cellStyle name="Separador de milhares 3 2 2 2 2 6 3" xfId="9282"/>
    <cellStyle name="Separador de milhares 3 2 2 2 2 6 3 2" xfId="27496"/>
    <cellStyle name="Separador de milhares 3 2 2 2 2 6 3 2 2" xfId="53726"/>
    <cellStyle name="Separador de milhares 3 2 2 2 2 6 3 3" xfId="21582"/>
    <cellStyle name="Separador de milhares 3 2 2 2 2 6 3 3 2" xfId="47818"/>
    <cellStyle name="Separador de milhares 3 2 2 2 2 6 3 4" xfId="15668"/>
    <cellStyle name="Separador de milhares 3 2 2 2 2 6 3 4 2" xfId="41910"/>
    <cellStyle name="Separador de milhares 3 2 2 2 2 6 3 5" xfId="35524"/>
    <cellStyle name="Separador de milhares 3 2 2 2 2 6 4" xfId="5907"/>
    <cellStyle name="Separador de milhares 3 2 2 2 2 6 4 2" xfId="24539"/>
    <cellStyle name="Separador de milhares 3 2 2 2 2 6 4 2 2" xfId="50772"/>
    <cellStyle name="Separador de milhares 3 2 2 2 2 6 4 3" xfId="32152"/>
    <cellStyle name="Separador de milhares 3 2 2 2 2 6 5" xfId="18625"/>
    <cellStyle name="Separador de milhares 3 2 2 2 2 6 5 2" xfId="44864"/>
    <cellStyle name="Separador de milhares 3 2 2 2 2 6 6" xfId="12294"/>
    <cellStyle name="Separador de milhares 3 2 2 2 2 6 6 2" xfId="38536"/>
    <cellStyle name="Separador de milhares 3 2 2 2 2 6 7" xfId="30454"/>
    <cellStyle name="Separador de milhares 3 2 2 2 2 7" xfId="6577"/>
    <cellStyle name="Separador de milhares 3 2 2 2 2 7 2" xfId="9724"/>
    <cellStyle name="Separador de milhares 3 2 2 2 2 7 2 2" xfId="27938"/>
    <cellStyle name="Separador de milhares 3 2 2 2 2 7 2 2 2" xfId="54168"/>
    <cellStyle name="Separador de milhares 3 2 2 2 2 7 2 3" xfId="22024"/>
    <cellStyle name="Separador de milhares 3 2 2 2 2 7 2 3 2" xfId="48260"/>
    <cellStyle name="Separador de milhares 3 2 2 2 2 7 2 4" xfId="16110"/>
    <cellStyle name="Separador de milhares 3 2 2 2 2 7 2 4 2" xfId="42352"/>
    <cellStyle name="Separador de milhares 3 2 2 2 2 7 2 5" xfId="35966"/>
    <cellStyle name="Separador de milhares 3 2 2 2 2 7 3" xfId="24981"/>
    <cellStyle name="Separador de milhares 3 2 2 2 2 7 3 2" xfId="51214"/>
    <cellStyle name="Separador de milhares 3 2 2 2 2 7 4" xfId="19067"/>
    <cellStyle name="Separador de milhares 3 2 2 2 2 7 4 2" xfId="45306"/>
    <cellStyle name="Separador de milhares 3 2 2 2 2 7 5" xfId="12966"/>
    <cellStyle name="Separador de milhares 3 2 2 2 2 7 5 2" xfId="39208"/>
    <cellStyle name="Separador de milhares 3 2 2 2 2 7 6" xfId="32822"/>
    <cellStyle name="Separador de milhares 3 2 2 2 2 8" xfId="8253"/>
    <cellStyle name="Separador de milhares 3 2 2 2 2 8 2" xfId="26467"/>
    <cellStyle name="Separador de milhares 3 2 2 2 2 8 2 2" xfId="52700"/>
    <cellStyle name="Separador de milhares 3 2 2 2 2 8 3" xfId="20553"/>
    <cellStyle name="Separador de milhares 3 2 2 2 2 8 3 2" xfId="46792"/>
    <cellStyle name="Separador de milhares 3 2 2 2 2 8 4" xfId="14642"/>
    <cellStyle name="Separador de milhares 3 2 2 2 2 8 4 2" xfId="40884"/>
    <cellStyle name="Separador de milhares 3 2 2 2 2 8 5" xfId="34498"/>
    <cellStyle name="Separador de milhares 3 2 2 2 2 9" xfId="4876"/>
    <cellStyle name="Separador de milhares 3 2 2 2 2 9 2" xfId="23510"/>
    <cellStyle name="Separador de milhares 3 2 2 2 2 9 2 2" xfId="49746"/>
    <cellStyle name="Separador de milhares 3 2 2 2 2 9 3" xfId="31123"/>
    <cellStyle name="Separador de milhares 3 2 2 2 3" xfId="952"/>
    <cellStyle name="Separador de milhares 3 2 2 2 3 2" xfId="6728"/>
    <cellStyle name="Separador de milhares 3 2 2 2 3 2 2" xfId="9875"/>
    <cellStyle name="Separador de milhares 3 2 2 2 3 2 2 2" xfId="28089"/>
    <cellStyle name="Separador de milhares 3 2 2 2 3 2 2 2 2" xfId="54319"/>
    <cellStyle name="Separador de milhares 3 2 2 2 3 2 2 3" xfId="22175"/>
    <cellStyle name="Separador de milhares 3 2 2 2 3 2 2 3 2" xfId="48411"/>
    <cellStyle name="Separador de milhares 3 2 2 2 3 2 2 4" xfId="16261"/>
    <cellStyle name="Separador de milhares 3 2 2 2 3 2 2 4 2" xfId="42503"/>
    <cellStyle name="Separador de milhares 3 2 2 2 3 2 2 5" xfId="36117"/>
    <cellStyle name="Separador de milhares 3 2 2 2 3 2 3" xfId="25132"/>
    <cellStyle name="Separador de milhares 3 2 2 2 3 2 3 2" xfId="51365"/>
    <cellStyle name="Separador de milhares 3 2 2 2 3 2 4" xfId="19218"/>
    <cellStyle name="Separador de milhares 3 2 2 2 3 2 4 2" xfId="45457"/>
    <cellStyle name="Separador de milhares 3 2 2 2 3 2 5" xfId="13117"/>
    <cellStyle name="Separador de milhares 3 2 2 2 3 2 5 2" xfId="39359"/>
    <cellStyle name="Separador de milhares 3 2 2 2 3 2 6" xfId="32973"/>
    <cellStyle name="Separador de milhares 3 2 2 2 3 3" xfId="8407"/>
    <cellStyle name="Separador de milhares 3 2 2 2 3 3 2" xfId="26621"/>
    <cellStyle name="Separador de milhares 3 2 2 2 3 3 2 2" xfId="52851"/>
    <cellStyle name="Separador de milhares 3 2 2 2 3 3 3" xfId="20707"/>
    <cellStyle name="Separador de milhares 3 2 2 2 3 3 3 2" xfId="46943"/>
    <cellStyle name="Separador de milhares 3 2 2 2 3 3 4" xfId="14793"/>
    <cellStyle name="Separador de milhares 3 2 2 2 3 3 4 2" xfId="41035"/>
    <cellStyle name="Separador de milhares 3 2 2 2 3 3 5" xfId="34649"/>
    <cellStyle name="Separador de milhares 3 2 2 2 3 4" xfId="5029"/>
    <cellStyle name="Separador de milhares 3 2 2 2 3 4 2" xfId="23664"/>
    <cellStyle name="Separador de milhares 3 2 2 2 3 4 2 2" xfId="49897"/>
    <cellStyle name="Separador de milhares 3 2 2 2 3 4 3" xfId="31274"/>
    <cellStyle name="Separador de milhares 3 2 2 2 3 5" xfId="17750"/>
    <cellStyle name="Separador de milhares 3 2 2 2 3 5 2" xfId="43989"/>
    <cellStyle name="Separador de milhares 3 2 2 2 3 6" xfId="11416"/>
    <cellStyle name="Separador de milhares 3 2 2 2 3 6 2" xfId="37658"/>
    <cellStyle name="Separador de milhares 3 2 2 2 3 7" xfId="29576"/>
    <cellStyle name="Separador de milhares 3 2 2 2 4" xfId="1303"/>
    <cellStyle name="Separador de milhares 3 2 2 2 4 2" xfId="6826"/>
    <cellStyle name="Separador de milhares 3 2 2 2 4 2 2" xfId="9973"/>
    <cellStyle name="Separador de milhares 3 2 2 2 4 2 2 2" xfId="28187"/>
    <cellStyle name="Separador de milhares 3 2 2 2 4 2 2 2 2" xfId="54417"/>
    <cellStyle name="Separador de milhares 3 2 2 2 4 2 2 3" xfId="22273"/>
    <cellStyle name="Separador de milhares 3 2 2 2 4 2 2 3 2" xfId="48509"/>
    <cellStyle name="Separador de milhares 3 2 2 2 4 2 2 4" xfId="16359"/>
    <cellStyle name="Separador de milhares 3 2 2 2 4 2 2 4 2" xfId="42601"/>
    <cellStyle name="Separador de milhares 3 2 2 2 4 2 2 5" xfId="36215"/>
    <cellStyle name="Separador de milhares 3 2 2 2 4 2 3" xfId="25230"/>
    <cellStyle name="Separador de milhares 3 2 2 2 4 2 3 2" xfId="51463"/>
    <cellStyle name="Separador de milhares 3 2 2 2 4 2 4" xfId="19316"/>
    <cellStyle name="Separador de milhares 3 2 2 2 4 2 4 2" xfId="45555"/>
    <cellStyle name="Separador de milhares 3 2 2 2 4 2 5" xfId="13215"/>
    <cellStyle name="Separador de milhares 3 2 2 2 4 2 5 2" xfId="39457"/>
    <cellStyle name="Separador de milhares 3 2 2 2 4 2 6" xfId="33071"/>
    <cellStyle name="Separador de milhares 3 2 2 2 4 3" xfId="8505"/>
    <cellStyle name="Separador de milhares 3 2 2 2 4 3 2" xfId="26719"/>
    <cellStyle name="Separador de milhares 3 2 2 2 4 3 2 2" xfId="52949"/>
    <cellStyle name="Separador de milhares 3 2 2 2 4 3 3" xfId="20805"/>
    <cellStyle name="Separador de milhares 3 2 2 2 4 3 3 2" xfId="47041"/>
    <cellStyle name="Separador de milhares 3 2 2 2 4 3 4" xfId="14891"/>
    <cellStyle name="Separador de milhares 3 2 2 2 4 3 4 2" xfId="41133"/>
    <cellStyle name="Separador de milhares 3 2 2 2 4 3 5" xfId="34747"/>
    <cellStyle name="Separador de milhares 3 2 2 2 4 4" xfId="5127"/>
    <cellStyle name="Separador de milhares 3 2 2 2 4 4 2" xfId="23762"/>
    <cellStyle name="Separador de milhares 3 2 2 2 4 4 2 2" xfId="49995"/>
    <cellStyle name="Separador de milhares 3 2 2 2 4 4 3" xfId="31372"/>
    <cellStyle name="Separador de milhares 3 2 2 2 4 5" xfId="17848"/>
    <cellStyle name="Separador de milhares 3 2 2 2 4 5 2" xfId="44087"/>
    <cellStyle name="Separador de milhares 3 2 2 2 4 6" xfId="11514"/>
    <cellStyle name="Separador de milhares 3 2 2 2 4 6 2" xfId="37756"/>
    <cellStyle name="Separador de milhares 3 2 2 2 4 7" xfId="29674"/>
    <cellStyle name="Separador de milhares 3 2 2 2 5" xfId="1738"/>
    <cellStyle name="Separador de milhares 3 2 2 2 5 2" xfId="6945"/>
    <cellStyle name="Separador de milhares 3 2 2 2 5 2 2" xfId="10092"/>
    <cellStyle name="Separador de milhares 3 2 2 2 5 2 2 2" xfId="28306"/>
    <cellStyle name="Separador de milhares 3 2 2 2 5 2 2 2 2" xfId="54536"/>
    <cellStyle name="Separador de milhares 3 2 2 2 5 2 2 3" xfId="22392"/>
    <cellStyle name="Separador de milhares 3 2 2 2 5 2 2 3 2" xfId="48628"/>
    <cellStyle name="Separador de milhares 3 2 2 2 5 2 2 4" xfId="16478"/>
    <cellStyle name="Separador de milhares 3 2 2 2 5 2 2 4 2" xfId="42720"/>
    <cellStyle name="Separador de milhares 3 2 2 2 5 2 2 5" xfId="36334"/>
    <cellStyle name="Separador de milhares 3 2 2 2 5 2 3" xfId="25349"/>
    <cellStyle name="Separador de milhares 3 2 2 2 5 2 3 2" xfId="51582"/>
    <cellStyle name="Separador de milhares 3 2 2 2 5 2 4" xfId="19435"/>
    <cellStyle name="Separador de milhares 3 2 2 2 5 2 4 2" xfId="45674"/>
    <cellStyle name="Separador de milhares 3 2 2 2 5 2 5" xfId="13334"/>
    <cellStyle name="Separador de milhares 3 2 2 2 5 2 5 2" xfId="39576"/>
    <cellStyle name="Separador de milhares 3 2 2 2 5 2 6" xfId="33190"/>
    <cellStyle name="Separador de milhares 3 2 2 2 5 3" xfId="8624"/>
    <cellStyle name="Separador de milhares 3 2 2 2 5 3 2" xfId="26838"/>
    <cellStyle name="Separador de milhares 3 2 2 2 5 3 2 2" xfId="53068"/>
    <cellStyle name="Separador de milhares 3 2 2 2 5 3 3" xfId="20924"/>
    <cellStyle name="Separador de milhares 3 2 2 2 5 3 3 2" xfId="47160"/>
    <cellStyle name="Separador de milhares 3 2 2 2 5 3 4" xfId="15010"/>
    <cellStyle name="Separador de milhares 3 2 2 2 5 3 4 2" xfId="41252"/>
    <cellStyle name="Separador de milhares 3 2 2 2 5 3 5" xfId="34866"/>
    <cellStyle name="Separador de milhares 3 2 2 2 5 4" xfId="5246"/>
    <cellStyle name="Separador de milhares 3 2 2 2 5 4 2" xfId="23881"/>
    <cellStyle name="Separador de milhares 3 2 2 2 5 4 2 2" xfId="50114"/>
    <cellStyle name="Separador de milhares 3 2 2 2 5 4 3" xfId="31491"/>
    <cellStyle name="Separador de milhares 3 2 2 2 5 5" xfId="17967"/>
    <cellStyle name="Separador de milhares 3 2 2 2 5 5 2" xfId="44206"/>
    <cellStyle name="Separador de milhares 3 2 2 2 5 6" xfId="11633"/>
    <cellStyle name="Separador de milhares 3 2 2 2 5 6 2" xfId="37875"/>
    <cellStyle name="Separador de milhares 3 2 2 2 5 7" xfId="29793"/>
    <cellStyle name="Separador de milhares 3 2 2 2 6" xfId="2268"/>
    <cellStyle name="Separador de milhares 3 2 2 2 6 2" xfId="7095"/>
    <cellStyle name="Separador de milhares 3 2 2 2 6 2 2" xfId="10239"/>
    <cellStyle name="Separador de milhares 3 2 2 2 6 2 2 2" xfId="28453"/>
    <cellStyle name="Separador de milhares 3 2 2 2 6 2 2 2 2" xfId="54683"/>
    <cellStyle name="Separador de milhares 3 2 2 2 6 2 2 3" xfId="22539"/>
    <cellStyle name="Separador de milhares 3 2 2 2 6 2 2 3 2" xfId="48775"/>
    <cellStyle name="Separador de milhares 3 2 2 2 6 2 2 4" xfId="16625"/>
    <cellStyle name="Separador de milhares 3 2 2 2 6 2 2 4 2" xfId="42867"/>
    <cellStyle name="Separador de milhares 3 2 2 2 6 2 2 5" xfId="36481"/>
    <cellStyle name="Separador de milhares 3 2 2 2 6 2 3" xfId="25496"/>
    <cellStyle name="Separador de milhares 3 2 2 2 6 2 3 2" xfId="51729"/>
    <cellStyle name="Separador de milhares 3 2 2 2 6 2 4" xfId="19582"/>
    <cellStyle name="Separador de milhares 3 2 2 2 6 2 4 2" xfId="45821"/>
    <cellStyle name="Separador de milhares 3 2 2 2 6 2 5" xfId="13484"/>
    <cellStyle name="Separador de milhares 3 2 2 2 6 2 5 2" xfId="39726"/>
    <cellStyle name="Separador de milhares 3 2 2 2 6 2 6" xfId="33340"/>
    <cellStyle name="Separador de milhares 3 2 2 2 6 3" xfId="8771"/>
    <cellStyle name="Separador de milhares 3 2 2 2 6 3 2" xfId="26985"/>
    <cellStyle name="Separador de milhares 3 2 2 2 6 3 2 2" xfId="53215"/>
    <cellStyle name="Separador de milhares 3 2 2 2 6 3 3" xfId="21071"/>
    <cellStyle name="Separador de milhares 3 2 2 2 6 3 3 2" xfId="47307"/>
    <cellStyle name="Separador de milhares 3 2 2 2 6 3 4" xfId="15157"/>
    <cellStyle name="Separador de milhares 3 2 2 2 6 3 4 2" xfId="41399"/>
    <cellStyle name="Separador de milhares 3 2 2 2 6 3 5" xfId="35013"/>
    <cellStyle name="Separador de milhares 3 2 2 2 6 4" xfId="5396"/>
    <cellStyle name="Separador de milhares 3 2 2 2 6 4 2" xfId="24028"/>
    <cellStyle name="Separador de milhares 3 2 2 2 6 4 2 2" xfId="50261"/>
    <cellStyle name="Separador de milhares 3 2 2 2 6 4 3" xfId="31641"/>
    <cellStyle name="Separador de milhares 3 2 2 2 6 5" xfId="18114"/>
    <cellStyle name="Separador de milhares 3 2 2 2 6 5 2" xfId="44353"/>
    <cellStyle name="Separador de milhares 3 2 2 2 6 6" xfId="11783"/>
    <cellStyle name="Separador de milhares 3 2 2 2 6 6 2" xfId="38025"/>
    <cellStyle name="Separador de milhares 3 2 2 2 6 7" xfId="29943"/>
    <cellStyle name="Separador de milhares 3 2 2 2 7" xfId="2795"/>
    <cellStyle name="Separador de milhares 3 2 2 2 7 2" xfId="7242"/>
    <cellStyle name="Separador de milhares 3 2 2 2 7 2 2" xfId="10386"/>
    <cellStyle name="Separador de milhares 3 2 2 2 7 2 2 2" xfId="28600"/>
    <cellStyle name="Separador de milhares 3 2 2 2 7 2 2 2 2" xfId="54830"/>
    <cellStyle name="Separador de milhares 3 2 2 2 7 2 2 3" xfId="22686"/>
    <cellStyle name="Separador de milhares 3 2 2 2 7 2 2 3 2" xfId="48922"/>
    <cellStyle name="Separador de milhares 3 2 2 2 7 2 2 4" xfId="16772"/>
    <cellStyle name="Separador de milhares 3 2 2 2 7 2 2 4 2" xfId="43014"/>
    <cellStyle name="Separador de milhares 3 2 2 2 7 2 2 5" xfId="36628"/>
    <cellStyle name="Separador de milhares 3 2 2 2 7 2 3" xfId="25643"/>
    <cellStyle name="Separador de milhares 3 2 2 2 7 2 3 2" xfId="51876"/>
    <cellStyle name="Separador de milhares 3 2 2 2 7 2 4" xfId="19729"/>
    <cellStyle name="Separador de milhares 3 2 2 2 7 2 4 2" xfId="45968"/>
    <cellStyle name="Separador de milhares 3 2 2 2 7 2 5" xfId="13631"/>
    <cellStyle name="Separador de milhares 3 2 2 2 7 2 5 2" xfId="39873"/>
    <cellStyle name="Separador de milhares 3 2 2 2 7 2 6" xfId="33487"/>
    <cellStyle name="Separador de milhares 3 2 2 2 7 3" xfId="8918"/>
    <cellStyle name="Separador de milhares 3 2 2 2 7 3 2" xfId="27132"/>
    <cellStyle name="Separador de milhares 3 2 2 2 7 3 2 2" xfId="53362"/>
    <cellStyle name="Separador de milhares 3 2 2 2 7 3 3" xfId="21218"/>
    <cellStyle name="Separador de milhares 3 2 2 2 7 3 3 2" xfId="47454"/>
    <cellStyle name="Separador de milhares 3 2 2 2 7 3 4" xfId="15304"/>
    <cellStyle name="Separador de milhares 3 2 2 2 7 3 4 2" xfId="41546"/>
    <cellStyle name="Separador de milhares 3 2 2 2 7 3 5" xfId="35160"/>
    <cellStyle name="Separador de milhares 3 2 2 2 7 4" xfId="5543"/>
    <cellStyle name="Separador de milhares 3 2 2 2 7 4 2" xfId="24175"/>
    <cellStyle name="Separador de milhares 3 2 2 2 7 4 2 2" xfId="50408"/>
    <cellStyle name="Separador de milhares 3 2 2 2 7 4 3" xfId="31788"/>
    <cellStyle name="Separador de milhares 3 2 2 2 7 5" xfId="18261"/>
    <cellStyle name="Separador de milhares 3 2 2 2 7 5 2" xfId="44500"/>
    <cellStyle name="Separador de milhares 3 2 2 2 7 6" xfId="11930"/>
    <cellStyle name="Separador de milhares 3 2 2 2 7 6 2" xfId="38172"/>
    <cellStyle name="Separador de milhares 3 2 2 2 7 7" xfId="30090"/>
    <cellStyle name="Separador de milhares 3 2 2 2 8" xfId="3322"/>
    <cellStyle name="Separador de milhares 3 2 2 2 8 2" xfId="7389"/>
    <cellStyle name="Separador de milhares 3 2 2 2 8 2 2" xfId="10533"/>
    <cellStyle name="Separador de milhares 3 2 2 2 8 2 2 2" xfId="28747"/>
    <cellStyle name="Separador de milhares 3 2 2 2 8 2 2 2 2" xfId="54977"/>
    <cellStyle name="Separador de milhares 3 2 2 2 8 2 2 3" xfId="22833"/>
    <cellStyle name="Separador de milhares 3 2 2 2 8 2 2 3 2" xfId="49069"/>
    <cellStyle name="Separador de milhares 3 2 2 2 8 2 2 4" xfId="16919"/>
    <cellStyle name="Separador de milhares 3 2 2 2 8 2 2 4 2" xfId="43161"/>
    <cellStyle name="Separador de milhares 3 2 2 2 8 2 2 5" xfId="36775"/>
    <cellStyle name="Separador de milhares 3 2 2 2 8 2 3" xfId="25790"/>
    <cellStyle name="Separador de milhares 3 2 2 2 8 2 3 2" xfId="52023"/>
    <cellStyle name="Separador de milhares 3 2 2 2 8 2 4" xfId="19876"/>
    <cellStyle name="Separador de milhares 3 2 2 2 8 2 4 2" xfId="46115"/>
    <cellStyle name="Separador de milhares 3 2 2 2 8 2 5" xfId="13778"/>
    <cellStyle name="Separador de milhares 3 2 2 2 8 2 5 2" xfId="40020"/>
    <cellStyle name="Separador de milhares 3 2 2 2 8 2 6" xfId="33634"/>
    <cellStyle name="Separador de milhares 3 2 2 2 8 3" xfId="9065"/>
    <cellStyle name="Separador de milhares 3 2 2 2 8 3 2" xfId="27279"/>
    <cellStyle name="Separador de milhares 3 2 2 2 8 3 2 2" xfId="53509"/>
    <cellStyle name="Separador de milhares 3 2 2 2 8 3 3" xfId="21365"/>
    <cellStyle name="Separador de milhares 3 2 2 2 8 3 3 2" xfId="47601"/>
    <cellStyle name="Separador de milhares 3 2 2 2 8 3 4" xfId="15451"/>
    <cellStyle name="Separador de milhares 3 2 2 2 8 3 4 2" xfId="41693"/>
    <cellStyle name="Separador de milhares 3 2 2 2 8 3 5" xfId="35307"/>
    <cellStyle name="Separador de milhares 3 2 2 2 8 4" xfId="5690"/>
    <cellStyle name="Separador de milhares 3 2 2 2 8 4 2" xfId="24322"/>
    <cellStyle name="Separador de milhares 3 2 2 2 8 4 2 2" xfId="50555"/>
    <cellStyle name="Separador de milhares 3 2 2 2 8 4 3" xfId="31935"/>
    <cellStyle name="Separador de milhares 3 2 2 2 8 5" xfId="18408"/>
    <cellStyle name="Separador de milhares 3 2 2 2 8 5 2" xfId="44647"/>
    <cellStyle name="Separador de milhares 3 2 2 2 8 6" xfId="12077"/>
    <cellStyle name="Separador de milhares 3 2 2 2 8 6 2" xfId="38319"/>
    <cellStyle name="Separador de milhares 3 2 2 2 8 7" xfId="30237"/>
    <cellStyle name="Separador de milhares 3 2 2 2 9" xfId="3849"/>
    <cellStyle name="Separador de milhares 3 2 2 2 9 2" xfId="7536"/>
    <cellStyle name="Separador de milhares 3 2 2 2 9 2 2" xfId="10680"/>
    <cellStyle name="Separador de milhares 3 2 2 2 9 2 2 2" xfId="28894"/>
    <cellStyle name="Separador de milhares 3 2 2 2 9 2 2 2 2" xfId="55124"/>
    <cellStyle name="Separador de milhares 3 2 2 2 9 2 2 3" xfId="22980"/>
    <cellStyle name="Separador de milhares 3 2 2 2 9 2 2 3 2" xfId="49216"/>
    <cellStyle name="Separador de milhares 3 2 2 2 9 2 2 4" xfId="17066"/>
    <cellStyle name="Separador de milhares 3 2 2 2 9 2 2 4 2" xfId="43308"/>
    <cellStyle name="Separador de milhares 3 2 2 2 9 2 2 5" xfId="36922"/>
    <cellStyle name="Separador de milhares 3 2 2 2 9 2 3" xfId="25937"/>
    <cellStyle name="Separador de milhares 3 2 2 2 9 2 3 2" xfId="52170"/>
    <cellStyle name="Separador de milhares 3 2 2 2 9 2 4" xfId="20023"/>
    <cellStyle name="Separador de milhares 3 2 2 2 9 2 4 2" xfId="46262"/>
    <cellStyle name="Separador de milhares 3 2 2 2 9 2 5" xfId="13925"/>
    <cellStyle name="Separador de milhares 3 2 2 2 9 2 5 2" xfId="40167"/>
    <cellStyle name="Separador de milhares 3 2 2 2 9 2 6" xfId="33781"/>
    <cellStyle name="Separador de milhares 3 2 2 2 9 3" xfId="9212"/>
    <cellStyle name="Separador de milhares 3 2 2 2 9 3 2" xfId="27426"/>
    <cellStyle name="Separador de milhares 3 2 2 2 9 3 2 2" xfId="53656"/>
    <cellStyle name="Separador de milhares 3 2 2 2 9 3 3" xfId="21512"/>
    <cellStyle name="Separador de milhares 3 2 2 2 9 3 3 2" xfId="47748"/>
    <cellStyle name="Separador de milhares 3 2 2 2 9 3 4" xfId="15598"/>
    <cellStyle name="Separador de milhares 3 2 2 2 9 3 4 2" xfId="41840"/>
    <cellStyle name="Separador de milhares 3 2 2 2 9 3 5" xfId="35454"/>
    <cellStyle name="Separador de milhares 3 2 2 2 9 4" xfId="5837"/>
    <cellStyle name="Separador de milhares 3 2 2 2 9 4 2" xfId="24469"/>
    <cellStyle name="Separador de milhares 3 2 2 2 9 4 2 2" xfId="50702"/>
    <cellStyle name="Separador de milhares 3 2 2 2 9 4 3" xfId="32082"/>
    <cellStyle name="Separador de milhares 3 2 2 2 9 5" xfId="18555"/>
    <cellStyle name="Separador de milhares 3 2 2 2 9 5 2" xfId="44794"/>
    <cellStyle name="Separador de milhares 3 2 2 2 9 6" xfId="12224"/>
    <cellStyle name="Separador de milhares 3 2 2 2 9 6 2" xfId="38466"/>
    <cellStyle name="Separador de milhares 3 2 2 2 9 7" xfId="30384"/>
    <cellStyle name="Separador de milhares 3 2 2 3" xfId="301"/>
    <cellStyle name="Separador de milhares 3 2 2 3 10" xfId="6527"/>
    <cellStyle name="Separador de milhares 3 2 2 3 10 2" xfId="9678"/>
    <cellStyle name="Separador de milhares 3 2 2 3 10 2 2" xfId="27892"/>
    <cellStyle name="Separador de milhares 3 2 2 3 10 2 2 2" xfId="54122"/>
    <cellStyle name="Separador de milhares 3 2 2 3 10 2 3" xfId="21978"/>
    <cellStyle name="Separador de milhares 3 2 2 3 10 2 3 2" xfId="48214"/>
    <cellStyle name="Separador de milhares 3 2 2 3 10 2 4" xfId="16064"/>
    <cellStyle name="Separador de milhares 3 2 2 3 10 2 4 2" xfId="42306"/>
    <cellStyle name="Separador de milhares 3 2 2 3 10 2 5" xfId="35920"/>
    <cellStyle name="Separador de milhares 3 2 2 3 10 3" xfId="24935"/>
    <cellStyle name="Separador de milhares 3 2 2 3 10 3 2" xfId="51168"/>
    <cellStyle name="Separador de milhares 3 2 2 3 10 4" xfId="19021"/>
    <cellStyle name="Separador de milhares 3 2 2 3 10 4 2" xfId="45260"/>
    <cellStyle name="Separador de milhares 3 2 2 3 10 5" xfId="12916"/>
    <cellStyle name="Separador de milhares 3 2 2 3 10 5 2" xfId="39158"/>
    <cellStyle name="Separador de milhares 3 2 2 3 10 6" xfId="32772"/>
    <cellStyle name="Separador de milhares 3 2 2 3 11" xfId="8207"/>
    <cellStyle name="Separador de milhares 3 2 2 3 11 2" xfId="26421"/>
    <cellStyle name="Separador de milhares 3 2 2 3 11 2 2" xfId="52654"/>
    <cellStyle name="Separador de milhares 3 2 2 3 11 3" xfId="20507"/>
    <cellStyle name="Separador de milhares 3 2 2 3 11 3 2" xfId="46746"/>
    <cellStyle name="Separador de milhares 3 2 2 3 11 4" xfId="14596"/>
    <cellStyle name="Separador de milhares 3 2 2 3 11 4 2" xfId="40838"/>
    <cellStyle name="Separador de milhares 3 2 2 3 11 5" xfId="34452"/>
    <cellStyle name="Separador de milhares 3 2 2 3 12" xfId="4826"/>
    <cellStyle name="Separador de milhares 3 2 2 3 12 2" xfId="23464"/>
    <cellStyle name="Separador de milhares 3 2 2 3 12 2 2" xfId="49700"/>
    <cellStyle name="Separador de milhares 3 2 2 3 12 3" xfId="31073"/>
    <cellStyle name="Separador de milhares 3 2 2 3 13" xfId="17550"/>
    <cellStyle name="Separador de milhares 3 2 2 3 13 2" xfId="43792"/>
    <cellStyle name="Separador de milhares 3 2 2 3 14" xfId="11215"/>
    <cellStyle name="Separador de milhares 3 2 2 3 14 2" xfId="37457"/>
    <cellStyle name="Separador de milhares 3 2 2 3 15" xfId="29375"/>
    <cellStyle name="Separador de milhares 3 2 2 3 2" xfId="564"/>
    <cellStyle name="Separador de milhares 3 2 2 3 2 2" xfId="6598"/>
    <cellStyle name="Separador de milhares 3 2 2 3 2 2 2" xfId="9745"/>
    <cellStyle name="Separador de milhares 3 2 2 3 2 2 2 2" xfId="27959"/>
    <cellStyle name="Separador de milhares 3 2 2 3 2 2 2 2 2" xfId="54189"/>
    <cellStyle name="Separador de milhares 3 2 2 3 2 2 2 3" xfId="22045"/>
    <cellStyle name="Separador de milhares 3 2 2 3 2 2 2 3 2" xfId="48281"/>
    <cellStyle name="Separador de milhares 3 2 2 3 2 2 2 4" xfId="16131"/>
    <cellStyle name="Separador de milhares 3 2 2 3 2 2 2 4 2" xfId="42373"/>
    <cellStyle name="Separador de milhares 3 2 2 3 2 2 2 5" xfId="35987"/>
    <cellStyle name="Separador de milhares 3 2 2 3 2 2 3" xfId="25002"/>
    <cellStyle name="Separador de milhares 3 2 2 3 2 2 3 2" xfId="51235"/>
    <cellStyle name="Separador de milhares 3 2 2 3 2 2 4" xfId="19088"/>
    <cellStyle name="Separador de milhares 3 2 2 3 2 2 4 2" xfId="45327"/>
    <cellStyle name="Separador de milhares 3 2 2 3 2 2 5" xfId="12987"/>
    <cellStyle name="Separador de milhares 3 2 2 3 2 2 5 2" xfId="39229"/>
    <cellStyle name="Separador de milhares 3 2 2 3 2 2 6" xfId="32843"/>
    <cellStyle name="Separador de milhares 3 2 2 3 2 3" xfId="8274"/>
    <cellStyle name="Separador de milhares 3 2 2 3 2 3 2" xfId="26488"/>
    <cellStyle name="Separador de milhares 3 2 2 3 2 3 2 2" xfId="52721"/>
    <cellStyle name="Separador de milhares 3 2 2 3 2 3 3" xfId="20574"/>
    <cellStyle name="Separador de milhares 3 2 2 3 2 3 3 2" xfId="46813"/>
    <cellStyle name="Separador de milhares 3 2 2 3 2 3 4" xfId="14663"/>
    <cellStyle name="Separador de milhares 3 2 2 3 2 3 4 2" xfId="40905"/>
    <cellStyle name="Separador de milhares 3 2 2 3 2 3 5" xfId="34519"/>
    <cellStyle name="Separador de milhares 3 2 2 3 2 4" xfId="4897"/>
    <cellStyle name="Separador de milhares 3 2 2 3 2 4 2" xfId="23531"/>
    <cellStyle name="Separador de milhares 3 2 2 3 2 4 2 2" xfId="49767"/>
    <cellStyle name="Separador de milhares 3 2 2 3 2 4 3" xfId="31144"/>
    <cellStyle name="Separador de milhares 3 2 2 3 2 5" xfId="17617"/>
    <cellStyle name="Separador de milhares 3 2 2 3 2 5 2" xfId="43859"/>
    <cellStyle name="Separador de milhares 3 2 2 3 2 6" xfId="11286"/>
    <cellStyle name="Separador de milhares 3 2 2 3 2 6 2" xfId="37528"/>
    <cellStyle name="Separador de milhares 3 2 2 3 2 7" xfId="29446"/>
    <cellStyle name="Separador de milhares 3 2 2 3 3" xfId="861"/>
    <cellStyle name="Separador de milhares 3 2 2 3 3 2" xfId="6700"/>
    <cellStyle name="Separador de milhares 3 2 2 3 3 2 2" xfId="9847"/>
    <cellStyle name="Separador de milhares 3 2 2 3 3 2 2 2" xfId="28061"/>
    <cellStyle name="Separador de milhares 3 2 2 3 3 2 2 2 2" xfId="54291"/>
    <cellStyle name="Separador de milhares 3 2 2 3 3 2 2 3" xfId="22147"/>
    <cellStyle name="Separador de milhares 3 2 2 3 3 2 2 3 2" xfId="48383"/>
    <cellStyle name="Separador de milhares 3 2 2 3 3 2 2 4" xfId="16233"/>
    <cellStyle name="Separador de milhares 3 2 2 3 3 2 2 4 2" xfId="42475"/>
    <cellStyle name="Separador de milhares 3 2 2 3 3 2 2 5" xfId="36089"/>
    <cellStyle name="Separador de milhares 3 2 2 3 3 2 3" xfId="25104"/>
    <cellStyle name="Separador de milhares 3 2 2 3 3 2 3 2" xfId="51337"/>
    <cellStyle name="Separador de milhares 3 2 2 3 3 2 4" xfId="19190"/>
    <cellStyle name="Separador de milhares 3 2 2 3 3 2 4 2" xfId="45429"/>
    <cellStyle name="Separador de milhares 3 2 2 3 3 2 5" xfId="13089"/>
    <cellStyle name="Separador de milhares 3 2 2 3 3 2 5 2" xfId="39331"/>
    <cellStyle name="Separador de milhares 3 2 2 3 3 2 6" xfId="32945"/>
    <cellStyle name="Separador de milhares 3 2 2 3 3 3" xfId="8379"/>
    <cellStyle name="Separador de milhares 3 2 2 3 3 3 2" xfId="26593"/>
    <cellStyle name="Separador de milhares 3 2 2 3 3 3 2 2" xfId="52823"/>
    <cellStyle name="Separador de milhares 3 2 2 3 3 3 3" xfId="20679"/>
    <cellStyle name="Separador de milhares 3 2 2 3 3 3 3 2" xfId="46915"/>
    <cellStyle name="Separador de milhares 3 2 2 3 3 3 4" xfId="14765"/>
    <cellStyle name="Separador de milhares 3 2 2 3 3 3 4 2" xfId="41007"/>
    <cellStyle name="Separador de milhares 3 2 2 3 3 3 5" xfId="34621"/>
    <cellStyle name="Separador de milhares 3 2 2 3 3 4" xfId="5001"/>
    <cellStyle name="Separador de milhares 3 2 2 3 3 4 2" xfId="23636"/>
    <cellStyle name="Separador de milhares 3 2 2 3 3 4 2 2" xfId="49869"/>
    <cellStyle name="Separador de milhares 3 2 2 3 3 4 3" xfId="31246"/>
    <cellStyle name="Separador de milhares 3 2 2 3 3 5" xfId="17722"/>
    <cellStyle name="Separador de milhares 3 2 2 3 3 5 2" xfId="43961"/>
    <cellStyle name="Separador de milhares 3 2 2 3 3 6" xfId="11388"/>
    <cellStyle name="Separador de milhares 3 2 2 3 3 6 2" xfId="37630"/>
    <cellStyle name="Separador de milhares 3 2 2 3 3 7" xfId="29548"/>
    <cellStyle name="Separador de milhares 3 2 2 3 4" xfId="1212"/>
    <cellStyle name="Separador de milhares 3 2 2 3 4 2" xfId="6798"/>
    <cellStyle name="Separador de milhares 3 2 2 3 4 2 2" xfId="9945"/>
    <cellStyle name="Separador de milhares 3 2 2 3 4 2 2 2" xfId="28159"/>
    <cellStyle name="Separador de milhares 3 2 2 3 4 2 2 2 2" xfId="54389"/>
    <cellStyle name="Separador de milhares 3 2 2 3 4 2 2 3" xfId="22245"/>
    <cellStyle name="Separador de milhares 3 2 2 3 4 2 2 3 2" xfId="48481"/>
    <cellStyle name="Separador de milhares 3 2 2 3 4 2 2 4" xfId="16331"/>
    <cellStyle name="Separador de milhares 3 2 2 3 4 2 2 4 2" xfId="42573"/>
    <cellStyle name="Separador de milhares 3 2 2 3 4 2 2 5" xfId="36187"/>
    <cellStyle name="Separador de milhares 3 2 2 3 4 2 3" xfId="25202"/>
    <cellStyle name="Separador de milhares 3 2 2 3 4 2 3 2" xfId="51435"/>
    <cellStyle name="Separador de milhares 3 2 2 3 4 2 4" xfId="19288"/>
    <cellStyle name="Separador de milhares 3 2 2 3 4 2 4 2" xfId="45527"/>
    <cellStyle name="Separador de milhares 3 2 2 3 4 2 5" xfId="13187"/>
    <cellStyle name="Separador de milhares 3 2 2 3 4 2 5 2" xfId="39429"/>
    <cellStyle name="Separador de milhares 3 2 2 3 4 2 6" xfId="33043"/>
    <cellStyle name="Separador de milhares 3 2 2 3 4 3" xfId="8477"/>
    <cellStyle name="Separador de milhares 3 2 2 3 4 3 2" xfId="26691"/>
    <cellStyle name="Separador de milhares 3 2 2 3 4 3 2 2" xfId="52921"/>
    <cellStyle name="Separador de milhares 3 2 2 3 4 3 3" xfId="20777"/>
    <cellStyle name="Separador de milhares 3 2 2 3 4 3 3 2" xfId="47013"/>
    <cellStyle name="Separador de milhares 3 2 2 3 4 3 4" xfId="14863"/>
    <cellStyle name="Separador de milhares 3 2 2 3 4 3 4 2" xfId="41105"/>
    <cellStyle name="Separador de milhares 3 2 2 3 4 3 5" xfId="34719"/>
    <cellStyle name="Separador de milhares 3 2 2 3 4 4" xfId="5099"/>
    <cellStyle name="Separador de milhares 3 2 2 3 4 4 2" xfId="23734"/>
    <cellStyle name="Separador de milhares 3 2 2 3 4 4 2 2" xfId="49967"/>
    <cellStyle name="Separador de milhares 3 2 2 3 4 4 3" xfId="31344"/>
    <cellStyle name="Separador de milhares 3 2 2 3 4 5" xfId="17820"/>
    <cellStyle name="Separador de milhares 3 2 2 3 4 5 2" xfId="44059"/>
    <cellStyle name="Separador de milhares 3 2 2 3 4 6" xfId="11486"/>
    <cellStyle name="Separador de milhares 3 2 2 3 4 6 2" xfId="37728"/>
    <cellStyle name="Separador de milhares 3 2 2 3 4 7" xfId="29646"/>
    <cellStyle name="Separador de milhares 3 2 2 3 5" xfId="1647"/>
    <cellStyle name="Separador de milhares 3 2 2 3 5 2" xfId="6917"/>
    <cellStyle name="Separador de milhares 3 2 2 3 5 2 2" xfId="10064"/>
    <cellStyle name="Separador de milhares 3 2 2 3 5 2 2 2" xfId="28278"/>
    <cellStyle name="Separador de milhares 3 2 2 3 5 2 2 2 2" xfId="54508"/>
    <cellStyle name="Separador de milhares 3 2 2 3 5 2 2 3" xfId="22364"/>
    <cellStyle name="Separador de milhares 3 2 2 3 5 2 2 3 2" xfId="48600"/>
    <cellStyle name="Separador de milhares 3 2 2 3 5 2 2 4" xfId="16450"/>
    <cellStyle name="Separador de milhares 3 2 2 3 5 2 2 4 2" xfId="42692"/>
    <cellStyle name="Separador de milhares 3 2 2 3 5 2 2 5" xfId="36306"/>
    <cellStyle name="Separador de milhares 3 2 2 3 5 2 3" xfId="25321"/>
    <cellStyle name="Separador de milhares 3 2 2 3 5 2 3 2" xfId="51554"/>
    <cellStyle name="Separador de milhares 3 2 2 3 5 2 4" xfId="19407"/>
    <cellStyle name="Separador de milhares 3 2 2 3 5 2 4 2" xfId="45646"/>
    <cellStyle name="Separador de milhares 3 2 2 3 5 2 5" xfId="13306"/>
    <cellStyle name="Separador de milhares 3 2 2 3 5 2 5 2" xfId="39548"/>
    <cellStyle name="Separador de milhares 3 2 2 3 5 2 6" xfId="33162"/>
    <cellStyle name="Separador de milhares 3 2 2 3 5 3" xfId="8596"/>
    <cellStyle name="Separador de milhares 3 2 2 3 5 3 2" xfId="26810"/>
    <cellStyle name="Separador de milhares 3 2 2 3 5 3 2 2" xfId="53040"/>
    <cellStyle name="Separador de milhares 3 2 2 3 5 3 3" xfId="20896"/>
    <cellStyle name="Separador de milhares 3 2 2 3 5 3 3 2" xfId="47132"/>
    <cellStyle name="Separador de milhares 3 2 2 3 5 3 4" xfId="14982"/>
    <cellStyle name="Separador de milhares 3 2 2 3 5 3 4 2" xfId="41224"/>
    <cellStyle name="Separador de milhares 3 2 2 3 5 3 5" xfId="34838"/>
    <cellStyle name="Separador de milhares 3 2 2 3 5 4" xfId="5218"/>
    <cellStyle name="Separador de milhares 3 2 2 3 5 4 2" xfId="23853"/>
    <cellStyle name="Separador de milhares 3 2 2 3 5 4 2 2" xfId="50086"/>
    <cellStyle name="Separador de milhares 3 2 2 3 5 4 3" xfId="31463"/>
    <cellStyle name="Separador de milhares 3 2 2 3 5 5" xfId="17939"/>
    <cellStyle name="Separador de milhares 3 2 2 3 5 5 2" xfId="44178"/>
    <cellStyle name="Separador de milhares 3 2 2 3 5 6" xfId="11605"/>
    <cellStyle name="Separador de milhares 3 2 2 3 5 6 2" xfId="37847"/>
    <cellStyle name="Separador de milhares 3 2 2 3 5 7" xfId="29765"/>
    <cellStyle name="Separador de milhares 3 2 2 3 6" xfId="2177"/>
    <cellStyle name="Separador de milhares 3 2 2 3 6 2" xfId="7067"/>
    <cellStyle name="Separador de milhares 3 2 2 3 6 2 2" xfId="10211"/>
    <cellStyle name="Separador de milhares 3 2 2 3 6 2 2 2" xfId="28425"/>
    <cellStyle name="Separador de milhares 3 2 2 3 6 2 2 2 2" xfId="54655"/>
    <cellStyle name="Separador de milhares 3 2 2 3 6 2 2 3" xfId="22511"/>
    <cellStyle name="Separador de milhares 3 2 2 3 6 2 2 3 2" xfId="48747"/>
    <cellStyle name="Separador de milhares 3 2 2 3 6 2 2 4" xfId="16597"/>
    <cellStyle name="Separador de milhares 3 2 2 3 6 2 2 4 2" xfId="42839"/>
    <cellStyle name="Separador de milhares 3 2 2 3 6 2 2 5" xfId="36453"/>
    <cellStyle name="Separador de milhares 3 2 2 3 6 2 3" xfId="25468"/>
    <cellStyle name="Separador de milhares 3 2 2 3 6 2 3 2" xfId="51701"/>
    <cellStyle name="Separador de milhares 3 2 2 3 6 2 4" xfId="19554"/>
    <cellStyle name="Separador de milhares 3 2 2 3 6 2 4 2" xfId="45793"/>
    <cellStyle name="Separador de milhares 3 2 2 3 6 2 5" xfId="13456"/>
    <cellStyle name="Separador de milhares 3 2 2 3 6 2 5 2" xfId="39698"/>
    <cellStyle name="Separador de milhares 3 2 2 3 6 2 6" xfId="33312"/>
    <cellStyle name="Separador de milhares 3 2 2 3 6 3" xfId="8743"/>
    <cellStyle name="Separador de milhares 3 2 2 3 6 3 2" xfId="26957"/>
    <cellStyle name="Separador de milhares 3 2 2 3 6 3 2 2" xfId="53187"/>
    <cellStyle name="Separador de milhares 3 2 2 3 6 3 3" xfId="21043"/>
    <cellStyle name="Separador de milhares 3 2 2 3 6 3 3 2" xfId="47279"/>
    <cellStyle name="Separador de milhares 3 2 2 3 6 3 4" xfId="15129"/>
    <cellStyle name="Separador de milhares 3 2 2 3 6 3 4 2" xfId="41371"/>
    <cellStyle name="Separador de milhares 3 2 2 3 6 3 5" xfId="34985"/>
    <cellStyle name="Separador de milhares 3 2 2 3 6 4" xfId="5368"/>
    <cellStyle name="Separador de milhares 3 2 2 3 6 4 2" xfId="24000"/>
    <cellStyle name="Separador de milhares 3 2 2 3 6 4 2 2" xfId="50233"/>
    <cellStyle name="Separador de milhares 3 2 2 3 6 4 3" xfId="31613"/>
    <cellStyle name="Separador de milhares 3 2 2 3 6 5" xfId="18086"/>
    <cellStyle name="Separador de milhares 3 2 2 3 6 5 2" xfId="44325"/>
    <cellStyle name="Separador de milhares 3 2 2 3 6 6" xfId="11755"/>
    <cellStyle name="Separador de milhares 3 2 2 3 6 6 2" xfId="37997"/>
    <cellStyle name="Separador de milhares 3 2 2 3 6 7" xfId="29915"/>
    <cellStyle name="Separador de milhares 3 2 2 3 7" xfId="2704"/>
    <cellStyle name="Separador de milhares 3 2 2 3 7 2" xfId="7214"/>
    <cellStyle name="Separador de milhares 3 2 2 3 7 2 2" xfId="10358"/>
    <cellStyle name="Separador de milhares 3 2 2 3 7 2 2 2" xfId="28572"/>
    <cellStyle name="Separador de milhares 3 2 2 3 7 2 2 2 2" xfId="54802"/>
    <cellStyle name="Separador de milhares 3 2 2 3 7 2 2 3" xfId="22658"/>
    <cellStyle name="Separador de milhares 3 2 2 3 7 2 2 3 2" xfId="48894"/>
    <cellStyle name="Separador de milhares 3 2 2 3 7 2 2 4" xfId="16744"/>
    <cellStyle name="Separador de milhares 3 2 2 3 7 2 2 4 2" xfId="42986"/>
    <cellStyle name="Separador de milhares 3 2 2 3 7 2 2 5" xfId="36600"/>
    <cellStyle name="Separador de milhares 3 2 2 3 7 2 3" xfId="25615"/>
    <cellStyle name="Separador de milhares 3 2 2 3 7 2 3 2" xfId="51848"/>
    <cellStyle name="Separador de milhares 3 2 2 3 7 2 4" xfId="19701"/>
    <cellStyle name="Separador de milhares 3 2 2 3 7 2 4 2" xfId="45940"/>
    <cellStyle name="Separador de milhares 3 2 2 3 7 2 5" xfId="13603"/>
    <cellStyle name="Separador de milhares 3 2 2 3 7 2 5 2" xfId="39845"/>
    <cellStyle name="Separador de milhares 3 2 2 3 7 2 6" xfId="33459"/>
    <cellStyle name="Separador de milhares 3 2 2 3 7 3" xfId="8890"/>
    <cellStyle name="Separador de milhares 3 2 2 3 7 3 2" xfId="27104"/>
    <cellStyle name="Separador de milhares 3 2 2 3 7 3 2 2" xfId="53334"/>
    <cellStyle name="Separador de milhares 3 2 2 3 7 3 3" xfId="21190"/>
    <cellStyle name="Separador de milhares 3 2 2 3 7 3 3 2" xfId="47426"/>
    <cellStyle name="Separador de milhares 3 2 2 3 7 3 4" xfId="15276"/>
    <cellStyle name="Separador de milhares 3 2 2 3 7 3 4 2" xfId="41518"/>
    <cellStyle name="Separador de milhares 3 2 2 3 7 3 5" xfId="35132"/>
    <cellStyle name="Separador de milhares 3 2 2 3 7 4" xfId="5515"/>
    <cellStyle name="Separador de milhares 3 2 2 3 7 4 2" xfId="24147"/>
    <cellStyle name="Separador de milhares 3 2 2 3 7 4 2 2" xfId="50380"/>
    <cellStyle name="Separador de milhares 3 2 2 3 7 4 3" xfId="31760"/>
    <cellStyle name="Separador de milhares 3 2 2 3 7 5" xfId="18233"/>
    <cellStyle name="Separador de milhares 3 2 2 3 7 5 2" xfId="44472"/>
    <cellStyle name="Separador de milhares 3 2 2 3 7 6" xfId="11902"/>
    <cellStyle name="Separador de milhares 3 2 2 3 7 6 2" xfId="38144"/>
    <cellStyle name="Separador de milhares 3 2 2 3 7 7" xfId="30062"/>
    <cellStyle name="Separador de milhares 3 2 2 3 8" xfId="3231"/>
    <cellStyle name="Separador de milhares 3 2 2 3 8 2" xfId="7361"/>
    <cellStyle name="Separador de milhares 3 2 2 3 8 2 2" xfId="10505"/>
    <cellStyle name="Separador de milhares 3 2 2 3 8 2 2 2" xfId="28719"/>
    <cellStyle name="Separador de milhares 3 2 2 3 8 2 2 2 2" xfId="54949"/>
    <cellStyle name="Separador de milhares 3 2 2 3 8 2 2 3" xfId="22805"/>
    <cellStyle name="Separador de milhares 3 2 2 3 8 2 2 3 2" xfId="49041"/>
    <cellStyle name="Separador de milhares 3 2 2 3 8 2 2 4" xfId="16891"/>
    <cellStyle name="Separador de milhares 3 2 2 3 8 2 2 4 2" xfId="43133"/>
    <cellStyle name="Separador de milhares 3 2 2 3 8 2 2 5" xfId="36747"/>
    <cellStyle name="Separador de milhares 3 2 2 3 8 2 3" xfId="25762"/>
    <cellStyle name="Separador de milhares 3 2 2 3 8 2 3 2" xfId="51995"/>
    <cellStyle name="Separador de milhares 3 2 2 3 8 2 4" xfId="19848"/>
    <cellStyle name="Separador de milhares 3 2 2 3 8 2 4 2" xfId="46087"/>
    <cellStyle name="Separador de milhares 3 2 2 3 8 2 5" xfId="13750"/>
    <cellStyle name="Separador de milhares 3 2 2 3 8 2 5 2" xfId="39992"/>
    <cellStyle name="Separador de milhares 3 2 2 3 8 2 6" xfId="33606"/>
    <cellStyle name="Separador de milhares 3 2 2 3 8 3" xfId="9037"/>
    <cellStyle name="Separador de milhares 3 2 2 3 8 3 2" xfId="27251"/>
    <cellStyle name="Separador de milhares 3 2 2 3 8 3 2 2" xfId="53481"/>
    <cellStyle name="Separador de milhares 3 2 2 3 8 3 3" xfId="21337"/>
    <cellStyle name="Separador de milhares 3 2 2 3 8 3 3 2" xfId="47573"/>
    <cellStyle name="Separador de milhares 3 2 2 3 8 3 4" xfId="15423"/>
    <cellStyle name="Separador de milhares 3 2 2 3 8 3 4 2" xfId="41665"/>
    <cellStyle name="Separador de milhares 3 2 2 3 8 3 5" xfId="35279"/>
    <cellStyle name="Separador de milhares 3 2 2 3 8 4" xfId="5662"/>
    <cellStyle name="Separador de milhares 3 2 2 3 8 4 2" xfId="24294"/>
    <cellStyle name="Separador de milhares 3 2 2 3 8 4 2 2" xfId="50527"/>
    <cellStyle name="Separador de milhares 3 2 2 3 8 4 3" xfId="31907"/>
    <cellStyle name="Separador de milhares 3 2 2 3 8 5" xfId="18380"/>
    <cellStyle name="Separador de milhares 3 2 2 3 8 5 2" xfId="44619"/>
    <cellStyle name="Separador de milhares 3 2 2 3 8 6" xfId="12049"/>
    <cellStyle name="Separador de milhares 3 2 2 3 8 6 2" xfId="38291"/>
    <cellStyle name="Separador de milhares 3 2 2 3 8 7" xfId="30209"/>
    <cellStyle name="Separador de milhares 3 2 2 3 9" xfId="3758"/>
    <cellStyle name="Separador de milhares 3 2 2 3 9 2" xfId="7508"/>
    <cellStyle name="Separador de milhares 3 2 2 3 9 2 2" xfId="10652"/>
    <cellStyle name="Separador de milhares 3 2 2 3 9 2 2 2" xfId="28866"/>
    <cellStyle name="Separador de milhares 3 2 2 3 9 2 2 2 2" xfId="55096"/>
    <cellStyle name="Separador de milhares 3 2 2 3 9 2 2 3" xfId="22952"/>
    <cellStyle name="Separador de milhares 3 2 2 3 9 2 2 3 2" xfId="49188"/>
    <cellStyle name="Separador de milhares 3 2 2 3 9 2 2 4" xfId="17038"/>
    <cellStyle name="Separador de milhares 3 2 2 3 9 2 2 4 2" xfId="43280"/>
    <cellStyle name="Separador de milhares 3 2 2 3 9 2 2 5" xfId="36894"/>
    <cellStyle name="Separador de milhares 3 2 2 3 9 2 3" xfId="25909"/>
    <cellStyle name="Separador de milhares 3 2 2 3 9 2 3 2" xfId="52142"/>
    <cellStyle name="Separador de milhares 3 2 2 3 9 2 4" xfId="19995"/>
    <cellStyle name="Separador de milhares 3 2 2 3 9 2 4 2" xfId="46234"/>
    <cellStyle name="Separador de milhares 3 2 2 3 9 2 5" xfId="13897"/>
    <cellStyle name="Separador de milhares 3 2 2 3 9 2 5 2" xfId="40139"/>
    <cellStyle name="Separador de milhares 3 2 2 3 9 2 6" xfId="33753"/>
    <cellStyle name="Separador de milhares 3 2 2 3 9 3" xfId="9184"/>
    <cellStyle name="Separador de milhares 3 2 2 3 9 3 2" xfId="27398"/>
    <cellStyle name="Separador de milhares 3 2 2 3 9 3 2 2" xfId="53628"/>
    <cellStyle name="Separador de milhares 3 2 2 3 9 3 3" xfId="21484"/>
    <cellStyle name="Separador de milhares 3 2 2 3 9 3 3 2" xfId="47720"/>
    <cellStyle name="Separador de milhares 3 2 2 3 9 3 4" xfId="15570"/>
    <cellStyle name="Separador de milhares 3 2 2 3 9 3 4 2" xfId="41812"/>
    <cellStyle name="Separador de milhares 3 2 2 3 9 3 5" xfId="35426"/>
    <cellStyle name="Separador de milhares 3 2 2 3 9 4" xfId="5809"/>
    <cellStyle name="Separador de milhares 3 2 2 3 9 4 2" xfId="24441"/>
    <cellStyle name="Separador de milhares 3 2 2 3 9 4 2 2" xfId="50674"/>
    <cellStyle name="Separador de milhares 3 2 2 3 9 4 3" xfId="32054"/>
    <cellStyle name="Separador de milhares 3 2 2 3 9 5" xfId="18527"/>
    <cellStyle name="Separador de milhares 3 2 2 3 9 5 2" xfId="44766"/>
    <cellStyle name="Separador de milhares 3 2 2 3 9 6" xfId="12196"/>
    <cellStyle name="Separador de milhares 3 2 2 3 9 6 2" xfId="38438"/>
    <cellStyle name="Separador de milhares 3 2 2 3 9 7" xfId="30356"/>
    <cellStyle name="Separador de milhares 3 2 2 4" xfId="394"/>
    <cellStyle name="Separador de milhares 3 2 2 4 10" xfId="6555"/>
    <cellStyle name="Separador de milhares 3 2 2 4 10 2" xfId="9703"/>
    <cellStyle name="Separador de milhares 3 2 2 4 10 2 2" xfId="27917"/>
    <cellStyle name="Separador de milhares 3 2 2 4 10 2 2 2" xfId="54147"/>
    <cellStyle name="Separador de milhares 3 2 2 4 10 2 3" xfId="22003"/>
    <cellStyle name="Separador de milhares 3 2 2 4 10 2 3 2" xfId="48239"/>
    <cellStyle name="Separador de milhares 3 2 2 4 10 2 4" xfId="16089"/>
    <cellStyle name="Separador de milhares 3 2 2 4 10 2 4 2" xfId="42331"/>
    <cellStyle name="Separador de milhares 3 2 2 4 10 2 5" xfId="35945"/>
    <cellStyle name="Separador de milhares 3 2 2 4 10 3" xfId="24960"/>
    <cellStyle name="Separador de milhares 3 2 2 4 10 3 2" xfId="51193"/>
    <cellStyle name="Separador de milhares 3 2 2 4 10 4" xfId="19046"/>
    <cellStyle name="Separador de milhares 3 2 2 4 10 4 2" xfId="45285"/>
    <cellStyle name="Separador de milhares 3 2 2 4 10 5" xfId="12944"/>
    <cellStyle name="Separador de milhares 3 2 2 4 10 5 2" xfId="39186"/>
    <cellStyle name="Separador de milhares 3 2 2 4 10 6" xfId="32800"/>
    <cellStyle name="Separador de milhares 3 2 2 4 11" xfId="8232"/>
    <cellStyle name="Separador de milhares 3 2 2 4 11 2" xfId="26446"/>
    <cellStyle name="Separador de milhares 3 2 2 4 11 2 2" xfId="52679"/>
    <cellStyle name="Separador de milhares 3 2 2 4 11 3" xfId="20532"/>
    <cellStyle name="Separador de milhares 3 2 2 4 11 3 2" xfId="46771"/>
    <cellStyle name="Separador de milhares 3 2 2 4 11 4" xfId="14621"/>
    <cellStyle name="Separador de milhares 3 2 2 4 11 4 2" xfId="40863"/>
    <cellStyle name="Separador de milhares 3 2 2 4 11 5" xfId="34477"/>
    <cellStyle name="Separador de milhares 3 2 2 4 12" xfId="4854"/>
    <cellStyle name="Separador de milhares 3 2 2 4 12 2" xfId="23489"/>
    <cellStyle name="Separador de milhares 3 2 2 4 12 2 2" xfId="49725"/>
    <cellStyle name="Separador de milhares 3 2 2 4 12 3" xfId="31101"/>
    <cellStyle name="Separador de milhares 3 2 2 4 13" xfId="17575"/>
    <cellStyle name="Separador de milhares 3 2 2 4 13 2" xfId="43817"/>
    <cellStyle name="Separador de milhares 3 2 2 4 14" xfId="11243"/>
    <cellStyle name="Separador de milhares 3 2 2 4 14 2" xfId="37485"/>
    <cellStyle name="Separador de milhares 3 2 2 4 15" xfId="29403"/>
    <cellStyle name="Separador de milhares 3 2 2 4 2" xfId="1039"/>
    <cellStyle name="Separador de milhares 3 2 2 4 2 2" xfId="6752"/>
    <cellStyle name="Separador de milhares 3 2 2 4 2 2 2" xfId="9899"/>
    <cellStyle name="Separador de milhares 3 2 2 4 2 2 2 2" xfId="28113"/>
    <cellStyle name="Separador de milhares 3 2 2 4 2 2 2 2 2" xfId="54343"/>
    <cellStyle name="Separador de milhares 3 2 2 4 2 2 2 3" xfId="22199"/>
    <cellStyle name="Separador de milhares 3 2 2 4 2 2 2 3 2" xfId="48435"/>
    <cellStyle name="Separador de milhares 3 2 2 4 2 2 2 4" xfId="16285"/>
    <cellStyle name="Separador de milhares 3 2 2 4 2 2 2 4 2" xfId="42527"/>
    <cellStyle name="Separador de milhares 3 2 2 4 2 2 2 5" xfId="36141"/>
    <cellStyle name="Separador de milhares 3 2 2 4 2 2 3" xfId="25156"/>
    <cellStyle name="Separador de milhares 3 2 2 4 2 2 3 2" xfId="51389"/>
    <cellStyle name="Separador de milhares 3 2 2 4 2 2 4" xfId="19242"/>
    <cellStyle name="Separador de milhares 3 2 2 4 2 2 4 2" xfId="45481"/>
    <cellStyle name="Separador de milhares 3 2 2 4 2 2 5" xfId="13141"/>
    <cellStyle name="Separador de milhares 3 2 2 4 2 2 5 2" xfId="39383"/>
    <cellStyle name="Separador de milhares 3 2 2 4 2 2 6" xfId="32997"/>
    <cellStyle name="Separador de milhares 3 2 2 4 2 3" xfId="8431"/>
    <cellStyle name="Separador de milhares 3 2 2 4 2 3 2" xfId="26645"/>
    <cellStyle name="Separador de milhares 3 2 2 4 2 3 2 2" xfId="52875"/>
    <cellStyle name="Separador de milhares 3 2 2 4 2 3 3" xfId="20731"/>
    <cellStyle name="Separador de milhares 3 2 2 4 2 3 3 2" xfId="46967"/>
    <cellStyle name="Separador de milhares 3 2 2 4 2 3 4" xfId="14817"/>
    <cellStyle name="Separador de milhares 3 2 2 4 2 3 4 2" xfId="41059"/>
    <cellStyle name="Separador de milhares 3 2 2 4 2 3 5" xfId="34673"/>
    <cellStyle name="Separador de milhares 3 2 2 4 2 4" xfId="5053"/>
    <cellStyle name="Separador de milhares 3 2 2 4 2 4 2" xfId="23688"/>
    <cellStyle name="Separador de milhares 3 2 2 4 2 4 2 2" xfId="49921"/>
    <cellStyle name="Separador de milhares 3 2 2 4 2 4 3" xfId="31298"/>
    <cellStyle name="Separador de milhares 3 2 2 4 2 5" xfId="17774"/>
    <cellStyle name="Separador de milhares 3 2 2 4 2 5 2" xfId="44013"/>
    <cellStyle name="Separador de milhares 3 2 2 4 2 6" xfId="11440"/>
    <cellStyle name="Separador de milhares 3 2 2 4 2 6 2" xfId="37682"/>
    <cellStyle name="Separador de milhares 3 2 2 4 2 7" xfId="29600"/>
    <cellStyle name="Separador de milhares 3 2 2 4 3" xfId="1390"/>
    <cellStyle name="Separador de milhares 3 2 2 4 3 2" xfId="6850"/>
    <cellStyle name="Separador de milhares 3 2 2 4 3 2 2" xfId="9997"/>
    <cellStyle name="Separador de milhares 3 2 2 4 3 2 2 2" xfId="28211"/>
    <cellStyle name="Separador de milhares 3 2 2 4 3 2 2 2 2" xfId="54441"/>
    <cellStyle name="Separador de milhares 3 2 2 4 3 2 2 3" xfId="22297"/>
    <cellStyle name="Separador de milhares 3 2 2 4 3 2 2 3 2" xfId="48533"/>
    <cellStyle name="Separador de milhares 3 2 2 4 3 2 2 4" xfId="16383"/>
    <cellStyle name="Separador de milhares 3 2 2 4 3 2 2 4 2" xfId="42625"/>
    <cellStyle name="Separador de milhares 3 2 2 4 3 2 2 5" xfId="36239"/>
    <cellStyle name="Separador de milhares 3 2 2 4 3 2 3" xfId="25254"/>
    <cellStyle name="Separador de milhares 3 2 2 4 3 2 3 2" xfId="51487"/>
    <cellStyle name="Separador de milhares 3 2 2 4 3 2 4" xfId="19340"/>
    <cellStyle name="Separador de milhares 3 2 2 4 3 2 4 2" xfId="45579"/>
    <cellStyle name="Separador de milhares 3 2 2 4 3 2 5" xfId="13239"/>
    <cellStyle name="Separador de milhares 3 2 2 4 3 2 5 2" xfId="39481"/>
    <cellStyle name="Separador de milhares 3 2 2 4 3 2 6" xfId="33095"/>
    <cellStyle name="Separador de milhares 3 2 2 4 3 3" xfId="8529"/>
    <cellStyle name="Separador de milhares 3 2 2 4 3 3 2" xfId="26743"/>
    <cellStyle name="Separador de milhares 3 2 2 4 3 3 2 2" xfId="52973"/>
    <cellStyle name="Separador de milhares 3 2 2 4 3 3 3" xfId="20829"/>
    <cellStyle name="Separador de milhares 3 2 2 4 3 3 3 2" xfId="47065"/>
    <cellStyle name="Separador de milhares 3 2 2 4 3 3 4" xfId="14915"/>
    <cellStyle name="Separador de milhares 3 2 2 4 3 3 4 2" xfId="41157"/>
    <cellStyle name="Separador de milhares 3 2 2 4 3 3 5" xfId="34771"/>
    <cellStyle name="Separador de milhares 3 2 2 4 3 4" xfId="5151"/>
    <cellStyle name="Separador de milhares 3 2 2 4 3 4 2" xfId="23786"/>
    <cellStyle name="Separador de milhares 3 2 2 4 3 4 2 2" xfId="50019"/>
    <cellStyle name="Separador de milhares 3 2 2 4 3 4 3" xfId="31396"/>
    <cellStyle name="Separador de milhares 3 2 2 4 3 5" xfId="17872"/>
    <cellStyle name="Separador de milhares 3 2 2 4 3 5 2" xfId="44111"/>
    <cellStyle name="Separador de milhares 3 2 2 4 3 6" xfId="11538"/>
    <cellStyle name="Separador de milhares 3 2 2 4 3 6 2" xfId="37780"/>
    <cellStyle name="Separador de milhares 3 2 2 4 3 7" xfId="29698"/>
    <cellStyle name="Separador de milhares 3 2 2 4 4" xfId="1825"/>
    <cellStyle name="Separador de milhares 3 2 2 4 4 2" xfId="6969"/>
    <cellStyle name="Separador de milhares 3 2 2 4 4 2 2" xfId="10116"/>
    <cellStyle name="Separador de milhares 3 2 2 4 4 2 2 2" xfId="28330"/>
    <cellStyle name="Separador de milhares 3 2 2 4 4 2 2 2 2" xfId="54560"/>
    <cellStyle name="Separador de milhares 3 2 2 4 4 2 2 3" xfId="22416"/>
    <cellStyle name="Separador de milhares 3 2 2 4 4 2 2 3 2" xfId="48652"/>
    <cellStyle name="Separador de milhares 3 2 2 4 4 2 2 4" xfId="16502"/>
    <cellStyle name="Separador de milhares 3 2 2 4 4 2 2 4 2" xfId="42744"/>
    <cellStyle name="Separador de milhares 3 2 2 4 4 2 2 5" xfId="36358"/>
    <cellStyle name="Separador de milhares 3 2 2 4 4 2 3" xfId="25373"/>
    <cellStyle name="Separador de milhares 3 2 2 4 4 2 3 2" xfId="51606"/>
    <cellStyle name="Separador de milhares 3 2 2 4 4 2 4" xfId="19459"/>
    <cellStyle name="Separador de milhares 3 2 2 4 4 2 4 2" xfId="45698"/>
    <cellStyle name="Separador de milhares 3 2 2 4 4 2 5" xfId="13358"/>
    <cellStyle name="Separador de milhares 3 2 2 4 4 2 5 2" xfId="39600"/>
    <cellStyle name="Separador de milhares 3 2 2 4 4 2 6" xfId="33214"/>
    <cellStyle name="Separador de milhares 3 2 2 4 4 3" xfId="8648"/>
    <cellStyle name="Separador de milhares 3 2 2 4 4 3 2" xfId="26862"/>
    <cellStyle name="Separador de milhares 3 2 2 4 4 3 2 2" xfId="53092"/>
    <cellStyle name="Separador de milhares 3 2 2 4 4 3 3" xfId="20948"/>
    <cellStyle name="Separador de milhares 3 2 2 4 4 3 3 2" xfId="47184"/>
    <cellStyle name="Separador de milhares 3 2 2 4 4 3 4" xfId="15034"/>
    <cellStyle name="Separador de milhares 3 2 2 4 4 3 4 2" xfId="41276"/>
    <cellStyle name="Separador de milhares 3 2 2 4 4 3 5" xfId="34890"/>
    <cellStyle name="Separador de milhares 3 2 2 4 4 4" xfId="5270"/>
    <cellStyle name="Separador de milhares 3 2 2 4 4 4 2" xfId="23905"/>
    <cellStyle name="Separador de milhares 3 2 2 4 4 4 2 2" xfId="50138"/>
    <cellStyle name="Separador de milhares 3 2 2 4 4 4 3" xfId="31515"/>
    <cellStyle name="Separador de milhares 3 2 2 4 4 5" xfId="17991"/>
    <cellStyle name="Separador de milhares 3 2 2 4 4 5 2" xfId="44230"/>
    <cellStyle name="Separador de milhares 3 2 2 4 4 6" xfId="11657"/>
    <cellStyle name="Separador de milhares 3 2 2 4 4 6 2" xfId="37899"/>
    <cellStyle name="Separador de milhares 3 2 2 4 4 7" xfId="29817"/>
    <cellStyle name="Separador de milhares 3 2 2 4 5" xfId="2355"/>
    <cellStyle name="Separador de milhares 3 2 2 4 5 2" xfId="7119"/>
    <cellStyle name="Separador de milhares 3 2 2 4 5 2 2" xfId="10263"/>
    <cellStyle name="Separador de milhares 3 2 2 4 5 2 2 2" xfId="28477"/>
    <cellStyle name="Separador de milhares 3 2 2 4 5 2 2 2 2" xfId="54707"/>
    <cellStyle name="Separador de milhares 3 2 2 4 5 2 2 3" xfId="22563"/>
    <cellStyle name="Separador de milhares 3 2 2 4 5 2 2 3 2" xfId="48799"/>
    <cellStyle name="Separador de milhares 3 2 2 4 5 2 2 4" xfId="16649"/>
    <cellStyle name="Separador de milhares 3 2 2 4 5 2 2 4 2" xfId="42891"/>
    <cellStyle name="Separador de milhares 3 2 2 4 5 2 2 5" xfId="36505"/>
    <cellStyle name="Separador de milhares 3 2 2 4 5 2 3" xfId="25520"/>
    <cellStyle name="Separador de milhares 3 2 2 4 5 2 3 2" xfId="51753"/>
    <cellStyle name="Separador de milhares 3 2 2 4 5 2 4" xfId="19606"/>
    <cellStyle name="Separador de milhares 3 2 2 4 5 2 4 2" xfId="45845"/>
    <cellStyle name="Separador de milhares 3 2 2 4 5 2 5" xfId="13508"/>
    <cellStyle name="Separador de milhares 3 2 2 4 5 2 5 2" xfId="39750"/>
    <cellStyle name="Separador de milhares 3 2 2 4 5 2 6" xfId="33364"/>
    <cellStyle name="Separador de milhares 3 2 2 4 5 3" xfId="8795"/>
    <cellStyle name="Separador de milhares 3 2 2 4 5 3 2" xfId="27009"/>
    <cellStyle name="Separador de milhares 3 2 2 4 5 3 2 2" xfId="53239"/>
    <cellStyle name="Separador de milhares 3 2 2 4 5 3 3" xfId="21095"/>
    <cellStyle name="Separador de milhares 3 2 2 4 5 3 3 2" xfId="47331"/>
    <cellStyle name="Separador de milhares 3 2 2 4 5 3 4" xfId="15181"/>
    <cellStyle name="Separador de milhares 3 2 2 4 5 3 4 2" xfId="41423"/>
    <cellStyle name="Separador de milhares 3 2 2 4 5 3 5" xfId="35037"/>
    <cellStyle name="Separador de milhares 3 2 2 4 5 4" xfId="5420"/>
    <cellStyle name="Separador de milhares 3 2 2 4 5 4 2" xfId="24052"/>
    <cellStyle name="Separador de milhares 3 2 2 4 5 4 2 2" xfId="50285"/>
    <cellStyle name="Separador de milhares 3 2 2 4 5 4 3" xfId="31665"/>
    <cellStyle name="Separador de milhares 3 2 2 4 5 5" xfId="18138"/>
    <cellStyle name="Separador de milhares 3 2 2 4 5 5 2" xfId="44377"/>
    <cellStyle name="Separador de milhares 3 2 2 4 5 6" xfId="11807"/>
    <cellStyle name="Separador de milhares 3 2 2 4 5 6 2" xfId="38049"/>
    <cellStyle name="Separador de milhares 3 2 2 4 5 7" xfId="29967"/>
    <cellStyle name="Separador de milhares 3 2 2 4 6" xfId="2882"/>
    <cellStyle name="Separador de milhares 3 2 2 4 6 2" xfId="7266"/>
    <cellStyle name="Separador de milhares 3 2 2 4 6 2 2" xfId="10410"/>
    <cellStyle name="Separador de milhares 3 2 2 4 6 2 2 2" xfId="28624"/>
    <cellStyle name="Separador de milhares 3 2 2 4 6 2 2 2 2" xfId="54854"/>
    <cellStyle name="Separador de milhares 3 2 2 4 6 2 2 3" xfId="22710"/>
    <cellStyle name="Separador de milhares 3 2 2 4 6 2 2 3 2" xfId="48946"/>
    <cellStyle name="Separador de milhares 3 2 2 4 6 2 2 4" xfId="16796"/>
    <cellStyle name="Separador de milhares 3 2 2 4 6 2 2 4 2" xfId="43038"/>
    <cellStyle name="Separador de milhares 3 2 2 4 6 2 2 5" xfId="36652"/>
    <cellStyle name="Separador de milhares 3 2 2 4 6 2 3" xfId="25667"/>
    <cellStyle name="Separador de milhares 3 2 2 4 6 2 3 2" xfId="51900"/>
    <cellStyle name="Separador de milhares 3 2 2 4 6 2 4" xfId="19753"/>
    <cellStyle name="Separador de milhares 3 2 2 4 6 2 4 2" xfId="45992"/>
    <cellStyle name="Separador de milhares 3 2 2 4 6 2 5" xfId="13655"/>
    <cellStyle name="Separador de milhares 3 2 2 4 6 2 5 2" xfId="39897"/>
    <cellStyle name="Separador de milhares 3 2 2 4 6 2 6" xfId="33511"/>
    <cellStyle name="Separador de milhares 3 2 2 4 6 3" xfId="8942"/>
    <cellStyle name="Separador de milhares 3 2 2 4 6 3 2" xfId="27156"/>
    <cellStyle name="Separador de milhares 3 2 2 4 6 3 2 2" xfId="53386"/>
    <cellStyle name="Separador de milhares 3 2 2 4 6 3 3" xfId="21242"/>
    <cellStyle name="Separador de milhares 3 2 2 4 6 3 3 2" xfId="47478"/>
    <cellStyle name="Separador de milhares 3 2 2 4 6 3 4" xfId="15328"/>
    <cellStyle name="Separador de milhares 3 2 2 4 6 3 4 2" xfId="41570"/>
    <cellStyle name="Separador de milhares 3 2 2 4 6 3 5" xfId="35184"/>
    <cellStyle name="Separador de milhares 3 2 2 4 6 4" xfId="5567"/>
    <cellStyle name="Separador de milhares 3 2 2 4 6 4 2" xfId="24199"/>
    <cellStyle name="Separador de milhares 3 2 2 4 6 4 2 2" xfId="50432"/>
    <cellStyle name="Separador de milhares 3 2 2 4 6 4 3" xfId="31812"/>
    <cellStyle name="Separador de milhares 3 2 2 4 6 5" xfId="18285"/>
    <cellStyle name="Separador de milhares 3 2 2 4 6 5 2" xfId="44524"/>
    <cellStyle name="Separador de milhares 3 2 2 4 6 6" xfId="11954"/>
    <cellStyle name="Separador de milhares 3 2 2 4 6 6 2" xfId="38196"/>
    <cellStyle name="Separador de milhares 3 2 2 4 6 7" xfId="30114"/>
    <cellStyle name="Separador de milhares 3 2 2 4 7" xfId="3409"/>
    <cellStyle name="Separador de milhares 3 2 2 4 7 2" xfId="7413"/>
    <cellStyle name="Separador de milhares 3 2 2 4 7 2 2" xfId="10557"/>
    <cellStyle name="Separador de milhares 3 2 2 4 7 2 2 2" xfId="28771"/>
    <cellStyle name="Separador de milhares 3 2 2 4 7 2 2 2 2" xfId="55001"/>
    <cellStyle name="Separador de milhares 3 2 2 4 7 2 2 3" xfId="22857"/>
    <cellStyle name="Separador de milhares 3 2 2 4 7 2 2 3 2" xfId="49093"/>
    <cellStyle name="Separador de milhares 3 2 2 4 7 2 2 4" xfId="16943"/>
    <cellStyle name="Separador de milhares 3 2 2 4 7 2 2 4 2" xfId="43185"/>
    <cellStyle name="Separador de milhares 3 2 2 4 7 2 2 5" xfId="36799"/>
    <cellStyle name="Separador de milhares 3 2 2 4 7 2 3" xfId="25814"/>
    <cellStyle name="Separador de milhares 3 2 2 4 7 2 3 2" xfId="52047"/>
    <cellStyle name="Separador de milhares 3 2 2 4 7 2 4" xfId="19900"/>
    <cellStyle name="Separador de milhares 3 2 2 4 7 2 4 2" xfId="46139"/>
    <cellStyle name="Separador de milhares 3 2 2 4 7 2 5" xfId="13802"/>
    <cellStyle name="Separador de milhares 3 2 2 4 7 2 5 2" xfId="40044"/>
    <cellStyle name="Separador de milhares 3 2 2 4 7 2 6" xfId="33658"/>
    <cellStyle name="Separador de milhares 3 2 2 4 7 3" xfId="9089"/>
    <cellStyle name="Separador de milhares 3 2 2 4 7 3 2" xfId="27303"/>
    <cellStyle name="Separador de milhares 3 2 2 4 7 3 2 2" xfId="53533"/>
    <cellStyle name="Separador de milhares 3 2 2 4 7 3 3" xfId="21389"/>
    <cellStyle name="Separador de milhares 3 2 2 4 7 3 3 2" xfId="47625"/>
    <cellStyle name="Separador de milhares 3 2 2 4 7 3 4" xfId="15475"/>
    <cellStyle name="Separador de milhares 3 2 2 4 7 3 4 2" xfId="41717"/>
    <cellStyle name="Separador de milhares 3 2 2 4 7 3 5" xfId="35331"/>
    <cellStyle name="Separador de milhares 3 2 2 4 7 4" xfId="5714"/>
    <cellStyle name="Separador de milhares 3 2 2 4 7 4 2" xfId="24346"/>
    <cellStyle name="Separador de milhares 3 2 2 4 7 4 2 2" xfId="50579"/>
    <cellStyle name="Separador de milhares 3 2 2 4 7 4 3" xfId="31959"/>
    <cellStyle name="Separador de milhares 3 2 2 4 7 5" xfId="18432"/>
    <cellStyle name="Separador de milhares 3 2 2 4 7 5 2" xfId="44671"/>
    <cellStyle name="Separador de milhares 3 2 2 4 7 6" xfId="12101"/>
    <cellStyle name="Separador de milhares 3 2 2 4 7 6 2" xfId="38343"/>
    <cellStyle name="Separador de milhares 3 2 2 4 7 7" xfId="30261"/>
    <cellStyle name="Separador de milhares 3 2 2 4 8" xfId="3936"/>
    <cellStyle name="Separador de milhares 3 2 2 4 8 2" xfId="7560"/>
    <cellStyle name="Separador de milhares 3 2 2 4 8 2 2" xfId="10704"/>
    <cellStyle name="Separador de milhares 3 2 2 4 8 2 2 2" xfId="28918"/>
    <cellStyle name="Separador de milhares 3 2 2 4 8 2 2 2 2" xfId="55148"/>
    <cellStyle name="Separador de milhares 3 2 2 4 8 2 2 3" xfId="23004"/>
    <cellStyle name="Separador de milhares 3 2 2 4 8 2 2 3 2" xfId="49240"/>
    <cellStyle name="Separador de milhares 3 2 2 4 8 2 2 4" xfId="17090"/>
    <cellStyle name="Separador de milhares 3 2 2 4 8 2 2 4 2" xfId="43332"/>
    <cellStyle name="Separador de milhares 3 2 2 4 8 2 2 5" xfId="36946"/>
    <cellStyle name="Separador de milhares 3 2 2 4 8 2 3" xfId="25961"/>
    <cellStyle name="Separador de milhares 3 2 2 4 8 2 3 2" xfId="52194"/>
    <cellStyle name="Separador de milhares 3 2 2 4 8 2 4" xfId="20047"/>
    <cellStyle name="Separador de milhares 3 2 2 4 8 2 4 2" xfId="46286"/>
    <cellStyle name="Separador de milhares 3 2 2 4 8 2 5" xfId="13949"/>
    <cellStyle name="Separador de milhares 3 2 2 4 8 2 5 2" xfId="40191"/>
    <cellStyle name="Separador de milhares 3 2 2 4 8 2 6" xfId="33805"/>
    <cellStyle name="Separador de milhares 3 2 2 4 8 3" xfId="9236"/>
    <cellStyle name="Separador de milhares 3 2 2 4 8 3 2" xfId="27450"/>
    <cellStyle name="Separador de milhares 3 2 2 4 8 3 2 2" xfId="53680"/>
    <cellStyle name="Separador de milhares 3 2 2 4 8 3 3" xfId="21536"/>
    <cellStyle name="Separador de milhares 3 2 2 4 8 3 3 2" xfId="47772"/>
    <cellStyle name="Separador de milhares 3 2 2 4 8 3 4" xfId="15622"/>
    <cellStyle name="Separador de milhares 3 2 2 4 8 3 4 2" xfId="41864"/>
    <cellStyle name="Separador de milhares 3 2 2 4 8 3 5" xfId="35478"/>
    <cellStyle name="Separador de milhares 3 2 2 4 8 4" xfId="5861"/>
    <cellStyle name="Separador de milhares 3 2 2 4 8 4 2" xfId="24493"/>
    <cellStyle name="Separador de milhares 3 2 2 4 8 4 2 2" xfId="50726"/>
    <cellStyle name="Separador de milhares 3 2 2 4 8 4 3" xfId="32106"/>
    <cellStyle name="Separador de milhares 3 2 2 4 8 5" xfId="18579"/>
    <cellStyle name="Separador de milhares 3 2 2 4 8 5 2" xfId="44818"/>
    <cellStyle name="Separador de milhares 3 2 2 4 8 6" xfId="12248"/>
    <cellStyle name="Separador de milhares 3 2 2 4 8 6 2" xfId="38490"/>
    <cellStyle name="Separador de milhares 3 2 2 4 8 7" xfId="30408"/>
    <cellStyle name="Separador de milhares 3 2 2 4 9" xfId="719"/>
    <cellStyle name="Separador de milhares 3 2 2 4 9 2" xfId="6654"/>
    <cellStyle name="Separador de milhares 3 2 2 4 9 2 2" xfId="9801"/>
    <cellStyle name="Separador de milhares 3 2 2 4 9 2 2 2" xfId="28015"/>
    <cellStyle name="Separador de milhares 3 2 2 4 9 2 2 2 2" xfId="54245"/>
    <cellStyle name="Separador de milhares 3 2 2 4 9 2 2 3" xfId="22101"/>
    <cellStyle name="Separador de milhares 3 2 2 4 9 2 2 3 2" xfId="48337"/>
    <cellStyle name="Separador de milhares 3 2 2 4 9 2 2 4" xfId="16187"/>
    <cellStyle name="Separador de milhares 3 2 2 4 9 2 2 4 2" xfId="42429"/>
    <cellStyle name="Separador de milhares 3 2 2 4 9 2 2 5" xfId="36043"/>
    <cellStyle name="Separador de milhares 3 2 2 4 9 2 3" xfId="25058"/>
    <cellStyle name="Separador de milhares 3 2 2 4 9 2 3 2" xfId="51291"/>
    <cellStyle name="Separador de milhares 3 2 2 4 9 2 4" xfId="19144"/>
    <cellStyle name="Separador de milhares 3 2 2 4 9 2 4 2" xfId="45383"/>
    <cellStyle name="Separador de milhares 3 2 2 4 9 2 5" xfId="13043"/>
    <cellStyle name="Separador de milhares 3 2 2 4 9 2 5 2" xfId="39285"/>
    <cellStyle name="Separador de milhares 3 2 2 4 9 2 6" xfId="32899"/>
    <cellStyle name="Separador de milhares 3 2 2 4 9 3" xfId="8333"/>
    <cellStyle name="Separador de milhares 3 2 2 4 9 3 2" xfId="26547"/>
    <cellStyle name="Separador de milhares 3 2 2 4 9 3 2 2" xfId="52777"/>
    <cellStyle name="Separador de milhares 3 2 2 4 9 3 3" xfId="20633"/>
    <cellStyle name="Separador de milhares 3 2 2 4 9 3 3 2" xfId="46869"/>
    <cellStyle name="Separador de milhares 3 2 2 4 9 3 4" xfId="14719"/>
    <cellStyle name="Separador de milhares 3 2 2 4 9 3 4 2" xfId="40961"/>
    <cellStyle name="Separador de milhares 3 2 2 4 9 3 5" xfId="34575"/>
    <cellStyle name="Separador de milhares 3 2 2 4 9 4" xfId="4955"/>
    <cellStyle name="Separador de milhares 3 2 2 4 9 4 2" xfId="23590"/>
    <cellStyle name="Separador de milhares 3 2 2 4 9 4 2 2" xfId="49823"/>
    <cellStyle name="Separador de milhares 3 2 2 4 9 4 3" xfId="31200"/>
    <cellStyle name="Separador de milhares 3 2 2 4 9 5" xfId="17676"/>
    <cellStyle name="Separador de milhares 3 2 2 4 9 5 2" xfId="43915"/>
    <cellStyle name="Separador de milhares 3 2 2 4 9 6" xfId="11342"/>
    <cellStyle name="Separador de milhares 3 2 2 4 9 6 2" xfId="37584"/>
    <cellStyle name="Separador de milhares 3 2 2 4 9 7" xfId="29502"/>
    <cellStyle name="Separador de milhares 3 2 2 5" xfId="651"/>
    <cellStyle name="Separador de milhares 3 2 2 5 10" xfId="4919"/>
    <cellStyle name="Separador de milhares 3 2 2 5 10 2" xfId="23553"/>
    <cellStyle name="Separador de milhares 3 2 2 5 10 2 2" xfId="49789"/>
    <cellStyle name="Separador de milhares 3 2 2 5 10 3" xfId="31166"/>
    <cellStyle name="Separador de milhares 3 2 2 5 11" xfId="17639"/>
    <cellStyle name="Separador de milhares 3 2 2 5 11 2" xfId="43881"/>
    <cellStyle name="Separador de milhares 3 2 2 5 12" xfId="11308"/>
    <cellStyle name="Separador de milhares 3 2 2 5 12 2" xfId="37550"/>
    <cellStyle name="Separador de milhares 3 2 2 5 13" xfId="29468"/>
    <cellStyle name="Separador de milhares 3 2 2 5 2" xfId="1474"/>
    <cellStyle name="Separador de milhares 3 2 2 5 2 2" xfId="6871"/>
    <cellStyle name="Separador de milhares 3 2 2 5 2 2 2" xfId="10018"/>
    <cellStyle name="Separador de milhares 3 2 2 5 2 2 2 2" xfId="28232"/>
    <cellStyle name="Separador de milhares 3 2 2 5 2 2 2 2 2" xfId="54462"/>
    <cellStyle name="Separador de milhares 3 2 2 5 2 2 2 3" xfId="22318"/>
    <cellStyle name="Separador de milhares 3 2 2 5 2 2 2 3 2" xfId="48554"/>
    <cellStyle name="Separador de milhares 3 2 2 5 2 2 2 4" xfId="16404"/>
    <cellStyle name="Separador de milhares 3 2 2 5 2 2 2 4 2" xfId="42646"/>
    <cellStyle name="Separador de milhares 3 2 2 5 2 2 2 5" xfId="36260"/>
    <cellStyle name="Separador de milhares 3 2 2 5 2 2 3" xfId="25275"/>
    <cellStyle name="Separador de milhares 3 2 2 5 2 2 3 2" xfId="51508"/>
    <cellStyle name="Separador de milhares 3 2 2 5 2 2 4" xfId="19361"/>
    <cellStyle name="Separador de milhares 3 2 2 5 2 2 4 2" xfId="45600"/>
    <cellStyle name="Separador de milhares 3 2 2 5 2 2 5" xfId="13260"/>
    <cellStyle name="Separador de milhares 3 2 2 5 2 2 5 2" xfId="39502"/>
    <cellStyle name="Separador de milhares 3 2 2 5 2 2 6" xfId="33116"/>
    <cellStyle name="Separador de milhares 3 2 2 5 2 3" xfId="8550"/>
    <cellStyle name="Separador de milhares 3 2 2 5 2 3 2" xfId="26764"/>
    <cellStyle name="Separador de milhares 3 2 2 5 2 3 2 2" xfId="52994"/>
    <cellStyle name="Separador de milhares 3 2 2 5 2 3 3" xfId="20850"/>
    <cellStyle name="Separador de milhares 3 2 2 5 2 3 3 2" xfId="47086"/>
    <cellStyle name="Separador de milhares 3 2 2 5 2 3 4" xfId="14936"/>
    <cellStyle name="Separador de milhares 3 2 2 5 2 3 4 2" xfId="41178"/>
    <cellStyle name="Separador de milhares 3 2 2 5 2 3 5" xfId="34792"/>
    <cellStyle name="Separador de milhares 3 2 2 5 2 4" xfId="5172"/>
    <cellStyle name="Separador de milhares 3 2 2 5 2 4 2" xfId="23807"/>
    <cellStyle name="Separador de milhares 3 2 2 5 2 4 2 2" xfId="50040"/>
    <cellStyle name="Separador de milhares 3 2 2 5 2 4 3" xfId="31417"/>
    <cellStyle name="Separador de milhares 3 2 2 5 2 5" xfId="17893"/>
    <cellStyle name="Separador de milhares 3 2 2 5 2 5 2" xfId="44132"/>
    <cellStyle name="Separador de milhares 3 2 2 5 2 6" xfId="11559"/>
    <cellStyle name="Separador de milhares 3 2 2 5 2 6 2" xfId="37801"/>
    <cellStyle name="Separador de milhares 3 2 2 5 2 7" xfId="29719"/>
    <cellStyle name="Separador de milhares 3 2 2 5 3" xfId="1909"/>
    <cellStyle name="Separador de milhares 3 2 2 5 3 2" xfId="6990"/>
    <cellStyle name="Separador de milhares 3 2 2 5 3 2 2" xfId="10137"/>
    <cellStyle name="Separador de milhares 3 2 2 5 3 2 2 2" xfId="28351"/>
    <cellStyle name="Separador de milhares 3 2 2 5 3 2 2 2 2" xfId="54581"/>
    <cellStyle name="Separador de milhares 3 2 2 5 3 2 2 3" xfId="22437"/>
    <cellStyle name="Separador de milhares 3 2 2 5 3 2 2 3 2" xfId="48673"/>
    <cellStyle name="Separador de milhares 3 2 2 5 3 2 2 4" xfId="16523"/>
    <cellStyle name="Separador de milhares 3 2 2 5 3 2 2 4 2" xfId="42765"/>
    <cellStyle name="Separador de milhares 3 2 2 5 3 2 2 5" xfId="36379"/>
    <cellStyle name="Separador de milhares 3 2 2 5 3 2 3" xfId="25394"/>
    <cellStyle name="Separador de milhares 3 2 2 5 3 2 3 2" xfId="51627"/>
    <cellStyle name="Separador de milhares 3 2 2 5 3 2 4" xfId="19480"/>
    <cellStyle name="Separador de milhares 3 2 2 5 3 2 4 2" xfId="45719"/>
    <cellStyle name="Separador de milhares 3 2 2 5 3 2 5" xfId="13379"/>
    <cellStyle name="Separador de milhares 3 2 2 5 3 2 5 2" xfId="39621"/>
    <cellStyle name="Separador de milhares 3 2 2 5 3 2 6" xfId="33235"/>
    <cellStyle name="Separador de milhares 3 2 2 5 3 3" xfId="8669"/>
    <cellStyle name="Separador de milhares 3 2 2 5 3 3 2" xfId="26883"/>
    <cellStyle name="Separador de milhares 3 2 2 5 3 3 2 2" xfId="53113"/>
    <cellStyle name="Separador de milhares 3 2 2 5 3 3 3" xfId="20969"/>
    <cellStyle name="Separador de milhares 3 2 2 5 3 3 3 2" xfId="47205"/>
    <cellStyle name="Separador de milhares 3 2 2 5 3 3 4" xfId="15055"/>
    <cellStyle name="Separador de milhares 3 2 2 5 3 3 4 2" xfId="41297"/>
    <cellStyle name="Separador de milhares 3 2 2 5 3 3 5" xfId="34911"/>
    <cellStyle name="Separador de milhares 3 2 2 5 3 4" xfId="5291"/>
    <cellStyle name="Separador de milhares 3 2 2 5 3 4 2" xfId="23926"/>
    <cellStyle name="Separador de milhares 3 2 2 5 3 4 2 2" xfId="50159"/>
    <cellStyle name="Separador de milhares 3 2 2 5 3 4 3" xfId="31536"/>
    <cellStyle name="Separador de milhares 3 2 2 5 3 5" xfId="18012"/>
    <cellStyle name="Separador de milhares 3 2 2 5 3 5 2" xfId="44251"/>
    <cellStyle name="Separador de milhares 3 2 2 5 3 6" xfId="11678"/>
    <cellStyle name="Separador de milhares 3 2 2 5 3 6 2" xfId="37920"/>
    <cellStyle name="Separador de milhares 3 2 2 5 3 7" xfId="29838"/>
    <cellStyle name="Separador de milhares 3 2 2 5 4" xfId="2439"/>
    <cellStyle name="Separador de milhares 3 2 2 5 4 2" xfId="7140"/>
    <cellStyle name="Separador de milhares 3 2 2 5 4 2 2" xfId="10284"/>
    <cellStyle name="Separador de milhares 3 2 2 5 4 2 2 2" xfId="28498"/>
    <cellStyle name="Separador de milhares 3 2 2 5 4 2 2 2 2" xfId="54728"/>
    <cellStyle name="Separador de milhares 3 2 2 5 4 2 2 3" xfId="22584"/>
    <cellStyle name="Separador de milhares 3 2 2 5 4 2 2 3 2" xfId="48820"/>
    <cellStyle name="Separador de milhares 3 2 2 5 4 2 2 4" xfId="16670"/>
    <cellStyle name="Separador de milhares 3 2 2 5 4 2 2 4 2" xfId="42912"/>
    <cellStyle name="Separador de milhares 3 2 2 5 4 2 2 5" xfId="36526"/>
    <cellStyle name="Separador de milhares 3 2 2 5 4 2 3" xfId="25541"/>
    <cellStyle name="Separador de milhares 3 2 2 5 4 2 3 2" xfId="51774"/>
    <cellStyle name="Separador de milhares 3 2 2 5 4 2 4" xfId="19627"/>
    <cellStyle name="Separador de milhares 3 2 2 5 4 2 4 2" xfId="45866"/>
    <cellStyle name="Separador de milhares 3 2 2 5 4 2 5" xfId="13529"/>
    <cellStyle name="Separador de milhares 3 2 2 5 4 2 5 2" xfId="39771"/>
    <cellStyle name="Separador de milhares 3 2 2 5 4 2 6" xfId="33385"/>
    <cellStyle name="Separador de milhares 3 2 2 5 4 3" xfId="8816"/>
    <cellStyle name="Separador de milhares 3 2 2 5 4 3 2" xfId="27030"/>
    <cellStyle name="Separador de milhares 3 2 2 5 4 3 2 2" xfId="53260"/>
    <cellStyle name="Separador de milhares 3 2 2 5 4 3 3" xfId="21116"/>
    <cellStyle name="Separador de milhares 3 2 2 5 4 3 3 2" xfId="47352"/>
    <cellStyle name="Separador de milhares 3 2 2 5 4 3 4" xfId="15202"/>
    <cellStyle name="Separador de milhares 3 2 2 5 4 3 4 2" xfId="41444"/>
    <cellStyle name="Separador de milhares 3 2 2 5 4 3 5" xfId="35058"/>
    <cellStyle name="Separador de milhares 3 2 2 5 4 4" xfId="5441"/>
    <cellStyle name="Separador de milhares 3 2 2 5 4 4 2" xfId="24073"/>
    <cellStyle name="Separador de milhares 3 2 2 5 4 4 2 2" xfId="50306"/>
    <cellStyle name="Separador de milhares 3 2 2 5 4 4 3" xfId="31686"/>
    <cellStyle name="Separador de milhares 3 2 2 5 4 5" xfId="18159"/>
    <cellStyle name="Separador de milhares 3 2 2 5 4 5 2" xfId="44398"/>
    <cellStyle name="Separador de milhares 3 2 2 5 4 6" xfId="11828"/>
    <cellStyle name="Separador de milhares 3 2 2 5 4 6 2" xfId="38070"/>
    <cellStyle name="Separador de milhares 3 2 2 5 4 7" xfId="29988"/>
    <cellStyle name="Separador de milhares 3 2 2 5 5" xfId="2966"/>
    <cellStyle name="Separador de milhares 3 2 2 5 5 2" xfId="7287"/>
    <cellStyle name="Separador de milhares 3 2 2 5 5 2 2" xfId="10431"/>
    <cellStyle name="Separador de milhares 3 2 2 5 5 2 2 2" xfId="28645"/>
    <cellStyle name="Separador de milhares 3 2 2 5 5 2 2 2 2" xfId="54875"/>
    <cellStyle name="Separador de milhares 3 2 2 5 5 2 2 3" xfId="22731"/>
    <cellStyle name="Separador de milhares 3 2 2 5 5 2 2 3 2" xfId="48967"/>
    <cellStyle name="Separador de milhares 3 2 2 5 5 2 2 4" xfId="16817"/>
    <cellStyle name="Separador de milhares 3 2 2 5 5 2 2 4 2" xfId="43059"/>
    <cellStyle name="Separador de milhares 3 2 2 5 5 2 2 5" xfId="36673"/>
    <cellStyle name="Separador de milhares 3 2 2 5 5 2 3" xfId="25688"/>
    <cellStyle name="Separador de milhares 3 2 2 5 5 2 3 2" xfId="51921"/>
    <cellStyle name="Separador de milhares 3 2 2 5 5 2 4" xfId="19774"/>
    <cellStyle name="Separador de milhares 3 2 2 5 5 2 4 2" xfId="46013"/>
    <cellStyle name="Separador de milhares 3 2 2 5 5 2 5" xfId="13676"/>
    <cellStyle name="Separador de milhares 3 2 2 5 5 2 5 2" xfId="39918"/>
    <cellStyle name="Separador de milhares 3 2 2 5 5 2 6" xfId="33532"/>
    <cellStyle name="Separador de milhares 3 2 2 5 5 3" xfId="8963"/>
    <cellStyle name="Separador de milhares 3 2 2 5 5 3 2" xfId="27177"/>
    <cellStyle name="Separador de milhares 3 2 2 5 5 3 2 2" xfId="53407"/>
    <cellStyle name="Separador de milhares 3 2 2 5 5 3 3" xfId="21263"/>
    <cellStyle name="Separador de milhares 3 2 2 5 5 3 3 2" xfId="47499"/>
    <cellStyle name="Separador de milhares 3 2 2 5 5 3 4" xfId="15349"/>
    <cellStyle name="Separador de milhares 3 2 2 5 5 3 4 2" xfId="41591"/>
    <cellStyle name="Separador de milhares 3 2 2 5 5 3 5" xfId="35205"/>
    <cellStyle name="Separador de milhares 3 2 2 5 5 4" xfId="5588"/>
    <cellStyle name="Separador de milhares 3 2 2 5 5 4 2" xfId="24220"/>
    <cellStyle name="Separador de milhares 3 2 2 5 5 4 2 2" xfId="50453"/>
    <cellStyle name="Separador de milhares 3 2 2 5 5 4 3" xfId="31833"/>
    <cellStyle name="Separador de milhares 3 2 2 5 5 5" xfId="18306"/>
    <cellStyle name="Separador de milhares 3 2 2 5 5 5 2" xfId="44545"/>
    <cellStyle name="Separador de milhares 3 2 2 5 5 6" xfId="11975"/>
    <cellStyle name="Separador de milhares 3 2 2 5 5 6 2" xfId="38217"/>
    <cellStyle name="Separador de milhares 3 2 2 5 5 7" xfId="30135"/>
    <cellStyle name="Separador de milhares 3 2 2 5 6" xfId="3493"/>
    <cellStyle name="Separador de milhares 3 2 2 5 6 2" xfId="7434"/>
    <cellStyle name="Separador de milhares 3 2 2 5 6 2 2" xfId="10578"/>
    <cellStyle name="Separador de milhares 3 2 2 5 6 2 2 2" xfId="28792"/>
    <cellStyle name="Separador de milhares 3 2 2 5 6 2 2 2 2" xfId="55022"/>
    <cellStyle name="Separador de milhares 3 2 2 5 6 2 2 3" xfId="22878"/>
    <cellStyle name="Separador de milhares 3 2 2 5 6 2 2 3 2" xfId="49114"/>
    <cellStyle name="Separador de milhares 3 2 2 5 6 2 2 4" xfId="16964"/>
    <cellStyle name="Separador de milhares 3 2 2 5 6 2 2 4 2" xfId="43206"/>
    <cellStyle name="Separador de milhares 3 2 2 5 6 2 2 5" xfId="36820"/>
    <cellStyle name="Separador de milhares 3 2 2 5 6 2 3" xfId="25835"/>
    <cellStyle name="Separador de milhares 3 2 2 5 6 2 3 2" xfId="52068"/>
    <cellStyle name="Separador de milhares 3 2 2 5 6 2 4" xfId="19921"/>
    <cellStyle name="Separador de milhares 3 2 2 5 6 2 4 2" xfId="46160"/>
    <cellStyle name="Separador de milhares 3 2 2 5 6 2 5" xfId="13823"/>
    <cellStyle name="Separador de milhares 3 2 2 5 6 2 5 2" xfId="40065"/>
    <cellStyle name="Separador de milhares 3 2 2 5 6 2 6" xfId="33679"/>
    <cellStyle name="Separador de milhares 3 2 2 5 6 3" xfId="9110"/>
    <cellStyle name="Separador de milhares 3 2 2 5 6 3 2" xfId="27324"/>
    <cellStyle name="Separador de milhares 3 2 2 5 6 3 2 2" xfId="53554"/>
    <cellStyle name="Separador de milhares 3 2 2 5 6 3 3" xfId="21410"/>
    <cellStyle name="Separador de milhares 3 2 2 5 6 3 3 2" xfId="47646"/>
    <cellStyle name="Separador de milhares 3 2 2 5 6 3 4" xfId="15496"/>
    <cellStyle name="Separador de milhares 3 2 2 5 6 3 4 2" xfId="41738"/>
    <cellStyle name="Separador de milhares 3 2 2 5 6 3 5" xfId="35352"/>
    <cellStyle name="Separador de milhares 3 2 2 5 6 4" xfId="5735"/>
    <cellStyle name="Separador de milhares 3 2 2 5 6 4 2" xfId="24367"/>
    <cellStyle name="Separador de milhares 3 2 2 5 6 4 2 2" xfId="50600"/>
    <cellStyle name="Separador de milhares 3 2 2 5 6 4 3" xfId="31980"/>
    <cellStyle name="Separador de milhares 3 2 2 5 6 5" xfId="18453"/>
    <cellStyle name="Separador de milhares 3 2 2 5 6 5 2" xfId="44692"/>
    <cellStyle name="Separador de milhares 3 2 2 5 6 6" xfId="12122"/>
    <cellStyle name="Separador de milhares 3 2 2 5 6 6 2" xfId="38364"/>
    <cellStyle name="Separador de milhares 3 2 2 5 6 7" xfId="30282"/>
    <cellStyle name="Separador de milhares 3 2 2 5 7" xfId="4020"/>
    <cellStyle name="Separador de milhares 3 2 2 5 7 2" xfId="7581"/>
    <cellStyle name="Separador de milhares 3 2 2 5 7 2 2" xfId="10725"/>
    <cellStyle name="Separador de milhares 3 2 2 5 7 2 2 2" xfId="28939"/>
    <cellStyle name="Separador de milhares 3 2 2 5 7 2 2 2 2" xfId="55169"/>
    <cellStyle name="Separador de milhares 3 2 2 5 7 2 2 3" xfId="23025"/>
    <cellStyle name="Separador de milhares 3 2 2 5 7 2 2 3 2" xfId="49261"/>
    <cellStyle name="Separador de milhares 3 2 2 5 7 2 2 4" xfId="17111"/>
    <cellStyle name="Separador de milhares 3 2 2 5 7 2 2 4 2" xfId="43353"/>
    <cellStyle name="Separador de milhares 3 2 2 5 7 2 2 5" xfId="36967"/>
    <cellStyle name="Separador de milhares 3 2 2 5 7 2 3" xfId="25982"/>
    <cellStyle name="Separador de milhares 3 2 2 5 7 2 3 2" xfId="52215"/>
    <cellStyle name="Separador de milhares 3 2 2 5 7 2 4" xfId="20068"/>
    <cellStyle name="Separador de milhares 3 2 2 5 7 2 4 2" xfId="46307"/>
    <cellStyle name="Separador de milhares 3 2 2 5 7 2 5" xfId="13970"/>
    <cellStyle name="Separador de milhares 3 2 2 5 7 2 5 2" xfId="40212"/>
    <cellStyle name="Separador de milhares 3 2 2 5 7 2 6" xfId="33826"/>
    <cellStyle name="Separador de milhares 3 2 2 5 7 3" xfId="9257"/>
    <cellStyle name="Separador de milhares 3 2 2 5 7 3 2" xfId="27471"/>
    <cellStyle name="Separador de milhares 3 2 2 5 7 3 2 2" xfId="53701"/>
    <cellStyle name="Separador de milhares 3 2 2 5 7 3 3" xfId="21557"/>
    <cellStyle name="Separador de milhares 3 2 2 5 7 3 3 2" xfId="47793"/>
    <cellStyle name="Separador de milhares 3 2 2 5 7 3 4" xfId="15643"/>
    <cellStyle name="Separador de milhares 3 2 2 5 7 3 4 2" xfId="41885"/>
    <cellStyle name="Separador de milhares 3 2 2 5 7 3 5" xfId="35499"/>
    <cellStyle name="Separador de milhares 3 2 2 5 7 4" xfId="5882"/>
    <cellStyle name="Separador de milhares 3 2 2 5 7 4 2" xfId="24514"/>
    <cellStyle name="Separador de milhares 3 2 2 5 7 4 2 2" xfId="50747"/>
    <cellStyle name="Separador de milhares 3 2 2 5 7 4 3" xfId="32127"/>
    <cellStyle name="Separador de milhares 3 2 2 5 7 5" xfId="18600"/>
    <cellStyle name="Separador de milhares 3 2 2 5 7 5 2" xfId="44839"/>
    <cellStyle name="Separador de milhares 3 2 2 5 7 6" xfId="12269"/>
    <cellStyle name="Separador de milhares 3 2 2 5 7 6 2" xfId="38511"/>
    <cellStyle name="Separador de milhares 3 2 2 5 7 7" xfId="30429"/>
    <cellStyle name="Separador de milhares 3 2 2 5 8" xfId="6620"/>
    <cellStyle name="Separador de milhares 3 2 2 5 8 2" xfId="9767"/>
    <cellStyle name="Separador de milhares 3 2 2 5 8 2 2" xfId="27981"/>
    <cellStyle name="Separador de milhares 3 2 2 5 8 2 2 2" xfId="54211"/>
    <cellStyle name="Separador de milhares 3 2 2 5 8 2 3" xfId="22067"/>
    <cellStyle name="Separador de milhares 3 2 2 5 8 2 3 2" xfId="48303"/>
    <cellStyle name="Separador de milhares 3 2 2 5 8 2 4" xfId="16153"/>
    <cellStyle name="Separador de milhares 3 2 2 5 8 2 4 2" xfId="42395"/>
    <cellStyle name="Separador de milhares 3 2 2 5 8 2 5" xfId="36009"/>
    <cellStyle name="Separador de milhares 3 2 2 5 8 3" xfId="25024"/>
    <cellStyle name="Separador de milhares 3 2 2 5 8 3 2" xfId="51257"/>
    <cellStyle name="Separador de milhares 3 2 2 5 8 4" xfId="19110"/>
    <cellStyle name="Separador de milhares 3 2 2 5 8 4 2" xfId="45349"/>
    <cellStyle name="Separador de milhares 3 2 2 5 8 5" xfId="13009"/>
    <cellStyle name="Separador de milhares 3 2 2 5 8 5 2" xfId="39251"/>
    <cellStyle name="Separador de milhares 3 2 2 5 8 6" xfId="32865"/>
    <cellStyle name="Separador de milhares 3 2 2 5 9" xfId="8296"/>
    <cellStyle name="Separador de milhares 3 2 2 5 9 2" xfId="26510"/>
    <cellStyle name="Separador de milhares 3 2 2 5 9 2 2" xfId="52743"/>
    <cellStyle name="Separador de milhares 3 2 2 5 9 3" xfId="20596"/>
    <cellStyle name="Separador de milhares 3 2 2 5 9 3 2" xfId="46835"/>
    <cellStyle name="Separador de milhares 3 2 2 5 9 4" xfId="14685"/>
    <cellStyle name="Separador de milhares 3 2 2 5 9 4 2" xfId="40927"/>
    <cellStyle name="Separador de milhares 3 2 2 5 9 5" xfId="34541"/>
    <cellStyle name="Separador de milhares 3 2 2 6" xfId="772"/>
    <cellStyle name="Separador de milhares 3 2 2 6 2" xfId="4196"/>
    <cellStyle name="Separador de milhares 3 2 2 6 2 2" xfId="7630"/>
    <cellStyle name="Separador de milhares 3 2 2 6 2 2 2" xfId="10774"/>
    <cellStyle name="Separador de milhares 3 2 2 6 2 2 2 2" xfId="28988"/>
    <cellStyle name="Separador de milhares 3 2 2 6 2 2 2 2 2" xfId="55218"/>
    <cellStyle name="Separador de milhares 3 2 2 6 2 2 2 3" xfId="23074"/>
    <cellStyle name="Separador de milhares 3 2 2 6 2 2 2 3 2" xfId="49310"/>
    <cellStyle name="Separador de milhares 3 2 2 6 2 2 2 4" xfId="17160"/>
    <cellStyle name="Separador de milhares 3 2 2 6 2 2 2 4 2" xfId="43402"/>
    <cellStyle name="Separador de milhares 3 2 2 6 2 2 2 5" xfId="37016"/>
    <cellStyle name="Separador de milhares 3 2 2 6 2 2 3" xfId="26031"/>
    <cellStyle name="Separador de milhares 3 2 2 6 2 2 3 2" xfId="52264"/>
    <cellStyle name="Separador de milhares 3 2 2 6 2 2 4" xfId="20117"/>
    <cellStyle name="Separador de milhares 3 2 2 6 2 2 4 2" xfId="46356"/>
    <cellStyle name="Separador de milhares 3 2 2 6 2 2 5" xfId="14019"/>
    <cellStyle name="Separador de milhares 3 2 2 6 2 2 5 2" xfId="40261"/>
    <cellStyle name="Separador de milhares 3 2 2 6 2 2 6" xfId="33875"/>
    <cellStyle name="Separador de milhares 3 2 2 6 2 3" xfId="9306"/>
    <cellStyle name="Separador de milhares 3 2 2 6 2 3 2" xfId="27520"/>
    <cellStyle name="Separador de milhares 3 2 2 6 2 3 2 2" xfId="53750"/>
    <cellStyle name="Separador de milhares 3 2 2 6 2 3 3" xfId="21606"/>
    <cellStyle name="Separador de milhares 3 2 2 6 2 3 3 2" xfId="47842"/>
    <cellStyle name="Separador de milhares 3 2 2 6 2 3 4" xfId="15692"/>
    <cellStyle name="Separador de milhares 3 2 2 6 2 3 4 2" xfId="41934"/>
    <cellStyle name="Separador de milhares 3 2 2 6 2 3 5" xfId="35548"/>
    <cellStyle name="Separador de milhares 3 2 2 6 2 4" xfId="5931"/>
    <cellStyle name="Separador de milhares 3 2 2 6 2 4 2" xfId="24563"/>
    <cellStyle name="Separador de milhares 3 2 2 6 2 4 2 2" xfId="50796"/>
    <cellStyle name="Separador de milhares 3 2 2 6 2 4 3" xfId="32176"/>
    <cellStyle name="Separador de milhares 3 2 2 6 2 5" xfId="18649"/>
    <cellStyle name="Separador de milhares 3 2 2 6 2 5 2" xfId="44888"/>
    <cellStyle name="Separador de milhares 3 2 2 6 2 6" xfId="12318"/>
    <cellStyle name="Separador de milhares 3 2 2 6 2 6 2" xfId="38560"/>
    <cellStyle name="Separador de milhares 3 2 2 6 2 7" xfId="30478"/>
    <cellStyle name="Separador de milhares 3 2 2 6 3" xfId="6675"/>
    <cellStyle name="Separador de milhares 3 2 2 6 3 2" xfId="9822"/>
    <cellStyle name="Separador de milhares 3 2 2 6 3 2 2" xfId="28036"/>
    <cellStyle name="Separador de milhares 3 2 2 6 3 2 2 2" xfId="54266"/>
    <cellStyle name="Separador de milhares 3 2 2 6 3 2 3" xfId="22122"/>
    <cellStyle name="Separador de milhares 3 2 2 6 3 2 3 2" xfId="48358"/>
    <cellStyle name="Separador de milhares 3 2 2 6 3 2 4" xfId="16208"/>
    <cellStyle name="Separador de milhares 3 2 2 6 3 2 4 2" xfId="42450"/>
    <cellStyle name="Separador de milhares 3 2 2 6 3 2 5" xfId="36064"/>
    <cellStyle name="Separador de milhares 3 2 2 6 3 3" xfId="25079"/>
    <cellStyle name="Separador de milhares 3 2 2 6 3 3 2" xfId="51312"/>
    <cellStyle name="Separador de milhares 3 2 2 6 3 4" xfId="19165"/>
    <cellStyle name="Separador de milhares 3 2 2 6 3 4 2" xfId="45404"/>
    <cellStyle name="Separador de milhares 3 2 2 6 3 5" xfId="13064"/>
    <cellStyle name="Separador de milhares 3 2 2 6 3 5 2" xfId="39306"/>
    <cellStyle name="Separador de milhares 3 2 2 6 3 6" xfId="32920"/>
    <cellStyle name="Separador de milhares 3 2 2 6 4" xfId="8354"/>
    <cellStyle name="Separador de milhares 3 2 2 6 4 2" xfId="26568"/>
    <cellStyle name="Separador de milhares 3 2 2 6 4 2 2" xfId="52798"/>
    <cellStyle name="Separador de milhares 3 2 2 6 4 3" xfId="20654"/>
    <cellStyle name="Separador de milhares 3 2 2 6 4 3 2" xfId="46890"/>
    <cellStyle name="Separador de milhares 3 2 2 6 4 4" xfId="14740"/>
    <cellStyle name="Separador de milhares 3 2 2 6 4 4 2" xfId="40982"/>
    <cellStyle name="Separador de milhares 3 2 2 6 4 5" xfId="34596"/>
    <cellStyle name="Separador de milhares 3 2 2 6 5" xfId="4976"/>
    <cellStyle name="Separador de milhares 3 2 2 6 5 2" xfId="23611"/>
    <cellStyle name="Separador de milhares 3 2 2 6 5 2 2" xfId="49844"/>
    <cellStyle name="Separador de milhares 3 2 2 6 5 3" xfId="31221"/>
    <cellStyle name="Separador de milhares 3 2 2 6 6" xfId="17697"/>
    <cellStyle name="Separador de milhares 3 2 2 6 6 2" xfId="43936"/>
    <cellStyle name="Separador de milhares 3 2 2 6 7" xfId="11363"/>
    <cellStyle name="Separador de milhares 3 2 2 6 7 2" xfId="37605"/>
    <cellStyle name="Separador de milhares 3 2 2 6 8" xfId="29523"/>
    <cellStyle name="Separador de milhares 3 2 2 7" xfId="1123"/>
    <cellStyle name="Separador de milhares 3 2 2 7 2" xfId="6773"/>
    <cellStyle name="Separador de milhares 3 2 2 7 2 2" xfId="9920"/>
    <cellStyle name="Separador de milhares 3 2 2 7 2 2 2" xfId="28134"/>
    <cellStyle name="Separador de milhares 3 2 2 7 2 2 2 2" xfId="54364"/>
    <cellStyle name="Separador de milhares 3 2 2 7 2 2 3" xfId="22220"/>
    <cellStyle name="Separador de milhares 3 2 2 7 2 2 3 2" xfId="48456"/>
    <cellStyle name="Separador de milhares 3 2 2 7 2 2 4" xfId="16306"/>
    <cellStyle name="Separador de milhares 3 2 2 7 2 2 4 2" xfId="42548"/>
    <cellStyle name="Separador de milhares 3 2 2 7 2 2 5" xfId="36162"/>
    <cellStyle name="Separador de milhares 3 2 2 7 2 3" xfId="25177"/>
    <cellStyle name="Separador de milhares 3 2 2 7 2 3 2" xfId="51410"/>
    <cellStyle name="Separador de milhares 3 2 2 7 2 4" xfId="19263"/>
    <cellStyle name="Separador de milhares 3 2 2 7 2 4 2" xfId="45502"/>
    <cellStyle name="Separador de milhares 3 2 2 7 2 5" xfId="13162"/>
    <cellStyle name="Separador de milhares 3 2 2 7 2 5 2" xfId="39404"/>
    <cellStyle name="Separador de milhares 3 2 2 7 2 6" xfId="33018"/>
    <cellStyle name="Separador de milhares 3 2 2 7 3" xfId="8452"/>
    <cellStyle name="Separador de milhares 3 2 2 7 3 2" xfId="26666"/>
    <cellStyle name="Separador de milhares 3 2 2 7 3 2 2" xfId="52896"/>
    <cellStyle name="Separador de milhares 3 2 2 7 3 3" xfId="20752"/>
    <cellStyle name="Separador de milhares 3 2 2 7 3 3 2" xfId="46988"/>
    <cellStyle name="Separador de milhares 3 2 2 7 3 4" xfId="14838"/>
    <cellStyle name="Separador de milhares 3 2 2 7 3 4 2" xfId="41080"/>
    <cellStyle name="Separador de milhares 3 2 2 7 3 5" xfId="34694"/>
    <cellStyle name="Separador de milhares 3 2 2 7 4" xfId="5074"/>
    <cellStyle name="Separador de milhares 3 2 2 7 4 2" xfId="23709"/>
    <cellStyle name="Separador de milhares 3 2 2 7 4 2 2" xfId="49942"/>
    <cellStyle name="Separador de milhares 3 2 2 7 4 3" xfId="31319"/>
    <cellStyle name="Separador de milhares 3 2 2 7 5" xfId="17795"/>
    <cellStyle name="Separador de milhares 3 2 2 7 5 2" xfId="44034"/>
    <cellStyle name="Separador de milhares 3 2 2 7 6" xfId="11461"/>
    <cellStyle name="Separador de milhares 3 2 2 7 6 2" xfId="37703"/>
    <cellStyle name="Separador de milhares 3 2 2 7 7" xfId="29621"/>
    <cellStyle name="Separador de milhares 3 2 2 8" xfId="1558"/>
    <cellStyle name="Separador de milhares 3 2 2 8 2" xfId="6892"/>
    <cellStyle name="Separador de milhares 3 2 2 8 2 2" xfId="10039"/>
    <cellStyle name="Separador de milhares 3 2 2 8 2 2 2" xfId="28253"/>
    <cellStyle name="Separador de milhares 3 2 2 8 2 2 2 2" xfId="54483"/>
    <cellStyle name="Separador de milhares 3 2 2 8 2 2 3" xfId="22339"/>
    <cellStyle name="Separador de milhares 3 2 2 8 2 2 3 2" xfId="48575"/>
    <cellStyle name="Separador de milhares 3 2 2 8 2 2 4" xfId="16425"/>
    <cellStyle name="Separador de milhares 3 2 2 8 2 2 4 2" xfId="42667"/>
    <cellStyle name="Separador de milhares 3 2 2 8 2 2 5" xfId="36281"/>
    <cellStyle name="Separador de milhares 3 2 2 8 2 3" xfId="25296"/>
    <cellStyle name="Separador de milhares 3 2 2 8 2 3 2" xfId="51529"/>
    <cellStyle name="Separador de milhares 3 2 2 8 2 4" xfId="19382"/>
    <cellStyle name="Separador de milhares 3 2 2 8 2 4 2" xfId="45621"/>
    <cellStyle name="Separador de milhares 3 2 2 8 2 5" xfId="13281"/>
    <cellStyle name="Separador de milhares 3 2 2 8 2 5 2" xfId="39523"/>
    <cellStyle name="Separador de milhares 3 2 2 8 2 6" xfId="33137"/>
    <cellStyle name="Separador de milhares 3 2 2 8 3" xfId="8571"/>
    <cellStyle name="Separador de milhares 3 2 2 8 3 2" xfId="26785"/>
    <cellStyle name="Separador de milhares 3 2 2 8 3 2 2" xfId="53015"/>
    <cellStyle name="Separador de milhares 3 2 2 8 3 3" xfId="20871"/>
    <cellStyle name="Separador de milhares 3 2 2 8 3 3 2" xfId="47107"/>
    <cellStyle name="Separador de milhares 3 2 2 8 3 4" xfId="14957"/>
    <cellStyle name="Separador de milhares 3 2 2 8 3 4 2" xfId="41199"/>
    <cellStyle name="Separador de milhares 3 2 2 8 3 5" xfId="34813"/>
    <cellStyle name="Separador de milhares 3 2 2 8 4" xfId="5193"/>
    <cellStyle name="Separador de milhares 3 2 2 8 4 2" xfId="23828"/>
    <cellStyle name="Separador de milhares 3 2 2 8 4 2 2" xfId="50061"/>
    <cellStyle name="Separador de milhares 3 2 2 8 4 3" xfId="31438"/>
    <cellStyle name="Separador de milhares 3 2 2 8 5" xfId="17914"/>
    <cellStyle name="Separador de milhares 3 2 2 8 5 2" xfId="44153"/>
    <cellStyle name="Separador de milhares 3 2 2 8 6" xfId="11580"/>
    <cellStyle name="Separador de milhares 3 2 2 8 6 2" xfId="37822"/>
    <cellStyle name="Separador de milhares 3 2 2 8 7" xfId="29740"/>
    <cellStyle name="Separador de milhares 3 2 2 9" xfId="2088"/>
    <cellStyle name="Separador de milhares 3 2 2 9 2" xfId="7042"/>
    <cellStyle name="Separador de milhares 3 2 2 9 2 2" xfId="10186"/>
    <cellStyle name="Separador de milhares 3 2 2 9 2 2 2" xfId="28400"/>
    <cellStyle name="Separador de milhares 3 2 2 9 2 2 2 2" xfId="54630"/>
    <cellStyle name="Separador de milhares 3 2 2 9 2 2 3" xfId="22486"/>
    <cellStyle name="Separador de milhares 3 2 2 9 2 2 3 2" xfId="48722"/>
    <cellStyle name="Separador de milhares 3 2 2 9 2 2 4" xfId="16572"/>
    <cellStyle name="Separador de milhares 3 2 2 9 2 2 4 2" xfId="42814"/>
    <cellStyle name="Separador de milhares 3 2 2 9 2 2 5" xfId="36428"/>
    <cellStyle name="Separador de milhares 3 2 2 9 2 3" xfId="25443"/>
    <cellStyle name="Separador de milhares 3 2 2 9 2 3 2" xfId="51676"/>
    <cellStyle name="Separador de milhares 3 2 2 9 2 4" xfId="19529"/>
    <cellStyle name="Separador de milhares 3 2 2 9 2 4 2" xfId="45768"/>
    <cellStyle name="Separador de milhares 3 2 2 9 2 5" xfId="13431"/>
    <cellStyle name="Separador de milhares 3 2 2 9 2 5 2" xfId="39673"/>
    <cellStyle name="Separador de milhares 3 2 2 9 2 6" xfId="33287"/>
    <cellStyle name="Separador de milhares 3 2 2 9 3" xfId="8718"/>
    <cellStyle name="Separador de milhares 3 2 2 9 3 2" xfId="26932"/>
    <cellStyle name="Separador de milhares 3 2 2 9 3 2 2" xfId="53162"/>
    <cellStyle name="Separador de milhares 3 2 2 9 3 3" xfId="21018"/>
    <cellStyle name="Separador de milhares 3 2 2 9 3 3 2" xfId="47254"/>
    <cellStyle name="Separador de milhares 3 2 2 9 3 4" xfId="15104"/>
    <cellStyle name="Separador de milhares 3 2 2 9 3 4 2" xfId="41346"/>
    <cellStyle name="Separador de milhares 3 2 2 9 3 5" xfId="34960"/>
    <cellStyle name="Separador de milhares 3 2 2 9 4" xfId="5343"/>
    <cellStyle name="Separador de milhares 3 2 2 9 4 2" xfId="23975"/>
    <cellStyle name="Separador de milhares 3 2 2 9 4 2 2" xfId="50208"/>
    <cellStyle name="Separador de milhares 3 2 2 9 4 3" xfId="31588"/>
    <cellStyle name="Separador de milhares 3 2 2 9 5" xfId="18061"/>
    <cellStyle name="Separador de milhares 3 2 2 9 5 2" xfId="44300"/>
    <cellStyle name="Separador de milhares 3 2 2 9 6" xfId="11730"/>
    <cellStyle name="Separador de milhares 3 2 2 9 6 2" xfId="37972"/>
    <cellStyle name="Separador de milhares 3 2 2 9 7" xfId="29890"/>
    <cellStyle name="Separador de milhares 3 2 20" xfId="8143"/>
    <cellStyle name="Separador de milhares 3 2 20 2" xfId="26357"/>
    <cellStyle name="Separador de milhares 3 2 20 2 2" xfId="52590"/>
    <cellStyle name="Separador de milhares 3 2 20 3" xfId="20443"/>
    <cellStyle name="Separador de milhares 3 2 20 3 2" xfId="46682"/>
    <cellStyle name="Separador de milhares 3 2 20 4" xfId="14532"/>
    <cellStyle name="Separador de milhares 3 2 20 4 2" xfId="40774"/>
    <cellStyle name="Separador de milhares 3 2 20 5" xfId="34388"/>
    <cellStyle name="Separador de milhares 3 2 21" xfId="4756"/>
    <cellStyle name="Separador de milhares 3 2 21 2" xfId="23400"/>
    <cellStyle name="Separador de milhares 3 2 21 2 2" xfId="49636"/>
    <cellStyle name="Separador de milhares 3 2 21 3" xfId="31004"/>
    <cellStyle name="Separador de milhares 3 2 22" xfId="17486"/>
    <cellStyle name="Separador de milhares 3 2 22 2" xfId="43728"/>
    <cellStyle name="Separador de milhares 3 2 23" xfId="11146"/>
    <cellStyle name="Separador de milhares 3 2 23 2" xfId="37388"/>
    <cellStyle name="Separador de milhares 3 2 24" xfId="29306"/>
    <cellStyle name="Separador de milhares 3 2 3" xfId="120"/>
    <cellStyle name="Separador de milhares 3 2 3 10" xfId="2623"/>
    <cellStyle name="Separador de milhares 3 2 3 10 2" xfId="7191"/>
    <cellStyle name="Separador de milhares 3 2 3 10 2 2" xfId="10335"/>
    <cellStyle name="Separador de milhares 3 2 3 10 2 2 2" xfId="28549"/>
    <cellStyle name="Separador de milhares 3 2 3 10 2 2 2 2" xfId="54779"/>
    <cellStyle name="Separador de milhares 3 2 3 10 2 2 3" xfId="22635"/>
    <cellStyle name="Separador de milhares 3 2 3 10 2 2 3 2" xfId="48871"/>
    <cellStyle name="Separador de milhares 3 2 3 10 2 2 4" xfId="16721"/>
    <cellStyle name="Separador de milhares 3 2 3 10 2 2 4 2" xfId="42963"/>
    <cellStyle name="Separador de milhares 3 2 3 10 2 2 5" xfId="36577"/>
    <cellStyle name="Separador de milhares 3 2 3 10 2 3" xfId="25592"/>
    <cellStyle name="Separador de milhares 3 2 3 10 2 3 2" xfId="51825"/>
    <cellStyle name="Separador de milhares 3 2 3 10 2 4" xfId="19678"/>
    <cellStyle name="Separador de milhares 3 2 3 10 2 4 2" xfId="45917"/>
    <cellStyle name="Separador de milhares 3 2 3 10 2 5" xfId="13580"/>
    <cellStyle name="Separador de milhares 3 2 3 10 2 5 2" xfId="39822"/>
    <cellStyle name="Separador de milhares 3 2 3 10 2 6" xfId="33436"/>
    <cellStyle name="Separador de milhares 3 2 3 10 3" xfId="8867"/>
    <cellStyle name="Separador de milhares 3 2 3 10 3 2" xfId="27081"/>
    <cellStyle name="Separador de milhares 3 2 3 10 3 2 2" xfId="53311"/>
    <cellStyle name="Separador de milhares 3 2 3 10 3 3" xfId="21167"/>
    <cellStyle name="Separador de milhares 3 2 3 10 3 3 2" xfId="47403"/>
    <cellStyle name="Separador de milhares 3 2 3 10 3 4" xfId="15253"/>
    <cellStyle name="Separador de milhares 3 2 3 10 3 4 2" xfId="41495"/>
    <cellStyle name="Separador de milhares 3 2 3 10 3 5" xfId="35109"/>
    <cellStyle name="Separador de milhares 3 2 3 10 4" xfId="5492"/>
    <cellStyle name="Separador de milhares 3 2 3 10 4 2" xfId="24124"/>
    <cellStyle name="Separador de milhares 3 2 3 10 4 2 2" xfId="50357"/>
    <cellStyle name="Separador de milhares 3 2 3 10 4 3" xfId="31737"/>
    <cellStyle name="Separador de milhares 3 2 3 10 5" xfId="18210"/>
    <cellStyle name="Separador de milhares 3 2 3 10 5 2" xfId="44449"/>
    <cellStyle name="Separador de milhares 3 2 3 10 6" xfId="11879"/>
    <cellStyle name="Separador de milhares 3 2 3 10 6 2" xfId="38121"/>
    <cellStyle name="Separador de milhares 3 2 3 10 7" xfId="30039"/>
    <cellStyle name="Separador de milhares 3 2 3 11" xfId="3150"/>
    <cellStyle name="Separador de milhares 3 2 3 11 2" xfId="7338"/>
    <cellStyle name="Separador de milhares 3 2 3 11 2 2" xfId="10482"/>
    <cellStyle name="Separador de milhares 3 2 3 11 2 2 2" xfId="28696"/>
    <cellStyle name="Separador de milhares 3 2 3 11 2 2 2 2" xfId="54926"/>
    <cellStyle name="Separador de milhares 3 2 3 11 2 2 3" xfId="22782"/>
    <cellStyle name="Separador de milhares 3 2 3 11 2 2 3 2" xfId="49018"/>
    <cellStyle name="Separador de milhares 3 2 3 11 2 2 4" xfId="16868"/>
    <cellStyle name="Separador de milhares 3 2 3 11 2 2 4 2" xfId="43110"/>
    <cellStyle name="Separador de milhares 3 2 3 11 2 2 5" xfId="36724"/>
    <cellStyle name="Separador de milhares 3 2 3 11 2 3" xfId="25739"/>
    <cellStyle name="Separador de milhares 3 2 3 11 2 3 2" xfId="51972"/>
    <cellStyle name="Separador de milhares 3 2 3 11 2 4" xfId="19825"/>
    <cellStyle name="Separador de milhares 3 2 3 11 2 4 2" xfId="46064"/>
    <cellStyle name="Separador de milhares 3 2 3 11 2 5" xfId="13727"/>
    <cellStyle name="Separador de milhares 3 2 3 11 2 5 2" xfId="39969"/>
    <cellStyle name="Separador de milhares 3 2 3 11 2 6" xfId="33583"/>
    <cellStyle name="Separador de milhares 3 2 3 11 3" xfId="9014"/>
    <cellStyle name="Separador de milhares 3 2 3 11 3 2" xfId="27228"/>
    <cellStyle name="Separador de milhares 3 2 3 11 3 2 2" xfId="53458"/>
    <cellStyle name="Separador de milhares 3 2 3 11 3 3" xfId="21314"/>
    <cellStyle name="Separador de milhares 3 2 3 11 3 3 2" xfId="47550"/>
    <cellStyle name="Separador de milhares 3 2 3 11 3 4" xfId="15400"/>
    <cellStyle name="Separador de milhares 3 2 3 11 3 4 2" xfId="41642"/>
    <cellStyle name="Separador de milhares 3 2 3 11 3 5" xfId="35256"/>
    <cellStyle name="Separador de milhares 3 2 3 11 4" xfId="5639"/>
    <cellStyle name="Separador de milhares 3 2 3 11 4 2" xfId="24271"/>
    <cellStyle name="Separador de milhares 3 2 3 11 4 2 2" xfId="50504"/>
    <cellStyle name="Separador de milhares 3 2 3 11 4 3" xfId="31884"/>
    <cellStyle name="Separador de milhares 3 2 3 11 5" xfId="18357"/>
    <cellStyle name="Separador de milhares 3 2 3 11 5 2" xfId="44596"/>
    <cellStyle name="Separador de milhares 3 2 3 11 6" xfId="12026"/>
    <cellStyle name="Separador de milhares 3 2 3 11 6 2" xfId="38268"/>
    <cellStyle name="Separador de milhares 3 2 3 11 7" xfId="30186"/>
    <cellStyle name="Separador de milhares 3 2 3 12" xfId="3677"/>
    <cellStyle name="Separador de milhares 3 2 3 12 2" xfId="7485"/>
    <cellStyle name="Separador de milhares 3 2 3 12 2 2" xfId="10629"/>
    <cellStyle name="Separador de milhares 3 2 3 12 2 2 2" xfId="28843"/>
    <cellStyle name="Separador de milhares 3 2 3 12 2 2 2 2" xfId="55073"/>
    <cellStyle name="Separador de milhares 3 2 3 12 2 2 3" xfId="22929"/>
    <cellStyle name="Separador de milhares 3 2 3 12 2 2 3 2" xfId="49165"/>
    <cellStyle name="Separador de milhares 3 2 3 12 2 2 4" xfId="17015"/>
    <cellStyle name="Separador de milhares 3 2 3 12 2 2 4 2" xfId="43257"/>
    <cellStyle name="Separador de milhares 3 2 3 12 2 2 5" xfId="36871"/>
    <cellStyle name="Separador de milhares 3 2 3 12 2 3" xfId="25886"/>
    <cellStyle name="Separador de milhares 3 2 3 12 2 3 2" xfId="52119"/>
    <cellStyle name="Separador de milhares 3 2 3 12 2 4" xfId="19972"/>
    <cellStyle name="Separador de milhares 3 2 3 12 2 4 2" xfId="46211"/>
    <cellStyle name="Separador de milhares 3 2 3 12 2 5" xfId="13874"/>
    <cellStyle name="Separador de milhares 3 2 3 12 2 5 2" xfId="40116"/>
    <cellStyle name="Separador de milhares 3 2 3 12 2 6" xfId="33730"/>
    <cellStyle name="Separador de milhares 3 2 3 12 3" xfId="9161"/>
    <cellStyle name="Separador de milhares 3 2 3 12 3 2" xfId="27375"/>
    <cellStyle name="Separador de milhares 3 2 3 12 3 2 2" xfId="53605"/>
    <cellStyle name="Separador de milhares 3 2 3 12 3 3" xfId="21461"/>
    <cellStyle name="Separador de milhares 3 2 3 12 3 3 2" xfId="47697"/>
    <cellStyle name="Separador de milhares 3 2 3 12 3 4" xfId="15547"/>
    <cellStyle name="Separador de milhares 3 2 3 12 3 4 2" xfId="41789"/>
    <cellStyle name="Separador de milhares 3 2 3 12 3 5" xfId="35403"/>
    <cellStyle name="Separador de milhares 3 2 3 12 4" xfId="5786"/>
    <cellStyle name="Separador de milhares 3 2 3 12 4 2" xfId="24418"/>
    <cellStyle name="Separador de milhares 3 2 3 12 4 2 2" xfId="50651"/>
    <cellStyle name="Separador de milhares 3 2 3 12 4 3" xfId="32031"/>
    <cellStyle name="Separador de milhares 3 2 3 12 5" xfId="18504"/>
    <cellStyle name="Separador de milhares 3 2 3 12 5 2" xfId="44743"/>
    <cellStyle name="Separador de milhares 3 2 3 12 6" xfId="12173"/>
    <cellStyle name="Separador de milhares 3 2 3 12 6 2" xfId="38415"/>
    <cellStyle name="Separador de milhares 3 2 3 12 7" xfId="30333"/>
    <cellStyle name="Separador de milhares 3 2 3 13" xfId="6469"/>
    <cellStyle name="Separador de milhares 3 2 3 13 2" xfId="9625"/>
    <cellStyle name="Separador de milhares 3 2 3 13 2 2" xfId="27839"/>
    <cellStyle name="Separador de milhares 3 2 3 13 2 2 2" xfId="54069"/>
    <cellStyle name="Separador de milhares 3 2 3 13 2 3" xfId="21925"/>
    <cellStyle name="Separador de milhares 3 2 3 13 2 3 2" xfId="48161"/>
    <cellStyle name="Separador de milhares 3 2 3 13 2 4" xfId="16011"/>
    <cellStyle name="Separador de milhares 3 2 3 13 2 4 2" xfId="42253"/>
    <cellStyle name="Separador de milhares 3 2 3 13 2 5" xfId="35867"/>
    <cellStyle name="Separador de milhares 3 2 3 13 3" xfId="24882"/>
    <cellStyle name="Separador de milhares 3 2 3 13 3 2" xfId="51115"/>
    <cellStyle name="Separador de milhares 3 2 3 13 4" xfId="18968"/>
    <cellStyle name="Separador de milhares 3 2 3 13 4 2" xfId="45207"/>
    <cellStyle name="Separador de milhares 3 2 3 13 5" xfId="12858"/>
    <cellStyle name="Separador de milhares 3 2 3 13 5 2" xfId="39100"/>
    <cellStyle name="Separador de milhares 3 2 3 13 6" xfId="32714"/>
    <cellStyle name="Separador de milhares 3 2 3 14" xfId="8154"/>
    <cellStyle name="Separador de milhares 3 2 3 14 2" xfId="26368"/>
    <cellStyle name="Separador de milhares 3 2 3 14 2 2" xfId="52601"/>
    <cellStyle name="Separador de milhares 3 2 3 14 3" xfId="20454"/>
    <cellStyle name="Separador de milhares 3 2 3 14 3 2" xfId="46693"/>
    <cellStyle name="Separador de milhares 3 2 3 14 4" xfId="14543"/>
    <cellStyle name="Separador de milhares 3 2 3 14 4 2" xfId="40785"/>
    <cellStyle name="Separador de milhares 3 2 3 14 5" xfId="34399"/>
    <cellStyle name="Separador de milhares 3 2 3 15" xfId="4767"/>
    <cellStyle name="Separador de milhares 3 2 3 15 2" xfId="23411"/>
    <cellStyle name="Separador de milhares 3 2 3 15 2 2" xfId="49647"/>
    <cellStyle name="Separador de milhares 3 2 3 15 3" xfId="31015"/>
    <cellStyle name="Separador de milhares 3 2 3 16" xfId="17497"/>
    <cellStyle name="Separador de milhares 3 2 3 16 2" xfId="43739"/>
    <cellStyle name="Separador de milhares 3 2 3 17" xfId="11157"/>
    <cellStyle name="Separador de milhares 3 2 3 17 2" xfId="37399"/>
    <cellStyle name="Separador de milhares 3 2 3 18" xfId="29317"/>
    <cellStyle name="Separador de milhares 3 2 3 2" xfId="214"/>
    <cellStyle name="Separador de milhares 3 2 3 2 10" xfId="6498"/>
    <cellStyle name="Separador de milhares 3 2 3 2 10 2" xfId="9652"/>
    <cellStyle name="Separador de milhares 3 2 3 2 10 2 2" xfId="27866"/>
    <cellStyle name="Separador de milhares 3 2 3 2 10 2 2 2" xfId="54096"/>
    <cellStyle name="Separador de milhares 3 2 3 2 10 2 3" xfId="21952"/>
    <cellStyle name="Separador de milhares 3 2 3 2 10 2 3 2" xfId="48188"/>
    <cellStyle name="Separador de milhares 3 2 3 2 10 2 4" xfId="16038"/>
    <cellStyle name="Separador de milhares 3 2 3 2 10 2 4 2" xfId="42280"/>
    <cellStyle name="Separador de milhares 3 2 3 2 10 2 5" xfId="35894"/>
    <cellStyle name="Separador de milhares 3 2 3 2 10 3" xfId="24909"/>
    <cellStyle name="Separador de milhares 3 2 3 2 10 3 2" xfId="51142"/>
    <cellStyle name="Separador de milhares 3 2 3 2 10 4" xfId="18995"/>
    <cellStyle name="Separador de milhares 3 2 3 2 10 4 2" xfId="45234"/>
    <cellStyle name="Separador de milhares 3 2 3 2 10 5" xfId="12887"/>
    <cellStyle name="Separador de milhares 3 2 3 2 10 5 2" xfId="39129"/>
    <cellStyle name="Separador de milhares 3 2 3 2 10 6" xfId="32743"/>
    <cellStyle name="Separador de milhares 3 2 3 2 11" xfId="8181"/>
    <cellStyle name="Separador de milhares 3 2 3 2 11 2" xfId="26395"/>
    <cellStyle name="Separador de milhares 3 2 3 2 11 2 2" xfId="52628"/>
    <cellStyle name="Separador de milhares 3 2 3 2 11 3" xfId="20481"/>
    <cellStyle name="Separador de milhares 3 2 3 2 11 3 2" xfId="46720"/>
    <cellStyle name="Separador de milhares 3 2 3 2 11 4" xfId="14570"/>
    <cellStyle name="Separador de milhares 3 2 3 2 11 4 2" xfId="40812"/>
    <cellStyle name="Separador de milhares 3 2 3 2 11 5" xfId="34426"/>
    <cellStyle name="Separador de milhares 3 2 3 2 12" xfId="4797"/>
    <cellStyle name="Separador de milhares 3 2 3 2 12 2" xfId="23438"/>
    <cellStyle name="Separador de milhares 3 2 3 2 12 2 2" xfId="49674"/>
    <cellStyle name="Separador de milhares 3 2 3 2 12 3" xfId="31044"/>
    <cellStyle name="Separador de milhares 3 2 3 2 13" xfId="17524"/>
    <cellStyle name="Separador de milhares 3 2 3 2 13 2" xfId="43766"/>
    <cellStyle name="Separador de milhares 3 2 3 2 14" xfId="11186"/>
    <cellStyle name="Separador de milhares 3 2 3 2 14 2" xfId="37428"/>
    <cellStyle name="Separador de milhares 3 2 3 2 15" xfId="29347"/>
    <cellStyle name="Separador de milhares 3 2 3 2 2" xfId="487"/>
    <cellStyle name="Separador de milhares 3 2 3 2 2 10" xfId="17598"/>
    <cellStyle name="Separador de milhares 3 2 3 2 2 10 2" xfId="43840"/>
    <cellStyle name="Separador de milhares 3 2 3 2 2 11" xfId="11267"/>
    <cellStyle name="Separador de milhares 3 2 3 2 2 11 2" xfId="37509"/>
    <cellStyle name="Separador de milhares 3 2 3 2 2 12" xfId="29427"/>
    <cellStyle name="Separador de milhares 3 2 3 2 2 2" xfId="2006"/>
    <cellStyle name="Separador de milhares 3 2 3 2 2 2 2" xfId="7017"/>
    <cellStyle name="Separador de milhares 3 2 3 2 2 2 2 2" xfId="10164"/>
    <cellStyle name="Separador de milhares 3 2 3 2 2 2 2 2 2" xfId="28378"/>
    <cellStyle name="Separador de milhares 3 2 3 2 2 2 2 2 2 2" xfId="54608"/>
    <cellStyle name="Separador de milhares 3 2 3 2 2 2 2 2 3" xfId="22464"/>
    <cellStyle name="Separador de milhares 3 2 3 2 2 2 2 2 3 2" xfId="48700"/>
    <cellStyle name="Separador de milhares 3 2 3 2 2 2 2 2 4" xfId="16550"/>
    <cellStyle name="Separador de milhares 3 2 3 2 2 2 2 2 4 2" xfId="42792"/>
    <cellStyle name="Separador de milhares 3 2 3 2 2 2 2 2 5" xfId="36406"/>
    <cellStyle name="Separador de milhares 3 2 3 2 2 2 2 3" xfId="25421"/>
    <cellStyle name="Separador de milhares 3 2 3 2 2 2 2 3 2" xfId="51654"/>
    <cellStyle name="Separador de milhares 3 2 3 2 2 2 2 4" xfId="19507"/>
    <cellStyle name="Separador de milhares 3 2 3 2 2 2 2 4 2" xfId="45746"/>
    <cellStyle name="Separador de milhares 3 2 3 2 2 2 2 5" xfId="13406"/>
    <cellStyle name="Separador de milhares 3 2 3 2 2 2 2 5 2" xfId="39648"/>
    <cellStyle name="Separador de milhares 3 2 3 2 2 2 2 6" xfId="33262"/>
    <cellStyle name="Separador de milhares 3 2 3 2 2 2 3" xfId="8696"/>
    <cellStyle name="Separador de milhares 3 2 3 2 2 2 3 2" xfId="26910"/>
    <cellStyle name="Separador de milhares 3 2 3 2 2 2 3 2 2" xfId="53140"/>
    <cellStyle name="Separador de milhares 3 2 3 2 2 2 3 3" xfId="20996"/>
    <cellStyle name="Separador de milhares 3 2 3 2 2 2 3 3 2" xfId="47232"/>
    <cellStyle name="Separador de milhares 3 2 3 2 2 2 3 4" xfId="15082"/>
    <cellStyle name="Separador de milhares 3 2 3 2 2 2 3 4 2" xfId="41324"/>
    <cellStyle name="Separador de milhares 3 2 3 2 2 2 3 5" xfId="34938"/>
    <cellStyle name="Separador de milhares 3 2 3 2 2 2 4" xfId="5318"/>
    <cellStyle name="Separador de milhares 3 2 3 2 2 2 4 2" xfId="23953"/>
    <cellStyle name="Separador de milhares 3 2 3 2 2 2 4 2 2" xfId="50186"/>
    <cellStyle name="Separador de milhares 3 2 3 2 2 2 4 3" xfId="31563"/>
    <cellStyle name="Separador de milhares 3 2 3 2 2 2 5" xfId="18039"/>
    <cellStyle name="Separador de milhares 3 2 3 2 2 2 5 2" xfId="44278"/>
    <cellStyle name="Separador de milhares 3 2 3 2 2 2 6" xfId="11705"/>
    <cellStyle name="Separador de milhares 3 2 3 2 2 2 6 2" xfId="37947"/>
    <cellStyle name="Separador de milhares 3 2 3 2 2 2 7" xfId="29865"/>
    <cellStyle name="Separador de milhares 3 2 3 2 2 3" xfId="2536"/>
    <cellStyle name="Separador de milhares 3 2 3 2 2 3 2" xfId="7167"/>
    <cellStyle name="Separador de milhares 3 2 3 2 2 3 2 2" xfId="10311"/>
    <cellStyle name="Separador de milhares 3 2 3 2 2 3 2 2 2" xfId="28525"/>
    <cellStyle name="Separador de milhares 3 2 3 2 2 3 2 2 2 2" xfId="54755"/>
    <cellStyle name="Separador de milhares 3 2 3 2 2 3 2 2 3" xfId="22611"/>
    <cellStyle name="Separador de milhares 3 2 3 2 2 3 2 2 3 2" xfId="48847"/>
    <cellStyle name="Separador de milhares 3 2 3 2 2 3 2 2 4" xfId="16697"/>
    <cellStyle name="Separador de milhares 3 2 3 2 2 3 2 2 4 2" xfId="42939"/>
    <cellStyle name="Separador de milhares 3 2 3 2 2 3 2 2 5" xfId="36553"/>
    <cellStyle name="Separador de milhares 3 2 3 2 2 3 2 3" xfId="25568"/>
    <cellStyle name="Separador de milhares 3 2 3 2 2 3 2 3 2" xfId="51801"/>
    <cellStyle name="Separador de milhares 3 2 3 2 2 3 2 4" xfId="19654"/>
    <cellStyle name="Separador de milhares 3 2 3 2 2 3 2 4 2" xfId="45893"/>
    <cellStyle name="Separador de milhares 3 2 3 2 2 3 2 5" xfId="13556"/>
    <cellStyle name="Separador de milhares 3 2 3 2 2 3 2 5 2" xfId="39798"/>
    <cellStyle name="Separador de milhares 3 2 3 2 2 3 2 6" xfId="33412"/>
    <cellStyle name="Separador de milhares 3 2 3 2 2 3 3" xfId="8843"/>
    <cellStyle name="Separador de milhares 3 2 3 2 2 3 3 2" xfId="27057"/>
    <cellStyle name="Separador de milhares 3 2 3 2 2 3 3 2 2" xfId="53287"/>
    <cellStyle name="Separador de milhares 3 2 3 2 2 3 3 3" xfId="21143"/>
    <cellStyle name="Separador de milhares 3 2 3 2 2 3 3 3 2" xfId="47379"/>
    <cellStyle name="Separador de milhares 3 2 3 2 2 3 3 4" xfId="15229"/>
    <cellStyle name="Separador de milhares 3 2 3 2 2 3 3 4 2" xfId="41471"/>
    <cellStyle name="Separador de milhares 3 2 3 2 2 3 3 5" xfId="35085"/>
    <cellStyle name="Separador de milhares 3 2 3 2 2 3 4" xfId="5468"/>
    <cellStyle name="Separador de milhares 3 2 3 2 2 3 4 2" xfId="24100"/>
    <cellStyle name="Separador de milhares 3 2 3 2 2 3 4 2 2" xfId="50333"/>
    <cellStyle name="Separador de milhares 3 2 3 2 2 3 4 3" xfId="31713"/>
    <cellStyle name="Separador de milhares 3 2 3 2 2 3 5" xfId="18186"/>
    <cellStyle name="Separador de milhares 3 2 3 2 2 3 5 2" xfId="44425"/>
    <cellStyle name="Separador de milhares 3 2 3 2 2 3 6" xfId="11855"/>
    <cellStyle name="Separador de milhares 3 2 3 2 2 3 6 2" xfId="38097"/>
    <cellStyle name="Separador de milhares 3 2 3 2 2 3 7" xfId="30015"/>
    <cellStyle name="Separador de milhares 3 2 3 2 2 4" xfId="3063"/>
    <cellStyle name="Separador de milhares 3 2 3 2 2 4 2" xfId="7314"/>
    <cellStyle name="Separador de milhares 3 2 3 2 2 4 2 2" xfId="10458"/>
    <cellStyle name="Separador de milhares 3 2 3 2 2 4 2 2 2" xfId="28672"/>
    <cellStyle name="Separador de milhares 3 2 3 2 2 4 2 2 2 2" xfId="54902"/>
    <cellStyle name="Separador de milhares 3 2 3 2 2 4 2 2 3" xfId="22758"/>
    <cellStyle name="Separador de milhares 3 2 3 2 2 4 2 2 3 2" xfId="48994"/>
    <cellStyle name="Separador de milhares 3 2 3 2 2 4 2 2 4" xfId="16844"/>
    <cellStyle name="Separador de milhares 3 2 3 2 2 4 2 2 4 2" xfId="43086"/>
    <cellStyle name="Separador de milhares 3 2 3 2 2 4 2 2 5" xfId="36700"/>
    <cellStyle name="Separador de milhares 3 2 3 2 2 4 2 3" xfId="25715"/>
    <cellStyle name="Separador de milhares 3 2 3 2 2 4 2 3 2" xfId="51948"/>
    <cellStyle name="Separador de milhares 3 2 3 2 2 4 2 4" xfId="19801"/>
    <cellStyle name="Separador de milhares 3 2 3 2 2 4 2 4 2" xfId="46040"/>
    <cellStyle name="Separador de milhares 3 2 3 2 2 4 2 5" xfId="13703"/>
    <cellStyle name="Separador de milhares 3 2 3 2 2 4 2 5 2" xfId="39945"/>
    <cellStyle name="Separador de milhares 3 2 3 2 2 4 2 6" xfId="33559"/>
    <cellStyle name="Separador de milhares 3 2 3 2 2 4 3" xfId="8990"/>
    <cellStyle name="Separador de milhares 3 2 3 2 2 4 3 2" xfId="27204"/>
    <cellStyle name="Separador de milhares 3 2 3 2 2 4 3 2 2" xfId="53434"/>
    <cellStyle name="Separador de milhares 3 2 3 2 2 4 3 3" xfId="21290"/>
    <cellStyle name="Separador de milhares 3 2 3 2 2 4 3 3 2" xfId="47526"/>
    <cellStyle name="Separador de milhares 3 2 3 2 2 4 3 4" xfId="15376"/>
    <cellStyle name="Separador de milhares 3 2 3 2 2 4 3 4 2" xfId="41618"/>
    <cellStyle name="Separador de milhares 3 2 3 2 2 4 3 5" xfId="35232"/>
    <cellStyle name="Separador de milhares 3 2 3 2 2 4 4" xfId="5615"/>
    <cellStyle name="Separador de milhares 3 2 3 2 2 4 4 2" xfId="24247"/>
    <cellStyle name="Separador de milhares 3 2 3 2 2 4 4 2 2" xfId="50480"/>
    <cellStyle name="Separador de milhares 3 2 3 2 2 4 4 3" xfId="31860"/>
    <cellStyle name="Separador de milhares 3 2 3 2 2 4 5" xfId="18333"/>
    <cellStyle name="Separador de milhares 3 2 3 2 2 4 5 2" xfId="44572"/>
    <cellStyle name="Separador de milhares 3 2 3 2 2 4 6" xfId="12002"/>
    <cellStyle name="Separador de milhares 3 2 3 2 2 4 6 2" xfId="38244"/>
    <cellStyle name="Separador de milhares 3 2 3 2 2 4 7" xfId="30162"/>
    <cellStyle name="Separador de milhares 3 2 3 2 2 5" xfId="3590"/>
    <cellStyle name="Separador de milhares 3 2 3 2 2 5 2" xfId="7461"/>
    <cellStyle name="Separador de milhares 3 2 3 2 2 5 2 2" xfId="10605"/>
    <cellStyle name="Separador de milhares 3 2 3 2 2 5 2 2 2" xfId="28819"/>
    <cellStyle name="Separador de milhares 3 2 3 2 2 5 2 2 2 2" xfId="55049"/>
    <cellStyle name="Separador de milhares 3 2 3 2 2 5 2 2 3" xfId="22905"/>
    <cellStyle name="Separador de milhares 3 2 3 2 2 5 2 2 3 2" xfId="49141"/>
    <cellStyle name="Separador de milhares 3 2 3 2 2 5 2 2 4" xfId="16991"/>
    <cellStyle name="Separador de milhares 3 2 3 2 2 5 2 2 4 2" xfId="43233"/>
    <cellStyle name="Separador de milhares 3 2 3 2 2 5 2 2 5" xfId="36847"/>
    <cellStyle name="Separador de milhares 3 2 3 2 2 5 2 3" xfId="25862"/>
    <cellStyle name="Separador de milhares 3 2 3 2 2 5 2 3 2" xfId="52095"/>
    <cellStyle name="Separador de milhares 3 2 3 2 2 5 2 4" xfId="19948"/>
    <cellStyle name="Separador de milhares 3 2 3 2 2 5 2 4 2" xfId="46187"/>
    <cellStyle name="Separador de milhares 3 2 3 2 2 5 2 5" xfId="13850"/>
    <cellStyle name="Separador de milhares 3 2 3 2 2 5 2 5 2" xfId="40092"/>
    <cellStyle name="Separador de milhares 3 2 3 2 2 5 2 6" xfId="33706"/>
    <cellStyle name="Separador de milhares 3 2 3 2 2 5 3" xfId="9137"/>
    <cellStyle name="Separador de milhares 3 2 3 2 2 5 3 2" xfId="27351"/>
    <cellStyle name="Separador de milhares 3 2 3 2 2 5 3 2 2" xfId="53581"/>
    <cellStyle name="Separador de milhares 3 2 3 2 2 5 3 3" xfId="21437"/>
    <cellStyle name="Separador de milhares 3 2 3 2 2 5 3 3 2" xfId="47673"/>
    <cellStyle name="Separador de milhares 3 2 3 2 2 5 3 4" xfId="15523"/>
    <cellStyle name="Separador de milhares 3 2 3 2 2 5 3 4 2" xfId="41765"/>
    <cellStyle name="Separador de milhares 3 2 3 2 2 5 3 5" xfId="35379"/>
    <cellStyle name="Separador de milhares 3 2 3 2 2 5 4" xfId="5762"/>
    <cellStyle name="Separador de milhares 3 2 3 2 2 5 4 2" xfId="24394"/>
    <cellStyle name="Separador de milhares 3 2 3 2 2 5 4 2 2" xfId="50627"/>
    <cellStyle name="Separador de milhares 3 2 3 2 2 5 4 3" xfId="32007"/>
    <cellStyle name="Separador de milhares 3 2 3 2 2 5 5" xfId="18480"/>
    <cellStyle name="Separador de milhares 3 2 3 2 2 5 5 2" xfId="44719"/>
    <cellStyle name="Separador de milhares 3 2 3 2 2 5 6" xfId="12149"/>
    <cellStyle name="Separador de milhares 3 2 3 2 2 5 6 2" xfId="38391"/>
    <cellStyle name="Separador de milhares 3 2 3 2 2 5 7" xfId="30309"/>
    <cellStyle name="Separador de milhares 3 2 3 2 2 6" xfId="4117"/>
    <cellStyle name="Separador de milhares 3 2 3 2 2 6 2" xfId="7608"/>
    <cellStyle name="Separador de milhares 3 2 3 2 2 6 2 2" xfId="10752"/>
    <cellStyle name="Separador de milhares 3 2 3 2 2 6 2 2 2" xfId="28966"/>
    <cellStyle name="Separador de milhares 3 2 3 2 2 6 2 2 2 2" xfId="55196"/>
    <cellStyle name="Separador de milhares 3 2 3 2 2 6 2 2 3" xfId="23052"/>
    <cellStyle name="Separador de milhares 3 2 3 2 2 6 2 2 3 2" xfId="49288"/>
    <cellStyle name="Separador de milhares 3 2 3 2 2 6 2 2 4" xfId="17138"/>
    <cellStyle name="Separador de milhares 3 2 3 2 2 6 2 2 4 2" xfId="43380"/>
    <cellStyle name="Separador de milhares 3 2 3 2 2 6 2 2 5" xfId="36994"/>
    <cellStyle name="Separador de milhares 3 2 3 2 2 6 2 3" xfId="26009"/>
    <cellStyle name="Separador de milhares 3 2 3 2 2 6 2 3 2" xfId="52242"/>
    <cellStyle name="Separador de milhares 3 2 3 2 2 6 2 4" xfId="20095"/>
    <cellStyle name="Separador de milhares 3 2 3 2 2 6 2 4 2" xfId="46334"/>
    <cellStyle name="Separador de milhares 3 2 3 2 2 6 2 5" xfId="13997"/>
    <cellStyle name="Separador de milhares 3 2 3 2 2 6 2 5 2" xfId="40239"/>
    <cellStyle name="Separador de milhares 3 2 3 2 2 6 2 6" xfId="33853"/>
    <cellStyle name="Separador de milhares 3 2 3 2 2 6 3" xfId="9284"/>
    <cellStyle name="Separador de milhares 3 2 3 2 2 6 3 2" xfId="27498"/>
    <cellStyle name="Separador de milhares 3 2 3 2 2 6 3 2 2" xfId="53728"/>
    <cellStyle name="Separador de milhares 3 2 3 2 2 6 3 3" xfId="21584"/>
    <cellStyle name="Separador de milhares 3 2 3 2 2 6 3 3 2" xfId="47820"/>
    <cellStyle name="Separador de milhares 3 2 3 2 2 6 3 4" xfId="15670"/>
    <cellStyle name="Separador de milhares 3 2 3 2 2 6 3 4 2" xfId="41912"/>
    <cellStyle name="Separador de milhares 3 2 3 2 2 6 3 5" xfId="35526"/>
    <cellStyle name="Separador de milhares 3 2 3 2 2 6 4" xfId="5909"/>
    <cellStyle name="Separador de milhares 3 2 3 2 2 6 4 2" xfId="24541"/>
    <cellStyle name="Separador de milhares 3 2 3 2 2 6 4 2 2" xfId="50774"/>
    <cellStyle name="Separador de milhares 3 2 3 2 2 6 4 3" xfId="32154"/>
    <cellStyle name="Separador de milhares 3 2 3 2 2 6 5" xfId="18627"/>
    <cellStyle name="Separador de milhares 3 2 3 2 2 6 5 2" xfId="44866"/>
    <cellStyle name="Separador de milhares 3 2 3 2 2 6 6" xfId="12296"/>
    <cellStyle name="Separador de milhares 3 2 3 2 2 6 6 2" xfId="38538"/>
    <cellStyle name="Separador de milhares 3 2 3 2 2 6 7" xfId="30456"/>
    <cellStyle name="Separador de milhares 3 2 3 2 2 7" xfId="6579"/>
    <cellStyle name="Separador de milhares 3 2 3 2 2 7 2" xfId="9726"/>
    <cellStyle name="Separador de milhares 3 2 3 2 2 7 2 2" xfId="27940"/>
    <cellStyle name="Separador de milhares 3 2 3 2 2 7 2 2 2" xfId="54170"/>
    <cellStyle name="Separador de milhares 3 2 3 2 2 7 2 3" xfId="22026"/>
    <cellStyle name="Separador de milhares 3 2 3 2 2 7 2 3 2" xfId="48262"/>
    <cellStyle name="Separador de milhares 3 2 3 2 2 7 2 4" xfId="16112"/>
    <cellStyle name="Separador de milhares 3 2 3 2 2 7 2 4 2" xfId="42354"/>
    <cellStyle name="Separador de milhares 3 2 3 2 2 7 2 5" xfId="35968"/>
    <cellStyle name="Separador de milhares 3 2 3 2 2 7 3" xfId="24983"/>
    <cellStyle name="Separador de milhares 3 2 3 2 2 7 3 2" xfId="51216"/>
    <cellStyle name="Separador de milhares 3 2 3 2 2 7 4" xfId="19069"/>
    <cellStyle name="Separador de milhares 3 2 3 2 2 7 4 2" xfId="45308"/>
    <cellStyle name="Separador de milhares 3 2 3 2 2 7 5" xfId="12968"/>
    <cellStyle name="Separador de milhares 3 2 3 2 2 7 5 2" xfId="39210"/>
    <cellStyle name="Separador de milhares 3 2 3 2 2 7 6" xfId="32824"/>
    <cellStyle name="Separador de milhares 3 2 3 2 2 8" xfId="8255"/>
    <cellStyle name="Separador de milhares 3 2 3 2 2 8 2" xfId="26469"/>
    <cellStyle name="Separador de milhares 3 2 3 2 2 8 2 2" xfId="52702"/>
    <cellStyle name="Separador de milhares 3 2 3 2 2 8 3" xfId="20555"/>
    <cellStyle name="Separador de milhares 3 2 3 2 2 8 3 2" xfId="46794"/>
    <cellStyle name="Separador de milhares 3 2 3 2 2 8 4" xfId="14644"/>
    <cellStyle name="Separador de milhares 3 2 3 2 2 8 4 2" xfId="40886"/>
    <cellStyle name="Separador de milhares 3 2 3 2 2 8 5" xfId="34500"/>
    <cellStyle name="Separador de milhares 3 2 3 2 2 9" xfId="4878"/>
    <cellStyle name="Separador de milhares 3 2 3 2 2 9 2" xfId="23512"/>
    <cellStyle name="Separador de milhares 3 2 3 2 2 9 2 2" xfId="49748"/>
    <cellStyle name="Separador de milhares 3 2 3 2 2 9 3" xfId="31125"/>
    <cellStyle name="Separador de milhares 3 2 3 2 3" xfId="960"/>
    <cellStyle name="Separador de milhares 3 2 3 2 3 2" xfId="6730"/>
    <cellStyle name="Separador de milhares 3 2 3 2 3 2 2" xfId="9877"/>
    <cellStyle name="Separador de milhares 3 2 3 2 3 2 2 2" xfId="28091"/>
    <cellStyle name="Separador de milhares 3 2 3 2 3 2 2 2 2" xfId="54321"/>
    <cellStyle name="Separador de milhares 3 2 3 2 3 2 2 3" xfId="22177"/>
    <cellStyle name="Separador de milhares 3 2 3 2 3 2 2 3 2" xfId="48413"/>
    <cellStyle name="Separador de milhares 3 2 3 2 3 2 2 4" xfId="16263"/>
    <cellStyle name="Separador de milhares 3 2 3 2 3 2 2 4 2" xfId="42505"/>
    <cellStyle name="Separador de milhares 3 2 3 2 3 2 2 5" xfId="36119"/>
    <cellStyle name="Separador de milhares 3 2 3 2 3 2 3" xfId="25134"/>
    <cellStyle name="Separador de milhares 3 2 3 2 3 2 3 2" xfId="51367"/>
    <cellStyle name="Separador de milhares 3 2 3 2 3 2 4" xfId="19220"/>
    <cellStyle name="Separador de milhares 3 2 3 2 3 2 4 2" xfId="45459"/>
    <cellStyle name="Separador de milhares 3 2 3 2 3 2 5" xfId="13119"/>
    <cellStyle name="Separador de milhares 3 2 3 2 3 2 5 2" xfId="39361"/>
    <cellStyle name="Separador de milhares 3 2 3 2 3 2 6" xfId="32975"/>
    <cellStyle name="Separador de milhares 3 2 3 2 3 3" xfId="8409"/>
    <cellStyle name="Separador de milhares 3 2 3 2 3 3 2" xfId="26623"/>
    <cellStyle name="Separador de milhares 3 2 3 2 3 3 2 2" xfId="52853"/>
    <cellStyle name="Separador de milhares 3 2 3 2 3 3 3" xfId="20709"/>
    <cellStyle name="Separador de milhares 3 2 3 2 3 3 3 2" xfId="46945"/>
    <cellStyle name="Separador de milhares 3 2 3 2 3 3 4" xfId="14795"/>
    <cellStyle name="Separador de milhares 3 2 3 2 3 3 4 2" xfId="41037"/>
    <cellStyle name="Separador de milhares 3 2 3 2 3 3 5" xfId="34651"/>
    <cellStyle name="Separador de milhares 3 2 3 2 3 4" xfId="5031"/>
    <cellStyle name="Separador de milhares 3 2 3 2 3 4 2" xfId="23666"/>
    <cellStyle name="Separador de milhares 3 2 3 2 3 4 2 2" xfId="49899"/>
    <cellStyle name="Separador de milhares 3 2 3 2 3 4 3" xfId="31276"/>
    <cellStyle name="Separador de milhares 3 2 3 2 3 5" xfId="17752"/>
    <cellStyle name="Separador de milhares 3 2 3 2 3 5 2" xfId="43991"/>
    <cellStyle name="Separador de milhares 3 2 3 2 3 6" xfId="11418"/>
    <cellStyle name="Separador de milhares 3 2 3 2 3 6 2" xfId="37660"/>
    <cellStyle name="Separador de milhares 3 2 3 2 3 7" xfId="29578"/>
    <cellStyle name="Separador de milhares 3 2 3 2 4" xfId="1311"/>
    <cellStyle name="Separador de milhares 3 2 3 2 4 2" xfId="6828"/>
    <cellStyle name="Separador de milhares 3 2 3 2 4 2 2" xfId="9975"/>
    <cellStyle name="Separador de milhares 3 2 3 2 4 2 2 2" xfId="28189"/>
    <cellStyle name="Separador de milhares 3 2 3 2 4 2 2 2 2" xfId="54419"/>
    <cellStyle name="Separador de milhares 3 2 3 2 4 2 2 3" xfId="22275"/>
    <cellStyle name="Separador de milhares 3 2 3 2 4 2 2 3 2" xfId="48511"/>
    <cellStyle name="Separador de milhares 3 2 3 2 4 2 2 4" xfId="16361"/>
    <cellStyle name="Separador de milhares 3 2 3 2 4 2 2 4 2" xfId="42603"/>
    <cellStyle name="Separador de milhares 3 2 3 2 4 2 2 5" xfId="36217"/>
    <cellStyle name="Separador de milhares 3 2 3 2 4 2 3" xfId="25232"/>
    <cellStyle name="Separador de milhares 3 2 3 2 4 2 3 2" xfId="51465"/>
    <cellStyle name="Separador de milhares 3 2 3 2 4 2 4" xfId="19318"/>
    <cellStyle name="Separador de milhares 3 2 3 2 4 2 4 2" xfId="45557"/>
    <cellStyle name="Separador de milhares 3 2 3 2 4 2 5" xfId="13217"/>
    <cellStyle name="Separador de milhares 3 2 3 2 4 2 5 2" xfId="39459"/>
    <cellStyle name="Separador de milhares 3 2 3 2 4 2 6" xfId="33073"/>
    <cellStyle name="Separador de milhares 3 2 3 2 4 3" xfId="8507"/>
    <cellStyle name="Separador de milhares 3 2 3 2 4 3 2" xfId="26721"/>
    <cellStyle name="Separador de milhares 3 2 3 2 4 3 2 2" xfId="52951"/>
    <cellStyle name="Separador de milhares 3 2 3 2 4 3 3" xfId="20807"/>
    <cellStyle name="Separador de milhares 3 2 3 2 4 3 3 2" xfId="47043"/>
    <cellStyle name="Separador de milhares 3 2 3 2 4 3 4" xfId="14893"/>
    <cellStyle name="Separador de milhares 3 2 3 2 4 3 4 2" xfId="41135"/>
    <cellStyle name="Separador de milhares 3 2 3 2 4 3 5" xfId="34749"/>
    <cellStyle name="Separador de milhares 3 2 3 2 4 4" xfId="5129"/>
    <cellStyle name="Separador de milhares 3 2 3 2 4 4 2" xfId="23764"/>
    <cellStyle name="Separador de milhares 3 2 3 2 4 4 2 2" xfId="49997"/>
    <cellStyle name="Separador de milhares 3 2 3 2 4 4 3" xfId="31374"/>
    <cellStyle name="Separador de milhares 3 2 3 2 4 5" xfId="17850"/>
    <cellStyle name="Separador de milhares 3 2 3 2 4 5 2" xfId="44089"/>
    <cellStyle name="Separador de milhares 3 2 3 2 4 6" xfId="11516"/>
    <cellStyle name="Separador de milhares 3 2 3 2 4 6 2" xfId="37758"/>
    <cellStyle name="Separador de milhares 3 2 3 2 4 7" xfId="29676"/>
    <cellStyle name="Separador de milhares 3 2 3 2 5" xfId="1746"/>
    <cellStyle name="Separador de milhares 3 2 3 2 5 2" xfId="6947"/>
    <cellStyle name="Separador de milhares 3 2 3 2 5 2 2" xfId="10094"/>
    <cellStyle name="Separador de milhares 3 2 3 2 5 2 2 2" xfId="28308"/>
    <cellStyle name="Separador de milhares 3 2 3 2 5 2 2 2 2" xfId="54538"/>
    <cellStyle name="Separador de milhares 3 2 3 2 5 2 2 3" xfId="22394"/>
    <cellStyle name="Separador de milhares 3 2 3 2 5 2 2 3 2" xfId="48630"/>
    <cellStyle name="Separador de milhares 3 2 3 2 5 2 2 4" xfId="16480"/>
    <cellStyle name="Separador de milhares 3 2 3 2 5 2 2 4 2" xfId="42722"/>
    <cellStyle name="Separador de milhares 3 2 3 2 5 2 2 5" xfId="36336"/>
    <cellStyle name="Separador de milhares 3 2 3 2 5 2 3" xfId="25351"/>
    <cellStyle name="Separador de milhares 3 2 3 2 5 2 3 2" xfId="51584"/>
    <cellStyle name="Separador de milhares 3 2 3 2 5 2 4" xfId="19437"/>
    <cellStyle name="Separador de milhares 3 2 3 2 5 2 4 2" xfId="45676"/>
    <cellStyle name="Separador de milhares 3 2 3 2 5 2 5" xfId="13336"/>
    <cellStyle name="Separador de milhares 3 2 3 2 5 2 5 2" xfId="39578"/>
    <cellStyle name="Separador de milhares 3 2 3 2 5 2 6" xfId="33192"/>
    <cellStyle name="Separador de milhares 3 2 3 2 5 3" xfId="8626"/>
    <cellStyle name="Separador de milhares 3 2 3 2 5 3 2" xfId="26840"/>
    <cellStyle name="Separador de milhares 3 2 3 2 5 3 2 2" xfId="53070"/>
    <cellStyle name="Separador de milhares 3 2 3 2 5 3 3" xfId="20926"/>
    <cellStyle name="Separador de milhares 3 2 3 2 5 3 3 2" xfId="47162"/>
    <cellStyle name="Separador de milhares 3 2 3 2 5 3 4" xfId="15012"/>
    <cellStyle name="Separador de milhares 3 2 3 2 5 3 4 2" xfId="41254"/>
    <cellStyle name="Separador de milhares 3 2 3 2 5 3 5" xfId="34868"/>
    <cellStyle name="Separador de milhares 3 2 3 2 5 4" xfId="5248"/>
    <cellStyle name="Separador de milhares 3 2 3 2 5 4 2" xfId="23883"/>
    <cellStyle name="Separador de milhares 3 2 3 2 5 4 2 2" xfId="50116"/>
    <cellStyle name="Separador de milhares 3 2 3 2 5 4 3" xfId="31493"/>
    <cellStyle name="Separador de milhares 3 2 3 2 5 5" xfId="17969"/>
    <cellStyle name="Separador de milhares 3 2 3 2 5 5 2" xfId="44208"/>
    <cellStyle name="Separador de milhares 3 2 3 2 5 6" xfId="11635"/>
    <cellStyle name="Separador de milhares 3 2 3 2 5 6 2" xfId="37877"/>
    <cellStyle name="Separador de milhares 3 2 3 2 5 7" xfId="29795"/>
    <cellStyle name="Separador de milhares 3 2 3 2 6" xfId="2276"/>
    <cellStyle name="Separador de milhares 3 2 3 2 6 2" xfId="7097"/>
    <cellStyle name="Separador de milhares 3 2 3 2 6 2 2" xfId="10241"/>
    <cellStyle name="Separador de milhares 3 2 3 2 6 2 2 2" xfId="28455"/>
    <cellStyle name="Separador de milhares 3 2 3 2 6 2 2 2 2" xfId="54685"/>
    <cellStyle name="Separador de milhares 3 2 3 2 6 2 2 3" xfId="22541"/>
    <cellStyle name="Separador de milhares 3 2 3 2 6 2 2 3 2" xfId="48777"/>
    <cellStyle name="Separador de milhares 3 2 3 2 6 2 2 4" xfId="16627"/>
    <cellStyle name="Separador de milhares 3 2 3 2 6 2 2 4 2" xfId="42869"/>
    <cellStyle name="Separador de milhares 3 2 3 2 6 2 2 5" xfId="36483"/>
    <cellStyle name="Separador de milhares 3 2 3 2 6 2 3" xfId="25498"/>
    <cellStyle name="Separador de milhares 3 2 3 2 6 2 3 2" xfId="51731"/>
    <cellStyle name="Separador de milhares 3 2 3 2 6 2 4" xfId="19584"/>
    <cellStyle name="Separador de milhares 3 2 3 2 6 2 4 2" xfId="45823"/>
    <cellStyle name="Separador de milhares 3 2 3 2 6 2 5" xfId="13486"/>
    <cellStyle name="Separador de milhares 3 2 3 2 6 2 5 2" xfId="39728"/>
    <cellStyle name="Separador de milhares 3 2 3 2 6 2 6" xfId="33342"/>
    <cellStyle name="Separador de milhares 3 2 3 2 6 3" xfId="8773"/>
    <cellStyle name="Separador de milhares 3 2 3 2 6 3 2" xfId="26987"/>
    <cellStyle name="Separador de milhares 3 2 3 2 6 3 2 2" xfId="53217"/>
    <cellStyle name="Separador de milhares 3 2 3 2 6 3 3" xfId="21073"/>
    <cellStyle name="Separador de milhares 3 2 3 2 6 3 3 2" xfId="47309"/>
    <cellStyle name="Separador de milhares 3 2 3 2 6 3 4" xfId="15159"/>
    <cellStyle name="Separador de milhares 3 2 3 2 6 3 4 2" xfId="41401"/>
    <cellStyle name="Separador de milhares 3 2 3 2 6 3 5" xfId="35015"/>
    <cellStyle name="Separador de milhares 3 2 3 2 6 4" xfId="5398"/>
    <cellStyle name="Separador de milhares 3 2 3 2 6 4 2" xfId="24030"/>
    <cellStyle name="Separador de milhares 3 2 3 2 6 4 2 2" xfId="50263"/>
    <cellStyle name="Separador de milhares 3 2 3 2 6 4 3" xfId="31643"/>
    <cellStyle name="Separador de milhares 3 2 3 2 6 5" xfId="18116"/>
    <cellStyle name="Separador de milhares 3 2 3 2 6 5 2" xfId="44355"/>
    <cellStyle name="Separador de milhares 3 2 3 2 6 6" xfId="11785"/>
    <cellStyle name="Separador de milhares 3 2 3 2 6 6 2" xfId="38027"/>
    <cellStyle name="Separador de milhares 3 2 3 2 6 7" xfId="29945"/>
    <cellStyle name="Separador de milhares 3 2 3 2 7" xfId="2803"/>
    <cellStyle name="Separador de milhares 3 2 3 2 7 2" xfId="7244"/>
    <cellStyle name="Separador de milhares 3 2 3 2 7 2 2" xfId="10388"/>
    <cellStyle name="Separador de milhares 3 2 3 2 7 2 2 2" xfId="28602"/>
    <cellStyle name="Separador de milhares 3 2 3 2 7 2 2 2 2" xfId="54832"/>
    <cellStyle name="Separador de milhares 3 2 3 2 7 2 2 3" xfId="22688"/>
    <cellStyle name="Separador de milhares 3 2 3 2 7 2 2 3 2" xfId="48924"/>
    <cellStyle name="Separador de milhares 3 2 3 2 7 2 2 4" xfId="16774"/>
    <cellStyle name="Separador de milhares 3 2 3 2 7 2 2 4 2" xfId="43016"/>
    <cellStyle name="Separador de milhares 3 2 3 2 7 2 2 5" xfId="36630"/>
    <cellStyle name="Separador de milhares 3 2 3 2 7 2 3" xfId="25645"/>
    <cellStyle name="Separador de milhares 3 2 3 2 7 2 3 2" xfId="51878"/>
    <cellStyle name="Separador de milhares 3 2 3 2 7 2 4" xfId="19731"/>
    <cellStyle name="Separador de milhares 3 2 3 2 7 2 4 2" xfId="45970"/>
    <cellStyle name="Separador de milhares 3 2 3 2 7 2 5" xfId="13633"/>
    <cellStyle name="Separador de milhares 3 2 3 2 7 2 5 2" xfId="39875"/>
    <cellStyle name="Separador de milhares 3 2 3 2 7 2 6" xfId="33489"/>
    <cellStyle name="Separador de milhares 3 2 3 2 7 3" xfId="8920"/>
    <cellStyle name="Separador de milhares 3 2 3 2 7 3 2" xfId="27134"/>
    <cellStyle name="Separador de milhares 3 2 3 2 7 3 2 2" xfId="53364"/>
    <cellStyle name="Separador de milhares 3 2 3 2 7 3 3" xfId="21220"/>
    <cellStyle name="Separador de milhares 3 2 3 2 7 3 3 2" xfId="47456"/>
    <cellStyle name="Separador de milhares 3 2 3 2 7 3 4" xfId="15306"/>
    <cellStyle name="Separador de milhares 3 2 3 2 7 3 4 2" xfId="41548"/>
    <cellStyle name="Separador de milhares 3 2 3 2 7 3 5" xfId="35162"/>
    <cellStyle name="Separador de milhares 3 2 3 2 7 4" xfId="5545"/>
    <cellStyle name="Separador de milhares 3 2 3 2 7 4 2" xfId="24177"/>
    <cellStyle name="Separador de milhares 3 2 3 2 7 4 2 2" xfId="50410"/>
    <cellStyle name="Separador de milhares 3 2 3 2 7 4 3" xfId="31790"/>
    <cellStyle name="Separador de milhares 3 2 3 2 7 5" xfId="18263"/>
    <cellStyle name="Separador de milhares 3 2 3 2 7 5 2" xfId="44502"/>
    <cellStyle name="Separador de milhares 3 2 3 2 7 6" xfId="11932"/>
    <cellStyle name="Separador de milhares 3 2 3 2 7 6 2" xfId="38174"/>
    <cellStyle name="Separador de milhares 3 2 3 2 7 7" xfId="30092"/>
    <cellStyle name="Separador de milhares 3 2 3 2 8" xfId="3330"/>
    <cellStyle name="Separador de milhares 3 2 3 2 8 2" xfId="7391"/>
    <cellStyle name="Separador de milhares 3 2 3 2 8 2 2" xfId="10535"/>
    <cellStyle name="Separador de milhares 3 2 3 2 8 2 2 2" xfId="28749"/>
    <cellStyle name="Separador de milhares 3 2 3 2 8 2 2 2 2" xfId="54979"/>
    <cellStyle name="Separador de milhares 3 2 3 2 8 2 2 3" xfId="22835"/>
    <cellStyle name="Separador de milhares 3 2 3 2 8 2 2 3 2" xfId="49071"/>
    <cellStyle name="Separador de milhares 3 2 3 2 8 2 2 4" xfId="16921"/>
    <cellStyle name="Separador de milhares 3 2 3 2 8 2 2 4 2" xfId="43163"/>
    <cellStyle name="Separador de milhares 3 2 3 2 8 2 2 5" xfId="36777"/>
    <cellStyle name="Separador de milhares 3 2 3 2 8 2 3" xfId="25792"/>
    <cellStyle name="Separador de milhares 3 2 3 2 8 2 3 2" xfId="52025"/>
    <cellStyle name="Separador de milhares 3 2 3 2 8 2 4" xfId="19878"/>
    <cellStyle name="Separador de milhares 3 2 3 2 8 2 4 2" xfId="46117"/>
    <cellStyle name="Separador de milhares 3 2 3 2 8 2 5" xfId="13780"/>
    <cellStyle name="Separador de milhares 3 2 3 2 8 2 5 2" xfId="40022"/>
    <cellStyle name="Separador de milhares 3 2 3 2 8 2 6" xfId="33636"/>
    <cellStyle name="Separador de milhares 3 2 3 2 8 3" xfId="9067"/>
    <cellStyle name="Separador de milhares 3 2 3 2 8 3 2" xfId="27281"/>
    <cellStyle name="Separador de milhares 3 2 3 2 8 3 2 2" xfId="53511"/>
    <cellStyle name="Separador de milhares 3 2 3 2 8 3 3" xfId="21367"/>
    <cellStyle name="Separador de milhares 3 2 3 2 8 3 3 2" xfId="47603"/>
    <cellStyle name="Separador de milhares 3 2 3 2 8 3 4" xfId="15453"/>
    <cellStyle name="Separador de milhares 3 2 3 2 8 3 4 2" xfId="41695"/>
    <cellStyle name="Separador de milhares 3 2 3 2 8 3 5" xfId="35309"/>
    <cellStyle name="Separador de milhares 3 2 3 2 8 4" xfId="5692"/>
    <cellStyle name="Separador de milhares 3 2 3 2 8 4 2" xfId="24324"/>
    <cellStyle name="Separador de milhares 3 2 3 2 8 4 2 2" xfId="50557"/>
    <cellStyle name="Separador de milhares 3 2 3 2 8 4 3" xfId="31937"/>
    <cellStyle name="Separador de milhares 3 2 3 2 8 5" xfId="18410"/>
    <cellStyle name="Separador de milhares 3 2 3 2 8 5 2" xfId="44649"/>
    <cellStyle name="Separador de milhares 3 2 3 2 8 6" xfId="12079"/>
    <cellStyle name="Separador de milhares 3 2 3 2 8 6 2" xfId="38321"/>
    <cellStyle name="Separador de milhares 3 2 3 2 8 7" xfId="30239"/>
    <cellStyle name="Separador de milhares 3 2 3 2 9" xfId="3857"/>
    <cellStyle name="Separador de milhares 3 2 3 2 9 2" xfId="7538"/>
    <cellStyle name="Separador de milhares 3 2 3 2 9 2 2" xfId="10682"/>
    <cellStyle name="Separador de milhares 3 2 3 2 9 2 2 2" xfId="28896"/>
    <cellStyle name="Separador de milhares 3 2 3 2 9 2 2 2 2" xfId="55126"/>
    <cellStyle name="Separador de milhares 3 2 3 2 9 2 2 3" xfId="22982"/>
    <cellStyle name="Separador de milhares 3 2 3 2 9 2 2 3 2" xfId="49218"/>
    <cellStyle name="Separador de milhares 3 2 3 2 9 2 2 4" xfId="17068"/>
    <cellStyle name="Separador de milhares 3 2 3 2 9 2 2 4 2" xfId="43310"/>
    <cellStyle name="Separador de milhares 3 2 3 2 9 2 2 5" xfId="36924"/>
    <cellStyle name="Separador de milhares 3 2 3 2 9 2 3" xfId="25939"/>
    <cellStyle name="Separador de milhares 3 2 3 2 9 2 3 2" xfId="52172"/>
    <cellStyle name="Separador de milhares 3 2 3 2 9 2 4" xfId="20025"/>
    <cellStyle name="Separador de milhares 3 2 3 2 9 2 4 2" xfId="46264"/>
    <cellStyle name="Separador de milhares 3 2 3 2 9 2 5" xfId="13927"/>
    <cellStyle name="Separador de milhares 3 2 3 2 9 2 5 2" xfId="40169"/>
    <cellStyle name="Separador de milhares 3 2 3 2 9 2 6" xfId="33783"/>
    <cellStyle name="Separador de milhares 3 2 3 2 9 3" xfId="9214"/>
    <cellStyle name="Separador de milhares 3 2 3 2 9 3 2" xfId="27428"/>
    <cellStyle name="Separador de milhares 3 2 3 2 9 3 2 2" xfId="53658"/>
    <cellStyle name="Separador de milhares 3 2 3 2 9 3 3" xfId="21514"/>
    <cellStyle name="Separador de milhares 3 2 3 2 9 3 3 2" xfId="47750"/>
    <cellStyle name="Separador de milhares 3 2 3 2 9 3 4" xfId="15600"/>
    <cellStyle name="Separador de milhares 3 2 3 2 9 3 4 2" xfId="41842"/>
    <cellStyle name="Separador de milhares 3 2 3 2 9 3 5" xfId="35456"/>
    <cellStyle name="Separador de milhares 3 2 3 2 9 4" xfId="5839"/>
    <cellStyle name="Separador de milhares 3 2 3 2 9 4 2" xfId="24471"/>
    <cellStyle name="Separador de milhares 3 2 3 2 9 4 2 2" xfId="50704"/>
    <cellStyle name="Separador de milhares 3 2 3 2 9 4 3" xfId="32084"/>
    <cellStyle name="Separador de milhares 3 2 3 2 9 5" xfId="18557"/>
    <cellStyle name="Separador de milhares 3 2 3 2 9 5 2" xfId="44796"/>
    <cellStyle name="Separador de milhares 3 2 3 2 9 6" xfId="12226"/>
    <cellStyle name="Separador de milhares 3 2 3 2 9 6 2" xfId="38468"/>
    <cellStyle name="Separador de milhares 3 2 3 2 9 7" xfId="30386"/>
    <cellStyle name="Separador de milhares 3 2 3 3" xfId="309"/>
    <cellStyle name="Separador de milhares 3 2 3 3 10" xfId="6529"/>
    <cellStyle name="Separador de milhares 3 2 3 3 10 2" xfId="9680"/>
    <cellStyle name="Separador de milhares 3 2 3 3 10 2 2" xfId="27894"/>
    <cellStyle name="Separador de milhares 3 2 3 3 10 2 2 2" xfId="54124"/>
    <cellStyle name="Separador de milhares 3 2 3 3 10 2 3" xfId="21980"/>
    <cellStyle name="Separador de milhares 3 2 3 3 10 2 3 2" xfId="48216"/>
    <cellStyle name="Separador de milhares 3 2 3 3 10 2 4" xfId="16066"/>
    <cellStyle name="Separador de milhares 3 2 3 3 10 2 4 2" xfId="42308"/>
    <cellStyle name="Separador de milhares 3 2 3 3 10 2 5" xfId="35922"/>
    <cellStyle name="Separador de milhares 3 2 3 3 10 3" xfId="24937"/>
    <cellStyle name="Separador de milhares 3 2 3 3 10 3 2" xfId="51170"/>
    <cellStyle name="Separador de milhares 3 2 3 3 10 4" xfId="19023"/>
    <cellStyle name="Separador de milhares 3 2 3 3 10 4 2" xfId="45262"/>
    <cellStyle name="Separador de milhares 3 2 3 3 10 5" xfId="12918"/>
    <cellStyle name="Separador de milhares 3 2 3 3 10 5 2" xfId="39160"/>
    <cellStyle name="Separador de milhares 3 2 3 3 10 6" xfId="32774"/>
    <cellStyle name="Separador de milhares 3 2 3 3 11" xfId="8209"/>
    <cellStyle name="Separador de milhares 3 2 3 3 11 2" xfId="26423"/>
    <cellStyle name="Separador de milhares 3 2 3 3 11 2 2" xfId="52656"/>
    <cellStyle name="Separador de milhares 3 2 3 3 11 3" xfId="20509"/>
    <cellStyle name="Separador de milhares 3 2 3 3 11 3 2" xfId="46748"/>
    <cellStyle name="Separador de milhares 3 2 3 3 11 4" xfId="14598"/>
    <cellStyle name="Separador de milhares 3 2 3 3 11 4 2" xfId="40840"/>
    <cellStyle name="Separador de milhares 3 2 3 3 11 5" xfId="34454"/>
    <cellStyle name="Separador de milhares 3 2 3 3 12" xfId="4828"/>
    <cellStyle name="Separador de milhares 3 2 3 3 12 2" xfId="23466"/>
    <cellStyle name="Separador de milhares 3 2 3 3 12 2 2" xfId="49702"/>
    <cellStyle name="Separador de milhares 3 2 3 3 12 3" xfId="31075"/>
    <cellStyle name="Separador de milhares 3 2 3 3 13" xfId="17552"/>
    <cellStyle name="Separador de milhares 3 2 3 3 13 2" xfId="43794"/>
    <cellStyle name="Separador de milhares 3 2 3 3 14" xfId="11217"/>
    <cellStyle name="Separador de milhares 3 2 3 3 14 2" xfId="37459"/>
    <cellStyle name="Separador de milhares 3 2 3 3 15" xfId="29377"/>
    <cellStyle name="Separador de milhares 3 2 3 3 2" xfId="572"/>
    <cellStyle name="Separador de milhares 3 2 3 3 2 2" xfId="6600"/>
    <cellStyle name="Separador de milhares 3 2 3 3 2 2 2" xfId="9747"/>
    <cellStyle name="Separador de milhares 3 2 3 3 2 2 2 2" xfId="27961"/>
    <cellStyle name="Separador de milhares 3 2 3 3 2 2 2 2 2" xfId="54191"/>
    <cellStyle name="Separador de milhares 3 2 3 3 2 2 2 3" xfId="22047"/>
    <cellStyle name="Separador de milhares 3 2 3 3 2 2 2 3 2" xfId="48283"/>
    <cellStyle name="Separador de milhares 3 2 3 3 2 2 2 4" xfId="16133"/>
    <cellStyle name="Separador de milhares 3 2 3 3 2 2 2 4 2" xfId="42375"/>
    <cellStyle name="Separador de milhares 3 2 3 3 2 2 2 5" xfId="35989"/>
    <cellStyle name="Separador de milhares 3 2 3 3 2 2 3" xfId="25004"/>
    <cellStyle name="Separador de milhares 3 2 3 3 2 2 3 2" xfId="51237"/>
    <cellStyle name="Separador de milhares 3 2 3 3 2 2 4" xfId="19090"/>
    <cellStyle name="Separador de milhares 3 2 3 3 2 2 4 2" xfId="45329"/>
    <cellStyle name="Separador de milhares 3 2 3 3 2 2 5" xfId="12989"/>
    <cellStyle name="Separador de milhares 3 2 3 3 2 2 5 2" xfId="39231"/>
    <cellStyle name="Separador de milhares 3 2 3 3 2 2 6" xfId="32845"/>
    <cellStyle name="Separador de milhares 3 2 3 3 2 3" xfId="8276"/>
    <cellStyle name="Separador de milhares 3 2 3 3 2 3 2" xfId="26490"/>
    <cellStyle name="Separador de milhares 3 2 3 3 2 3 2 2" xfId="52723"/>
    <cellStyle name="Separador de milhares 3 2 3 3 2 3 3" xfId="20576"/>
    <cellStyle name="Separador de milhares 3 2 3 3 2 3 3 2" xfId="46815"/>
    <cellStyle name="Separador de milhares 3 2 3 3 2 3 4" xfId="14665"/>
    <cellStyle name="Separador de milhares 3 2 3 3 2 3 4 2" xfId="40907"/>
    <cellStyle name="Separador de milhares 3 2 3 3 2 3 5" xfId="34521"/>
    <cellStyle name="Separador de milhares 3 2 3 3 2 4" xfId="4899"/>
    <cellStyle name="Separador de milhares 3 2 3 3 2 4 2" xfId="23533"/>
    <cellStyle name="Separador de milhares 3 2 3 3 2 4 2 2" xfId="49769"/>
    <cellStyle name="Separador de milhares 3 2 3 3 2 4 3" xfId="31146"/>
    <cellStyle name="Separador de milhares 3 2 3 3 2 5" xfId="17619"/>
    <cellStyle name="Separador de milhares 3 2 3 3 2 5 2" xfId="43861"/>
    <cellStyle name="Separador de milhares 3 2 3 3 2 6" xfId="11288"/>
    <cellStyle name="Separador de milhares 3 2 3 3 2 6 2" xfId="37530"/>
    <cellStyle name="Separador de milhares 3 2 3 3 2 7" xfId="29448"/>
    <cellStyle name="Separador de milhares 3 2 3 3 3" xfId="869"/>
    <cellStyle name="Separador de milhares 3 2 3 3 3 2" xfId="6702"/>
    <cellStyle name="Separador de milhares 3 2 3 3 3 2 2" xfId="9849"/>
    <cellStyle name="Separador de milhares 3 2 3 3 3 2 2 2" xfId="28063"/>
    <cellStyle name="Separador de milhares 3 2 3 3 3 2 2 2 2" xfId="54293"/>
    <cellStyle name="Separador de milhares 3 2 3 3 3 2 2 3" xfId="22149"/>
    <cellStyle name="Separador de milhares 3 2 3 3 3 2 2 3 2" xfId="48385"/>
    <cellStyle name="Separador de milhares 3 2 3 3 3 2 2 4" xfId="16235"/>
    <cellStyle name="Separador de milhares 3 2 3 3 3 2 2 4 2" xfId="42477"/>
    <cellStyle name="Separador de milhares 3 2 3 3 3 2 2 5" xfId="36091"/>
    <cellStyle name="Separador de milhares 3 2 3 3 3 2 3" xfId="25106"/>
    <cellStyle name="Separador de milhares 3 2 3 3 3 2 3 2" xfId="51339"/>
    <cellStyle name="Separador de milhares 3 2 3 3 3 2 4" xfId="19192"/>
    <cellStyle name="Separador de milhares 3 2 3 3 3 2 4 2" xfId="45431"/>
    <cellStyle name="Separador de milhares 3 2 3 3 3 2 5" xfId="13091"/>
    <cellStyle name="Separador de milhares 3 2 3 3 3 2 5 2" xfId="39333"/>
    <cellStyle name="Separador de milhares 3 2 3 3 3 2 6" xfId="32947"/>
    <cellStyle name="Separador de milhares 3 2 3 3 3 3" xfId="8381"/>
    <cellStyle name="Separador de milhares 3 2 3 3 3 3 2" xfId="26595"/>
    <cellStyle name="Separador de milhares 3 2 3 3 3 3 2 2" xfId="52825"/>
    <cellStyle name="Separador de milhares 3 2 3 3 3 3 3" xfId="20681"/>
    <cellStyle name="Separador de milhares 3 2 3 3 3 3 3 2" xfId="46917"/>
    <cellStyle name="Separador de milhares 3 2 3 3 3 3 4" xfId="14767"/>
    <cellStyle name="Separador de milhares 3 2 3 3 3 3 4 2" xfId="41009"/>
    <cellStyle name="Separador de milhares 3 2 3 3 3 3 5" xfId="34623"/>
    <cellStyle name="Separador de milhares 3 2 3 3 3 4" xfId="5003"/>
    <cellStyle name="Separador de milhares 3 2 3 3 3 4 2" xfId="23638"/>
    <cellStyle name="Separador de milhares 3 2 3 3 3 4 2 2" xfId="49871"/>
    <cellStyle name="Separador de milhares 3 2 3 3 3 4 3" xfId="31248"/>
    <cellStyle name="Separador de milhares 3 2 3 3 3 5" xfId="17724"/>
    <cellStyle name="Separador de milhares 3 2 3 3 3 5 2" xfId="43963"/>
    <cellStyle name="Separador de milhares 3 2 3 3 3 6" xfId="11390"/>
    <cellStyle name="Separador de milhares 3 2 3 3 3 6 2" xfId="37632"/>
    <cellStyle name="Separador de milhares 3 2 3 3 3 7" xfId="29550"/>
    <cellStyle name="Separador de milhares 3 2 3 3 4" xfId="1220"/>
    <cellStyle name="Separador de milhares 3 2 3 3 4 2" xfId="6800"/>
    <cellStyle name="Separador de milhares 3 2 3 3 4 2 2" xfId="9947"/>
    <cellStyle name="Separador de milhares 3 2 3 3 4 2 2 2" xfId="28161"/>
    <cellStyle name="Separador de milhares 3 2 3 3 4 2 2 2 2" xfId="54391"/>
    <cellStyle name="Separador de milhares 3 2 3 3 4 2 2 3" xfId="22247"/>
    <cellStyle name="Separador de milhares 3 2 3 3 4 2 2 3 2" xfId="48483"/>
    <cellStyle name="Separador de milhares 3 2 3 3 4 2 2 4" xfId="16333"/>
    <cellStyle name="Separador de milhares 3 2 3 3 4 2 2 4 2" xfId="42575"/>
    <cellStyle name="Separador de milhares 3 2 3 3 4 2 2 5" xfId="36189"/>
    <cellStyle name="Separador de milhares 3 2 3 3 4 2 3" xfId="25204"/>
    <cellStyle name="Separador de milhares 3 2 3 3 4 2 3 2" xfId="51437"/>
    <cellStyle name="Separador de milhares 3 2 3 3 4 2 4" xfId="19290"/>
    <cellStyle name="Separador de milhares 3 2 3 3 4 2 4 2" xfId="45529"/>
    <cellStyle name="Separador de milhares 3 2 3 3 4 2 5" xfId="13189"/>
    <cellStyle name="Separador de milhares 3 2 3 3 4 2 5 2" xfId="39431"/>
    <cellStyle name="Separador de milhares 3 2 3 3 4 2 6" xfId="33045"/>
    <cellStyle name="Separador de milhares 3 2 3 3 4 3" xfId="8479"/>
    <cellStyle name="Separador de milhares 3 2 3 3 4 3 2" xfId="26693"/>
    <cellStyle name="Separador de milhares 3 2 3 3 4 3 2 2" xfId="52923"/>
    <cellStyle name="Separador de milhares 3 2 3 3 4 3 3" xfId="20779"/>
    <cellStyle name="Separador de milhares 3 2 3 3 4 3 3 2" xfId="47015"/>
    <cellStyle name="Separador de milhares 3 2 3 3 4 3 4" xfId="14865"/>
    <cellStyle name="Separador de milhares 3 2 3 3 4 3 4 2" xfId="41107"/>
    <cellStyle name="Separador de milhares 3 2 3 3 4 3 5" xfId="34721"/>
    <cellStyle name="Separador de milhares 3 2 3 3 4 4" xfId="5101"/>
    <cellStyle name="Separador de milhares 3 2 3 3 4 4 2" xfId="23736"/>
    <cellStyle name="Separador de milhares 3 2 3 3 4 4 2 2" xfId="49969"/>
    <cellStyle name="Separador de milhares 3 2 3 3 4 4 3" xfId="31346"/>
    <cellStyle name="Separador de milhares 3 2 3 3 4 5" xfId="17822"/>
    <cellStyle name="Separador de milhares 3 2 3 3 4 5 2" xfId="44061"/>
    <cellStyle name="Separador de milhares 3 2 3 3 4 6" xfId="11488"/>
    <cellStyle name="Separador de milhares 3 2 3 3 4 6 2" xfId="37730"/>
    <cellStyle name="Separador de milhares 3 2 3 3 4 7" xfId="29648"/>
    <cellStyle name="Separador de milhares 3 2 3 3 5" xfId="1655"/>
    <cellStyle name="Separador de milhares 3 2 3 3 5 2" xfId="6919"/>
    <cellStyle name="Separador de milhares 3 2 3 3 5 2 2" xfId="10066"/>
    <cellStyle name="Separador de milhares 3 2 3 3 5 2 2 2" xfId="28280"/>
    <cellStyle name="Separador de milhares 3 2 3 3 5 2 2 2 2" xfId="54510"/>
    <cellStyle name="Separador de milhares 3 2 3 3 5 2 2 3" xfId="22366"/>
    <cellStyle name="Separador de milhares 3 2 3 3 5 2 2 3 2" xfId="48602"/>
    <cellStyle name="Separador de milhares 3 2 3 3 5 2 2 4" xfId="16452"/>
    <cellStyle name="Separador de milhares 3 2 3 3 5 2 2 4 2" xfId="42694"/>
    <cellStyle name="Separador de milhares 3 2 3 3 5 2 2 5" xfId="36308"/>
    <cellStyle name="Separador de milhares 3 2 3 3 5 2 3" xfId="25323"/>
    <cellStyle name="Separador de milhares 3 2 3 3 5 2 3 2" xfId="51556"/>
    <cellStyle name="Separador de milhares 3 2 3 3 5 2 4" xfId="19409"/>
    <cellStyle name="Separador de milhares 3 2 3 3 5 2 4 2" xfId="45648"/>
    <cellStyle name="Separador de milhares 3 2 3 3 5 2 5" xfId="13308"/>
    <cellStyle name="Separador de milhares 3 2 3 3 5 2 5 2" xfId="39550"/>
    <cellStyle name="Separador de milhares 3 2 3 3 5 2 6" xfId="33164"/>
    <cellStyle name="Separador de milhares 3 2 3 3 5 3" xfId="8598"/>
    <cellStyle name="Separador de milhares 3 2 3 3 5 3 2" xfId="26812"/>
    <cellStyle name="Separador de milhares 3 2 3 3 5 3 2 2" xfId="53042"/>
    <cellStyle name="Separador de milhares 3 2 3 3 5 3 3" xfId="20898"/>
    <cellStyle name="Separador de milhares 3 2 3 3 5 3 3 2" xfId="47134"/>
    <cellStyle name="Separador de milhares 3 2 3 3 5 3 4" xfId="14984"/>
    <cellStyle name="Separador de milhares 3 2 3 3 5 3 4 2" xfId="41226"/>
    <cellStyle name="Separador de milhares 3 2 3 3 5 3 5" xfId="34840"/>
    <cellStyle name="Separador de milhares 3 2 3 3 5 4" xfId="5220"/>
    <cellStyle name="Separador de milhares 3 2 3 3 5 4 2" xfId="23855"/>
    <cellStyle name="Separador de milhares 3 2 3 3 5 4 2 2" xfId="50088"/>
    <cellStyle name="Separador de milhares 3 2 3 3 5 4 3" xfId="31465"/>
    <cellStyle name="Separador de milhares 3 2 3 3 5 5" xfId="17941"/>
    <cellStyle name="Separador de milhares 3 2 3 3 5 5 2" xfId="44180"/>
    <cellStyle name="Separador de milhares 3 2 3 3 5 6" xfId="11607"/>
    <cellStyle name="Separador de milhares 3 2 3 3 5 6 2" xfId="37849"/>
    <cellStyle name="Separador de milhares 3 2 3 3 5 7" xfId="29767"/>
    <cellStyle name="Separador de milhares 3 2 3 3 6" xfId="2185"/>
    <cellStyle name="Separador de milhares 3 2 3 3 6 2" xfId="7069"/>
    <cellStyle name="Separador de milhares 3 2 3 3 6 2 2" xfId="10213"/>
    <cellStyle name="Separador de milhares 3 2 3 3 6 2 2 2" xfId="28427"/>
    <cellStyle name="Separador de milhares 3 2 3 3 6 2 2 2 2" xfId="54657"/>
    <cellStyle name="Separador de milhares 3 2 3 3 6 2 2 3" xfId="22513"/>
    <cellStyle name="Separador de milhares 3 2 3 3 6 2 2 3 2" xfId="48749"/>
    <cellStyle name="Separador de milhares 3 2 3 3 6 2 2 4" xfId="16599"/>
    <cellStyle name="Separador de milhares 3 2 3 3 6 2 2 4 2" xfId="42841"/>
    <cellStyle name="Separador de milhares 3 2 3 3 6 2 2 5" xfId="36455"/>
    <cellStyle name="Separador de milhares 3 2 3 3 6 2 3" xfId="25470"/>
    <cellStyle name="Separador de milhares 3 2 3 3 6 2 3 2" xfId="51703"/>
    <cellStyle name="Separador de milhares 3 2 3 3 6 2 4" xfId="19556"/>
    <cellStyle name="Separador de milhares 3 2 3 3 6 2 4 2" xfId="45795"/>
    <cellStyle name="Separador de milhares 3 2 3 3 6 2 5" xfId="13458"/>
    <cellStyle name="Separador de milhares 3 2 3 3 6 2 5 2" xfId="39700"/>
    <cellStyle name="Separador de milhares 3 2 3 3 6 2 6" xfId="33314"/>
    <cellStyle name="Separador de milhares 3 2 3 3 6 3" xfId="8745"/>
    <cellStyle name="Separador de milhares 3 2 3 3 6 3 2" xfId="26959"/>
    <cellStyle name="Separador de milhares 3 2 3 3 6 3 2 2" xfId="53189"/>
    <cellStyle name="Separador de milhares 3 2 3 3 6 3 3" xfId="21045"/>
    <cellStyle name="Separador de milhares 3 2 3 3 6 3 3 2" xfId="47281"/>
    <cellStyle name="Separador de milhares 3 2 3 3 6 3 4" xfId="15131"/>
    <cellStyle name="Separador de milhares 3 2 3 3 6 3 4 2" xfId="41373"/>
    <cellStyle name="Separador de milhares 3 2 3 3 6 3 5" xfId="34987"/>
    <cellStyle name="Separador de milhares 3 2 3 3 6 4" xfId="5370"/>
    <cellStyle name="Separador de milhares 3 2 3 3 6 4 2" xfId="24002"/>
    <cellStyle name="Separador de milhares 3 2 3 3 6 4 2 2" xfId="50235"/>
    <cellStyle name="Separador de milhares 3 2 3 3 6 4 3" xfId="31615"/>
    <cellStyle name="Separador de milhares 3 2 3 3 6 5" xfId="18088"/>
    <cellStyle name="Separador de milhares 3 2 3 3 6 5 2" xfId="44327"/>
    <cellStyle name="Separador de milhares 3 2 3 3 6 6" xfId="11757"/>
    <cellStyle name="Separador de milhares 3 2 3 3 6 6 2" xfId="37999"/>
    <cellStyle name="Separador de milhares 3 2 3 3 6 7" xfId="29917"/>
    <cellStyle name="Separador de milhares 3 2 3 3 7" xfId="2712"/>
    <cellStyle name="Separador de milhares 3 2 3 3 7 2" xfId="7216"/>
    <cellStyle name="Separador de milhares 3 2 3 3 7 2 2" xfId="10360"/>
    <cellStyle name="Separador de milhares 3 2 3 3 7 2 2 2" xfId="28574"/>
    <cellStyle name="Separador de milhares 3 2 3 3 7 2 2 2 2" xfId="54804"/>
    <cellStyle name="Separador de milhares 3 2 3 3 7 2 2 3" xfId="22660"/>
    <cellStyle name="Separador de milhares 3 2 3 3 7 2 2 3 2" xfId="48896"/>
    <cellStyle name="Separador de milhares 3 2 3 3 7 2 2 4" xfId="16746"/>
    <cellStyle name="Separador de milhares 3 2 3 3 7 2 2 4 2" xfId="42988"/>
    <cellStyle name="Separador de milhares 3 2 3 3 7 2 2 5" xfId="36602"/>
    <cellStyle name="Separador de milhares 3 2 3 3 7 2 3" xfId="25617"/>
    <cellStyle name="Separador de milhares 3 2 3 3 7 2 3 2" xfId="51850"/>
    <cellStyle name="Separador de milhares 3 2 3 3 7 2 4" xfId="19703"/>
    <cellStyle name="Separador de milhares 3 2 3 3 7 2 4 2" xfId="45942"/>
    <cellStyle name="Separador de milhares 3 2 3 3 7 2 5" xfId="13605"/>
    <cellStyle name="Separador de milhares 3 2 3 3 7 2 5 2" xfId="39847"/>
    <cellStyle name="Separador de milhares 3 2 3 3 7 2 6" xfId="33461"/>
    <cellStyle name="Separador de milhares 3 2 3 3 7 3" xfId="8892"/>
    <cellStyle name="Separador de milhares 3 2 3 3 7 3 2" xfId="27106"/>
    <cellStyle name="Separador de milhares 3 2 3 3 7 3 2 2" xfId="53336"/>
    <cellStyle name="Separador de milhares 3 2 3 3 7 3 3" xfId="21192"/>
    <cellStyle name="Separador de milhares 3 2 3 3 7 3 3 2" xfId="47428"/>
    <cellStyle name="Separador de milhares 3 2 3 3 7 3 4" xfId="15278"/>
    <cellStyle name="Separador de milhares 3 2 3 3 7 3 4 2" xfId="41520"/>
    <cellStyle name="Separador de milhares 3 2 3 3 7 3 5" xfId="35134"/>
    <cellStyle name="Separador de milhares 3 2 3 3 7 4" xfId="5517"/>
    <cellStyle name="Separador de milhares 3 2 3 3 7 4 2" xfId="24149"/>
    <cellStyle name="Separador de milhares 3 2 3 3 7 4 2 2" xfId="50382"/>
    <cellStyle name="Separador de milhares 3 2 3 3 7 4 3" xfId="31762"/>
    <cellStyle name="Separador de milhares 3 2 3 3 7 5" xfId="18235"/>
    <cellStyle name="Separador de milhares 3 2 3 3 7 5 2" xfId="44474"/>
    <cellStyle name="Separador de milhares 3 2 3 3 7 6" xfId="11904"/>
    <cellStyle name="Separador de milhares 3 2 3 3 7 6 2" xfId="38146"/>
    <cellStyle name="Separador de milhares 3 2 3 3 7 7" xfId="30064"/>
    <cellStyle name="Separador de milhares 3 2 3 3 8" xfId="3239"/>
    <cellStyle name="Separador de milhares 3 2 3 3 8 2" xfId="7363"/>
    <cellStyle name="Separador de milhares 3 2 3 3 8 2 2" xfId="10507"/>
    <cellStyle name="Separador de milhares 3 2 3 3 8 2 2 2" xfId="28721"/>
    <cellStyle name="Separador de milhares 3 2 3 3 8 2 2 2 2" xfId="54951"/>
    <cellStyle name="Separador de milhares 3 2 3 3 8 2 2 3" xfId="22807"/>
    <cellStyle name="Separador de milhares 3 2 3 3 8 2 2 3 2" xfId="49043"/>
    <cellStyle name="Separador de milhares 3 2 3 3 8 2 2 4" xfId="16893"/>
    <cellStyle name="Separador de milhares 3 2 3 3 8 2 2 4 2" xfId="43135"/>
    <cellStyle name="Separador de milhares 3 2 3 3 8 2 2 5" xfId="36749"/>
    <cellStyle name="Separador de milhares 3 2 3 3 8 2 3" xfId="25764"/>
    <cellStyle name="Separador de milhares 3 2 3 3 8 2 3 2" xfId="51997"/>
    <cellStyle name="Separador de milhares 3 2 3 3 8 2 4" xfId="19850"/>
    <cellStyle name="Separador de milhares 3 2 3 3 8 2 4 2" xfId="46089"/>
    <cellStyle name="Separador de milhares 3 2 3 3 8 2 5" xfId="13752"/>
    <cellStyle name="Separador de milhares 3 2 3 3 8 2 5 2" xfId="39994"/>
    <cellStyle name="Separador de milhares 3 2 3 3 8 2 6" xfId="33608"/>
    <cellStyle name="Separador de milhares 3 2 3 3 8 3" xfId="9039"/>
    <cellStyle name="Separador de milhares 3 2 3 3 8 3 2" xfId="27253"/>
    <cellStyle name="Separador de milhares 3 2 3 3 8 3 2 2" xfId="53483"/>
    <cellStyle name="Separador de milhares 3 2 3 3 8 3 3" xfId="21339"/>
    <cellStyle name="Separador de milhares 3 2 3 3 8 3 3 2" xfId="47575"/>
    <cellStyle name="Separador de milhares 3 2 3 3 8 3 4" xfId="15425"/>
    <cellStyle name="Separador de milhares 3 2 3 3 8 3 4 2" xfId="41667"/>
    <cellStyle name="Separador de milhares 3 2 3 3 8 3 5" xfId="35281"/>
    <cellStyle name="Separador de milhares 3 2 3 3 8 4" xfId="5664"/>
    <cellStyle name="Separador de milhares 3 2 3 3 8 4 2" xfId="24296"/>
    <cellStyle name="Separador de milhares 3 2 3 3 8 4 2 2" xfId="50529"/>
    <cellStyle name="Separador de milhares 3 2 3 3 8 4 3" xfId="31909"/>
    <cellStyle name="Separador de milhares 3 2 3 3 8 5" xfId="18382"/>
    <cellStyle name="Separador de milhares 3 2 3 3 8 5 2" xfId="44621"/>
    <cellStyle name="Separador de milhares 3 2 3 3 8 6" xfId="12051"/>
    <cellStyle name="Separador de milhares 3 2 3 3 8 6 2" xfId="38293"/>
    <cellStyle name="Separador de milhares 3 2 3 3 8 7" xfId="30211"/>
    <cellStyle name="Separador de milhares 3 2 3 3 9" xfId="3766"/>
    <cellStyle name="Separador de milhares 3 2 3 3 9 2" xfId="7510"/>
    <cellStyle name="Separador de milhares 3 2 3 3 9 2 2" xfId="10654"/>
    <cellStyle name="Separador de milhares 3 2 3 3 9 2 2 2" xfId="28868"/>
    <cellStyle name="Separador de milhares 3 2 3 3 9 2 2 2 2" xfId="55098"/>
    <cellStyle name="Separador de milhares 3 2 3 3 9 2 2 3" xfId="22954"/>
    <cellStyle name="Separador de milhares 3 2 3 3 9 2 2 3 2" xfId="49190"/>
    <cellStyle name="Separador de milhares 3 2 3 3 9 2 2 4" xfId="17040"/>
    <cellStyle name="Separador de milhares 3 2 3 3 9 2 2 4 2" xfId="43282"/>
    <cellStyle name="Separador de milhares 3 2 3 3 9 2 2 5" xfId="36896"/>
    <cellStyle name="Separador de milhares 3 2 3 3 9 2 3" xfId="25911"/>
    <cellStyle name="Separador de milhares 3 2 3 3 9 2 3 2" xfId="52144"/>
    <cellStyle name="Separador de milhares 3 2 3 3 9 2 4" xfId="19997"/>
    <cellStyle name="Separador de milhares 3 2 3 3 9 2 4 2" xfId="46236"/>
    <cellStyle name="Separador de milhares 3 2 3 3 9 2 5" xfId="13899"/>
    <cellStyle name="Separador de milhares 3 2 3 3 9 2 5 2" xfId="40141"/>
    <cellStyle name="Separador de milhares 3 2 3 3 9 2 6" xfId="33755"/>
    <cellStyle name="Separador de milhares 3 2 3 3 9 3" xfId="9186"/>
    <cellStyle name="Separador de milhares 3 2 3 3 9 3 2" xfId="27400"/>
    <cellStyle name="Separador de milhares 3 2 3 3 9 3 2 2" xfId="53630"/>
    <cellStyle name="Separador de milhares 3 2 3 3 9 3 3" xfId="21486"/>
    <cellStyle name="Separador de milhares 3 2 3 3 9 3 3 2" xfId="47722"/>
    <cellStyle name="Separador de milhares 3 2 3 3 9 3 4" xfId="15572"/>
    <cellStyle name="Separador de milhares 3 2 3 3 9 3 4 2" xfId="41814"/>
    <cellStyle name="Separador de milhares 3 2 3 3 9 3 5" xfId="35428"/>
    <cellStyle name="Separador de milhares 3 2 3 3 9 4" xfId="5811"/>
    <cellStyle name="Separador de milhares 3 2 3 3 9 4 2" xfId="24443"/>
    <cellStyle name="Separador de milhares 3 2 3 3 9 4 2 2" xfId="50676"/>
    <cellStyle name="Separador de milhares 3 2 3 3 9 4 3" xfId="32056"/>
    <cellStyle name="Separador de milhares 3 2 3 3 9 5" xfId="18529"/>
    <cellStyle name="Separador de milhares 3 2 3 3 9 5 2" xfId="44768"/>
    <cellStyle name="Separador de milhares 3 2 3 3 9 6" xfId="12198"/>
    <cellStyle name="Separador de milhares 3 2 3 3 9 6 2" xfId="38440"/>
    <cellStyle name="Separador de milhares 3 2 3 3 9 7" xfId="30358"/>
    <cellStyle name="Separador de milhares 3 2 3 4" xfId="402"/>
    <cellStyle name="Separador de milhares 3 2 3 4 10" xfId="6557"/>
    <cellStyle name="Separador de milhares 3 2 3 4 10 2" xfId="9705"/>
    <cellStyle name="Separador de milhares 3 2 3 4 10 2 2" xfId="27919"/>
    <cellStyle name="Separador de milhares 3 2 3 4 10 2 2 2" xfId="54149"/>
    <cellStyle name="Separador de milhares 3 2 3 4 10 2 3" xfId="22005"/>
    <cellStyle name="Separador de milhares 3 2 3 4 10 2 3 2" xfId="48241"/>
    <cellStyle name="Separador de milhares 3 2 3 4 10 2 4" xfId="16091"/>
    <cellStyle name="Separador de milhares 3 2 3 4 10 2 4 2" xfId="42333"/>
    <cellStyle name="Separador de milhares 3 2 3 4 10 2 5" xfId="35947"/>
    <cellStyle name="Separador de milhares 3 2 3 4 10 3" xfId="24962"/>
    <cellStyle name="Separador de milhares 3 2 3 4 10 3 2" xfId="51195"/>
    <cellStyle name="Separador de milhares 3 2 3 4 10 4" xfId="19048"/>
    <cellStyle name="Separador de milhares 3 2 3 4 10 4 2" xfId="45287"/>
    <cellStyle name="Separador de milhares 3 2 3 4 10 5" xfId="12946"/>
    <cellStyle name="Separador de milhares 3 2 3 4 10 5 2" xfId="39188"/>
    <cellStyle name="Separador de milhares 3 2 3 4 10 6" xfId="32802"/>
    <cellStyle name="Separador de milhares 3 2 3 4 11" xfId="8234"/>
    <cellStyle name="Separador de milhares 3 2 3 4 11 2" xfId="26448"/>
    <cellStyle name="Separador de milhares 3 2 3 4 11 2 2" xfId="52681"/>
    <cellStyle name="Separador de milhares 3 2 3 4 11 3" xfId="20534"/>
    <cellStyle name="Separador de milhares 3 2 3 4 11 3 2" xfId="46773"/>
    <cellStyle name="Separador de milhares 3 2 3 4 11 4" xfId="14623"/>
    <cellStyle name="Separador de milhares 3 2 3 4 11 4 2" xfId="40865"/>
    <cellStyle name="Separador de milhares 3 2 3 4 11 5" xfId="34479"/>
    <cellStyle name="Separador de milhares 3 2 3 4 12" xfId="4856"/>
    <cellStyle name="Separador de milhares 3 2 3 4 12 2" xfId="23491"/>
    <cellStyle name="Separador de milhares 3 2 3 4 12 2 2" xfId="49727"/>
    <cellStyle name="Separador de milhares 3 2 3 4 12 3" xfId="31103"/>
    <cellStyle name="Separador de milhares 3 2 3 4 13" xfId="17577"/>
    <cellStyle name="Separador de milhares 3 2 3 4 13 2" xfId="43819"/>
    <cellStyle name="Separador de milhares 3 2 3 4 14" xfId="11245"/>
    <cellStyle name="Separador de milhares 3 2 3 4 14 2" xfId="37487"/>
    <cellStyle name="Separador de milhares 3 2 3 4 15" xfId="29405"/>
    <cellStyle name="Separador de milhares 3 2 3 4 2" xfId="1047"/>
    <cellStyle name="Separador de milhares 3 2 3 4 2 2" xfId="6754"/>
    <cellStyle name="Separador de milhares 3 2 3 4 2 2 2" xfId="9901"/>
    <cellStyle name="Separador de milhares 3 2 3 4 2 2 2 2" xfId="28115"/>
    <cellStyle name="Separador de milhares 3 2 3 4 2 2 2 2 2" xfId="54345"/>
    <cellStyle name="Separador de milhares 3 2 3 4 2 2 2 3" xfId="22201"/>
    <cellStyle name="Separador de milhares 3 2 3 4 2 2 2 3 2" xfId="48437"/>
    <cellStyle name="Separador de milhares 3 2 3 4 2 2 2 4" xfId="16287"/>
    <cellStyle name="Separador de milhares 3 2 3 4 2 2 2 4 2" xfId="42529"/>
    <cellStyle name="Separador de milhares 3 2 3 4 2 2 2 5" xfId="36143"/>
    <cellStyle name="Separador de milhares 3 2 3 4 2 2 3" xfId="25158"/>
    <cellStyle name="Separador de milhares 3 2 3 4 2 2 3 2" xfId="51391"/>
    <cellStyle name="Separador de milhares 3 2 3 4 2 2 4" xfId="19244"/>
    <cellStyle name="Separador de milhares 3 2 3 4 2 2 4 2" xfId="45483"/>
    <cellStyle name="Separador de milhares 3 2 3 4 2 2 5" xfId="13143"/>
    <cellStyle name="Separador de milhares 3 2 3 4 2 2 5 2" xfId="39385"/>
    <cellStyle name="Separador de milhares 3 2 3 4 2 2 6" xfId="32999"/>
    <cellStyle name="Separador de milhares 3 2 3 4 2 3" xfId="8433"/>
    <cellStyle name="Separador de milhares 3 2 3 4 2 3 2" xfId="26647"/>
    <cellStyle name="Separador de milhares 3 2 3 4 2 3 2 2" xfId="52877"/>
    <cellStyle name="Separador de milhares 3 2 3 4 2 3 3" xfId="20733"/>
    <cellStyle name="Separador de milhares 3 2 3 4 2 3 3 2" xfId="46969"/>
    <cellStyle name="Separador de milhares 3 2 3 4 2 3 4" xfId="14819"/>
    <cellStyle name="Separador de milhares 3 2 3 4 2 3 4 2" xfId="41061"/>
    <cellStyle name="Separador de milhares 3 2 3 4 2 3 5" xfId="34675"/>
    <cellStyle name="Separador de milhares 3 2 3 4 2 4" xfId="5055"/>
    <cellStyle name="Separador de milhares 3 2 3 4 2 4 2" xfId="23690"/>
    <cellStyle name="Separador de milhares 3 2 3 4 2 4 2 2" xfId="49923"/>
    <cellStyle name="Separador de milhares 3 2 3 4 2 4 3" xfId="31300"/>
    <cellStyle name="Separador de milhares 3 2 3 4 2 5" xfId="17776"/>
    <cellStyle name="Separador de milhares 3 2 3 4 2 5 2" xfId="44015"/>
    <cellStyle name="Separador de milhares 3 2 3 4 2 6" xfId="11442"/>
    <cellStyle name="Separador de milhares 3 2 3 4 2 6 2" xfId="37684"/>
    <cellStyle name="Separador de milhares 3 2 3 4 2 7" xfId="29602"/>
    <cellStyle name="Separador de milhares 3 2 3 4 3" xfId="1398"/>
    <cellStyle name="Separador de milhares 3 2 3 4 3 2" xfId="6852"/>
    <cellStyle name="Separador de milhares 3 2 3 4 3 2 2" xfId="9999"/>
    <cellStyle name="Separador de milhares 3 2 3 4 3 2 2 2" xfId="28213"/>
    <cellStyle name="Separador de milhares 3 2 3 4 3 2 2 2 2" xfId="54443"/>
    <cellStyle name="Separador de milhares 3 2 3 4 3 2 2 3" xfId="22299"/>
    <cellStyle name="Separador de milhares 3 2 3 4 3 2 2 3 2" xfId="48535"/>
    <cellStyle name="Separador de milhares 3 2 3 4 3 2 2 4" xfId="16385"/>
    <cellStyle name="Separador de milhares 3 2 3 4 3 2 2 4 2" xfId="42627"/>
    <cellStyle name="Separador de milhares 3 2 3 4 3 2 2 5" xfId="36241"/>
    <cellStyle name="Separador de milhares 3 2 3 4 3 2 3" xfId="25256"/>
    <cellStyle name="Separador de milhares 3 2 3 4 3 2 3 2" xfId="51489"/>
    <cellStyle name="Separador de milhares 3 2 3 4 3 2 4" xfId="19342"/>
    <cellStyle name="Separador de milhares 3 2 3 4 3 2 4 2" xfId="45581"/>
    <cellStyle name="Separador de milhares 3 2 3 4 3 2 5" xfId="13241"/>
    <cellStyle name="Separador de milhares 3 2 3 4 3 2 5 2" xfId="39483"/>
    <cellStyle name="Separador de milhares 3 2 3 4 3 2 6" xfId="33097"/>
    <cellStyle name="Separador de milhares 3 2 3 4 3 3" xfId="8531"/>
    <cellStyle name="Separador de milhares 3 2 3 4 3 3 2" xfId="26745"/>
    <cellStyle name="Separador de milhares 3 2 3 4 3 3 2 2" xfId="52975"/>
    <cellStyle name="Separador de milhares 3 2 3 4 3 3 3" xfId="20831"/>
    <cellStyle name="Separador de milhares 3 2 3 4 3 3 3 2" xfId="47067"/>
    <cellStyle name="Separador de milhares 3 2 3 4 3 3 4" xfId="14917"/>
    <cellStyle name="Separador de milhares 3 2 3 4 3 3 4 2" xfId="41159"/>
    <cellStyle name="Separador de milhares 3 2 3 4 3 3 5" xfId="34773"/>
    <cellStyle name="Separador de milhares 3 2 3 4 3 4" xfId="5153"/>
    <cellStyle name="Separador de milhares 3 2 3 4 3 4 2" xfId="23788"/>
    <cellStyle name="Separador de milhares 3 2 3 4 3 4 2 2" xfId="50021"/>
    <cellStyle name="Separador de milhares 3 2 3 4 3 4 3" xfId="31398"/>
    <cellStyle name="Separador de milhares 3 2 3 4 3 5" xfId="17874"/>
    <cellStyle name="Separador de milhares 3 2 3 4 3 5 2" xfId="44113"/>
    <cellStyle name="Separador de milhares 3 2 3 4 3 6" xfId="11540"/>
    <cellStyle name="Separador de milhares 3 2 3 4 3 6 2" xfId="37782"/>
    <cellStyle name="Separador de milhares 3 2 3 4 3 7" xfId="29700"/>
    <cellStyle name="Separador de milhares 3 2 3 4 4" xfId="1833"/>
    <cellStyle name="Separador de milhares 3 2 3 4 4 2" xfId="6971"/>
    <cellStyle name="Separador de milhares 3 2 3 4 4 2 2" xfId="10118"/>
    <cellStyle name="Separador de milhares 3 2 3 4 4 2 2 2" xfId="28332"/>
    <cellStyle name="Separador de milhares 3 2 3 4 4 2 2 2 2" xfId="54562"/>
    <cellStyle name="Separador de milhares 3 2 3 4 4 2 2 3" xfId="22418"/>
    <cellStyle name="Separador de milhares 3 2 3 4 4 2 2 3 2" xfId="48654"/>
    <cellStyle name="Separador de milhares 3 2 3 4 4 2 2 4" xfId="16504"/>
    <cellStyle name="Separador de milhares 3 2 3 4 4 2 2 4 2" xfId="42746"/>
    <cellStyle name="Separador de milhares 3 2 3 4 4 2 2 5" xfId="36360"/>
    <cellStyle name="Separador de milhares 3 2 3 4 4 2 3" xfId="25375"/>
    <cellStyle name="Separador de milhares 3 2 3 4 4 2 3 2" xfId="51608"/>
    <cellStyle name="Separador de milhares 3 2 3 4 4 2 4" xfId="19461"/>
    <cellStyle name="Separador de milhares 3 2 3 4 4 2 4 2" xfId="45700"/>
    <cellStyle name="Separador de milhares 3 2 3 4 4 2 5" xfId="13360"/>
    <cellStyle name="Separador de milhares 3 2 3 4 4 2 5 2" xfId="39602"/>
    <cellStyle name="Separador de milhares 3 2 3 4 4 2 6" xfId="33216"/>
    <cellStyle name="Separador de milhares 3 2 3 4 4 3" xfId="8650"/>
    <cellStyle name="Separador de milhares 3 2 3 4 4 3 2" xfId="26864"/>
    <cellStyle name="Separador de milhares 3 2 3 4 4 3 2 2" xfId="53094"/>
    <cellStyle name="Separador de milhares 3 2 3 4 4 3 3" xfId="20950"/>
    <cellStyle name="Separador de milhares 3 2 3 4 4 3 3 2" xfId="47186"/>
    <cellStyle name="Separador de milhares 3 2 3 4 4 3 4" xfId="15036"/>
    <cellStyle name="Separador de milhares 3 2 3 4 4 3 4 2" xfId="41278"/>
    <cellStyle name="Separador de milhares 3 2 3 4 4 3 5" xfId="34892"/>
    <cellStyle name="Separador de milhares 3 2 3 4 4 4" xfId="5272"/>
    <cellStyle name="Separador de milhares 3 2 3 4 4 4 2" xfId="23907"/>
    <cellStyle name="Separador de milhares 3 2 3 4 4 4 2 2" xfId="50140"/>
    <cellStyle name="Separador de milhares 3 2 3 4 4 4 3" xfId="31517"/>
    <cellStyle name="Separador de milhares 3 2 3 4 4 5" xfId="17993"/>
    <cellStyle name="Separador de milhares 3 2 3 4 4 5 2" xfId="44232"/>
    <cellStyle name="Separador de milhares 3 2 3 4 4 6" xfId="11659"/>
    <cellStyle name="Separador de milhares 3 2 3 4 4 6 2" xfId="37901"/>
    <cellStyle name="Separador de milhares 3 2 3 4 4 7" xfId="29819"/>
    <cellStyle name="Separador de milhares 3 2 3 4 5" xfId="2363"/>
    <cellStyle name="Separador de milhares 3 2 3 4 5 2" xfId="7121"/>
    <cellStyle name="Separador de milhares 3 2 3 4 5 2 2" xfId="10265"/>
    <cellStyle name="Separador de milhares 3 2 3 4 5 2 2 2" xfId="28479"/>
    <cellStyle name="Separador de milhares 3 2 3 4 5 2 2 2 2" xfId="54709"/>
    <cellStyle name="Separador de milhares 3 2 3 4 5 2 2 3" xfId="22565"/>
    <cellStyle name="Separador de milhares 3 2 3 4 5 2 2 3 2" xfId="48801"/>
    <cellStyle name="Separador de milhares 3 2 3 4 5 2 2 4" xfId="16651"/>
    <cellStyle name="Separador de milhares 3 2 3 4 5 2 2 4 2" xfId="42893"/>
    <cellStyle name="Separador de milhares 3 2 3 4 5 2 2 5" xfId="36507"/>
    <cellStyle name="Separador de milhares 3 2 3 4 5 2 3" xfId="25522"/>
    <cellStyle name="Separador de milhares 3 2 3 4 5 2 3 2" xfId="51755"/>
    <cellStyle name="Separador de milhares 3 2 3 4 5 2 4" xfId="19608"/>
    <cellStyle name="Separador de milhares 3 2 3 4 5 2 4 2" xfId="45847"/>
    <cellStyle name="Separador de milhares 3 2 3 4 5 2 5" xfId="13510"/>
    <cellStyle name="Separador de milhares 3 2 3 4 5 2 5 2" xfId="39752"/>
    <cellStyle name="Separador de milhares 3 2 3 4 5 2 6" xfId="33366"/>
    <cellStyle name="Separador de milhares 3 2 3 4 5 3" xfId="8797"/>
    <cellStyle name="Separador de milhares 3 2 3 4 5 3 2" xfId="27011"/>
    <cellStyle name="Separador de milhares 3 2 3 4 5 3 2 2" xfId="53241"/>
    <cellStyle name="Separador de milhares 3 2 3 4 5 3 3" xfId="21097"/>
    <cellStyle name="Separador de milhares 3 2 3 4 5 3 3 2" xfId="47333"/>
    <cellStyle name="Separador de milhares 3 2 3 4 5 3 4" xfId="15183"/>
    <cellStyle name="Separador de milhares 3 2 3 4 5 3 4 2" xfId="41425"/>
    <cellStyle name="Separador de milhares 3 2 3 4 5 3 5" xfId="35039"/>
    <cellStyle name="Separador de milhares 3 2 3 4 5 4" xfId="5422"/>
    <cellStyle name="Separador de milhares 3 2 3 4 5 4 2" xfId="24054"/>
    <cellStyle name="Separador de milhares 3 2 3 4 5 4 2 2" xfId="50287"/>
    <cellStyle name="Separador de milhares 3 2 3 4 5 4 3" xfId="31667"/>
    <cellStyle name="Separador de milhares 3 2 3 4 5 5" xfId="18140"/>
    <cellStyle name="Separador de milhares 3 2 3 4 5 5 2" xfId="44379"/>
    <cellStyle name="Separador de milhares 3 2 3 4 5 6" xfId="11809"/>
    <cellStyle name="Separador de milhares 3 2 3 4 5 6 2" xfId="38051"/>
    <cellStyle name="Separador de milhares 3 2 3 4 5 7" xfId="29969"/>
    <cellStyle name="Separador de milhares 3 2 3 4 6" xfId="2890"/>
    <cellStyle name="Separador de milhares 3 2 3 4 6 2" xfId="7268"/>
    <cellStyle name="Separador de milhares 3 2 3 4 6 2 2" xfId="10412"/>
    <cellStyle name="Separador de milhares 3 2 3 4 6 2 2 2" xfId="28626"/>
    <cellStyle name="Separador de milhares 3 2 3 4 6 2 2 2 2" xfId="54856"/>
    <cellStyle name="Separador de milhares 3 2 3 4 6 2 2 3" xfId="22712"/>
    <cellStyle name="Separador de milhares 3 2 3 4 6 2 2 3 2" xfId="48948"/>
    <cellStyle name="Separador de milhares 3 2 3 4 6 2 2 4" xfId="16798"/>
    <cellStyle name="Separador de milhares 3 2 3 4 6 2 2 4 2" xfId="43040"/>
    <cellStyle name="Separador de milhares 3 2 3 4 6 2 2 5" xfId="36654"/>
    <cellStyle name="Separador de milhares 3 2 3 4 6 2 3" xfId="25669"/>
    <cellStyle name="Separador de milhares 3 2 3 4 6 2 3 2" xfId="51902"/>
    <cellStyle name="Separador de milhares 3 2 3 4 6 2 4" xfId="19755"/>
    <cellStyle name="Separador de milhares 3 2 3 4 6 2 4 2" xfId="45994"/>
    <cellStyle name="Separador de milhares 3 2 3 4 6 2 5" xfId="13657"/>
    <cellStyle name="Separador de milhares 3 2 3 4 6 2 5 2" xfId="39899"/>
    <cellStyle name="Separador de milhares 3 2 3 4 6 2 6" xfId="33513"/>
    <cellStyle name="Separador de milhares 3 2 3 4 6 3" xfId="8944"/>
    <cellStyle name="Separador de milhares 3 2 3 4 6 3 2" xfId="27158"/>
    <cellStyle name="Separador de milhares 3 2 3 4 6 3 2 2" xfId="53388"/>
    <cellStyle name="Separador de milhares 3 2 3 4 6 3 3" xfId="21244"/>
    <cellStyle name="Separador de milhares 3 2 3 4 6 3 3 2" xfId="47480"/>
    <cellStyle name="Separador de milhares 3 2 3 4 6 3 4" xfId="15330"/>
    <cellStyle name="Separador de milhares 3 2 3 4 6 3 4 2" xfId="41572"/>
    <cellStyle name="Separador de milhares 3 2 3 4 6 3 5" xfId="35186"/>
    <cellStyle name="Separador de milhares 3 2 3 4 6 4" xfId="5569"/>
    <cellStyle name="Separador de milhares 3 2 3 4 6 4 2" xfId="24201"/>
    <cellStyle name="Separador de milhares 3 2 3 4 6 4 2 2" xfId="50434"/>
    <cellStyle name="Separador de milhares 3 2 3 4 6 4 3" xfId="31814"/>
    <cellStyle name="Separador de milhares 3 2 3 4 6 5" xfId="18287"/>
    <cellStyle name="Separador de milhares 3 2 3 4 6 5 2" xfId="44526"/>
    <cellStyle name="Separador de milhares 3 2 3 4 6 6" xfId="11956"/>
    <cellStyle name="Separador de milhares 3 2 3 4 6 6 2" xfId="38198"/>
    <cellStyle name="Separador de milhares 3 2 3 4 6 7" xfId="30116"/>
    <cellStyle name="Separador de milhares 3 2 3 4 7" xfId="3417"/>
    <cellStyle name="Separador de milhares 3 2 3 4 7 2" xfId="7415"/>
    <cellStyle name="Separador de milhares 3 2 3 4 7 2 2" xfId="10559"/>
    <cellStyle name="Separador de milhares 3 2 3 4 7 2 2 2" xfId="28773"/>
    <cellStyle name="Separador de milhares 3 2 3 4 7 2 2 2 2" xfId="55003"/>
    <cellStyle name="Separador de milhares 3 2 3 4 7 2 2 3" xfId="22859"/>
    <cellStyle name="Separador de milhares 3 2 3 4 7 2 2 3 2" xfId="49095"/>
    <cellStyle name="Separador de milhares 3 2 3 4 7 2 2 4" xfId="16945"/>
    <cellStyle name="Separador de milhares 3 2 3 4 7 2 2 4 2" xfId="43187"/>
    <cellStyle name="Separador de milhares 3 2 3 4 7 2 2 5" xfId="36801"/>
    <cellStyle name="Separador de milhares 3 2 3 4 7 2 3" xfId="25816"/>
    <cellStyle name="Separador de milhares 3 2 3 4 7 2 3 2" xfId="52049"/>
    <cellStyle name="Separador de milhares 3 2 3 4 7 2 4" xfId="19902"/>
    <cellStyle name="Separador de milhares 3 2 3 4 7 2 4 2" xfId="46141"/>
    <cellStyle name="Separador de milhares 3 2 3 4 7 2 5" xfId="13804"/>
    <cellStyle name="Separador de milhares 3 2 3 4 7 2 5 2" xfId="40046"/>
    <cellStyle name="Separador de milhares 3 2 3 4 7 2 6" xfId="33660"/>
    <cellStyle name="Separador de milhares 3 2 3 4 7 3" xfId="9091"/>
    <cellStyle name="Separador de milhares 3 2 3 4 7 3 2" xfId="27305"/>
    <cellStyle name="Separador de milhares 3 2 3 4 7 3 2 2" xfId="53535"/>
    <cellStyle name="Separador de milhares 3 2 3 4 7 3 3" xfId="21391"/>
    <cellStyle name="Separador de milhares 3 2 3 4 7 3 3 2" xfId="47627"/>
    <cellStyle name="Separador de milhares 3 2 3 4 7 3 4" xfId="15477"/>
    <cellStyle name="Separador de milhares 3 2 3 4 7 3 4 2" xfId="41719"/>
    <cellStyle name="Separador de milhares 3 2 3 4 7 3 5" xfId="35333"/>
    <cellStyle name="Separador de milhares 3 2 3 4 7 4" xfId="5716"/>
    <cellStyle name="Separador de milhares 3 2 3 4 7 4 2" xfId="24348"/>
    <cellStyle name="Separador de milhares 3 2 3 4 7 4 2 2" xfId="50581"/>
    <cellStyle name="Separador de milhares 3 2 3 4 7 4 3" xfId="31961"/>
    <cellStyle name="Separador de milhares 3 2 3 4 7 5" xfId="18434"/>
    <cellStyle name="Separador de milhares 3 2 3 4 7 5 2" xfId="44673"/>
    <cellStyle name="Separador de milhares 3 2 3 4 7 6" xfId="12103"/>
    <cellStyle name="Separador de milhares 3 2 3 4 7 6 2" xfId="38345"/>
    <cellStyle name="Separador de milhares 3 2 3 4 7 7" xfId="30263"/>
    <cellStyle name="Separador de milhares 3 2 3 4 8" xfId="3944"/>
    <cellStyle name="Separador de milhares 3 2 3 4 8 2" xfId="7562"/>
    <cellStyle name="Separador de milhares 3 2 3 4 8 2 2" xfId="10706"/>
    <cellStyle name="Separador de milhares 3 2 3 4 8 2 2 2" xfId="28920"/>
    <cellStyle name="Separador de milhares 3 2 3 4 8 2 2 2 2" xfId="55150"/>
    <cellStyle name="Separador de milhares 3 2 3 4 8 2 2 3" xfId="23006"/>
    <cellStyle name="Separador de milhares 3 2 3 4 8 2 2 3 2" xfId="49242"/>
    <cellStyle name="Separador de milhares 3 2 3 4 8 2 2 4" xfId="17092"/>
    <cellStyle name="Separador de milhares 3 2 3 4 8 2 2 4 2" xfId="43334"/>
    <cellStyle name="Separador de milhares 3 2 3 4 8 2 2 5" xfId="36948"/>
    <cellStyle name="Separador de milhares 3 2 3 4 8 2 3" xfId="25963"/>
    <cellStyle name="Separador de milhares 3 2 3 4 8 2 3 2" xfId="52196"/>
    <cellStyle name="Separador de milhares 3 2 3 4 8 2 4" xfId="20049"/>
    <cellStyle name="Separador de milhares 3 2 3 4 8 2 4 2" xfId="46288"/>
    <cellStyle name="Separador de milhares 3 2 3 4 8 2 5" xfId="13951"/>
    <cellStyle name="Separador de milhares 3 2 3 4 8 2 5 2" xfId="40193"/>
    <cellStyle name="Separador de milhares 3 2 3 4 8 2 6" xfId="33807"/>
    <cellStyle name="Separador de milhares 3 2 3 4 8 3" xfId="9238"/>
    <cellStyle name="Separador de milhares 3 2 3 4 8 3 2" xfId="27452"/>
    <cellStyle name="Separador de milhares 3 2 3 4 8 3 2 2" xfId="53682"/>
    <cellStyle name="Separador de milhares 3 2 3 4 8 3 3" xfId="21538"/>
    <cellStyle name="Separador de milhares 3 2 3 4 8 3 3 2" xfId="47774"/>
    <cellStyle name="Separador de milhares 3 2 3 4 8 3 4" xfId="15624"/>
    <cellStyle name="Separador de milhares 3 2 3 4 8 3 4 2" xfId="41866"/>
    <cellStyle name="Separador de milhares 3 2 3 4 8 3 5" xfId="35480"/>
    <cellStyle name="Separador de milhares 3 2 3 4 8 4" xfId="5863"/>
    <cellStyle name="Separador de milhares 3 2 3 4 8 4 2" xfId="24495"/>
    <cellStyle name="Separador de milhares 3 2 3 4 8 4 2 2" xfId="50728"/>
    <cellStyle name="Separador de milhares 3 2 3 4 8 4 3" xfId="32108"/>
    <cellStyle name="Separador de milhares 3 2 3 4 8 5" xfId="18581"/>
    <cellStyle name="Separador de milhares 3 2 3 4 8 5 2" xfId="44820"/>
    <cellStyle name="Separador de milhares 3 2 3 4 8 6" xfId="12250"/>
    <cellStyle name="Separador de milhares 3 2 3 4 8 6 2" xfId="38492"/>
    <cellStyle name="Separador de milhares 3 2 3 4 8 7" xfId="30410"/>
    <cellStyle name="Separador de milhares 3 2 3 4 9" xfId="721"/>
    <cellStyle name="Separador de milhares 3 2 3 4 9 2" xfId="6656"/>
    <cellStyle name="Separador de milhares 3 2 3 4 9 2 2" xfId="9803"/>
    <cellStyle name="Separador de milhares 3 2 3 4 9 2 2 2" xfId="28017"/>
    <cellStyle name="Separador de milhares 3 2 3 4 9 2 2 2 2" xfId="54247"/>
    <cellStyle name="Separador de milhares 3 2 3 4 9 2 2 3" xfId="22103"/>
    <cellStyle name="Separador de milhares 3 2 3 4 9 2 2 3 2" xfId="48339"/>
    <cellStyle name="Separador de milhares 3 2 3 4 9 2 2 4" xfId="16189"/>
    <cellStyle name="Separador de milhares 3 2 3 4 9 2 2 4 2" xfId="42431"/>
    <cellStyle name="Separador de milhares 3 2 3 4 9 2 2 5" xfId="36045"/>
    <cellStyle name="Separador de milhares 3 2 3 4 9 2 3" xfId="25060"/>
    <cellStyle name="Separador de milhares 3 2 3 4 9 2 3 2" xfId="51293"/>
    <cellStyle name="Separador de milhares 3 2 3 4 9 2 4" xfId="19146"/>
    <cellStyle name="Separador de milhares 3 2 3 4 9 2 4 2" xfId="45385"/>
    <cellStyle name="Separador de milhares 3 2 3 4 9 2 5" xfId="13045"/>
    <cellStyle name="Separador de milhares 3 2 3 4 9 2 5 2" xfId="39287"/>
    <cellStyle name="Separador de milhares 3 2 3 4 9 2 6" xfId="32901"/>
    <cellStyle name="Separador de milhares 3 2 3 4 9 3" xfId="8335"/>
    <cellStyle name="Separador de milhares 3 2 3 4 9 3 2" xfId="26549"/>
    <cellStyle name="Separador de milhares 3 2 3 4 9 3 2 2" xfId="52779"/>
    <cellStyle name="Separador de milhares 3 2 3 4 9 3 3" xfId="20635"/>
    <cellStyle name="Separador de milhares 3 2 3 4 9 3 3 2" xfId="46871"/>
    <cellStyle name="Separador de milhares 3 2 3 4 9 3 4" xfId="14721"/>
    <cellStyle name="Separador de milhares 3 2 3 4 9 3 4 2" xfId="40963"/>
    <cellStyle name="Separador de milhares 3 2 3 4 9 3 5" xfId="34577"/>
    <cellStyle name="Separador de milhares 3 2 3 4 9 4" xfId="4957"/>
    <cellStyle name="Separador de milhares 3 2 3 4 9 4 2" xfId="23592"/>
    <cellStyle name="Separador de milhares 3 2 3 4 9 4 2 2" xfId="49825"/>
    <cellStyle name="Separador de milhares 3 2 3 4 9 4 3" xfId="31202"/>
    <cellStyle name="Separador de milhares 3 2 3 4 9 5" xfId="17678"/>
    <cellStyle name="Separador de milhares 3 2 3 4 9 5 2" xfId="43917"/>
    <cellStyle name="Separador de milhares 3 2 3 4 9 6" xfId="11344"/>
    <cellStyle name="Separador de milhares 3 2 3 4 9 6 2" xfId="37586"/>
    <cellStyle name="Separador de milhares 3 2 3 4 9 7" xfId="29504"/>
    <cellStyle name="Separador de milhares 3 2 3 5" xfId="659"/>
    <cellStyle name="Separador de milhares 3 2 3 5 10" xfId="4921"/>
    <cellStyle name="Separador de milhares 3 2 3 5 10 2" xfId="23555"/>
    <cellStyle name="Separador de milhares 3 2 3 5 10 2 2" xfId="49791"/>
    <cellStyle name="Separador de milhares 3 2 3 5 10 3" xfId="31168"/>
    <cellStyle name="Separador de milhares 3 2 3 5 11" xfId="17641"/>
    <cellStyle name="Separador de milhares 3 2 3 5 11 2" xfId="43883"/>
    <cellStyle name="Separador de milhares 3 2 3 5 12" xfId="11310"/>
    <cellStyle name="Separador de milhares 3 2 3 5 12 2" xfId="37552"/>
    <cellStyle name="Separador de milhares 3 2 3 5 13" xfId="29470"/>
    <cellStyle name="Separador de milhares 3 2 3 5 2" xfId="1482"/>
    <cellStyle name="Separador de milhares 3 2 3 5 2 2" xfId="6873"/>
    <cellStyle name="Separador de milhares 3 2 3 5 2 2 2" xfId="10020"/>
    <cellStyle name="Separador de milhares 3 2 3 5 2 2 2 2" xfId="28234"/>
    <cellStyle name="Separador de milhares 3 2 3 5 2 2 2 2 2" xfId="54464"/>
    <cellStyle name="Separador de milhares 3 2 3 5 2 2 2 3" xfId="22320"/>
    <cellStyle name="Separador de milhares 3 2 3 5 2 2 2 3 2" xfId="48556"/>
    <cellStyle name="Separador de milhares 3 2 3 5 2 2 2 4" xfId="16406"/>
    <cellStyle name="Separador de milhares 3 2 3 5 2 2 2 4 2" xfId="42648"/>
    <cellStyle name="Separador de milhares 3 2 3 5 2 2 2 5" xfId="36262"/>
    <cellStyle name="Separador de milhares 3 2 3 5 2 2 3" xfId="25277"/>
    <cellStyle name="Separador de milhares 3 2 3 5 2 2 3 2" xfId="51510"/>
    <cellStyle name="Separador de milhares 3 2 3 5 2 2 4" xfId="19363"/>
    <cellStyle name="Separador de milhares 3 2 3 5 2 2 4 2" xfId="45602"/>
    <cellStyle name="Separador de milhares 3 2 3 5 2 2 5" xfId="13262"/>
    <cellStyle name="Separador de milhares 3 2 3 5 2 2 5 2" xfId="39504"/>
    <cellStyle name="Separador de milhares 3 2 3 5 2 2 6" xfId="33118"/>
    <cellStyle name="Separador de milhares 3 2 3 5 2 3" xfId="8552"/>
    <cellStyle name="Separador de milhares 3 2 3 5 2 3 2" xfId="26766"/>
    <cellStyle name="Separador de milhares 3 2 3 5 2 3 2 2" xfId="52996"/>
    <cellStyle name="Separador de milhares 3 2 3 5 2 3 3" xfId="20852"/>
    <cellStyle name="Separador de milhares 3 2 3 5 2 3 3 2" xfId="47088"/>
    <cellStyle name="Separador de milhares 3 2 3 5 2 3 4" xfId="14938"/>
    <cellStyle name="Separador de milhares 3 2 3 5 2 3 4 2" xfId="41180"/>
    <cellStyle name="Separador de milhares 3 2 3 5 2 3 5" xfId="34794"/>
    <cellStyle name="Separador de milhares 3 2 3 5 2 4" xfId="5174"/>
    <cellStyle name="Separador de milhares 3 2 3 5 2 4 2" xfId="23809"/>
    <cellStyle name="Separador de milhares 3 2 3 5 2 4 2 2" xfId="50042"/>
    <cellStyle name="Separador de milhares 3 2 3 5 2 4 3" xfId="31419"/>
    <cellStyle name="Separador de milhares 3 2 3 5 2 5" xfId="17895"/>
    <cellStyle name="Separador de milhares 3 2 3 5 2 5 2" xfId="44134"/>
    <cellStyle name="Separador de milhares 3 2 3 5 2 6" xfId="11561"/>
    <cellStyle name="Separador de milhares 3 2 3 5 2 6 2" xfId="37803"/>
    <cellStyle name="Separador de milhares 3 2 3 5 2 7" xfId="29721"/>
    <cellStyle name="Separador de milhares 3 2 3 5 3" xfId="1917"/>
    <cellStyle name="Separador de milhares 3 2 3 5 3 2" xfId="6992"/>
    <cellStyle name="Separador de milhares 3 2 3 5 3 2 2" xfId="10139"/>
    <cellStyle name="Separador de milhares 3 2 3 5 3 2 2 2" xfId="28353"/>
    <cellStyle name="Separador de milhares 3 2 3 5 3 2 2 2 2" xfId="54583"/>
    <cellStyle name="Separador de milhares 3 2 3 5 3 2 2 3" xfId="22439"/>
    <cellStyle name="Separador de milhares 3 2 3 5 3 2 2 3 2" xfId="48675"/>
    <cellStyle name="Separador de milhares 3 2 3 5 3 2 2 4" xfId="16525"/>
    <cellStyle name="Separador de milhares 3 2 3 5 3 2 2 4 2" xfId="42767"/>
    <cellStyle name="Separador de milhares 3 2 3 5 3 2 2 5" xfId="36381"/>
    <cellStyle name="Separador de milhares 3 2 3 5 3 2 3" xfId="25396"/>
    <cellStyle name="Separador de milhares 3 2 3 5 3 2 3 2" xfId="51629"/>
    <cellStyle name="Separador de milhares 3 2 3 5 3 2 4" xfId="19482"/>
    <cellStyle name="Separador de milhares 3 2 3 5 3 2 4 2" xfId="45721"/>
    <cellStyle name="Separador de milhares 3 2 3 5 3 2 5" xfId="13381"/>
    <cellStyle name="Separador de milhares 3 2 3 5 3 2 5 2" xfId="39623"/>
    <cellStyle name="Separador de milhares 3 2 3 5 3 2 6" xfId="33237"/>
    <cellStyle name="Separador de milhares 3 2 3 5 3 3" xfId="8671"/>
    <cellStyle name="Separador de milhares 3 2 3 5 3 3 2" xfId="26885"/>
    <cellStyle name="Separador de milhares 3 2 3 5 3 3 2 2" xfId="53115"/>
    <cellStyle name="Separador de milhares 3 2 3 5 3 3 3" xfId="20971"/>
    <cellStyle name="Separador de milhares 3 2 3 5 3 3 3 2" xfId="47207"/>
    <cellStyle name="Separador de milhares 3 2 3 5 3 3 4" xfId="15057"/>
    <cellStyle name="Separador de milhares 3 2 3 5 3 3 4 2" xfId="41299"/>
    <cellStyle name="Separador de milhares 3 2 3 5 3 3 5" xfId="34913"/>
    <cellStyle name="Separador de milhares 3 2 3 5 3 4" xfId="5293"/>
    <cellStyle name="Separador de milhares 3 2 3 5 3 4 2" xfId="23928"/>
    <cellStyle name="Separador de milhares 3 2 3 5 3 4 2 2" xfId="50161"/>
    <cellStyle name="Separador de milhares 3 2 3 5 3 4 3" xfId="31538"/>
    <cellStyle name="Separador de milhares 3 2 3 5 3 5" xfId="18014"/>
    <cellStyle name="Separador de milhares 3 2 3 5 3 5 2" xfId="44253"/>
    <cellStyle name="Separador de milhares 3 2 3 5 3 6" xfId="11680"/>
    <cellStyle name="Separador de milhares 3 2 3 5 3 6 2" xfId="37922"/>
    <cellStyle name="Separador de milhares 3 2 3 5 3 7" xfId="29840"/>
    <cellStyle name="Separador de milhares 3 2 3 5 4" xfId="2447"/>
    <cellStyle name="Separador de milhares 3 2 3 5 4 2" xfId="7142"/>
    <cellStyle name="Separador de milhares 3 2 3 5 4 2 2" xfId="10286"/>
    <cellStyle name="Separador de milhares 3 2 3 5 4 2 2 2" xfId="28500"/>
    <cellStyle name="Separador de milhares 3 2 3 5 4 2 2 2 2" xfId="54730"/>
    <cellStyle name="Separador de milhares 3 2 3 5 4 2 2 3" xfId="22586"/>
    <cellStyle name="Separador de milhares 3 2 3 5 4 2 2 3 2" xfId="48822"/>
    <cellStyle name="Separador de milhares 3 2 3 5 4 2 2 4" xfId="16672"/>
    <cellStyle name="Separador de milhares 3 2 3 5 4 2 2 4 2" xfId="42914"/>
    <cellStyle name="Separador de milhares 3 2 3 5 4 2 2 5" xfId="36528"/>
    <cellStyle name="Separador de milhares 3 2 3 5 4 2 3" xfId="25543"/>
    <cellStyle name="Separador de milhares 3 2 3 5 4 2 3 2" xfId="51776"/>
    <cellStyle name="Separador de milhares 3 2 3 5 4 2 4" xfId="19629"/>
    <cellStyle name="Separador de milhares 3 2 3 5 4 2 4 2" xfId="45868"/>
    <cellStyle name="Separador de milhares 3 2 3 5 4 2 5" xfId="13531"/>
    <cellStyle name="Separador de milhares 3 2 3 5 4 2 5 2" xfId="39773"/>
    <cellStyle name="Separador de milhares 3 2 3 5 4 2 6" xfId="33387"/>
    <cellStyle name="Separador de milhares 3 2 3 5 4 3" xfId="8818"/>
    <cellStyle name="Separador de milhares 3 2 3 5 4 3 2" xfId="27032"/>
    <cellStyle name="Separador de milhares 3 2 3 5 4 3 2 2" xfId="53262"/>
    <cellStyle name="Separador de milhares 3 2 3 5 4 3 3" xfId="21118"/>
    <cellStyle name="Separador de milhares 3 2 3 5 4 3 3 2" xfId="47354"/>
    <cellStyle name="Separador de milhares 3 2 3 5 4 3 4" xfId="15204"/>
    <cellStyle name="Separador de milhares 3 2 3 5 4 3 4 2" xfId="41446"/>
    <cellStyle name="Separador de milhares 3 2 3 5 4 3 5" xfId="35060"/>
    <cellStyle name="Separador de milhares 3 2 3 5 4 4" xfId="5443"/>
    <cellStyle name="Separador de milhares 3 2 3 5 4 4 2" xfId="24075"/>
    <cellStyle name="Separador de milhares 3 2 3 5 4 4 2 2" xfId="50308"/>
    <cellStyle name="Separador de milhares 3 2 3 5 4 4 3" xfId="31688"/>
    <cellStyle name="Separador de milhares 3 2 3 5 4 5" xfId="18161"/>
    <cellStyle name="Separador de milhares 3 2 3 5 4 5 2" xfId="44400"/>
    <cellStyle name="Separador de milhares 3 2 3 5 4 6" xfId="11830"/>
    <cellStyle name="Separador de milhares 3 2 3 5 4 6 2" xfId="38072"/>
    <cellStyle name="Separador de milhares 3 2 3 5 4 7" xfId="29990"/>
    <cellStyle name="Separador de milhares 3 2 3 5 5" xfId="2974"/>
    <cellStyle name="Separador de milhares 3 2 3 5 5 2" xfId="7289"/>
    <cellStyle name="Separador de milhares 3 2 3 5 5 2 2" xfId="10433"/>
    <cellStyle name="Separador de milhares 3 2 3 5 5 2 2 2" xfId="28647"/>
    <cellStyle name="Separador de milhares 3 2 3 5 5 2 2 2 2" xfId="54877"/>
    <cellStyle name="Separador de milhares 3 2 3 5 5 2 2 3" xfId="22733"/>
    <cellStyle name="Separador de milhares 3 2 3 5 5 2 2 3 2" xfId="48969"/>
    <cellStyle name="Separador de milhares 3 2 3 5 5 2 2 4" xfId="16819"/>
    <cellStyle name="Separador de milhares 3 2 3 5 5 2 2 4 2" xfId="43061"/>
    <cellStyle name="Separador de milhares 3 2 3 5 5 2 2 5" xfId="36675"/>
    <cellStyle name="Separador de milhares 3 2 3 5 5 2 3" xfId="25690"/>
    <cellStyle name="Separador de milhares 3 2 3 5 5 2 3 2" xfId="51923"/>
    <cellStyle name="Separador de milhares 3 2 3 5 5 2 4" xfId="19776"/>
    <cellStyle name="Separador de milhares 3 2 3 5 5 2 4 2" xfId="46015"/>
    <cellStyle name="Separador de milhares 3 2 3 5 5 2 5" xfId="13678"/>
    <cellStyle name="Separador de milhares 3 2 3 5 5 2 5 2" xfId="39920"/>
    <cellStyle name="Separador de milhares 3 2 3 5 5 2 6" xfId="33534"/>
    <cellStyle name="Separador de milhares 3 2 3 5 5 3" xfId="8965"/>
    <cellStyle name="Separador de milhares 3 2 3 5 5 3 2" xfId="27179"/>
    <cellStyle name="Separador de milhares 3 2 3 5 5 3 2 2" xfId="53409"/>
    <cellStyle name="Separador de milhares 3 2 3 5 5 3 3" xfId="21265"/>
    <cellStyle name="Separador de milhares 3 2 3 5 5 3 3 2" xfId="47501"/>
    <cellStyle name="Separador de milhares 3 2 3 5 5 3 4" xfId="15351"/>
    <cellStyle name="Separador de milhares 3 2 3 5 5 3 4 2" xfId="41593"/>
    <cellStyle name="Separador de milhares 3 2 3 5 5 3 5" xfId="35207"/>
    <cellStyle name="Separador de milhares 3 2 3 5 5 4" xfId="5590"/>
    <cellStyle name="Separador de milhares 3 2 3 5 5 4 2" xfId="24222"/>
    <cellStyle name="Separador de milhares 3 2 3 5 5 4 2 2" xfId="50455"/>
    <cellStyle name="Separador de milhares 3 2 3 5 5 4 3" xfId="31835"/>
    <cellStyle name="Separador de milhares 3 2 3 5 5 5" xfId="18308"/>
    <cellStyle name="Separador de milhares 3 2 3 5 5 5 2" xfId="44547"/>
    <cellStyle name="Separador de milhares 3 2 3 5 5 6" xfId="11977"/>
    <cellStyle name="Separador de milhares 3 2 3 5 5 6 2" xfId="38219"/>
    <cellStyle name="Separador de milhares 3 2 3 5 5 7" xfId="30137"/>
    <cellStyle name="Separador de milhares 3 2 3 5 6" xfId="3501"/>
    <cellStyle name="Separador de milhares 3 2 3 5 6 2" xfId="7436"/>
    <cellStyle name="Separador de milhares 3 2 3 5 6 2 2" xfId="10580"/>
    <cellStyle name="Separador de milhares 3 2 3 5 6 2 2 2" xfId="28794"/>
    <cellStyle name="Separador de milhares 3 2 3 5 6 2 2 2 2" xfId="55024"/>
    <cellStyle name="Separador de milhares 3 2 3 5 6 2 2 3" xfId="22880"/>
    <cellStyle name="Separador de milhares 3 2 3 5 6 2 2 3 2" xfId="49116"/>
    <cellStyle name="Separador de milhares 3 2 3 5 6 2 2 4" xfId="16966"/>
    <cellStyle name="Separador de milhares 3 2 3 5 6 2 2 4 2" xfId="43208"/>
    <cellStyle name="Separador de milhares 3 2 3 5 6 2 2 5" xfId="36822"/>
    <cellStyle name="Separador de milhares 3 2 3 5 6 2 3" xfId="25837"/>
    <cellStyle name="Separador de milhares 3 2 3 5 6 2 3 2" xfId="52070"/>
    <cellStyle name="Separador de milhares 3 2 3 5 6 2 4" xfId="19923"/>
    <cellStyle name="Separador de milhares 3 2 3 5 6 2 4 2" xfId="46162"/>
    <cellStyle name="Separador de milhares 3 2 3 5 6 2 5" xfId="13825"/>
    <cellStyle name="Separador de milhares 3 2 3 5 6 2 5 2" xfId="40067"/>
    <cellStyle name="Separador de milhares 3 2 3 5 6 2 6" xfId="33681"/>
    <cellStyle name="Separador de milhares 3 2 3 5 6 3" xfId="9112"/>
    <cellStyle name="Separador de milhares 3 2 3 5 6 3 2" xfId="27326"/>
    <cellStyle name="Separador de milhares 3 2 3 5 6 3 2 2" xfId="53556"/>
    <cellStyle name="Separador de milhares 3 2 3 5 6 3 3" xfId="21412"/>
    <cellStyle name="Separador de milhares 3 2 3 5 6 3 3 2" xfId="47648"/>
    <cellStyle name="Separador de milhares 3 2 3 5 6 3 4" xfId="15498"/>
    <cellStyle name="Separador de milhares 3 2 3 5 6 3 4 2" xfId="41740"/>
    <cellStyle name="Separador de milhares 3 2 3 5 6 3 5" xfId="35354"/>
    <cellStyle name="Separador de milhares 3 2 3 5 6 4" xfId="5737"/>
    <cellStyle name="Separador de milhares 3 2 3 5 6 4 2" xfId="24369"/>
    <cellStyle name="Separador de milhares 3 2 3 5 6 4 2 2" xfId="50602"/>
    <cellStyle name="Separador de milhares 3 2 3 5 6 4 3" xfId="31982"/>
    <cellStyle name="Separador de milhares 3 2 3 5 6 5" xfId="18455"/>
    <cellStyle name="Separador de milhares 3 2 3 5 6 5 2" xfId="44694"/>
    <cellStyle name="Separador de milhares 3 2 3 5 6 6" xfId="12124"/>
    <cellStyle name="Separador de milhares 3 2 3 5 6 6 2" xfId="38366"/>
    <cellStyle name="Separador de milhares 3 2 3 5 6 7" xfId="30284"/>
    <cellStyle name="Separador de milhares 3 2 3 5 7" xfId="4028"/>
    <cellStyle name="Separador de milhares 3 2 3 5 7 2" xfId="7583"/>
    <cellStyle name="Separador de milhares 3 2 3 5 7 2 2" xfId="10727"/>
    <cellStyle name="Separador de milhares 3 2 3 5 7 2 2 2" xfId="28941"/>
    <cellStyle name="Separador de milhares 3 2 3 5 7 2 2 2 2" xfId="55171"/>
    <cellStyle name="Separador de milhares 3 2 3 5 7 2 2 3" xfId="23027"/>
    <cellStyle name="Separador de milhares 3 2 3 5 7 2 2 3 2" xfId="49263"/>
    <cellStyle name="Separador de milhares 3 2 3 5 7 2 2 4" xfId="17113"/>
    <cellStyle name="Separador de milhares 3 2 3 5 7 2 2 4 2" xfId="43355"/>
    <cellStyle name="Separador de milhares 3 2 3 5 7 2 2 5" xfId="36969"/>
    <cellStyle name="Separador de milhares 3 2 3 5 7 2 3" xfId="25984"/>
    <cellStyle name="Separador de milhares 3 2 3 5 7 2 3 2" xfId="52217"/>
    <cellStyle name="Separador de milhares 3 2 3 5 7 2 4" xfId="20070"/>
    <cellStyle name="Separador de milhares 3 2 3 5 7 2 4 2" xfId="46309"/>
    <cellStyle name="Separador de milhares 3 2 3 5 7 2 5" xfId="13972"/>
    <cellStyle name="Separador de milhares 3 2 3 5 7 2 5 2" xfId="40214"/>
    <cellStyle name="Separador de milhares 3 2 3 5 7 2 6" xfId="33828"/>
    <cellStyle name="Separador de milhares 3 2 3 5 7 3" xfId="9259"/>
    <cellStyle name="Separador de milhares 3 2 3 5 7 3 2" xfId="27473"/>
    <cellStyle name="Separador de milhares 3 2 3 5 7 3 2 2" xfId="53703"/>
    <cellStyle name="Separador de milhares 3 2 3 5 7 3 3" xfId="21559"/>
    <cellStyle name="Separador de milhares 3 2 3 5 7 3 3 2" xfId="47795"/>
    <cellStyle name="Separador de milhares 3 2 3 5 7 3 4" xfId="15645"/>
    <cellStyle name="Separador de milhares 3 2 3 5 7 3 4 2" xfId="41887"/>
    <cellStyle name="Separador de milhares 3 2 3 5 7 3 5" xfId="35501"/>
    <cellStyle name="Separador de milhares 3 2 3 5 7 4" xfId="5884"/>
    <cellStyle name="Separador de milhares 3 2 3 5 7 4 2" xfId="24516"/>
    <cellStyle name="Separador de milhares 3 2 3 5 7 4 2 2" xfId="50749"/>
    <cellStyle name="Separador de milhares 3 2 3 5 7 4 3" xfId="32129"/>
    <cellStyle name="Separador de milhares 3 2 3 5 7 5" xfId="18602"/>
    <cellStyle name="Separador de milhares 3 2 3 5 7 5 2" xfId="44841"/>
    <cellStyle name="Separador de milhares 3 2 3 5 7 6" xfId="12271"/>
    <cellStyle name="Separador de milhares 3 2 3 5 7 6 2" xfId="38513"/>
    <cellStyle name="Separador de milhares 3 2 3 5 7 7" xfId="30431"/>
    <cellStyle name="Separador de milhares 3 2 3 5 8" xfId="6622"/>
    <cellStyle name="Separador de milhares 3 2 3 5 8 2" xfId="9769"/>
    <cellStyle name="Separador de milhares 3 2 3 5 8 2 2" xfId="27983"/>
    <cellStyle name="Separador de milhares 3 2 3 5 8 2 2 2" xfId="54213"/>
    <cellStyle name="Separador de milhares 3 2 3 5 8 2 3" xfId="22069"/>
    <cellStyle name="Separador de milhares 3 2 3 5 8 2 3 2" xfId="48305"/>
    <cellStyle name="Separador de milhares 3 2 3 5 8 2 4" xfId="16155"/>
    <cellStyle name="Separador de milhares 3 2 3 5 8 2 4 2" xfId="42397"/>
    <cellStyle name="Separador de milhares 3 2 3 5 8 2 5" xfId="36011"/>
    <cellStyle name="Separador de milhares 3 2 3 5 8 3" xfId="25026"/>
    <cellStyle name="Separador de milhares 3 2 3 5 8 3 2" xfId="51259"/>
    <cellStyle name="Separador de milhares 3 2 3 5 8 4" xfId="19112"/>
    <cellStyle name="Separador de milhares 3 2 3 5 8 4 2" xfId="45351"/>
    <cellStyle name="Separador de milhares 3 2 3 5 8 5" xfId="13011"/>
    <cellStyle name="Separador de milhares 3 2 3 5 8 5 2" xfId="39253"/>
    <cellStyle name="Separador de milhares 3 2 3 5 8 6" xfId="32867"/>
    <cellStyle name="Separador de milhares 3 2 3 5 9" xfId="8298"/>
    <cellStyle name="Separador de milhares 3 2 3 5 9 2" xfId="26512"/>
    <cellStyle name="Separador de milhares 3 2 3 5 9 2 2" xfId="52745"/>
    <cellStyle name="Separador de milhares 3 2 3 5 9 3" xfId="20598"/>
    <cellStyle name="Separador de milhares 3 2 3 5 9 3 2" xfId="46837"/>
    <cellStyle name="Separador de milhares 3 2 3 5 9 4" xfId="14687"/>
    <cellStyle name="Separador de milhares 3 2 3 5 9 4 2" xfId="40929"/>
    <cellStyle name="Separador de milhares 3 2 3 5 9 5" xfId="34543"/>
    <cellStyle name="Separador de milhares 3 2 3 6" xfId="780"/>
    <cellStyle name="Separador de milhares 3 2 3 6 2" xfId="4204"/>
    <cellStyle name="Separador de milhares 3 2 3 6 2 2" xfId="7632"/>
    <cellStyle name="Separador de milhares 3 2 3 6 2 2 2" xfId="10776"/>
    <cellStyle name="Separador de milhares 3 2 3 6 2 2 2 2" xfId="28990"/>
    <cellStyle name="Separador de milhares 3 2 3 6 2 2 2 2 2" xfId="55220"/>
    <cellStyle name="Separador de milhares 3 2 3 6 2 2 2 3" xfId="23076"/>
    <cellStyle name="Separador de milhares 3 2 3 6 2 2 2 3 2" xfId="49312"/>
    <cellStyle name="Separador de milhares 3 2 3 6 2 2 2 4" xfId="17162"/>
    <cellStyle name="Separador de milhares 3 2 3 6 2 2 2 4 2" xfId="43404"/>
    <cellStyle name="Separador de milhares 3 2 3 6 2 2 2 5" xfId="37018"/>
    <cellStyle name="Separador de milhares 3 2 3 6 2 2 3" xfId="26033"/>
    <cellStyle name="Separador de milhares 3 2 3 6 2 2 3 2" xfId="52266"/>
    <cellStyle name="Separador de milhares 3 2 3 6 2 2 4" xfId="20119"/>
    <cellStyle name="Separador de milhares 3 2 3 6 2 2 4 2" xfId="46358"/>
    <cellStyle name="Separador de milhares 3 2 3 6 2 2 5" xfId="14021"/>
    <cellStyle name="Separador de milhares 3 2 3 6 2 2 5 2" xfId="40263"/>
    <cellStyle name="Separador de milhares 3 2 3 6 2 2 6" xfId="33877"/>
    <cellStyle name="Separador de milhares 3 2 3 6 2 3" xfId="9308"/>
    <cellStyle name="Separador de milhares 3 2 3 6 2 3 2" xfId="27522"/>
    <cellStyle name="Separador de milhares 3 2 3 6 2 3 2 2" xfId="53752"/>
    <cellStyle name="Separador de milhares 3 2 3 6 2 3 3" xfId="21608"/>
    <cellStyle name="Separador de milhares 3 2 3 6 2 3 3 2" xfId="47844"/>
    <cellStyle name="Separador de milhares 3 2 3 6 2 3 4" xfId="15694"/>
    <cellStyle name="Separador de milhares 3 2 3 6 2 3 4 2" xfId="41936"/>
    <cellStyle name="Separador de milhares 3 2 3 6 2 3 5" xfId="35550"/>
    <cellStyle name="Separador de milhares 3 2 3 6 2 4" xfId="5933"/>
    <cellStyle name="Separador de milhares 3 2 3 6 2 4 2" xfId="24565"/>
    <cellStyle name="Separador de milhares 3 2 3 6 2 4 2 2" xfId="50798"/>
    <cellStyle name="Separador de milhares 3 2 3 6 2 4 3" xfId="32178"/>
    <cellStyle name="Separador de milhares 3 2 3 6 2 5" xfId="18651"/>
    <cellStyle name="Separador de milhares 3 2 3 6 2 5 2" xfId="44890"/>
    <cellStyle name="Separador de milhares 3 2 3 6 2 6" xfId="12320"/>
    <cellStyle name="Separador de milhares 3 2 3 6 2 6 2" xfId="38562"/>
    <cellStyle name="Separador de milhares 3 2 3 6 2 7" xfId="30480"/>
    <cellStyle name="Separador de milhares 3 2 3 6 3" xfId="6677"/>
    <cellStyle name="Separador de milhares 3 2 3 6 3 2" xfId="9824"/>
    <cellStyle name="Separador de milhares 3 2 3 6 3 2 2" xfId="28038"/>
    <cellStyle name="Separador de milhares 3 2 3 6 3 2 2 2" xfId="54268"/>
    <cellStyle name="Separador de milhares 3 2 3 6 3 2 3" xfId="22124"/>
    <cellStyle name="Separador de milhares 3 2 3 6 3 2 3 2" xfId="48360"/>
    <cellStyle name="Separador de milhares 3 2 3 6 3 2 4" xfId="16210"/>
    <cellStyle name="Separador de milhares 3 2 3 6 3 2 4 2" xfId="42452"/>
    <cellStyle name="Separador de milhares 3 2 3 6 3 2 5" xfId="36066"/>
    <cellStyle name="Separador de milhares 3 2 3 6 3 3" xfId="25081"/>
    <cellStyle name="Separador de milhares 3 2 3 6 3 3 2" xfId="51314"/>
    <cellStyle name="Separador de milhares 3 2 3 6 3 4" xfId="19167"/>
    <cellStyle name="Separador de milhares 3 2 3 6 3 4 2" xfId="45406"/>
    <cellStyle name="Separador de milhares 3 2 3 6 3 5" xfId="13066"/>
    <cellStyle name="Separador de milhares 3 2 3 6 3 5 2" xfId="39308"/>
    <cellStyle name="Separador de milhares 3 2 3 6 3 6" xfId="32922"/>
    <cellStyle name="Separador de milhares 3 2 3 6 4" xfId="8356"/>
    <cellStyle name="Separador de milhares 3 2 3 6 4 2" xfId="26570"/>
    <cellStyle name="Separador de milhares 3 2 3 6 4 2 2" xfId="52800"/>
    <cellStyle name="Separador de milhares 3 2 3 6 4 3" xfId="20656"/>
    <cellStyle name="Separador de milhares 3 2 3 6 4 3 2" xfId="46892"/>
    <cellStyle name="Separador de milhares 3 2 3 6 4 4" xfId="14742"/>
    <cellStyle name="Separador de milhares 3 2 3 6 4 4 2" xfId="40984"/>
    <cellStyle name="Separador de milhares 3 2 3 6 4 5" xfId="34598"/>
    <cellStyle name="Separador de milhares 3 2 3 6 5" xfId="4978"/>
    <cellStyle name="Separador de milhares 3 2 3 6 5 2" xfId="23613"/>
    <cellStyle name="Separador de milhares 3 2 3 6 5 2 2" xfId="49846"/>
    <cellStyle name="Separador de milhares 3 2 3 6 5 3" xfId="31223"/>
    <cellStyle name="Separador de milhares 3 2 3 6 6" xfId="17699"/>
    <cellStyle name="Separador de milhares 3 2 3 6 6 2" xfId="43938"/>
    <cellStyle name="Separador de milhares 3 2 3 6 7" xfId="11365"/>
    <cellStyle name="Separador de milhares 3 2 3 6 7 2" xfId="37607"/>
    <cellStyle name="Separador de milhares 3 2 3 6 8" xfId="29525"/>
    <cellStyle name="Separador de milhares 3 2 3 7" xfId="1131"/>
    <cellStyle name="Separador de milhares 3 2 3 7 2" xfId="6775"/>
    <cellStyle name="Separador de milhares 3 2 3 7 2 2" xfId="9922"/>
    <cellStyle name="Separador de milhares 3 2 3 7 2 2 2" xfId="28136"/>
    <cellStyle name="Separador de milhares 3 2 3 7 2 2 2 2" xfId="54366"/>
    <cellStyle name="Separador de milhares 3 2 3 7 2 2 3" xfId="22222"/>
    <cellStyle name="Separador de milhares 3 2 3 7 2 2 3 2" xfId="48458"/>
    <cellStyle name="Separador de milhares 3 2 3 7 2 2 4" xfId="16308"/>
    <cellStyle name="Separador de milhares 3 2 3 7 2 2 4 2" xfId="42550"/>
    <cellStyle name="Separador de milhares 3 2 3 7 2 2 5" xfId="36164"/>
    <cellStyle name="Separador de milhares 3 2 3 7 2 3" xfId="25179"/>
    <cellStyle name="Separador de milhares 3 2 3 7 2 3 2" xfId="51412"/>
    <cellStyle name="Separador de milhares 3 2 3 7 2 4" xfId="19265"/>
    <cellStyle name="Separador de milhares 3 2 3 7 2 4 2" xfId="45504"/>
    <cellStyle name="Separador de milhares 3 2 3 7 2 5" xfId="13164"/>
    <cellStyle name="Separador de milhares 3 2 3 7 2 5 2" xfId="39406"/>
    <cellStyle name="Separador de milhares 3 2 3 7 2 6" xfId="33020"/>
    <cellStyle name="Separador de milhares 3 2 3 7 3" xfId="8454"/>
    <cellStyle name="Separador de milhares 3 2 3 7 3 2" xfId="26668"/>
    <cellStyle name="Separador de milhares 3 2 3 7 3 2 2" xfId="52898"/>
    <cellStyle name="Separador de milhares 3 2 3 7 3 3" xfId="20754"/>
    <cellStyle name="Separador de milhares 3 2 3 7 3 3 2" xfId="46990"/>
    <cellStyle name="Separador de milhares 3 2 3 7 3 4" xfId="14840"/>
    <cellStyle name="Separador de milhares 3 2 3 7 3 4 2" xfId="41082"/>
    <cellStyle name="Separador de milhares 3 2 3 7 3 5" xfId="34696"/>
    <cellStyle name="Separador de milhares 3 2 3 7 4" xfId="5076"/>
    <cellStyle name="Separador de milhares 3 2 3 7 4 2" xfId="23711"/>
    <cellStyle name="Separador de milhares 3 2 3 7 4 2 2" xfId="49944"/>
    <cellStyle name="Separador de milhares 3 2 3 7 4 3" xfId="31321"/>
    <cellStyle name="Separador de milhares 3 2 3 7 5" xfId="17797"/>
    <cellStyle name="Separador de milhares 3 2 3 7 5 2" xfId="44036"/>
    <cellStyle name="Separador de milhares 3 2 3 7 6" xfId="11463"/>
    <cellStyle name="Separador de milhares 3 2 3 7 6 2" xfId="37705"/>
    <cellStyle name="Separador de milhares 3 2 3 7 7" xfId="29623"/>
    <cellStyle name="Separador de milhares 3 2 3 8" xfId="1566"/>
    <cellStyle name="Separador de milhares 3 2 3 8 2" xfId="6894"/>
    <cellStyle name="Separador de milhares 3 2 3 8 2 2" xfId="10041"/>
    <cellStyle name="Separador de milhares 3 2 3 8 2 2 2" xfId="28255"/>
    <cellStyle name="Separador de milhares 3 2 3 8 2 2 2 2" xfId="54485"/>
    <cellStyle name="Separador de milhares 3 2 3 8 2 2 3" xfId="22341"/>
    <cellStyle name="Separador de milhares 3 2 3 8 2 2 3 2" xfId="48577"/>
    <cellStyle name="Separador de milhares 3 2 3 8 2 2 4" xfId="16427"/>
    <cellStyle name="Separador de milhares 3 2 3 8 2 2 4 2" xfId="42669"/>
    <cellStyle name="Separador de milhares 3 2 3 8 2 2 5" xfId="36283"/>
    <cellStyle name="Separador de milhares 3 2 3 8 2 3" xfId="25298"/>
    <cellStyle name="Separador de milhares 3 2 3 8 2 3 2" xfId="51531"/>
    <cellStyle name="Separador de milhares 3 2 3 8 2 4" xfId="19384"/>
    <cellStyle name="Separador de milhares 3 2 3 8 2 4 2" xfId="45623"/>
    <cellStyle name="Separador de milhares 3 2 3 8 2 5" xfId="13283"/>
    <cellStyle name="Separador de milhares 3 2 3 8 2 5 2" xfId="39525"/>
    <cellStyle name="Separador de milhares 3 2 3 8 2 6" xfId="33139"/>
    <cellStyle name="Separador de milhares 3 2 3 8 3" xfId="8573"/>
    <cellStyle name="Separador de milhares 3 2 3 8 3 2" xfId="26787"/>
    <cellStyle name="Separador de milhares 3 2 3 8 3 2 2" xfId="53017"/>
    <cellStyle name="Separador de milhares 3 2 3 8 3 3" xfId="20873"/>
    <cellStyle name="Separador de milhares 3 2 3 8 3 3 2" xfId="47109"/>
    <cellStyle name="Separador de milhares 3 2 3 8 3 4" xfId="14959"/>
    <cellStyle name="Separador de milhares 3 2 3 8 3 4 2" xfId="41201"/>
    <cellStyle name="Separador de milhares 3 2 3 8 3 5" xfId="34815"/>
    <cellStyle name="Separador de milhares 3 2 3 8 4" xfId="5195"/>
    <cellStyle name="Separador de milhares 3 2 3 8 4 2" xfId="23830"/>
    <cellStyle name="Separador de milhares 3 2 3 8 4 2 2" xfId="50063"/>
    <cellStyle name="Separador de milhares 3 2 3 8 4 3" xfId="31440"/>
    <cellStyle name="Separador de milhares 3 2 3 8 5" xfId="17916"/>
    <cellStyle name="Separador de milhares 3 2 3 8 5 2" xfId="44155"/>
    <cellStyle name="Separador de milhares 3 2 3 8 6" xfId="11582"/>
    <cellStyle name="Separador de milhares 3 2 3 8 6 2" xfId="37824"/>
    <cellStyle name="Separador de milhares 3 2 3 8 7" xfId="29742"/>
    <cellStyle name="Separador de milhares 3 2 3 9" xfId="2096"/>
    <cellStyle name="Separador de milhares 3 2 3 9 2" xfId="7044"/>
    <cellStyle name="Separador de milhares 3 2 3 9 2 2" xfId="10188"/>
    <cellStyle name="Separador de milhares 3 2 3 9 2 2 2" xfId="28402"/>
    <cellStyle name="Separador de milhares 3 2 3 9 2 2 2 2" xfId="54632"/>
    <cellStyle name="Separador de milhares 3 2 3 9 2 2 3" xfId="22488"/>
    <cellStyle name="Separador de milhares 3 2 3 9 2 2 3 2" xfId="48724"/>
    <cellStyle name="Separador de milhares 3 2 3 9 2 2 4" xfId="16574"/>
    <cellStyle name="Separador de milhares 3 2 3 9 2 2 4 2" xfId="42816"/>
    <cellStyle name="Separador de milhares 3 2 3 9 2 2 5" xfId="36430"/>
    <cellStyle name="Separador de milhares 3 2 3 9 2 3" xfId="25445"/>
    <cellStyle name="Separador de milhares 3 2 3 9 2 3 2" xfId="51678"/>
    <cellStyle name="Separador de milhares 3 2 3 9 2 4" xfId="19531"/>
    <cellStyle name="Separador de milhares 3 2 3 9 2 4 2" xfId="45770"/>
    <cellStyle name="Separador de milhares 3 2 3 9 2 5" xfId="13433"/>
    <cellStyle name="Separador de milhares 3 2 3 9 2 5 2" xfId="39675"/>
    <cellStyle name="Separador de milhares 3 2 3 9 2 6" xfId="33289"/>
    <cellStyle name="Separador de milhares 3 2 3 9 3" xfId="8720"/>
    <cellStyle name="Separador de milhares 3 2 3 9 3 2" xfId="26934"/>
    <cellStyle name="Separador de milhares 3 2 3 9 3 2 2" xfId="53164"/>
    <cellStyle name="Separador de milhares 3 2 3 9 3 3" xfId="21020"/>
    <cellStyle name="Separador de milhares 3 2 3 9 3 3 2" xfId="47256"/>
    <cellStyle name="Separador de milhares 3 2 3 9 3 4" xfId="15106"/>
    <cellStyle name="Separador de milhares 3 2 3 9 3 4 2" xfId="41348"/>
    <cellStyle name="Separador de milhares 3 2 3 9 3 5" xfId="34962"/>
    <cellStyle name="Separador de milhares 3 2 3 9 4" xfId="5345"/>
    <cellStyle name="Separador de milhares 3 2 3 9 4 2" xfId="23977"/>
    <cellStyle name="Separador de milhares 3 2 3 9 4 2 2" xfId="50210"/>
    <cellStyle name="Separador de milhares 3 2 3 9 4 3" xfId="31590"/>
    <cellStyle name="Separador de milhares 3 2 3 9 5" xfId="18063"/>
    <cellStyle name="Separador de milhares 3 2 3 9 5 2" xfId="44302"/>
    <cellStyle name="Separador de milhares 3 2 3 9 6" xfId="11732"/>
    <cellStyle name="Separador de milhares 3 2 3 9 6 2" xfId="37974"/>
    <cellStyle name="Separador de milhares 3 2 3 9 7" xfId="29892"/>
    <cellStyle name="Separador de milhares 3 2 4" xfId="128"/>
    <cellStyle name="Separador de milhares 3 2 4 10" xfId="2631"/>
    <cellStyle name="Separador de milhares 3 2 4 10 2" xfId="7193"/>
    <cellStyle name="Separador de milhares 3 2 4 10 2 2" xfId="10337"/>
    <cellStyle name="Separador de milhares 3 2 4 10 2 2 2" xfId="28551"/>
    <cellStyle name="Separador de milhares 3 2 4 10 2 2 2 2" xfId="54781"/>
    <cellStyle name="Separador de milhares 3 2 4 10 2 2 3" xfId="22637"/>
    <cellStyle name="Separador de milhares 3 2 4 10 2 2 3 2" xfId="48873"/>
    <cellStyle name="Separador de milhares 3 2 4 10 2 2 4" xfId="16723"/>
    <cellStyle name="Separador de milhares 3 2 4 10 2 2 4 2" xfId="42965"/>
    <cellStyle name="Separador de milhares 3 2 4 10 2 2 5" xfId="36579"/>
    <cellStyle name="Separador de milhares 3 2 4 10 2 3" xfId="25594"/>
    <cellStyle name="Separador de milhares 3 2 4 10 2 3 2" xfId="51827"/>
    <cellStyle name="Separador de milhares 3 2 4 10 2 4" xfId="19680"/>
    <cellStyle name="Separador de milhares 3 2 4 10 2 4 2" xfId="45919"/>
    <cellStyle name="Separador de milhares 3 2 4 10 2 5" xfId="13582"/>
    <cellStyle name="Separador de milhares 3 2 4 10 2 5 2" xfId="39824"/>
    <cellStyle name="Separador de milhares 3 2 4 10 2 6" xfId="33438"/>
    <cellStyle name="Separador de milhares 3 2 4 10 3" xfId="8869"/>
    <cellStyle name="Separador de milhares 3 2 4 10 3 2" xfId="27083"/>
    <cellStyle name="Separador de milhares 3 2 4 10 3 2 2" xfId="53313"/>
    <cellStyle name="Separador de milhares 3 2 4 10 3 3" xfId="21169"/>
    <cellStyle name="Separador de milhares 3 2 4 10 3 3 2" xfId="47405"/>
    <cellStyle name="Separador de milhares 3 2 4 10 3 4" xfId="15255"/>
    <cellStyle name="Separador de milhares 3 2 4 10 3 4 2" xfId="41497"/>
    <cellStyle name="Separador de milhares 3 2 4 10 3 5" xfId="35111"/>
    <cellStyle name="Separador de milhares 3 2 4 10 4" xfId="5494"/>
    <cellStyle name="Separador de milhares 3 2 4 10 4 2" xfId="24126"/>
    <cellStyle name="Separador de milhares 3 2 4 10 4 2 2" xfId="50359"/>
    <cellStyle name="Separador de milhares 3 2 4 10 4 3" xfId="31739"/>
    <cellStyle name="Separador de milhares 3 2 4 10 5" xfId="18212"/>
    <cellStyle name="Separador de milhares 3 2 4 10 5 2" xfId="44451"/>
    <cellStyle name="Separador de milhares 3 2 4 10 6" xfId="11881"/>
    <cellStyle name="Separador de milhares 3 2 4 10 6 2" xfId="38123"/>
    <cellStyle name="Separador de milhares 3 2 4 10 7" xfId="30041"/>
    <cellStyle name="Separador de milhares 3 2 4 11" xfId="3158"/>
    <cellStyle name="Separador de milhares 3 2 4 11 2" xfId="7340"/>
    <cellStyle name="Separador de milhares 3 2 4 11 2 2" xfId="10484"/>
    <cellStyle name="Separador de milhares 3 2 4 11 2 2 2" xfId="28698"/>
    <cellStyle name="Separador de milhares 3 2 4 11 2 2 2 2" xfId="54928"/>
    <cellStyle name="Separador de milhares 3 2 4 11 2 2 3" xfId="22784"/>
    <cellStyle name="Separador de milhares 3 2 4 11 2 2 3 2" xfId="49020"/>
    <cellStyle name="Separador de milhares 3 2 4 11 2 2 4" xfId="16870"/>
    <cellStyle name="Separador de milhares 3 2 4 11 2 2 4 2" xfId="43112"/>
    <cellStyle name="Separador de milhares 3 2 4 11 2 2 5" xfId="36726"/>
    <cellStyle name="Separador de milhares 3 2 4 11 2 3" xfId="25741"/>
    <cellStyle name="Separador de milhares 3 2 4 11 2 3 2" xfId="51974"/>
    <cellStyle name="Separador de milhares 3 2 4 11 2 4" xfId="19827"/>
    <cellStyle name="Separador de milhares 3 2 4 11 2 4 2" xfId="46066"/>
    <cellStyle name="Separador de milhares 3 2 4 11 2 5" xfId="13729"/>
    <cellStyle name="Separador de milhares 3 2 4 11 2 5 2" xfId="39971"/>
    <cellStyle name="Separador de milhares 3 2 4 11 2 6" xfId="33585"/>
    <cellStyle name="Separador de milhares 3 2 4 11 3" xfId="9016"/>
    <cellStyle name="Separador de milhares 3 2 4 11 3 2" xfId="27230"/>
    <cellStyle name="Separador de milhares 3 2 4 11 3 2 2" xfId="53460"/>
    <cellStyle name="Separador de milhares 3 2 4 11 3 3" xfId="21316"/>
    <cellStyle name="Separador de milhares 3 2 4 11 3 3 2" xfId="47552"/>
    <cellStyle name="Separador de milhares 3 2 4 11 3 4" xfId="15402"/>
    <cellStyle name="Separador de milhares 3 2 4 11 3 4 2" xfId="41644"/>
    <cellStyle name="Separador de milhares 3 2 4 11 3 5" xfId="35258"/>
    <cellStyle name="Separador de milhares 3 2 4 11 4" xfId="5641"/>
    <cellStyle name="Separador de milhares 3 2 4 11 4 2" xfId="24273"/>
    <cellStyle name="Separador de milhares 3 2 4 11 4 2 2" xfId="50506"/>
    <cellStyle name="Separador de milhares 3 2 4 11 4 3" xfId="31886"/>
    <cellStyle name="Separador de milhares 3 2 4 11 5" xfId="18359"/>
    <cellStyle name="Separador de milhares 3 2 4 11 5 2" xfId="44598"/>
    <cellStyle name="Separador de milhares 3 2 4 11 6" xfId="12028"/>
    <cellStyle name="Separador de milhares 3 2 4 11 6 2" xfId="38270"/>
    <cellStyle name="Separador de milhares 3 2 4 11 7" xfId="30188"/>
    <cellStyle name="Separador de milhares 3 2 4 12" xfId="3685"/>
    <cellStyle name="Separador de milhares 3 2 4 12 2" xfId="7487"/>
    <cellStyle name="Separador de milhares 3 2 4 12 2 2" xfId="10631"/>
    <cellStyle name="Separador de milhares 3 2 4 12 2 2 2" xfId="28845"/>
    <cellStyle name="Separador de milhares 3 2 4 12 2 2 2 2" xfId="55075"/>
    <cellStyle name="Separador de milhares 3 2 4 12 2 2 3" xfId="22931"/>
    <cellStyle name="Separador de milhares 3 2 4 12 2 2 3 2" xfId="49167"/>
    <cellStyle name="Separador de milhares 3 2 4 12 2 2 4" xfId="17017"/>
    <cellStyle name="Separador de milhares 3 2 4 12 2 2 4 2" xfId="43259"/>
    <cellStyle name="Separador de milhares 3 2 4 12 2 2 5" xfId="36873"/>
    <cellStyle name="Separador de milhares 3 2 4 12 2 3" xfId="25888"/>
    <cellStyle name="Separador de milhares 3 2 4 12 2 3 2" xfId="52121"/>
    <cellStyle name="Separador de milhares 3 2 4 12 2 4" xfId="19974"/>
    <cellStyle name="Separador de milhares 3 2 4 12 2 4 2" xfId="46213"/>
    <cellStyle name="Separador de milhares 3 2 4 12 2 5" xfId="13876"/>
    <cellStyle name="Separador de milhares 3 2 4 12 2 5 2" xfId="40118"/>
    <cellStyle name="Separador de milhares 3 2 4 12 2 6" xfId="33732"/>
    <cellStyle name="Separador de milhares 3 2 4 12 3" xfId="9163"/>
    <cellStyle name="Separador de milhares 3 2 4 12 3 2" xfId="27377"/>
    <cellStyle name="Separador de milhares 3 2 4 12 3 2 2" xfId="53607"/>
    <cellStyle name="Separador de milhares 3 2 4 12 3 3" xfId="21463"/>
    <cellStyle name="Separador de milhares 3 2 4 12 3 3 2" xfId="47699"/>
    <cellStyle name="Separador de milhares 3 2 4 12 3 4" xfId="15549"/>
    <cellStyle name="Separador de milhares 3 2 4 12 3 4 2" xfId="41791"/>
    <cellStyle name="Separador de milhares 3 2 4 12 3 5" xfId="35405"/>
    <cellStyle name="Separador de milhares 3 2 4 12 4" xfId="5788"/>
    <cellStyle name="Separador de milhares 3 2 4 12 4 2" xfId="24420"/>
    <cellStyle name="Separador de milhares 3 2 4 12 4 2 2" xfId="50653"/>
    <cellStyle name="Separador de milhares 3 2 4 12 4 3" xfId="32033"/>
    <cellStyle name="Separador de milhares 3 2 4 12 5" xfId="18506"/>
    <cellStyle name="Separador de milhares 3 2 4 12 5 2" xfId="44745"/>
    <cellStyle name="Separador de milhares 3 2 4 12 6" xfId="12175"/>
    <cellStyle name="Separador de milhares 3 2 4 12 6 2" xfId="38417"/>
    <cellStyle name="Separador de milhares 3 2 4 12 7" xfId="30335"/>
    <cellStyle name="Separador de milhares 3 2 4 13" xfId="6471"/>
    <cellStyle name="Separador de milhares 3 2 4 13 2" xfId="9627"/>
    <cellStyle name="Separador de milhares 3 2 4 13 2 2" xfId="27841"/>
    <cellStyle name="Separador de milhares 3 2 4 13 2 2 2" xfId="54071"/>
    <cellStyle name="Separador de milhares 3 2 4 13 2 3" xfId="21927"/>
    <cellStyle name="Separador de milhares 3 2 4 13 2 3 2" xfId="48163"/>
    <cellStyle name="Separador de milhares 3 2 4 13 2 4" xfId="16013"/>
    <cellStyle name="Separador de milhares 3 2 4 13 2 4 2" xfId="42255"/>
    <cellStyle name="Separador de milhares 3 2 4 13 2 5" xfId="35869"/>
    <cellStyle name="Separador de milhares 3 2 4 13 3" xfId="24884"/>
    <cellStyle name="Separador de milhares 3 2 4 13 3 2" xfId="51117"/>
    <cellStyle name="Separador de milhares 3 2 4 13 4" xfId="18970"/>
    <cellStyle name="Separador de milhares 3 2 4 13 4 2" xfId="45209"/>
    <cellStyle name="Separador de milhares 3 2 4 13 5" xfId="12860"/>
    <cellStyle name="Separador de milhares 3 2 4 13 5 2" xfId="39102"/>
    <cellStyle name="Separador de milhares 3 2 4 13 6" xfId="32716"/>
    <cellStyle name="Separador de milhares 3 2 4 14" xfId="8156"/>
    <cellStyle name="Separador de milhares 3 2 4 14 2" xfId="26370"/>
    <cellStyle name="Separador de milhares 3 2 4 14 2 2" xfId="52603"/>
    <cellStyle name="Separador de milhares 3 2 4 14 3" xfId="20456"/>
    <cellStyle name="Separador de milhares 3 2 4 14 3 2" xfId="46695"/>
    <cellStyle name="Separador de milhares 3 2 4 14 4" xfId="14545"/>
    <cellStyle name="Separador de milhares 3 2 4 14 4 2" xfId="40787"/>
    <cellStyle name="Separador de milhares 3 2 4 14 5" xfId="34401"/>
    <cellStyle name="Separador de milhares 3 2 4 15" xfId="4769"/>
    <cellStyle name="Separador de milhares 3 2 4 15 2" xfId="23413"/>
    <cellStyle name="Separador de milhares 3 2 4 15 2 2" xfId="49649"/>
    <cellStyle name="Separador de milhares 3 2 4 15 3" xfId="31017"/>
    <cellStyle name="Separador de milhares 3 2 4 16" xfId="17499"/>
    <cellStyle name="Separador de milhares 3 2 4 16 2" xfId="43741"/>
    <cellStyle name="Separador de milhares 3 2 4 17" xfId="11159"/>
    <cellStyle name="Separador de milhares 3 2 4 17 2" xfId="37401"/>
    <cellStyle name="Separador de milhares 3 2 4 18" xfId="29319"/>
    <cellStyle name="Separador de milhares 3 2 4 2" xfId="222"/>
    <cellStyle name="Separador de milhares 3 2 4 2 10" xfId="6500"/>
    <cellStyle name="Separador de milhares 3 2 4 2 10 2" xfId="9654"/>
    <cellStyle name="Separador de milhares 3 2 4 2 10 2 2" xfId="27868"/>
    <cellStyle name="Separador de milhares 3 2 4 2 10 2 2 2" xfId="54098"/>
    <cellStyle name="Separador de milhares 3 2 4 2 10 2 3" xfId="21954"/>
    <cellStyle name="Separador de milhares 3 2 4 2 10 2 3 2" xfId="48190"/>
    <cellStyle name="Separador de milhares 3 2 4 2 10 2 4" xfId="16040"/>
    <cellStyle name="Separador de milhares 3 2 4 2 10 2 4 2" xfId="42282"/>
    <cellStyle name="Separador de milhares 3 2 4 2 10 2 5" xfId="35896"/>
    <cellStyle name="Separador de milhares 3 2 4 2 10 3" xfId="24911"/>
    <cellStyle name="Separador de milhares 3 2 4 2 10 3 2" xfId="51144"/>
    <cellStyle name="Separador de milhares 3 2 4 2 10 4" xfId="18997"/>
    <cellStyle name="Separador de milhares 3 2 4 2 10 4 2" xfId="45236"/>
    <cellStyle name="Separador de milhares 3 2 4 2 10 5" xfId="12889"/>
    <cellStyle name="Separador de milhares 3 2 4 2 10 5 2" xfId="39131"/>
    <cellStyle name="Separador de milhares 3 2 4 2 10 6" xfId="32745"/>
    <cellStyle name="Separador de milhares 3 2 4 2 11" xfId="8183"/>
    <cellStyle name="Separador de milhares 3 2 4 2 11 2" xfId="26397"/>
    <cellStyle name="Separador de milhares 3 2 4 2 11 2 2" xfId="52630"/>
    <cellStyle name="Separador de milhares 3 2 4 2 11 3" xfId="20483"/>
    <cellStyle name="Separador de milhares 3 2 4 2 11 3 2" xfId="46722"/>
    <cellStyle name="Separador de milhares 3 2 4 2 11 4" xfId="14572"/>
    <cellStyle name="Separador de milhares 3 2 4 2 11 4 2" xfId="40814"/>
    <cellStyle name="Separador de milhares 3 2 4 2 11 5" xfId="34428"/>
    <cellStyle name="Separador de milhares 3 2 4 2 12" xfId="4799"/>
    <cellStyle name="Separador de milhares 3 2 4 2 12 2" xfId="23440"/>
    <cellStyle name="Separador de milhares 3 2 4 2 12 2 2" xfId="49676"/>
    <cellStyle name="Separador de milhares 3 2 4 2 12 3" xfId="31046"/>
    <cellStyle name="Separador de milhares 3 2 4 2 13" xfId="17526"/>
    <cellStyle name="Separador de milhares 3 2 4 2 13 2" xfId="43768"/>
    <cellStyle name="Separador de milhares 3 2 4 2 14" xfId="11188"/>
    <cellStyle name="Separador de milhares 3 2 4 2 14 2" xfId="37430"/>
    <cellStyle name="Separador de milhares 3 2 4 2 15" xfId="29349"/>
    <cellStyle name="Separador de milhares 3 2 4 2 2" xfId="495"/>
    <cellStyle name="Separador de milhares 3 2 4 2 2 10" xfId="17600"/>
    <cellStyle name="Separador de milhares 3 2 4 2 2 10 2" xfId="43842"/>
    <cellStyle name="Separador de milhares 3 2 4 2 2 11" xfId="11269"/>
    <cellStyle name="Separador de milhares 3 2 4 2 2 11 2" xfId="37511"/>
    <cellStyle name="Separador de milhares 3 2 4 2 2 12" xfId="29429"/>
    <cellStyle name="Separador de milhares 3 2 4 2 2 2" xfId="2014"/>
    <cellStyle name="Separador de milhares 3 2 4 2 2 2 2" xfId="7019"/>
    <cellStyle name="Separador de milhares 3 2 4 2 2 2 2 2" xfId="10166"/>
    <cellStyle name="Separador de milhares 3 2 4 2 2 2 2 2 2" xfId="28380"/>
    <cellStyle name="Separador de milhares 3 2 4 2 2 2 2 2 2 2" xfId="54610"/>
    <cellStyle name="Separador de milhares 3 2 4 2 2 2 2 2 3" xfId="22466"/>
    <cellStyle name="Separador de milhares 3 2 4 2 2 2 2 2 3 2" xfId="48702"/>
    <cellStyle name="Separador de milhares 3 2 4 2 2 2 2 2 4" xfId="16552"/>
    <cellStyle name="Separador de milhares 3 2 4 2 2 2 2 2 4 2" xfId="42794"/>
    <cellStyle name="Separador de milhares 3 2 4 2 2 2 2 2 5" xfId="36408"/>
    <cellStyle name="Separador de milhares 3 2 4 2 2 2 2 3" xfId="25423"/>
    <cellStyle name="Separador de milhares 3 2 4 2 2 2 2 3 2" xfId="51656"/>
    <cellStyle name="Separador de milhares 3 2 4 2 2 2 2 4" xfId="19509"/>
    <cellStyle name="Separador de milhares 3 2 4 2 2 2 2 4 2" xfId="45748"/>
    <cellStyle name="Separador de milhares 3 2 4 2 2 2 2 5" xfId="13408"/>
    <cellStyle name="Separador de milhares 3 2 4 2 2 2 2 5 2" xfId="39650"/>
    <cellStyle name="Separador de milhares 3 2 4 2 2 2 2 6" xfId="33264"/>
    <cellStyle name="Separador de milhares 3 2 4 2 2 2 3" xfId="8698"/>
    <cellStyle name="Separador de milhares 3 2 4 2 2 2 3 2" xfId="26912"/>
    <cellStyle name="Separador de milhares 3 2 4 2 2 2 3 2 2" xfId="53142"/>
    <cellStyle name="Separador de milhares 3 2 4 2 2 2 3 3" xfId="20998"/>
    <cellStyle name="Separador de milhares 3 2 4 2 2 2 3 3 2" xfId="47234"/>
    <cellStyle name="Separador de milhares 3 2 4 2 2 2 3 4" xfId="15084"/>
    <cellStyle name="Separador de milhares 3 2 4 2 2 2 3 4 2" xfId="41326"/>
    <cellStyle name="Separador de milhares 3 2 4 2 2 2 3 5" xfId="34940"/>
    <cellStyle name="Separador de milhares 3 2 4 2 2 2 4" xfId="5320"/>
    <cellStyle name="Separador de milhares 3 2 4 2 2 2 4 2" xfId="23955"/>
    <cellStyle name="Separador de milhares 3 2 4 2 2 2 4 2 2" xfId="50188"/>
    <cellStyle name="Separador de milhares 3 2 4 2 2 2 4 3" xfId="31565"/>
    <cellStyle name="Separador de milhares 3 2 4 2 2 2 5" xfId="18041"/>
    <cellStyle name="Separador de milhares 3 2 4 2 2 2 5 2" xfId="44280"/>
    <cellStyle name="Separador de milhares 3 2 4 2 2 2 6" xfId="11707"/>
    <cellStyle name="Separador de milhares 3 2 4 2 2 2 6 2" xfId="37949"/>
    <cellStyle name="Separador de milhares 3 2 4 2 2 2 7" xfId="29867"/>
    <cellStyle name="Separador de milhares 3 2 4 2 2 3" xfId="2544"/>
    <cellStyle name="Separador de milhares 3 2 4 2 2 3 2" xfId="7169"/>
    <cellStyle name="Separador de milhares 3 2 4 2 2 3 2 2" xfId="10313"/>
    <cellStyle name="Separador de milhares 3 2 4 2 2 3 2 2 2" xfId="28527"/>
    <cellStyle name="Separador de milhares 3 2 4 2 2 3 2 2 2 2" xfId="54757"/>
    <cellStyle name="Separador de milhares 3 2 4 2 2 3 2 2 3" xfId="22613"/>
    <cellStyle name="Separador de milhares 3 2 4 2 2 3 2 2 3 2" xfId="48849"/>
    <cellStyle name="Separador de milhares 3 2 4 2 2 3 2 2 4" xfId="16699"/>
    <cellStyle name="Separador de milhares 3 2 4 2 2 3 2 2 4 2" xfId="42941"/>
    <cellStyle name="Separador de milhares 3 2 4 2 2 3 2 2 5" xfId="36555"/>
    <cellStyle name="Separador de milhares 3 2 4 2 2 3 2 3" xfId="25570"/>
    <cellStyle name="Separador de milhares 3 2 4 2 2 3 2 3 2" xfId="51803"/>
    <cellStyle name="Separador de milhares 3 2 4 2 2 3 2 4" xfId="19656"/>
    <cellStyle name="Separador de milhares 3 2 4 2 2 3 2 4 2" xfId="45895"/>
    <cellStyle name="Separador de milhares 3 2 4 2 2 3 2 5" xfId="13558"/>
    <cellStyle name="Separador de milhares 3 2 4 2 2 3 2 5 2" xfId="39800"/>
    <cellStyle name="Separador de milhares 3 2 4 2 2 3 2 6" xfId="33414"/>
    <cellStyle name="Separador de milhares 3 2 4 2 2 3 3" xfId="8845"/>
    <cellStyle name="Separador de milhares 3 2 4 2 2 3 3 2" xfId="27059"/>
    <cellStyle name="Separador de milhares 3 2 4 2 2 3 3 2 2" xfId="53289"/>
    <cellStyle name="Separador de milhares 3 2 4 2 2 3 3 3" xfId="21145"/>
    <cellStyle name="Separador de milhares 3 2 4 2 2 3 3 3 2" xfId="47381"/>
    <cellStyle name="Separador de milhares 3 2 4 2 2 3 3 4" xfId="15231"/>
    <cellStyle name="Separador de milhares 3 2 4 2 2 3 3 4 2" xfId="41473"/>
    <cellStyle name="Separador de milhares 3 2 4 2 2 3 3 5" xfId="35087"/>
    <cellStyle name="Separador de milhares 3 2 4 2 2 3 4" xfId="5470"/>
    <cellStyle name="Separador de milhares 3 2 4 2 2 3 4 2" xfId="24102"/>
    <cellStyle name="Separador de milhares 3 2 4 2 2 3 4 2 2" xfId="50335"/>
    <cellStyle name="Separador de milhares 3 2 4 2 2 3 4 3" xfId="31715"/>
    <cellStyle name="Separador de milhares 3 2 4 2 2 3 5" xfId="18188"/>
    <cellStyle name="Separador de milhares 3 2 4 2 2 3 5 2" xfId="44427"/>
    <cellStyle name="Separador de milhares 3 2 4 2 2 3 6" xfId="11857"/>
    <cellStyle name="Separador de milhares 3 2 4 2 2 3 6 2" xfId="38099"/>
    <cellStyle name="Separador de milhares 3 2 4 2 2 3 7" xfId="30017"/>
    <cellStyle name="Separador de milhares 3 2 4 2 2 4" xfId="3071"/>
    <cellStyle name="Separador de milhares 3 2 4 2 2 4 2" xfId="7316"/>
    <cellStyle name="Separador de milhares 3 2 4 2 2 4 2 2" xfId="10460"/>
    <cellStyle name="Separador de milhares 3 2 4 2 2 4 2 2 2" xfId="28674"/>
    <cellStyle name="Separador de milhares 3 2 4 2 2 4 2 2 2 2" xfId="54904"/>
    <cellStyle name="Separador de milhares 3 2 4 2 2 4 2 2 3" xfId="22760"/>
    <cellStyle name="Separador de milhares 3 2 4 2 2 4 2 2 3 2" xfId="48996"/>
    <cellStyle name="Separador de milhares 3 2 4 2 2 4 2 2 4" xfId="16846"/>
    <cellStyle name="Separador de milhares 3 2 4 2 2 4 2 2 4 2" xfId="43088"/>
    <cellStyle name="Separador de milhares 3 2 4 2 2 4 2 2 5" xfId="36702"/>
    <cellStyle name="Separador de milhares 3 2 4 2 2 4 2 3" xfId="25717"/>
    <cellStyle name="Separador de milhares 3 2 4 2 2 4 2 3 2" xfId="51950"/>
    <cellStyle name="Separador de milhares 3 2 4 2 2 4 2 4" xfId="19803"/>
    <cellStyle name="Separador de milhares 3 2 4 2 2 4 2 4 2" xfId="46042"/>
    <cellStyle name="Separador de milhares 3 2 4 2 2 4 2 5" xfId="13705"/>
    <cellStyle name="Separador de milhares 3 2 4 2 2 4 2 5 2" xfId="39947"/>
    <cellStyle name="Separador de milhares 3 2 4 2 2 4 2 6" xfId="33561"/>
    <cellStyle name="Separador de milhares 3 2 4 2 2 4 3" xfId="8992"/>
    <cellStyle name="Separador de milhares 3 2 4 2 2 4 3 2" xfId="27206"/>
    <cellStyle name="Separador de milhares 3 2 4 2 2 4 3 2 2" xfId="53436"/>
    <cellStyle name="Separador de milhares 3 2 4 2 2 4 3 3" xfId="21292"/>
    <cellStyle name="Separador de milhares 3 2 4 2 2 4 3 3 2" xfId="47528"/>
    <cellStyle name="Separador de milhares 3 2 4 2 2 4 3 4" xfId="15378"/>
    <cellStyle name="Separador de milhares 3 2 4 2 2 4 3 4 2" xfId="41620"/>
    <cellStyle name="Separador de milhares 3 2 4 2 2 4 3 5" xfId="35234"/>
    <cellStyle name="Separador de milhares 3 2 4 2 2 4 4" xfId="5617"/>
    <cellStyle name="Separador de milhares 3 2 4 2 2 4 4 2" xfId="24249"/>
    <cellStyle name="Separador de milhares 3 2 4 2 2 4 4 2 2" xfId="50482"/>
    <cellStyle name="Separador de milhares 3 2 4 2 2 4 4 3" xfId="31862"/>
    <cellStyle name="Separador de milhares 3 2 4 2 2 4 5" xfId="18335"/>
    <cellStyle name="Separador de milhares 3 2 4 2 2 4 5 2" xfId="44574"/>
    <cellStyle name="Separador de milhares 3 2 4 2 2 4 6" xfId="12004"/>
    <cellStyle name="Separador de milhares 3 2 4 2 2 4 6 2" xfId="38246"/>
    <cellStyle name="Separador de milhares 3 2 4 2 2 4 7" xfId="30164"/>
    <cellStyle name="Separador de milhares 3 2 4 2 2 5" xfId="3598"/>
    <cellStyle name="Separador de milhares 3 2 4 2 2 5 2" xfId="7463"/>
    <cellStyle name="Separador de milhares 3 2 4 2 2 5 2 2" xfId="10607"/>
    <cellStyle name="Separador de milhares 3 2 4 2 2 5 2 2 2" xfId="28821"/>
    <cellStyle name="Separador de milhares 3 2 4 2 2 5 2 2 2 2" xfId="55051"/>
    <cellStyle name="Separador de milhares 3 2 4 2 2 5 2 2 3" xfId="22907"/>
    <cellStyle name="Separador de milhares 3 2 4 2 2 5 2 2 3 2" xfId="49143"/>
    <cellStyle name="Separador de milhares 3 2 4 2 2 5 2 2 4" xfId="16993"/>
    <cellStyle name="Separador de milhares 3 2 4 2 2 5 2 2 4 2" xfId="43235"/>
    <cellStyle name="Separador de milhares 3 2 4 2 2 5 2 2 5" xfId="36849"/>
    <cellStyle name="Separador de milhares 3 2 4 2 2 5 2 3" xfId="25864"/>
    <cellStyle name="Separador de milhares 3 2 4 2 2 5 2 3 2" xfId="52097"/>
    <cellStyle name="Separador de milhares 3 2 4 2 2 5 2 4" xfId="19950"/>
    <cellStyle name="Separador de milhares 3 2 4 2 2 5 2 4 2" xfId="46189"/>
    <cellStyle name="Separador de milhares 3 2 4 2 2 5 2 5" xfId="13852"/>
    <cellStyle name="Separador de milhares 3 2 4 2 2 5 2 5 2" xfId="40094"/>
    <cellStyle name="Separador de milhares 3 2 4 2 2 5 2 6" xfId="33708"/>
    <cellStyle name="Separador de milhares 3 2 4 2 2 5 3" xfId="9139"/>
    <cellStyle name="Separador de milhares 3 2 4 2 2 5 3 2" xfId="27353"/>
    <cellStyle name="Separador de milhares 3 2 4 2 2 5 3 2 2" xfId="53583"/>
    <cellStyle name="Separador de milhares 3 2 4 2 2 5 3 3" xfId="21439"/>
    <cellStyle name="Separador de milhares 3 2 4 2 2 5 3 3 2" xfId="47675"/>
    <cellStyle name="Separador de milhares 3 2 4 2 2 5 3 4" xfId="15525"/>
    <cellStyle name="Separador de milhares 3 2 4 2 2 5 3 4 2" xfId="41767"/>
    <cellStyle name="Separador de milhares 3 2 4 2 2 5 3 5" xfId="35381"/>
    <cellStyle name="Separador de milhares 3 2 4 2 2 5 4" xfId="5764"/>
    <cellStyle name="Separador de milhares 3 2 4 2 2 5 4 2" xfId="24396"/>
    <cellStyle name="Separador de milhares 3 2 4 2 2 5 4 2 2" xfId="50629"/>
    <cellStyle name="Separador de milhares 3 2 4 2 2 5 4 3" xfId="32009"/>
    <cellStyle name="Separador de milhares 3 2 4 2 2 5 5" xfId="18482"/>
    <cellStyle name="Separador de milhares 3 2 4 2 2 5 5 2" xfId="44721"/>
    <cellStyle name="Separador de milhares 3 2 4 2 2 5 6" xfId="12151"/>
    <cellStyle name="Separador de milhares 3 2 4 2 2 5 6 2" xfId="38393"/>
    <cellStyle name="Separador de milhares 3 2 4 2 2 5 7" xfId="30311"/>
    <cellStyle name="Separador de milhares 3 2 4 2 2 6" xfId="4125"/>
    <cellStyle name="Separador de milhares 3 2 4 2 2 6 2" xfId="7610"/>
    <cellStyle name="Separador de milhares 3 2 4 2 2 6 2 2" xfId="10754"/>
    <cellStyle name="Separador de milhares 3 2 4 2 2 6 2 2 2" xfId="28968"/>
    <cellStyle name="Separador de milhares 3 2 4 2 2 6 2 2 2 2" xfId="55198"/>
    <cellStyle name="Separador de milhares 3 2 4 2 2 6 2 2 3" xfId="23054"/>
    <cellStyle name="Separador de milhares 3 2 4 2 2 6 2 2 3 2" xfId="49290"/>
    <cellStyle name="Separador de milhares 3 2 4 2 2 6 2 2 4" xfId="17140"/>
    <cellStyle name="Separador de milhares 3 2 4 2 2 6 2 2 4 2" xfId="43382"/>
    <cellStyle name="Separador de milhares 3 2 4 2 2 6 2 2 5" xfId="36996"/>
    <cellStyle name="Separador de milhares 3 2 4 2 2 6 2 3" xfId="26011"/>
    <cellStyle name="Separador de milhares 3 2 4 2 2 6 2 3 2" xfId="52244"/>
    <cellStyle name="Separador de milhares 3 2 4 2 2 6 2 4" xfId="20097"/>
    <cellStyle name="Separador de milhares 3 2 4 2 2 6 2 4 2" xfId="46336"/>
    <cellStyle name="Separador de milhares 3 2 4 2 2 6 2 5" xfId="13999"/>
    <cellStyle name="Separador de milhares 3 2 4 2 2 6 2 5 2" xfId="40241"/>
    <cellStyle name="Separador de milhares 3 2 4 2 2 6 2 6" xfId="33855"/>
    <cellStyle name="Separador de milhares 3 2 4 2 2 6 3" xfId="9286"/>
    <cellStyle name="Separador de milhares 3 2 4 2 2 6 3 2" xfId="27500"/>
    <cellStyle name="Separador de milhares 3 2 4 2 2 6 3 2 2" xfId="53730"/>
    <cellStyle name="Separador de milhares 3 2 4 2 2 6 3 3" xfId="21586"/>
    <cellStyle name="Separador de milhares 3 2 4 2 2 6 3 3 2" xfId="47822"/>
    <cellStyle name="Separador de milhares 3 2 4 2 2 6 3 4" xfId="15672"/>
    <cellStyle name="Separador de milhares 3 2 4 2 2 6 3 4 2" xfId="41914"/>
    <cellStyle name="Separador de milhares 3 2 4 2 2 6 3 5" xfId="35528"/>
    <cellStyle name="Separador de milhares 3 2 4 2 2 6 4" xfId="5911"/>
    <cellStyle name="Separador de milhares 3 2 4 2 2 6 4 2" xfId="24543"/>
    <cellStyle name="Separador de milhares 3 2 4 2 2 6 4 2 2" xfId="50776"/>
    <cellStyle name="Separador de milhares 3 2 4 2 2 6 4 3" xfId="32156"/>
    <cellStyle name="Separador de milhares 3 2 4 2 2 6 5" xfId="18629"/>
    <cellStyle name="Separador de milhares 3 2 4 2 2 6 5 2" xfId="44868"/>
    <cellStyle name="Separador de milhares 3 2 4 2 2 6 6" xfId="12298"/>
    <cellStyle name="Separador de milhares 3 2 4 2 2 6 6 2" xfId="38540"/>
    <cellStyle name="Separador de milhares 3 2 4 2 2 6 7" xfId="30458"/>
    <cellStyle name="Separador de milhares 3 2 4 2 2 7" xfId="6581"/>
    <cellStyle name="Separador de milhares 3 2 4 2 2 7 2" xfId="9728"/>
    <cellStyle name="Separador de milhares 3 2 4 2 2 7 2 2" xfId="27942"/>
    <cellStyle name="Separador de milhares 3 2 4 2 2 7 2 2 2" xfId="54172"/>
    <cellStyle name="Separador de milhares 3 2 4 2 2 7 2 3" xfId="22028"/>
    <cellStyle name="Separador de milhares 3 2 4 2 2 7 2 3 2" xfId="48264"/>
    <cellStyle name="Separador de milhares 3 2 4 2 2 7 2 4" xfId="16114"/>
    <cellStyle name="Separador de milhares 3 2 4 2 2 7 2 4 2" xfId="42356"/>
    <cellStyle name="Separador de milhares 3 2 4 2 2 7 2 5" xfId="35970"/>
    <cellStyle name="Separador de milhares 3 2 4 2 2 7 3" xfId="24985"/>
    <cellStyle name="Separador de milhares 3 2 4 2 2 7 3 2" xfId="51218"/>
    <cellStyle name="Separador de milhares 3 2 4 2 2 7 4" xfId="19071"/>
    <cellStyle name="Separador de milhares 3 2 4 2 2 7 4 2" xfId="45310"/>
    <cellStyle name="Separador de milhares 3 2 4 2 2 7 5" xfId="12970"/>
    <cellStyle name="Separador de milhares 3 2 4 2 2 7 5 2" xfId="39212"/>
    <cellStyle name="Separador de milhares 3 2 4 2 2 7 6" xfId="32826"/>
    <cellStyle name="Separador de milhares 3 2 4 2 2 8" xfId="8257"/>
    <cellStyle name="Separador de milhares 3 2 4 2 2 8 2" xfId="26471"/>
    <cellStyle name="Separador de milhares 3 2 4 2 2 8 2 2" xfId="52704"/>
    <cellStyle name="Separador de milhares 3 2 4 2 2 8 3" xfId="20557"/>
    <cellStyle name="Separador de milhares 3 2 4 2 2 8 3 2" xfId="46796"/>
    <cellStyle name="Separador de milhares 3 2 4 2 2 8 4" xfId="14646"/>
    <cellStyle name="Separador de milhares 3 2 4 2 2 8 4 2" xfId="40888"/>
    <cellStyle name="Separador de milhares 3 2 4 2 2 8 5" xfId="34502"/>
    <cellStyle name="Separador de milhares 3 2 4 2 2 9" xfId="4880"/>
    <cellStyle name="Separador de milhares 3 2 4 2 2 9 2" xfId="23514"/>
    <cellStyle name="Separador de milhares 3 2 4 2 2 9 2 2" xfId="49750"/>
    <cellStyle name="Separador de milhares 3 2 4 2 2 9 3" xfId="31127"/>
    <cellStyle name="Separador de milhares 3 2 4 2 3" xfId="968"/>
    <cellStyle name="Separador de milhares 3 2 4 2 3 2" xfId="6732"/>
    <cellStyle name="Separador de milhares 3 2 4 2 3 2 2" xfId="9879"/>
    <cellStyle name="Separador de milhares 3 2 4 2 3 2 2 2" xfId="28093"/>
    <cellStyle name="Separador de milhares 3 2 4 2 3 2 2 2 2" xfId="54323"/>
    <cellStyle name="Separador de milhares 3 2 4 2 3 2 2 3" xfId="22179"/>
    <cellStyle name="Separador de milhares 3 2 4 2 3 2 2 3 2" xfId="48415"/>
    <cellStyle name="Separador de milhares 3 2 4 2 3 2 2 4" xfId="16265"/>
    <cellStyle name="Separador de milhares 3 2 4 2 3 2 2 4 2" xfId="42507"/>
    <cellStyle name="Separador de milhares 3 2 4 2 3 2 2 5" xfId="36121"/>
    <cellStyle name="Separador de milhares 3 2 4 2 3 2 3" xfId="25136"/>
    <cellStyle name="Separador de milhares 3 2 4 2 3 2 3 2" xfId="51369"/>
    <cellStyle name="Separador de milhares 3 2 4 2 3 2 4" xfId="19222"/>
    <cellStyle name="Separador de milhares 3 2 4 2 3 2 4 2" xfId="45461"/>
    <cellStyle name="Separador de milhares 3 2 4 2 3 2 5" xfId="13121"/>
    <cellStyle name="Separador de milhares 3 2 4 2 3 2 5 2" xfId="39363"/>
    <cellStyle name="Separador de milhares 3 2 4 2 3 2 6" xfId="32977"/>
    <cellStyle name="Separador de milhares 3 2 4 2 3 3" xfId="8411"/>
    <cellStyle name="Separador de milhares 3 2 4 2 3 3 2" xfId="26625"/>
    <cellStyle name="Separador de milhares 3 2 4 2 3 3 2 2" xfId="52855"/>
    <cellStyle name="Separador de milhares 3 2 4 2 3 3 3" xfId="20711"/>
    <cellStyle name="Separador de milhares 3 2 4 2 3 3 3 2" xfId="46947"/>
    <cellStyle name="Separador de milhares 3 2 4 2 3 3 4" xfId="14797"/>
    <cellStyle name="Separador de milhares 3 2 4 2 3 3 4 2" xfId="41039"/>
    <cellStyle name="Separador de milhares 3 2 4 2 3 3 5" xfId="34653"/>
    <cellStyle name="Separador de milhares 3 2 4 2 3 4" xfId="5033"/>
    <cellStyle name="Separador de milhares 3 2 4 2 3 4 2" xfId="23668"/>
    <cellStyle name="Separador de milhares 3 2 4 2 3 4 2 2" xfId="49901"/>
    <cellStyle name="Separador de milhares 3 2 4 2 3 4 3" xfId="31278"/>
    <cellStyle name="Separador de milhares 3 2 4 2 3 5" xfId="17754"/>
    <cellStyle name="Separador de milhares 3 2 4 2 3 5 2" xfId="43993"/>
    <cellStyle name="Separador de milhares 3 2 4 2 3 6" xfId="11420"/>
    <cellStyle name="Separador de milhares 3 2 4 2 3 6 2" xfId="37662"/>
    <cellStyle name="Separador de milhares 3 2 4 2 3 7" xfId="29580"/>
    <cellStyle name="Separador de milhares 3 2 4 2 4" xfId="1319"/>
    <cellStyle name="Separador de milhares 3 2 4 2 4 2" xfId="6830"/>
    <cellStyle name="Separador de milhares 3 2 4 2 4 2 2" xfId="9977"/>
    <cellStyle name="Separador de milhares 3 2 4 2 4 2 2 2" xfId="28191"/>
    <cellStyle name="Separador de milhares 3 2 4 2 4 2 2 2 2" xfId="54421"/>
    <cellStyle name="Separador de milhares 3 2 4 2 4 2 2 3" xfId="22277"/>
    <cellStyle name="Separador de milhares 3 2 4 2 4 2 2 3 2" xfId="48513"/>
    <cellStyle name="Separador de milhares 3 2 4 2 4 2 2 4" xfId="16363"/>
    <cellStyle name="Separador de milhares 3 2 4 2 4 2 2 4 2" xfId="42605"/>
    <cellStyle name="Separador de milhares 3 2 4 2 4 2 2 5" xfId="36219"/>
    <cellStyle name="Separador de milhares 3 2 4 2 4 2 3" xfId="25234"/>
    <cellStyle name="Separador de milhares 3 2 4 2 4 2 3 2" xfId="51467"/>
    <cellStyle name="Separador de milhares 3 2 4 2 4 2 4" xfId="19320"/>
    <cellStyle name="Separador de milhares 3 2 4 2 4 2 4 2" xfId="45559"/>
    <cellStyle name="Separador de milhares 3 2 4 2 4 2 5" xfId="13219"/>
    <cellStyle name="Separador de milhares 3 2 4 2 4 2 5 2" xfId="39461"/>
    <cellStyle name="Separador de milhares 3 2 4 2 4 2 6" xfId="33075"/>
    <cellStyle name="Separador de milhares 3 2 4 2 4 3" xfId="8509"/>
    <cellStyle name="Separador de milhares 3 2 4 2 4 3 2" xfId="26723"/>
    <cellStyle name="Separador de milhares 3 2 4 2 4 3 2 2" xfId="52953"/>
    <cellStyle name="Separador de milhares 3 2 4 2 4 3 3" xfId="20809"/>
    <cellStyle name="Separador de milhares 3 2 4 2 4 3 3 2" xfId="47045"/>
    <cellStyle name="Separador de milhares 3 2 4 2 4 3 4" xfId="14895"/>
    <cellStyle name="Separador de milhares 3 2 4 2 4 3 4 2" xfId="41137"/>
    <cellStyle name="Separador de milhares 3 2 4 2 4 3 5" xfId="34751"/>
    <cellStyle name="Separador de milhares 3 2 4 2 4 4" xfId="5131"/>
    <cellStyle name="Separador de milhares 3 2 4 2 4 4 2" xfId="23766"/>
    <cellStyle name="Separador de milhares 3 2 4 2 4 4 2 2" xfId="49999"/>
    <cellStyle name="Separador de milhares 3 2 4 2 4 4 3" xfId="31376"/>
    <cellStyle name="Separador de milhares 3 2 4 2 4 5" xfId="17852"/>
    <cellStyle name="Separador de milhares 3 2 4 2 4 5 2" xfId="44091"/>
    <cellStyle name="Separador de milhares 3 2 4 2 4 6" xfId="11518"/>
    <cellStyle name="Separador de milhares 3 2 4 2 4 6 2" xfId="37760"/>
    <cellStyle name="Separador de milhares 3 2 4 2 4 7" xfId="29678"/>
    <cellStyle name="Separador de milhares 3 2 4 2 5" xfId="1754"/>
    <cellStyle name="Separador de milhares 3 2 4 2 5 2" xfId="6949"/>
    <cellStyle name="Separador de milhares 3 2 4 2 5 2 2" xfId="10096"/>
    <cellStyle name="Separador de milhares 3 2 4 2 5 2 2 2" xfId="28310"/>
    <cellStyle name="Separador de milhares 3 2 4 2 5 2 2 2 2" xfId="54540"/>
    <cellStyle name="Separador de milhares 3 2 4 2 5 2 2 3" xfId="22396"/>
    <cellStyle name="Separador de milhares 3 2 4 2 5 2 2 3 2" xfId="48632"/>
    <cellStyle name="Separador de milhares 3 2 4 2 5 2 2 4" xfId="16482"/>
    <cellStyle name="Separador de milhares 3 2 4 2 5 2 2 4 2" xfId="42724"/>
    <cellStyle name="Separador de milhares 3 2 4 2 5 2 2 5" xfId="36338"/>
    <cellStyle name="Separador de milhares 3 2 4 2 5 2 3" xfId="25353"/>
    <cellStyle name="Separador de milhares 3 2 4 2 5 2 3 2" xfId="51586"/>
    <cellStyle name="Separador de milhares 3 2 4 2 5 2 4" xfId="19439"/>
    <cellStyle name="Separador de milhares 3 2 4 2 5 2 4 2" xfId="45678"/>
    <cellStyle name="Separador de milhares 3 2 4 2 5 2 5" xfId="13338"/>
    <cellStyle name="Separador de milhares 3 2 4 2 5 2 5 2" xfId="39580"/>
    <cellStyle name="Separador de milhares 3 2 4 2 5 2 6" xfId="33194"/>
    <cellStyle name="Separador de milhares 3 2 4 2 5 3" xfId="8628"/>
    <cellStyle name="Separador de milhares 3 2 4 2 5 3 2" xfId="26842"/>
    <cellStyle name="Separador de milhares 3 2 4 2 5 3 2 2" xfId="53072"/>
    <cellStyle name="Separador de milhares 3 2 4 2 5 3 3" xfId="20928"/>
    <cellStyle name="Separador de milhares 3 2 4 2 5 3 3 2" xfId="47164"/>
    <cellStyle name="Separador de milhares 3 2 4 2 5 3 4" xfId="15014"/>
    <cellStyle name="Separador de milhares 3 2 4 2 5 3 4 2" xfId="41256"/>
    <cellStyle name="Separador de milhares 3 2 4 2 5 3 5" xfId="34870"/>
    <cellStyle name="Separador de milhares 3 2 4 2 5 4" xfId="5250"/>
    <cellStyle name="Separador de milhares 3 2 4 2 5 4 2" xfId="23885"/>
    <cellStyle name="Separador de milhares 3 2 4 2 5 4 2 2" xfId="50118"/>
    <cellStyle name="Separador de milhares 3 2 4 2 5 4 3" xfId="31495"/>
    <cellStyle name="Separador de milhares 3 2 4 2 5 5" xfId="17971"/>
    <cellStyle name="Separador de milhares 3 2 4 2 5 5 2" xfId="44210"/>
    <cellStyle name="Separador de milhares 3 2 4 2 5 6" xfId="11637"/>
    <cellStyle name="Separador de milhares 3 2 4 2 5 6 2" xfId="37879"/>
    <cellStyle name="Separador de milhares 3 2 4 2 5 7" xfId="29797"/>
    <cellStyle name="Separador de milhares 3 2 4 2 6" xfId="2284"/>
    <cellStyle name="Separador de milhares 3 2 4 2 6 2" xfId="7099"/>
    <cellStyle name="Separador de milhares 3 2 4 2 6 2 2" xfId="10243"/>
    <cellStyle name="Separador de milhares 3 2 4 2 6 2 2 2" xfId="28457"/>
    <cellStyle name="Separador de milhares 3 2 4 2 6 2 2 2 2" xfId="54687"/>
    <cellStyle name="Separador de milhares 3 2 4 2 6 2 2 3" xfId="22543"/>
    <cellStyle name="Separador de milhares 3 2 4 2 6 2 2 3 2" xfId="48779"/>
    <cellStyle name="Separador de milhares 3 2 4 2 6 2 2 4" xfId="16629"/>
    <cellStyle name="Separador de milhares 3 2 4 2 6 2 2 4 2" xfId="42871"/>
    <cellStyle name="Separador de milhares 3 2 4 2 6 2 2 5" xfId="36485"/>
    <cellStyle name="Separador de milhares 3 2 4 2 6 2 3" xfId="25500"/>
    <cellStyle name="Separador de milhares 3 2 4 2 6 2 3 2" xfId="51733"/>
    <cellStyle name="Separador de milhares 3 2 4 2 6 2 4" xfId="19586"/>
    <cellStyle name="Separador de milhares 3 2 4 2 6 2 4 2" xfId="45825"/>
    <cellStyle name="Separador de milhares 3 2 4 2 6 2 5" xfId="13488"/>
    <cellStyle name="Separador de milhares 3 2 4 2 6 2 5 2" xfId="39730"/>
    <cellStyle name="Separador de milhares 3 2 4 2 6 2 6" xfId="33344"/>
    <cellStyle name="Separador de milhares 3 2 4 2 6 3" xfId="8775"/>
    <cellStyle name="Separador de milhares 3 2 4 2 6 3 2" xfId="26989"/>
    <cellStyle name="Separador de milhares 3 2 4 2 6 3 2 2" xfId="53219"/>
    <cellStyle name="Separador de milhares 3 2 4 2 6 3 3" xfId="21075"/>
    <cellStyle name="Separador de milhares 3 2 4 2 6 3 3 2" xfId="47311"/>
    <cellStyle name="Separador de milhares 3 2 4 2 6 3 4" xfId="15161"/>
    <cellStyle name="Separador de milhares 3 2 4 2 6 3 4 2" xfId="41403"/>
    <cellStyle name="Separador de milhares 3 2 4 2 6 3 5" xfId="35017"/>
    <cellStyle name="Separador de milhares 3 2 4 2 6 4" xfId="5400"/>
    <cellStyle name="Separador de milhares 3 2 4 2 6 4 2" xfId="24032"/>
    <cellStyle name="Separador de milhares 3 2 4 2 6 4 2 2" xfId="50265"/>
    <cellStyle name="Separador de milhares 3 2 4 2 6 4 3" xfId="31645"/>
    <cellStyle name="Separador de milhares 3 2 4 2 6 5" xfId="18118"/>
    <cellStyle name="Separador de milhares 3 2 4 2 6 5 2" xfId="44357"/>
    <cellStyle name="Separador de milhares 3 2 4 2 6 6" xfId="11787"/>
    <cellStyle name="Separador de milhares 3 2 4 2 6 6 2" xfId="38029"/>
    <cellStyle name="Separador de milhares 3 2 4 2 6 7" xfId="29947"/>
    <cellStyle name="Separador de milhares 3 2 4 2 7" xfId="2811"/>
    <cellStyle name="Separador de milhares 3 2 4 2 7 2" xfId="7246"/>
    <cellStyle name="Separador de milhares 3 2 4 2 7 2 2" xfId="10390"/>
    <cellStyle name="Separador de milhares 3 2 4 2 7 2 2 2" xfId="28604"/>
    <cellStyle name="Separador de milhares 3 2 4 2 7 2 2 2 2" xfId="54834"/>
    <cellStyle name="Separador de milhares 3 2 4 2 7 2 2 3" xfId="22690"/>
    <cellStyle name="Separador de milhares 3 2 4 2 7 2 2 3 2" xfId="48926"/>
    <cellStyle name="Separador de milhares 3 2 4 2 7 2 2 4" xfId="16776"/>
    <cellStyle name="Separador de milhares 3 2 4 2 7 2 2 4 2" xfId="43018"/>
    <cellStyle name="Separador de milhares 3 2 4 2 7 2 2 5" xfId="36632"/>
    <cellStyle name="Separador de milhares 3 2 4 2 7 2 3" xfId="25647"/>
    <cellStyle name="Separador de milhares 3 2 4 2 7 2 3 2" xfId="51880"/>
    <cellStyle name="Separador de milhares 3 2 4 2 7 2 4" xfId="19733"/>
    <cellStyle name="Separador de milhares 3 2 4 2 7 2 4 2" xfId="45972"/>
    <cellStyle name="Separador de milhares 3 2 4 2 7 2 5" xfId="13635"/>
    <cellStyle name="Separador de milhares 3 2 4 2 7 2 5 2" xfId="39877"/>
    <cellStyle name="Separador de milhares 3 2 4 2 7 2 6" xfId="33491"/>
    <cellStyle name="Separador de milhares 3 2 4 2 7 3" xfId="8922"/>
    <cellStyle name="Separador de milhares 3 2 4 2 7 3 2" xfId="27136"/>
    <cellStyle name="Separador de milhares 3 2 4 2 7 3 2 2" xfId="53366"/>
    <cellStyle name="Separador de milhares 3 2 4 2 7 3 3" xfId="21222"/>
    <cellStyle name="Separador de milhares 3 2 4 2 7 3 3 2" xfId="47458"/>
    <cellStyle name="Separador de milhares 3 2 4 2 7 3 4" xfId="15308"/>
    <cellStyle name="Separador de milhares 3 2 4 2 7 3 4 2" xfId="41550"/>
    <cellStyle name="Separador de milhares 3 2 4 2 7 3 5" xfId="35164"/>
    <cellStyle name="Separador de milhares 3 2 4 2 7 4" xfId="5547"/>
    <cellStyle name="Separador de milhares 3 2 4 2 7 4 2" xfId="24179"/>
    <cellStyle name="Separador de milhares 3 2 4 2 7 4 2 2" xfId="50412"/>
    <cellStyle name="Separador de milhares 3 2 4 2 7 4 3" xfId="31792"/>
    <cellStyle name="Separador de milhares 3 2 4 2 7 5" xfId="18265"/>
    <cellStyle name="Separador de milhares 3 2 4 2 7 5 2" xfId="44504"/>
    <cellStyle name="Separador de milhares 3 2 4 2 7 6" xfId="11934"/>
    <cellStyle name="Separador de milhares 3 2 4 2 7 6 2" xfId="38176"/>
    <cellStyle name="Separador de milhares 3 2 4 2 7 7" xfId="30094"/>
    <cellStyle name="Separador de milhares 3 2 4 2 8" xfId="3338"/>
    <cellStyle name="Separador de milhares 3 2 4 2 8 2" xfId="7393"/>
    <cellStyle name="Separador de milhares 3 2 4 2 8 2 2" xfId="10537"/>
    <cellStyle name="Separador de milhares 3 2 4 2 8 2 2 2" xfId="28751"/>
    <cellStyle name="Separador de milhares 3 2 4 2 8 2 2 2 2" xfId="54981"/>
    <cellStyle name="Separador de milhares 3 2 4 2 8 2 2 3" xfId="22837"/>
    <cellStyle name="Separador de milhares 3 2 4 2 8 2 2 3 2" xfId="49073"/>
    <cellStyle name="Separador de milhares 3 2 4 2 8 2 2 4" xfId="16923"/>
    <cellStyle name="Separador de milhares 3 2 4 2 8 2 2 4 2" xfId="43165"/>
    <cellStyle name="Separador de milhares 3 2 4 2 8 2 2 5" xfId="36779"/>
    <cellStyle name="Separador de milhares 3 2 4 2 8 2 3" xfId="25794"/>
    <cellStyle name="Separador de milhares 3 2 4 2 8 2 3 2" xfId="52027"/>
    <cellStyle name="Separador de milhares 3 2 4 2 8 2 4" xfId="19880"/>
    <cellStyle name="Separador de milhares 3 2 4 2 8 2 4 2" xfId="46119"/>
    <cellStyle name="Separador de milhares 3 2 4 2 8 2 5" xfId="13782"/>
    <cellStyle name="Separador de milhares 3 2 4 2 8 2 5 2" xfId="40024"/>
    <cellStyle name="Separador de milhares 3 2 4 2 8 2 6" xfId="33638"/>
    <cellStyle name="Separador de milhares 3 2 4 2 8 3" xfId="9069"/>
    <cellStyle name="Separador de milhares 3 2 4 2 8 3 2" xfId="27283"/>
    <cellStyle name="Separador de milhares 3 2 4 2 8 3 2 2" xfId="53513"/>
    <cellStyle name="Separador de milhares 3 2 4 2 8 3 3" xfId="21369"/>
    <cellStyle name="Separador de milhares 3 2 4 2 8 3 3 2" xfId="47605"/>
    <cellStyle name="Separador de milhares 3 2 4 2 8 3 4" xfId="15455"/>
    <cellStyle name="Separador de milhares 3 2 4 2 8 3 4 2" xfId="41697"/>
    <cellStyle name="Separador de milhares 3 2 4 2 8 3 5" xfId="35311"/>
    <cellStyle name="Separador de milhares 3 2 4 2 8 4" xfId="5694"/>
    <cellStyle name="Separador de milhares 3 2 4 2 8 4 2" xfId="24326"/>
    <cellStyle name="Separador de milhares 3 2 4 2 8 4 2 2" xfId="50559"/>
    <cellStyle name="Separador de milhares 3 2 4 2 8 4 3" xfId="31939"/>
    <cellStyle name="Separador de milhares 3 2 4 2 8 5" xfId="18412"/>
    <cellStyle name="Separador de milhares 3 2 4 2 8 5 2" xfId="44651"/>
    <cellStyle name="Separador de milhares 3 2 4 2 8 6" xfId="12081"/>
    <cellStyle name="Separador de milhares 3 2 4 2 8 6 2" xfId="38323"/>
    <cellStyle name="Separador de milhares 3 2 4 2 8 7" xfId="30241"/>
    <cellStyle name="Separador de milhares 3 2 4 2 9" xfId="3865"/>
    <cellStyle name="Separador de milhares 3 2 4 2 9 2" xfId="7540"/>
    <cellStyle name="Separador de milhares 3 2 4 2 9 2 2" xfId="10684"/>
    <cellStyle name="Separador de milhares 3 2 4 2 9 2 2 2" xfId="28898"/>
    <cellStyle name="Separador de milhares 3 2 4 2 9 2 2 2 2" xfId="55128"/>
    <cellStyle name="Separador de milhares 3 2 4 2 9 2 2 3" xfId="22984"/>
    <cellStyle name="Separador de milhares 3 2 4 2 9 2 2 3 2" xfId="49220"/>
    <cellStyle name="Separador de milhares 3 2 4 2 9 2 2 4" xfId="17070"/>
    <cellStyle name="Separador de milhares 3 2 4 2 9 2 2 4 2" xfId="43312"/>
    <cellStyle name="Separador de milhares 3 2 4 2 9 2 2 5" xfId="36926"/>
    <cellStyle name="Separador de milhares 3 2 4 2 9 2 3" xfId="25941"/>
    <cellStyle name="Separador de milhares 3 2 4 2 9 2 3 2" xfId="52174"/>
    <cellStyle name="Separador de milhares 3 2 4 2 9 2 4" xfId="20027"/>
    <cellStyle name="Separador de milhares 3 2 4 2 9 2 4 2" xfId="46266"/>
    <cellStyle name="Separador de milhares 3 2 4 2 9 2 5" xfId="13929"/>
    <cellStyle name="Separador de milhares 3 2 4 2 9 2 5 2" xfId="40171"/>
    <cellStyle name="Separador de milhares 3 2 4 2 9 2 6" xfId="33785"/>
    <cellStyle name="Separador de milhares 3 2 4 2 9 3" xfId="9216"/>
    <cellStyle name="Separador de milhares 3 2 4 2 9 3 2" xfId="27430"/>
    <cellStyle name="Separador de milhares 3 2 4 2 9 3 2 2" xfId="53660"/>
    <cellStyle name="Separador de milhares 3 2 4 2 9 3 3" xfId="21516"/>
    <cellStyle name="Separador de milhares 3 2 4 2 9 3 3 2" xfId="47752"/>
    <cellStyle name="Separador de milhares 3 2 4 2 9 3 4" xfId="15602"/>
    <cellStyle name="Separador de milhares 3 2 4 2 9 3 4 2" xfId="41844"/>
    <cellStyle name="Separador de milhares 3 2 4 2 9 3 5" xfId="35458"/>
    <cellStyle name="Separador de milhares 3 2 4 2 9 4" xfId="5841"/>
    <cellStyle name="Separador de milhares 3 2 4 2 9 4 2" xfId="24473"/>
    <cellStyle name="Separador de milhares 3 2 4 2 9 4 2 2" xfId="50706"/>
    <cellStyle name="Separador de milhares 3 2 4 2 9 4 3" xfId="32086"/>
    <cellStyle name="Separador de milhares 3 2 4 2 9 5" xfId="18559"/>
    <cellStyle name="Separador de milhares 3 2 4 2 9 5 2" xfId="44798"/>
    <cellStyle name="Separador de milhares 3 2 4 2 9 6" xfId="12228"/>
    <cellStyle name="Separador de milhares 3 2 4 2 9 6 2" xfId="38470"/>
    <cellStyle name="Separador de milhares 3 2 4 2 9 7" xfId="30388"/>
    <cellStyle name="Separador de milhares 3 2 4 3" xfId="317"/>
    <cellStyle name="Separador de milhares 3 2 4 3 10" xfId="6531"/>
    <cellStyle name="Separador de milhares 3 2 4 3 10 2" xfId="9682"/>
    <cellStyle name="Separador de milhares 3 2 4 3 10 2 2" xfId="27896"/>
    <cellStyle name="Separador de milhares 3 2 4 3 10 2 2 2" xfId="54126"/>
    <cellStyle name="Separador de milhares 3 2 4 3 10 2 3" xfId="21982"/>
    <cellStyle name="Separador de milhares 3 2 4 3 10 2 3 2" xfId="48218"/>
    <cellStyle name="Separador de milhares 3 2 4 3 10 2 4" xfId="16068"/>
    <cellStyle name="Separador de milhares 3 2 4 3 10 2 4 2" xfId="42310"/>
    <cellStyle name="Separador de milhares 3 2 4 3 10 2 5" xfId="35924"/>
    <cellStyle name="Separador de milhares 3 2 4 3 10 3" xfId="24939"/>
    <cellStyle name="Separador de milhares 3 2 4 3 10 3 2" xfId="51172"/>
    <cellStyle name="Separador de milhares 3 2 4 3 10 4" xfId="19025"/>
    <cellStyle name="Separador de milhares 3 2 4 3 10 4 2" xfId="45264"/>
    <cellStyle name="Separador de milhares 3 2 4 3 10 5" xfId="12920"/>
    <cellStyle name="Separador de milhares 3 2 4 3 10 5 2" xfId="39162"/>
    <cellStyle name="Separador de milhares 3 2 4 3 10 6" xfId="32776"/>
    <cellStyle name="Separador de milhares 3 2 4 3 11" xfId="8211"/>
    <cellStyle name="Separador de milhares 3 2 4 3 11 2" xfId="26425"/>
    <cellStyle name="Separador de milhares 3 2 4 3 11 2 2" xfId="52658"/>
    <cellStyle name="Separador de milhares 3 2 4 3 11 3" xfId="20511"/>
    <cellStyle name="Separador de milhares 3 2 4 3 11 3 2" xfId="46750"/>
    <cellStyle name="Separador de milhares 3 2 4 3 11 4" xfId="14600"/>
    <cellStyle name="Separador de milhares 3 2 4 3 11 4 2" xfId="40842"/>
    <cellStyle name="Separador de milhares 3 2 4 3 11 5" xfId="34456"/>
    <cellStyle name="Separador de milhares 3 2 4 3 12" xfId="4830"/>
    <cellStyle name="Separador de milhares 3 2 4 3 12 2" xfId="23468"/>
    <cellStyle name="Separador de milhares 3 2 4 3 12 2 2" xfId="49704"/>
    <cellStyle name="Separador de milhares 3 2 4 3 12 3" xfId="31077"/>
    <cellStyle name="Separador de milhares 3 2 4 3 13" xfId="17554"/>
    <cellStyle name="Separador de milhares 3 2 4 3 13 2" xfId="43796"/>
    <cellStyle name="Separador de milhares 3 2 4 3 14" xfId="11219"/>
    <cellStyle name="Separador de milhares 3 2 4 3 14 2" xfId="37461"/>
    <cellStyle name="Separador de milhares 3 2 4 3 15" xfId="29379"/>
    <cellStyle name="Separador de milhares 3 2 4 3 2" xfId="580"/>
    <cellStyle name="Separador de milhares 3 2 4 3 2 2" xfId="6602"/>
    <cellStyle name="Separador de milhares 3 2 4 3 2 2 2" xfId="9749"/>
    <cellStyle name="Separador de milhares 3 2 4 3 2 2 2 2" xfId="27963"/>
    <cellStyle name="Separador de milhares 3 2 4 3 2 2 2 2 2" xfId="54193"/>
    <cellStyle name="Separador de milhares 3 2 4 3 2 2 2 3" xfId="22049"/>
    <cellStyle name="Separador de milhares 3 2 4 3 2 2 2 3 2" xfId="48285"/>
    <cellStyle name="Separador de milhares 3 2 4 3 2 2 2 4" xfId="16135"/>
    <cellStyle name="Separador de milhares 3 2 4 3 2 2 2 4 2" xfId="42377"/>
    <cellStyle name="Separador de milhares 3 2 4 3 2 2 2 5" xfId="35991"/>
    <cellStyle name="Separador de milhares 3 2 4 3 2 2 3" xfId="25006"/>
    <cellStyle name="Separador de milhares 3 2 4 3 2 2 3 2" xfId="51239"/>
    <cellStyle name="Separador de milhares 3 2 4 3 2 2 4" xfId="19092"/>
    <cellStyle name="Separador de milhares 3 2 4 3 2 2 4 2" xfId="45331"/>
    <cellStyle name="Separador de milhares 3 2 4 3 2 2 5" xfId="12991"/>
    <cellStyle name="Separador de milhares 3 2 4 3 2 2 5 2" xfId="39233"/>
    <cellStyle name="Separador de milhares 3 2 4 3 2 2 6" xfId="32847"/>
    <cellStyle name="Separador de milhares 3 2 4 3 2 3" xfId="8278"/>
    <cellStyle name="Separador de milhares 3 2 4 3 2 3 2" xfId="26492"/>
    <cellStyle name="Separador de milhares 3 2 4 3 2 3 2 2" xfId="52725"/>
    <cellStyle name="Separador de milhares 3 2 4 3 2 3 3" xfId="20578"/>
    <cellStyle name="Separador de milhares 3 2 4 3 2 3 3 2" xfId="46817"/>
    <cellStyle name="Separador de milhares 3 2 4 3 2 3 4" xfId="14667"/>
    <cellStyle name="Separador de milhares 3 2 4 3 2 3 4 2" xfId="40909"/>
    <cellStyle name="Separador de milhares 3 2 4 3 2 3 5" xfId="34523"/>
    <cellStyle name="Separador de milhares 3 2 4 3 2 4" xfId="4901"/>
    <cellStyle name="Separador de milhares 3 2 4 3 2 4 2" xfId="23535"/>
    <cellStyle name="Separador de milhares 3 2 4 3 2 4 2 2" xfId="49771"/>
    <cellStyle name="Separador de milhares 3 2 4 3 2 4 3" xfId="31148"/>
    <cellStyle name="Separador de milhares 3 2 4 3 2 5" xfId="17621"/>
    <cellStyle name="Separador de milhares 3 2 4 3 2 5 2" xfId="43863"/>
    <cellStyle name="Separador de milhares 3 2 4 3 2 6" xfId="11290"/>
    <cellStyle name="Separador de milhares 3 2 4 3 2 6 2" xfId="37532"/>
    <cellStyle name="Separador de milhares 3 2 4 3 2 7" xfId="29450"/>
    <cellStyle name="Separador de milhares 3 2 4 3 3" xfId="877"/>
    <cellStyle name="Separador de milhares 3 2 4 3 3 2" xfId="6704"/>
    <cellStyle name="Separador de milhares 3 2 4 3 3 2 2" xfId="9851"/>
    <cellStyle name="Separador de milhares 3 2 4 3 3 2 2 2" xfId="28065"/>
    <cellStyle name="Separador de milhares 3 2 4 3 3 2 2 2 2" xfId="54295"/>
    <cellStyle name="Separador de milhares 3 2 4 3 3 2 2 3" xfId="22151"/>
    <cellStyle name="Separador de milhares 3 2 4 3 3 2 2 3 2" xfId="48387"/>
    <cellStyle name="Separador de milhares 3 2 4 3 3 2 2 4" xfId="16237"/>
    <cellStyle name="Separador de milhares 3 2 4 3 3 2 2 4 2" xfId="42479"/>
    <cellStyle name="Separador de milhares 3 2 4 3 3 2 2 5" xfId="36093"/>
    <cellStyle name="Separador de milhares 3 2 4 3 3 2 3" xfId="25108"/>
    <cellStyle name="Separador de milhares 3 2 4 3 3 2 3 2" xfId="51341"/>
    <cellStyle name="Separador de milhares 3 2 4 3 3 2 4" xfId="19194"/>
    <cellStyle name="Separador de milhares 3 2 4 3 3 2 4 2" xfId="45433"/>
    <cellStyle name="Separador de milhares 3 2 4 3 3 2 5" xfId="13093"/>
    <cellStyle name="Separador de milhares 3 2 4 3 3 2 5 2" xfId="39335"/>
    <cellStyle name="Separador de milhares 3 2 4 3 3 2 6" xfId="32949"/>
    <cellStyle name="Separador de milhares 3 2 4 3 3 3" xfId="8383"/>
    <cellStyle name="Separador de milhares 3 2 4 3 3 3 2" xfId="26597"/>
    <cellStyle name="Separador de milhares 3 2 4 3 3 3 2 2" xfId="52827"/>
    <cellStyle name="Separador de milhares 3 2 4 3 3 3 3" xfId="20683"/>
    <cellStyle name="Separador de milhares 3 2 4 3 3 3 3 2" xfId="46919"/>
    <cellStyle name="Separador de milhares 3 2 4 3 3 3 4" xfId="14769"/>
    <cellStyle name="Separador de milhares 3 2 4 3 3 3 4 2" xfId="41011"/>
    <cellStyle name="Separador de milhares 3 2 4 3 3 3 5" xfId="34625"/>
    <cellStyle name="Separador de milhares 3 2 4 3 3 4" xfId="5005"/>
    <cellStyle name="Separador de milhares 3 2 4 3 3 4 2" xfId="23640"/>
    <cellStyle name="Separador de milhares 3 2 4 3 3 4 2 2" xfId="49873"/>
    <cellStyle name="Separador de milhares 3 2 4 3 3 4 3" xfId="31250"/>
    <cellStyle name="Separador de milhares 3 2 4 3 3 5" xfId="17726"/>
    <cellStyle name="Separador de milhares 3 2 4 3 3 5 2" xfId="43965"/>
    <cellStyle name="Separador de milhares 3 2 4 3 3 6" xfId="11392"/>
    <cellStyle name="Separador de milhares 3 2 4 3 3 6 2" xfId="37634"/>
    <cellStyle name="Separador de milhares 3 2 4 3 3 7" xfId="29552"/>
    <cellStyle name="Separador de milhares 3 2 4 3 4" xfId="1228"/>
    <cellStyle name="Separador de milhares 3 2 4 3 4 2" xfId="6802"/>
    <cellStyle name="Separador de milhares 3 2 4 3 4 2 2" xfId="9949"/>
    <cellStyle name="Separador de milhares 3 2 4 3 4 2 2 2" xfId="28163"/>
    <cellStyle name="Separador de milhares 3 2 4 3 4 2 2 2 2" xfId="54393"/>
    <cellStyle name="Separador de milhares 3 2 4 3 4 2 2 3" xfId="22249"/>
    <cellStyle name="Separador de milhares 3 2 4 3 4 2 2 3 2" xfId="48485"/>
    <cellStyle name="Separador de milhares 3 2 4 3 4 2 2 4" xfId="16335"/>
    <cellStyle name="Separador de milhares 3 2 4 3 4 2 2 4 2" xfId="42577"/>
    <cellStyle name="Separador de milhares 3 2 4 3 4 2 2 5" xfId="36191"/>
    <cellStyle name="Separador de milhares 3 2 4 3 4 2 3" xfId="25206"/>
    <cellStyle name="Separador de milhares 3 2 4 3 4 2 3 2" xfId="51439"/>
    <cellStyle name="Separador de milhares 3 2 4 3 4 2 4" xfId="19292"/>
    <cellStyle name="Separador de milhares 3 2 4 3 4 2 4 2" xfId="45531"/>
    <cellStyle name="Separador de milhares 3 2 4 3 4 2 5" xfId="13191"/>
    <cellStyle name="Separador de milhares 3 2 4 3 4 2 5 2" xfId="39433"/>
    <cellStyle name="Separador de milhares 3 2 4 3 4 2 6" xfId="33047"/>
    <cellStyle name="Separador de milhares 3 2 4 3 4 3" xfId="8481"/>
    <cellStyle name="Separador de milhares 3 2 4 3 4 3 2" xfId="26695"/>
    <cellStyle name="Separador de milhares 3 2 4 3 4 3 2 2" xfId="52925"/>
    <cellStyle name="Separador de milhares 3 2 4 3 4 3 3" xfId="20781"/>
    <cellStyle name="Separador de milhares 3 2 4 3 4 3 3 2" xfId="47017"/>
    <cellStyle name="Separador de milhares 3 2 4 3 4 3 4" xfId="14867"/>
    <cellStyle name="Separador de milhares 3 2 4 3 4 3 4 2" xfId="41109"/>
    <cellStyle name="Separador de milhares 3 2 4 3 4 3 5" xfId="34723"/>
    <cellStyle name="Separador de milhares 3 2 4 3 4 4" xfId="5103"/>
    <cellStyle name="Separador de milhares 3 2 4 3 4 4 2" xfId="23738"/>
    <cellStyle name="Separador de milhares 3 2 4 3 4 4 2 2" xfId="49971"/>
    <cellStyle name="Separador de milhares 3 2 4 3 4 4 3" xfId="31348"/>
    <cellStyle name="Separador de milhares 3 2 4 3 4 5" xfId="17824"/>
    <cellStyle name="Separador de milhares 3 2 4 3 4 5 2" xfId="44063"/>
    <cellStyle name="Separador de milhares 3 2 4 3 4 6" xfId="11490"/>
    <cellStyle name="Separador de milhares 3 2 4 3 4 6 2" xfId="37732"/>
    <cellStyle name="Separador de milhares 3 2 4 3 4 7" xfId="29650"/>
    <cellStyle name="Separador de milhares 3 2 4 3 5" xfId="1663"/>
    <cellStyle name="Separador de milhares 3 2 4 3 5 2" xfId="6921"/>
    <cellStyle name="Separador de milhares 3 2 4 3 5 2 2" xfId="10068"/>
    <cellStyle name="Separador de milhares 3 2 4 3 5 2 2 2" xfId="28282"/>
    <cellStyle name="Separador de milhares 3 2 4 3 5 2 2 2 2" xfId="54512"/>
    <cellStyle name="Separador de milhares 3 2 4 3 5 2 2 3" xfId="22368"/>
    <cellStyle name="Separador de milhares 3 2 4 3 5 2 2 3 2" xfId="48604"/>
    <cellStyle name="Separador de milhares 3 2 4 3 5 2 2 4" xfId="16454"/>
    <cellStyle name="Separador de milhares 3 2 4 3 5 2 2 4 2" xfId="42696"/>
    <cellStyle name="Separador de milhares 3 2 4 3 5 2 2 5" xfId="36310"/>
    <cellStyle name="Separador de milhares 3 2 4 3 5 2 3" xfId="25325"/>
    <cellStyle name="Separador de milhares 3 2 4 3 5 2 3 2" xfId="51558"/>
    <cellStyle name="Separador de milhares 3 2 4 3 5 2 4" xfId="19411"/>
    <cellStyle name="Separador de milhares 3 2 4 3 5 2 4 2" xfId="45650"/>
    <cellStyle name="Separador de milhares 3 2 4 3 5 2 5" xfId="13310"/>
    <cellStyle name="Separador de milhares 3 2 4 3 5 2 5 2" xfId="39552"/>
    <cellStyle name="Separador de milhares 3 2 4 3 5 2 6" xfId="33166"/>
    <cellStyle name="Separador de milhares 3 2 4 3 5 3" xfId="8600"/>
    <cellStyle name="Separador de milhares 3 2 4 3 5 3 2" xfId="26814"/>
    <cellStyle name="Separador de milhares 3 2 4 3 5 3 2 2" xfId="53044"/>
    <cellStyle name="Separador de milhares 3 2 4 3 5 3 3" xfId="20900"/>
    <cellStyle name="Separador de milhares 3 2 4 3 5 3 3 2" xfId="47136"/>
    <cellStyle name="Separador de milhares 3 2 4 3 5 3 4" xfId="14986"/>
    <cellStyle name="Separador de milhares 3 2 4 3 5 3 4 2" xfId="41228"/>
    <cellStyle name="Separador de milhares 3 2 4 3 5 3 5" xfId="34842"/>
    <cellStyle name="Separador de milhares 3 2 4 3 5 4" xfId="5222"/>
    <cellStyle name="Separador de milhares 3 2 4 3 5 4 2" xfId="23857"/>
    <cellStyle name="Separador de milhares 3 2 4 3 5 4 2 2" xfId="50090"/>
    <cellStyle name="Separador de milhares 3 2 4 3 5 4 3" xfId="31467"/>
    <cellStyle name="Separador de milhares 3 2 4 3 5 5" xfId="17943"/>
    <cellStyle name="Separador de milhares 3 2 4 3 5 5 2" xfId="44182"/>
    <cellStyle name="Separador de milhares 3 2 4 3 5 6" xfId="11609"/>
    <cellStyle name="Separador de milhares 3 2 4 3 5 6 2" xfId="37851"/>
    <cellStyle name="Separador de milhares 3 2 4 3 5 7" xfId="29769"/>
    <cellStyle name="Separador de milhares 3 2 4 3 6" xfId="2193"/>
    <cellStyle name="Separador de milhares 3 2 4 3 6 2" xfId="7071"/>
    <cellStyle name="Separador de milhares 3 2 4 3 6 2 2" xfId="10215"/>
    <cellStyle name="Separador de milhares 3 2 4 3 6 2 2 2" xfId="28429"/>
    <cellStyle name="Separador de milhares 3 2 4 3 6 2 2 2 2" xfId="54659"/>
    <cellStyle name="Separador de milhares 3 2 4 3 6 2 2 3" xfId="22515"/>
    <cellStyle name="Separador de milhares 3 2 4 3 6 2 2 3 2" xfId="48751"/>
    <cellStyle name="Separador de milhares 3 2 4 3 6 2 2 4" xfId="16601"/>
    <cellStyle name="Separador de milhares 3 2 4 3 6 2 2 4 2" xfId="42843"/>
    <cellStyle name="Separador de milhares 3 2 4 3 6 2 2 5" xfId="36457"/>
    <cellStyle name="Separador de milhares 3 2 4 3 6 2 3" xfId="25472"/>
    <cellStyle name="Separador de milhares 3 2 4 3 6 2 3 2" xfId="51705"/>
    <cellStyle name="Separador de milhares 3 2 4 3 6 2 4" xfId="19558"/>
    <cellStyle name="Separador de milhares 3 2 4 3 6 2 4 2" xfId="45797"/>
    <cellStyle name="Separador de milhares 3 2 4 3 6 2 5" xfId="13460"/>
    <cellStyle name="Separador de milhares 3 2 4 3 6 2 5 2" xfId="39702"/>
    <cellStyle name="Separador de milhares 3 2 4 3 6 2 6" xfId="33316"/>
    <cellStyle name="Separador de milhares 3 2 4 3 6 3" xfId="8747"/>
    <cellStyle name="Separador de milhares 3 2 4 3 6 3 2" xfId="26961"/>
    <cellStyle name="Separador de milhares 3 2 4 3 6 3 2 2" xfId="53191"/>
    <cellStyle name="Separador de milhares 3 2 4 3 6 3 3" xfId="21047"/>
    <cellStyle name="Separador de milhares 3 2 4 3 6 3 3 2" xfId="47283"/>
    <cellStyle name="Separador de milhares 3 2 4 3 6 3 4" xfId="15133"/>
    <cellStyle name="Separador de milhares 3 2 4 3 6 3 4 2" xfId="41375"/>
    <cellStyle name="Separador de milhares 3 2 4 3 6 3 5" xfId="34989"/>
    <cellStyle name="Separador de milhares 3 2 4 3 6 4" xfId="5372"/>
    <cellStyle name="Separador de milhares 3 2 4 3 6 4 2" xfId="24004"/>
    <cellStyle name="Separador de milhares 3 2 4 3 6 4 2 2" xfId="50237"/>
    <cellStyle name="Separador de milhares 3 2 4 3 6 4 3" xfId="31617"/>
    <cellStyle name="Separador de milhares 3 2 4 3 6 5" xfId="18090"/>
    <cellStyle name="Separador de milhares 3 2 4 3 6 5 2" xfId="44329"/>
    <cellStyle name="Separador de milhares 3 2 4 3 6 6" xfId="11759"/>
    <cellStyle name="Separador de milhares 3 2 4 3 6 6 2" xfId="38001"/>
    <cellStyle name="Separador de milhares 3 2 4 3 6 7" xfId="29919"/>
    <cellStyle name="Separador de milhares 3 2 4 3 7" xfId="2720"/>
    <cellStyle name="Separador de milhares 3 2 4 3 7 2" xfId="7218"/>
    <cellStyle name="Separador de milhares 3 2 4 3 7 2 2" xfId="10362"/>
    <cellStyle name="Separador de milhares 3 2 4 3 7 2 2 2" xfId="28576"/>
    <cellStyle name="Separador de milhares 3 2 4 3 7 2 2 2 2" xfId="54806"/>
    <cellStyle name="Separador de milhares 3 2 4 3 7 2 2 3" xfId="22662"/>
    <cellStyle name="Separador de milhares 3 2 4 3 7 2 2 3 2" xfId="48898"/>
    <cellStyle name="Separador de milhares 3 2 4 3 7 2 2 4" xfId="16748"/>
    <cellStyle name="Separador de milhares 3 2 4 3 7 2 2 4 2" xfId="42990"/>
    <cellStyle name="Separador de milhares 3 2 4 3 7 2 2 5" xfId="36604"/>
    <cellStyle name="Separador de milhares 3 2 4 3 7 2 3" xfId="25619"/>
    <cellStyle name="Separador de milhares 3 2 4 3 7 2 3 2" xfId="51852"/>
    <cellStyle name="Separador de milhares 3 2 4 3 7 2 4" xfId="19705"/>
    <cellStyle name="Separador de milhares 3 2 4 3 7 2 4 2" xfId="45944"/>
    <cellStyle name="Separador de milhares 3 2 4 3 7 2 5" xfId="13607"/>
    <cellStyle name="Separador de milhares 3 2 4 3 7 2 5 2" xfId="39849"/>
    <cellStyle name="Separador de milhares 3 2 4 3 7 2 6" xfId="33463"/>
    <cellStyle name="Separador de milhares 3 2 4 3 7 3" xfId="8894"/>
    <cellStyle name="Separador de milhares 3 2 4 3 7 3 2" xfId="27108"/>
    <cellStyle name="Separador de milhares 3 2 4 3 7 3 2 2" xfId="53338"/>
    <cellStyle name="Separador de milhares 3 2 4 3 7 3 3" xfId="21194"/>
    <cellStyle name="Separador de milhares 3 2 4 3 7 3 3 2" xfId="47430"/>
    <cellStyle name="Separador de milhares 3 2 4 3 7 3 4" xfId="15280"/>
    <cellStyle name="Separador de milhares 3 2 4 3 7 3 4 2" xfId="41522"/>
    <cellStyle name="Separador de milhares 3 2 4 3 7 3 5" xfId="35136"/>
    <cellStyle name="Separador de milhares 3 2 4 3 7 4" xfId="5519"/>
    <cellStyle name="Separador de milhares 3 2 4 3 7 4 2" xfId="24151"/>
    <cellStyle name="Separador de milhares 3 2 4 3 7 4 2 2" xfId="50384"/>
    <cellStyle name="Separador de milhares 3 2 4 3 7 4 3" xfId="31764"/>
    <cellStyle name="Separador de milhares 3 2 4 3 7 5" xfId="18237"/>
    <cellStyle name="Separador de milhares 3 2 4 3 7 5 2" xfId="44476"/>
    <cellStyle name="Separador de milhares 3 2 4 3 7 6" xfId="11906"/>
    <cellStyle name="Separador de milhares 3 2 4 3 7 6 2" xfId="38148"/>
    <cellStyle name="Separador de milhares 3 2 4 3 7 7" xfId="30066"/>
    <cellStyle name="Separador de milhares 3 2 4 3 8" xfId="3247"/>
    <cellStyle name="Separador de milhares 3 2 4 3 8 2" xfId="7365"/>
    <cellStyle name="Separador de milhares 3 2 4 3 8 2 2" xfId="10509"/>
    <cellStyle name="Separador de milhares 3 2 4 3 8 2 2 2" xfId="28723"/>
    <cellStyle name="Separador de milhares 3 2 4 3 8 2 2 2 2" xfId="54953"/>
    <cellStyle name="Separador de milhares 3 2 4 3 8 2 2 3" xfId="22809"/>
    <cellStyle name="Separador de milhares 3 2 4 3 8 2 2 3 2" xfId="49045"/>
    <cellStyle name="Separador de milhares 3 2 4 3 8 2 2 4" xfId="16895"/>
    <cellStyle name="Separador de milhares 3 2 4 3 8 2 2 4 2" xfId="43137"/>
    <cellStyle name="Separador de milhares 3 2 4 3 8 2 2 5" xfId="36751"/>
    <cellStyle name="Separador de milhares 3 2 4 3 8 2 3" xfId="25766"/>
    <cellStyle name="Separador de milhares 3 2 4 3 8 2 3 2" xfId="51999"/>
    <cellStyle name="Separador de milhares 3 2 4 3 8 2 4" xfId="19852"/>
    <cellStyle name="Separador de milhares 3 2 4 3 8 2 4 2" xfId="46091"/>
    <cellStyle name="Separador de milhares 3 2 4 3 8 2 5" xfId="13754"/>
    <cellStyle name="Separador de milhares 3 2 4 3 8 2 5 2" xfId="39996"/>
    <cellStyle name="Separador de milhares 3 2 4 3 8 2 6" xfId="33610"/>
    <cellStyle name="Separador de milhares 3 2 4 3 8 3" xfId="9041"/>
    <cellStyle name="Separador de milhares 3 2 4 3 8 3 2" xfId="27255"/>
    <cellStyle name="Separador de milhares 3 2 4 3 8 3 2 2" xfId="53485"/>
    <cellStyle name="Separador de milhares 3 2 4 3 8 3 3" xfId="21341"/>
    <cellStyle name="Separador de milhares 3 2 4 3 8 3 3 2" xfId="47577"/>
    <cellStyle name="Separador de milhares 3 2 4 3 8 3 4" xfId="15427"/>
    <cellStyle name="Separador de milhares 3 2 4 3 8 3 4 2" xfId="41669"/>
    <cellStyle name="Separador de milhares 3 2 4 3 8 3 5" xfId="35283"/>
    <cellStyle name="Separador de milhares 3 2 4 3 8 4" xfId="5666"/>
    <cellStyle name="Separador de milhares 3 2 4 3 8 4 2" xfId="24298"/>
    <cellStyle name="Separador de milhares 3 2 4 3 8 4 2 2" xfId="50531"/>
    <cellStyle name="Separador de milhares 3 2 4 3 8 4 3" xfId="31911"/>
    <cellStyle name="Separador de milhares 3 2 4 3 8 5" xfId="18384"/>
    <cellStyle name="Separador de milhares 3 2 4 3 8 5 2" xfId="44623"/>
    <cellStyle name="Separador de milhares 3 2 4 3 8 6" xfId="12053"/>
    <cellStyle name="Separador de milhares 3 2 4 3 8 6 2" xfId="38295"/>
    <cellStyle name="Separador de milhares 3 2 4 3 8 7" xfId="30213"/>
    <cellStyle name="Separador de milhares 3 2 4 3 9" xfId="3774"/>
    <cellStyle name="Separador de milhares 3 2 4 3 9 2" xfId="7512"/>
    <cellStyle name="Separador de milhares 3 2 4 3 9 2 2" xfId="10656"/>
    <cellStyle name="Separador de milhares 3 2 4 3 9 2 2 2" xfId="28870"/>
    <cellStyle name="Separador de milhares 3 2 4 3 9 2 2 2 2" xfId="55100"/>
    <cellStyle name="Separador de milhares 3 2 4 3 9 2 2 3" xfId="22956"/>
    <cellStyle name="Separador de milhares 3 2 4 3 9 2 2 3 2" xfId="49192"/>
    <cellStyle name="Separador de milhares 3 2 4 3 9 2 2 4" xfId="17042"/>
    <cellStyle name="Separador de milhares 3 2 4 3 9 2 2 4 2" xfId="43284"/>
    <cellStyle name="Separador de milhares 3 2 4 3 9 2 2 5" xfId="36898"/>
    <cellStyle name="Separador de milhares 3 2 4 3 9 2 3" xfId="25913"/>
    <cellStyle name="Separador de milhares 3 2 4 3 9 2 3 2" xfId="52146"/>
    <cellStyle name="Separador de milhares 3 2 4 3 9 2 4" xfId="19999"/>
    <cellStyle name="Separador de milhares 3 2 4 3 9 2 4 2" xfId="46238"/>
    <cellStyle name="Separador de milhares 3 2 4 3 9 2 5" xfId="13901"/>
    <cellStyle name="Separador de milhares 3 2 4 3 9 2 5 2" xfId="40143"/>
    <cellStyle name="Separador de milhares 3 2 4 3 9 2 6" xfId="33757"/>
    <cellStyle name="Separador de milhares 3 2 4 3 9 3" xfId="9188"/>
    <cellStyle name="Separador de milhares 3 2 4 3 9 3 2" xfId="27402"/>
    <cellStyle name="Separador de milhares 3 2 4 3 9 3 2 2" xfId="53632"/>
    <cellStyle name="Separador de milhares 3 2 4 3 9 3 3" xfId="21488"/>
    <cellStyle name="Separador de milhares 3 2 4 3 9 3 3 2" xfId="47724"/>
    <cellStyle name="Separador de milhares 3 2 4 3 9 3 4" xfId="15574"/>
    <cellStyle name="Separador de milhares 3 2 4 3 9 3 4 2" xfId="41816"/>
    <cellStyle name="Separador de milhares 3 2 4 3 9 3 5" xfId="35430"/>
    <cellStyle name="Separador de milhares 3 2 4 3 9 4" xfId="5813"/>
    <cellStyle name="Separador de milhares 3 2 4 3 9 4 2" xfId="24445"/>
    <cellStyle name="Separador de milhares 3 2 4 3 9 4 2 2" xfId="50678"/>
    <cellStyle name="Separador de milhares 3 2 4 3 9 4 3" xfId="32058"/>
    <cellStyle name="Separador de milhares 3 2 4 3 9 5" xfId="18531"/>
    <cellStyle name="Separador de milhares 3 2 4 3 9 5 2" xfId="44770"/>
    <cellStyle name="Separador de milhares 3 2 4 3 9 6" xfId="12200"/>
    <cellStyle name="Separador de milhares 3 2 4 3 9 6 2" xfId="38442"/>
    <cellStyle name="Separador de milhares 3 2 4 3 9 7" xfId="30360"/>
    <cellStyle name="Separador de milhares 3 2 4 4" xfId="410"/>
    <cellStyle name="Separador de milhares 3 2 4 4 10" xfId="6559"/>
    <cellStyle name="Separador de milhares 3 2 4 4 10 2" xfId="9707"/>
    <cellStyle name="Separador de milhares 3 2 4 4 10 2 2" xfId="27921"/>
    <cellStyle name="Separador de milhares 3 2 4 4 10 2 2 2" xfId="54151"/>
    <cellStyle name="Separador de milhares 3 2 4 4 10 2 3" xfId="22007"/>
    <cellStyle name="Separador de milhares 3 2 4 4 10 2 3 2" xfId="48243"/>
    <cellStyle name="Separador de milhares 3 2 4 4 10 2 4" xfId="16093"/>
    <cellStyle name="Separador de milhares 3 2 4 4 10 2 4 2" xfId="42335"/>
    <cellStyle name="Separador de milhares 3 2 4 4 10 2 5" xfId="35949"/>
    <cellStyle name="Separador de milhares 3 2 4 4 10 3" xfId="24964"/>
    <cellStyle name="Separador de milhares 3 2 4 4 10 3 2" xfId="51197"/>
    <cellStyle name="Separador de milhares 3 2 4 4 10 4" xfId="19050"/>
    <cellStyle name="Separador de milhares 3 2 4 4 10 4 2" xfId="45289"/>
    <cellStyle name="Separador de milhares 3 2 4 4 10 5" xfId="12948"/>
    <cellStyle name="Separador de milhares 3 2 4 4 10 5 2" xfId="39190"/>
    <cellStyle name="Separador de milhares 3 2 4 4 10 6" xfId="32804"/>
    <cellStyle name="Separador de milhares 3 2 4 4 11" xfId="8236"/>
    <cellStyle name="Separador de milhares 3 2 4 4 11 2" xfId="26450"/>
    <cellStyle name="Separador de milhares 3 2 4 4 11 2 2" xfId="52683"/>
    <cellStyle name="Separador de milhares 3 2 4 4 11 3" xfId="20536"/>
    <cellStyle name="Separador de milhares 3 2 4 4 11 3 2" xfId="46775"/>
    <cellStyle name="Separador de milhares 3 2 4 4 11 4" xfId="14625"/>
    <cellStyle name="Separador de milhares 3 2 4 4 11 4 2" xfId="40867"/>
    <cellStyle name="Separador de milhares 3 2 4 4 11 5" xfId="34481"/>
    <cellStyle name="Separador de milhares 3 2 4 4 12" xfId="4858"/>
    <cellStyle name="Separador de milhares 3 2 4 4 12 2" xfId="23493"/>
    <cellStyle name="Separador de milhares 3 2 4 4 12 2 2" xfId="49729"/>
    <cellStyle name="Separador de milhares 3 2 4 4 12 3" xfId="31105"/>
    <cellStyle name="Separador de milhares 3 2 4 4 13" xfId="17579"/>
    <cellStyle name="Separador de milhares 3 2 4 4 13 2" xfId="43821"/>
    <cellStyle name="Separador de milhares 3 2 4 4 14" xfId="11247"/>
    <cellStyle name="Separador de milhares 3 2 4 4 14 2" xfId="37489"/>
    <cellStyle name="Separador de milhares 3 2 4 4 15" xfId="29407"/>
    <cellStyle name="Separador de milhares 3 2 4 4 2" xfId="1055"/>
    <cellStyle name="Separador de milhares 3 2 4 4 2 2" xfId="6756"/>
    <cellStyle name="Separador de milhares 3 2 4 4 2 2 2" xfId="9903"/>
    <cellStyle name="Separador de milhares 3 2 4 4 2 2 2 2" xfId="28117"/>
    <cellStyle name="Separador de milhares 3 2 4 4 2 2 2 2 2" xfId="54347"/>
    <cellStyle name="Separador de milhares 3 2 4 4 2 2 2 3" xfId="22203"/>
    <cellStyle name="Separador de milhares 3 2 4 4 2 2 2 3 2" xfId="48439"/>
    <cellStyle name="Separador de milhares 3 2 4 4 2 2 2 4" xfId="16289"/>
    <cellStyle name="Separador de milhares 3 2 4 4 2 2 2 4 2" xfId="42531"/>
    <cellStyle name="Separador de milhares 3 2 4 4 2 2 2 5" xfId="36145"/>
    <cellStyle name="Separador de milhares 3 2 4 4 2 2 3" xfId="25160"/>
    <cellStyle name="Separador de milhares 3 2 4 4 2 2 3 2" xfId="51393"/>
    <cellStyle name="Separador de milhares 3 2 4 4 2 2 4" xfId="19246"/>
    <cellStyle name="Separador de milhares 3 2 4 4 2 2 4 2" xfId="45485"/>
    <cellStyle name="Separador de milhares 3 2 4 4 2 2 5" xfId="13145"/>
    <cellStyle name="Separador de milhares 3 2 4 4 2 2 5 2" xfId="39387"/>
    <cellStyle name="Separador de milhares 3 2 4 4 2 2 6" xfId="33001"/>
    <cellStyle name="Separador de milhares 3 2 4 4 2 3" xfId="8435"/>
    <cellStyle name="Separador de milhares 3 2 4 4 2 3 2" xfId="26649"/>
    <cellStyle name="Separador de milhares 3 2 4 4 2 3 2 2" xfId="52879"/>
    <cellStyle name="Separador de milhares 3 2 4 4 2 3 3" xfId="20735"/>
    <cellStyle name="Separador de milhares 3 2 4 4 2 3 3 2" xfId="46971"/>
    <cellStyle name="Separador de milhares 3 2 4 4 2 3 4" xfId="14821"/>
    <cellStyle name="Separador de milhares 3 2 4 4 2 3 4 2" xfId="41063"/>
    <cellStyle name="Separador de milhares 3 2 4 4 2 3 5" xfId="34677"/>
    <cellStyle name="Separador de milhares 3 2 4 4 2 4" xfId="5057"/>
    <cellStyle name="Separador de milhares 3 2 4 4 2 4 2" xfId="23692"/>
    <cellStyle name="Separador de milhares 3 2 4 4 2 4 2 2" xfId="49925"/>
    <cellStyle name="Separador de milhares 3 2 4 4 2 4 3" xfId="31302"/>
    <cellStyle name="Separador de milhares 3 2 4 4 2 5" xfId="17778"/>
    <cellStyle name="Separador de milhares 3 2 4 4 2 5 2" xfId="44017"/>
    <cellStyle name="Separador de milhares 3 2 4 4 2 6" xfId="11444"/>
    <cellStyle name="Separador de milhares 3 2 4 4 2 6 2" xfId="37686"/>
    <cellStyle name="Separador de milhares 3 2 4 4 2 7" xfId="29604"/>
    <cellStyle name="Separador de milhares 3 2 4 4 3" xfId="1406"/>
    <cellStyle name="Separador de milhares 3 2 4 4 3 2" xfId="6854"/>
    <cellStyle name="Separador de milhares 3 2 4 4 3 2 2" xfId="10001"/>
    <cellStyle name="Separador de milhares 3 2 4 4 3 2 2 2" xfId="28215"/>
    <cellStyle name="Separador de milhares 3 2 4 4 3 2 2 2 2" xfId="54445"/>
    <cellStyle name="Separador de milhares 3 2 4 4 3 2 2 3" xfId="22301"/>
    <cellStyle name="Separador de milhares 3 2 4 4 3 2 2 3 2" xfId="48537"/>
    <cellStyle name="Separador de milhares 3 2 4 4 3 2 2 4" xfId="16387"/>
    <cellStyle name="Separador de milhares 3 2 4 4 3 2 2 4 2" xfId="42629"/>
    <cellStyle name="Separador de milhares 3 2 4 4 3 2 2 5" xfId="36243"/>
    <cellStyle name="Separador de milhares 3 2 4 4 3 2 3" xfId="25258"/>
    <cellStyle name="Separador de milhares 3 2 4 4 3 2 3 2" xfId="51491"/>
    <cellStyle name="Separador de milhares 3 2 4 4 3 2 4" xfId="19344"/>
    <cellStyle name="Separador de milhares 3 2 4 4 3 2 4 2" xfId="45583"/>
    <cellStyle name="Separador de milhares 3 2 4 4 3 2 5" xfId="13243"/>
    <cellStyle name="Separador de milhares 3 2 4 4 3 2 5 2" xfId="39485"/>
    <cellStyle name="Separador de milhares 3 2 4 4 3 2 6" xfId="33099"/>
    <cellStyle name="Separador de milhares 3 2 4 4 3 3" xfId="8533"/>
    <cellStyle name="Separador de milhares 3 2 4 4 3 3 2" xfId="26747"/>
    <cellStyle name="Separador de milhares 3 2 4 4 3 3 2 2" xfId="52977"/>
    <cellStyle name="Separador de milhares 3 2 4 4 3 3 3" xfId="20833"/>
    <cellStyle name="Separador de milhares 3 2 4 4 3 3 3 2" xfId="47069"/>
    <cellStyle name="Separador de milhares 3 2 4 4 3 3 4" xfId="14919"/>
    <cellStyle name="Separador de milhares 3 2 4 4 3 3 4 2" xfId="41161"/>
    <cellStyle name="Separador de milhares 3 2 4 4 3 3 5" xfId="34775"/>
    <cellStyle name="Separador de milhares 3 2 4 4 3 4" xfId="5155"/>
    <cellStyle name="Separador de milhares 3 2 4 4 3 4 2" xfId="23790"/>
    <cellStyle name="Separador de milhares 3 2 4 4 3 4 2 2" xfId="50023"/>
    <cellStyle name="Separador de milhares 3 2 4 4 3 4 3" xfId="31400"/>
    <cellStyle name="Separador de milhares 3 2 4 4 3 5" xfId="17876"/>
    <cellStyle name="Separador de milhares 3 2 4 4 3 5 2" xfId="44115"/>
    <cellStyle name="Separador de milhares 3 2 4 4 3 6" xfId="11542"/>
    <cellStyle name="Separador de milhares 3 2 4 4 3 6 2" xfId="37784"/>
    <cellStyle name="Separador de milhares 3 2 4 4 3 7" xfId="29702"/>
    <cellStyle name="Separador de milhares 3 2 4 4 4" xfId="1841"/>
    <cellStyle name="Separador de milhares 3 2 4 4 4 2" xfId="6973"/>
    <cellStyle name="Separador de milhares 3 2 4 4 4 2 2" xfId="10120"/>
    <cellStyle name="Separador de milhares 3 2 4 4 4 2 2 2" xfId="28334"/>
    <cellStyle name="Separador de milhares 3 2 4 4 4 2 2 2 2" xfId="54564"/>
    <cellStyle name="Separador de milhares 3 2 4 4 4 2 2 3" xfId="22420"/>
    <cellStyle name="Separador de milhares 3 2 4 4 4 2 2 3 2" xfId="48656"/>
    <cellStyle name="Separador de milhares 3 2 4 4 4 2 2 4" xfId="16506"/>
    <cellStyle name="Separador de milhares 3 2 4 4 4 2 2 4 2" xfId="42748"/>
    <cellStyle name="Separador de milhares 3 2 4 4 4 2 2 5" xfId="36362"/>
    <cellStyle name="Separador de milhares 3 2 4 4 4 2 3" xfId="25377"/>
    <cellStyle name="Separador de milhares 3 2 4 4 4 2 3 2" xfId="51610"/>
    <cellStyle name="Separador de milhares 3 2 4 4 4 2 4" xfId="19463"/>
    <cellStyle name="Separador de milhares 3 2 4 4 4 2 4 2" xfId="45702"/>
    <cellStyle name="Separador de milhares 3 2 4 4 4 2 5" xfId="13362"/>
    <cellStyle name="Separador de milhares 3 2 4 4 4 2 5 2" xfId="39604"/>
    <cellStyle name="Separador de milhares 3 2 4 4 4 2 6" xfId="33218"/>
    <cellStyle name="Separador de milhares 3 2 4 4 4 3" xfId="8652"/>
    <cellStyle name="Separador de milhares 3 2 4 4 4 3 2" xfId="26866"/>
    <cellStyle name="Separador de milhares 3 2 4 4 4 3 2 2" xfId="53096"/>
    <cellStyle name="Separador de milhares 3 2 4 4 4 3 3" xfId="20952"/>
    <cellStyle name="Separador de milhares 3 2 4 4 4 3 3 2" xfId="47188"/>
    <cellStyle name="Separador de milhares 3 2 4 4 4 3 4" xfId="15038"/>
    <cellStyle name="Separador de milhares 3 2 4 4 4 3 4 2" xfId="41280"/>
    <cellStyle name="Separador de milhares 3 2 4 4 4 3 5" xfId="34894"/>
    <cellStyle name="Separador de milhares 3 2 4 4 4 4" xfId="5274"/>
    <cellStyle name="Separador de milhares 3 2 4 4 4 4 2" xfId="23909"/>
    <cellStyle name="Separador de milhares 3 2 4 4 4 4 2 2" xfId="50142"/>
    <cellStyle name="Separador de milhares 3 2 4 4 4 4 3" xfId="31519"/>
    <cellStyle name="Separador de milhares 3 2 4 4 4 5" xfId="17995"/>
    <cellStyle name="Separador de milhares 3 2 4 4 4 5 2" xfId="44234"/>
    <cellStyle name="Separador de milhares 3 2 4 4 4 6" xfId="11661"/>
    <cellStyle name="Separador de milhares 3 2 4 4 4 6 2" xfId="37903"/>
    <cellStyle name="Separador de milhares 3 2 4 4 4 7" xfId="29821"/>
    <cellStyle name="Separador de milhares 3 2 4 4 5" xfId="2371"/>
    <cellStyle name="Separador de milhares 3 2 4 4 5 2" xfId="7123"/>
    <cellStyle name="Separador de milhares 3 2 4 4 5 2 2" xfId="10267"/>
    <cellStyle name="Separador de milhares 3 2 4 4 5 2 2 2" xfId="28481"/>
    <cellStyle name="Separador de milhares 3 2 4 4 5 2 2 2 2" xfId="54711"/>
    <cellStyle name="Separador de milhares 3 2 4 4 5 2 2 3" xfId="22567"/>
    <cellStyle name="Separador de milhares 3 2 4 4 5 2 2 3 2" xfId="48803"/>
    <cellStyle name="Separador de milhares 3 2 4 4 5 2 2 4" xfId="16653"/>
    <cellStyle name="Separador de milhares 3 2 4 4 5 2 2 4 2" xfId="42895"/>
    <cellStyle name="Separador de milhares 3 2 4 4 5 2 2 5" xfId="36509"/>
    <cellStyle name="Separador de milhares 3 2 4 4 5 2 3" xfId="25524"/>
    <cellStyle name="Separador de milhares 3 2 4 4 5 2 3 2" xfId="51757"/>
    <cellStyle name="Separador de milhares 3 2 4 4 5 2 4" xfId="19610"/>
    <cellStyle name="Separador de milhares 3 2 4 4 5 2 4 2" xfId="45849"/>
    <cellStyle name="Separador de milhares 3 2 4 4 5 2 5" xfId="13512"/>
    <cellStyle name="Separador de milhares 3 2 4 4 5 2 5 2" xfId="39754"/>
    <cellStyle name="Separador de milhares 3 2 4 4 5 2 6" xfId="33368"/>
    <cellStyle name="Separador de milhares 3 2 4 4 5 3" xfId="8799"/>
    <cellStyle name="Separador de milhares 3 2 4 4 5 3 2" xfId="27013"/>
    <cellStyle name="Separador de milhares 3 2 4 4 5 3 2 2" xfId="53243"/>
    <cellStyle name="Separador de milhares 3 2 4 4 5 3 3" xfId="21099"/>
    <cellStyle name="Separador de milhares 3 2 4 4 5 3 3 2" xfId="47335"/>
    <cellStyle name="Separador de milhares 3 2 4 4 5 3 4" xfId="15185"/>
    <cellStyle name="Separador de milhares 3 2 4 4 5 3 4 2" xfId="41427"/>
    <cellStyle name="Separador de milhares 3 2 4 4 5 3 5" xfId="35041"/>
    <cellStyle name="Separador de milhares 3 2 4 4 5 4" xfId="5424"/>
    <cellStyle name="Separador de milhares 3 2 4 4 5 4 2" xfId="24056"/>
    <cellStyle name="Separador de milhares 3 2 4 4 5 4 2 2" xfId="50289"/>
    <cellStyle name="Separador de milhares 3 2 4 4 5 4 3" xfId="31669"/>
    <cellStyle name="Separador de milhares 3 2 4 4 5 5" xfId="18142"/>
    <cellStyle name="Separador de milhares 3 2 4 4 5 5 2" xfId="44381"/>
    <cellStyle name="Separador de milhares 3 2 4 4 5 6" xfId="11811"/>
    <cellStyle name="Separador de milhares 3 2 4 4 5 6 2" xfId="38053"/>
    <cellStyle name="Separador de milhares 3 2 4 4 5 7" xfId="29971"/>
    <cellStyle name="Separador de milhares 3 2 4 4 6" xfId="2898"/>
    <cellStyle name="Separador de milhares 3 2 4 4 6 2" xfId="7270"/>
    <cellStyle name="Separador de milhares 3 2 4 4 6 2 2" xfId="10414"/>
    <cellStyle name="Separador de milhares 3 2 4 4 6 2 2 2" xfId="28628"/>
    <cellStyle name="Separador de milhares 3 2 4 4 6 2 2 2 2" xfId="54858"/>
    <cellStyle name="Separador de milhares 3 2 4 4 6 2 2 3" xfId="22714"/>
    <cellStyle name="Separador de milhares 3 2 4 4 6 2 2 3 2" xfId="48950"/>
    <cellStyle name="Separador de milhares 3 2 4 4 6 2 2 4" xfId="16800"/>
    <cellStyle name="Separador de milhares 3 2 4 4 6 2 2 4 2" xfId="43042"/>
    <cellStyle name="Separador de milhares 3 2 4 4 6 2 2 5" xfId="36656"/>
    <cellStyle name="Separador de milhares 3 2 4 4 6 2 3" xfId="25671"/>
    <cellStyle name="Separador de milhares 3 2 4 4 6 2 3 2" xfId="51904"/>
    <cellStyle name="Separador de milhares 3 2 4 4 6 2 4" xfId="19757"/>
    <cellStyle name="Separador de milhares 3 2 4 4 6 2 4 2" xfId="45996"/>
    <cellStyle name="Separador de milhares 3 2 4 4 6 2 5" xfId="13659"/>
    <cellStyle name="Separador de milhares 3 2 4 4 6 2 5 2" xfId="39901"/>
    <cellStyle name="Separador de milhares 3 2 4 4 6 2 6" xfId="33515"/>
    <cellStyle name="Separador de milhares 3 2 4 4 6 3" xfId="8946"/>
    <cellStyle name="Separador de milhares 3 2 4 4 6 3 2" xfId="27160"/>
    <cellStyle name="Separador de milhares 3 2 4 4 6 3 2 2" xfId="53390"/>
    <cellStyle name="Separador de milhares 3 2 4 4 6 3 3" xfId="21246"/>
    <cellStyle name="Separador de milhares 3 2 4 4 6 3 3 2" xfId="47482"/>
    <cellStyle name="Separador de milhares 3 2 4 4 6 3 4" xfId="15332"/>
    <cellStyle name="Separador de milhares 3 2 4 4 6 3 4 2" xfId="41574"/>
    <cellStyle name="Separador de milhares 3 2 4 4 6 3 5" xfId="35188"/>
    <cellStyle name="Separador de milhares 3 2 4 4 6 4" xfId="5571"/>
    <cellStyle name="Separador de milhares 3 2 4 4 6 4 2" xfId="24203"/>
    <cellStyle name="Separador de milhares 3 2 4 4 6 4 2 2" xfId="50436"/>
    <cellStyle name="Separador de milhares 3 2 4 4 6 4 3" xfId="31816"/>
    <cellStyle name="Separador de milhares 3 2 4 4 6 5" xfId="18289"/>
    <cellStyle name="Separador de milhares 3 2 4 4 6 5 2" xfId="44528"/>
    <cellStyle name="Separador de milhares 3 2 4 4 6 6" xfId="11958"/>
    <cellStyle name="Separador de milhares 3 2 4 4 6 6 2" xfId="38200"/>
    <cellStyle name="Separador de milhares 3 2 4 4 6 7" xfId="30118"/>
    <cellStyle name="Separador de milhares 3 2 4 4 7" xfId="3425"/>
    <cellStyle name="Separador de milhares 3 2 4 4 7 2" xfId="7417"/>
    <cellStyle name="Separador de milhares 3 2 4 4 7 2 2" xfId="10561"/>
    <cellStyle name="Separador de milhares 3 2 4 4 7 2 2 2" xfId="28775"/>
    <cellStyle name="Separador de milhares 3 2 4 4 7 2 2 2 2" xfId="55005"/>
    <cellStyle name="Separador de milhares 3 2 4 4 7 2 2 3" xfId="22861"/>
    <cellStyle name="Separador de milhares 3 2 4 4 7 2 2 3 2" xfId="49097"/>
    <cellStyle name="Separador de milhares 3 2 4 4 7 2 2 4" xfId="16947"/>
    <cellStyle name="Separador de milhares 3 2 4 4 7 2 2 4 2" xfId="43189"/>
    <cellStyle name="Separador de milhares 3 2 4 4 7 2 2 5" xfId="36803"/>
    <cellStyle name="Separador de milhares 3 2 4 4 7 2 3" xfId="25818"/>
    <cellStyle name="Separador de milhares 3 2 4 4 7 2 3 2" xfId="52051"/>
    <cellStyle name="Separador de milhares 3 2 4 4 7 2 4" xfId="19904"/>
    <cellStyle name="Separador de milhares 3 2 4 4 7 2 4 2" xfId="46143"/>
    <cellStyle name="Separador de milhares 3 2 4 4 7 2 5" xfId="13806"/>
    <cellStyle name="Separador de milhares 3 2 4 4 7 2 5 2" xfId="40048"/>
    <cellStyle name="Separador de milhares 3 2 4 4 7 2 6" xfId="33662"/>
    <cellStyle name="Separador de milhares 3 2 4 4 7 3" xfId="9093"/>
    <cellStyle name="Separador de milhares 3 2 4 4 7 3 2" xfId="27307"/>
    <cellStyle name="Separador de milhares 3 2 4 4 7 3 2 2" xfId="53537"/>
    <cellStyle name="Separador de milhares 3 2 4 4 7 3 3" xfId="21393"/>
    <cellStyle name="Separador de milhares 3 2 4 4 7 3 3 2" xfId="47629"/>
    <cellStyle name="Separador de milhares 3 2 4 4 7 3 4" xfId="15479"/>
    <cellStyle name="Separador de milhares 3 2 4 4 7 3 4 2" xfId="41721"/>
    <cellStyle name="Separador de milhares 3 2 4 4 7 3 5" xfId="35335"/>
    <cellStyle name="Separador de milhares 3 2 4 4 7 4" xfId="5718"/>
    <cellStyle name="Separador de milhares 3 2 4 4 7 4 2" xfId="24350"/>
    <cellStyle name="Separador de milhares 3 2 4 4 7 4 2 2" xfId="50583"/>
    <cellStyle name="Separador de milhares 3 2 4 4 7 4 3" xfId="31963"/>
    <cellStyle name="Separador de milhares 3 2 4 4 7 5" xfId="18436"/>
    <cellStyle name="Separador de milhares 3 2 4 4 7 5 2" xfId="44675"/>
    <cellStyle name="Separador de milhares 3 2 4 4 7 6" xfId="12105"/>
    <cellStyle name="Separador de milhares 3 2 4 4 7 6 2" xfId="38347"/>
    <cellStyle name="Separador de milhares 3 2 4 4 7 7" xfId="30265"/>
    <cellStyle name="Separador de milhares 3 2 4 4 8" xfId="3952"/>
    <cellStyle name="Separador de milhares 3 2 4 4 8 2" xfId="7564"/>
    <cellStyle name="Separador de milhares 3 2 4 4 8 2 2" xfId="10708"/>
    <cellStyle name="Separador de milhares 3 2 4 4 8 2 2 2" xfId="28922"/>
    <cellStyle name="Separador de milhares 3 2 4 4 8 2 2 2 2" xfId="55152"/>
    <cellStyle name="Separador de milhares 3 2 4 4 8 2 2 3" xfId="23008"/>
    <cellStyle name="Separador de milhares 3 2 4 4 8 2 2 3 2" xfId="49244"/>
    <cellStyle name="Separador de milhares 3 2 4 4 8 2 2 4" xfId="17094"/>
    <cellStyle name="Separador de milhares 3 2 4 4 8 2 2 4 2" xfId="43336"/>
    <cellStyle name="Separador de milhares 3 2 4 4 8 2 2 5" xfId="36950"/>
    <cellStyle name="Separador de milhares 3 2 4 4 8 2 3" xfId="25965"/>
    <cellStyle name="Separador de milhares 3 2 4 4 8 2 3 2" xfId="52198"/>
    <cellStyle name="Separador de milhares 3 2 4 4 8 2 4" xfId="20051"/>
    <cellStyle name="Separador de milhares 3 2 4 4 8 2 4 2" xfId="46290"/>
    <cellStyle name="Separador de milhares 3 2 4 4 8 2 5" xfId="13953"/>
    <cellStyle name="Separador de milhares 3 2 4 4 8 2 5 2" xfId="40195"/>
    <cellStyle name="Separador de milhares 3 2 4 4 8 2 6" xfId="33809"/>
    <cellStyle name="Separador de milhares 3 2 4 4 8 3" xfId="9240"/>
    <cellStyle name="Separador de milhares 3 2 4 4 8 3 2" xfId="27454"/>
    <cellStyle name="Separador de milhares 3 2 4 4 8 3 2 2" xfId="53684"/>
    <cellStyle name="Separador de milhares 3 2 4 4 8 3 3" xfId="21540"/>
    <cellStyle name="Separador de milhares 3 2 4 4 8 3 3 2" xfId="47776"/>
    <cellStyle name="Separador de milhares 3 2 4 4 8 3 4" xfId="15626"/>
    <cellStyle name="Separador de milhares 3 2 4 4 8 3 4 2" xfId="41868"/>
    <cellStyle name="Separador de milhares 3 2 4 4 8 3 5" xfId="35482"/>
    <cellStyle name="Separador de milhares 3 2 4 4 8 4" xfId="5865"/>
    <cellStyle name="Separador de milhares 3 2 4 4 8 4 2" xfId="24497"/>
    <cellStyle name="Separador de milhares 3 2 4 4 8 4 2 2" xfId="50730"/>
    <cellStyle name="Separador de milhares 3 2 4 4 8 4 3" xfId="32110"/>
    <cellStyle name="Separador de milhares 3 2 4 4 8 5" xfId="18583"/>
    <cellStyle name="Separador de milhares 3 2 4 4 8 5 2" xfId="44822"/>
    <cellStyle name="Separador de milhares 3 2 4 4 8 6" xfId="12252"/>
    <cellStyle name="Separador de milhares 3 2 4 4 8 6 2" xfId="38494"/>
    <cellStyle name="Separador de milhares 3 2 4 4 8 7" xfId="30412"/>
    <cellStyle name="Separador de milhares 3 2 4 4 9" xfId="723"/>
    <cellStyle name="Separador de milhares 3 2 4 4 9 2" xfId="6658"/>
    <cellStyle name="Separador de milhares 3 2 4 4 9 2 2" xfId="9805"/>
    <cellStyle name="Separador de milhares 3 2 4 4 9 2 2 2" xfId="28019"/>
    <cellStyle name="Separador de milhares 3 2 4 4 9 2 2 2 2" xfId="54249"/>
    <cellStyle name="Separador de milhares 3 2 4 4 9 2 2 3" xfId="22105"/>
    <cellStyle name="Separador de milhares 3 2 4 4 9 2 2 3 2" xfId="48341"/>
    <cellStyle name="Separador de milhares 3 2 4 4 9 2 2 4" xfId="16191"/>
    <cellStyle name="Separador de milhares 3 2 4 4 9 2 2 4 2" xfId="42433"/>
    <cellStyle name="Separador de milhares 3 2 4 4 9 2 2 5" xfId="36047"/>
    <cellStyle name="Separador de milhares 3 2 4 4 9 2 3" xfId="25062"/>
    <cellStyle name="Separador de milhares 3 2 4 4 9 2 3 2" xfId="51295"/>
    <cellStyle name="Separador de milhares 3 2 4 4 9 2 4" xfId="19148"/>
    <cellStyle name="Separador de milhares 3 2 4 4 9 2 4 2" xfId="45387"/>
    <cellStyle name="Separador de milhares 3 2 4 4 9 2 5" xfId="13047"/>
    <cellStyle name="Separador de milhares 3 2 4 4 9 2 5 2" xfId="39289"/>
    <cellStyle name="Separador de milhares 3 2 4 4 9 2 6" xfId="32903"/>
    <cellStyle name="Separador de milhares 3 2 4 4 9 3" xfId="8337"/>
    <cellStyle name="Separador de milhares 3 2 4 4 9 3 2" xfId="26551"/>
    <cellStyle name="Separador de milhares 3 2 4 4 9 3 2 2" xfId="52781"/>
    <cellStyle name="Separador de milhares 3 2 4 4 9 3 3" xfId="20637"/>
    <cellStyle name="Separador de milhares 3 2 4 4 9 3 3 2" xfId="46873"/>
    <cellStyle name="Separador de milhares 3 2 4 4 9 3 4" xfId="14723"/>
    <cellStyle name="Separador de milhares 3 2 4 4 9 3 4 2" xfId="40965"/>
    <cellStyle name="Separador de milhares 3 2 4 4 9 3 5" xfId="34579"/>
    <cellStyle name="Separador de milhares 3 2 4 4 9 4" xfId="4959"/>
    <cellStyle name="Separador de milhares 3 2 4 4 9 4 2" xfId="23594"/>
    <cellStyle name="Separador de milhares 3 2 4 4 9 4 2 2" xfId="49827"/>
    <cellStyle name="Separador de milhares 3 2 4 4 9 4 3" xfId="31204"/>
    <cellStyle name="Separador de milhares 3 2 4 4 9 5" xfId="17680"/>
    <cellStyle name="Separador de milhares 3 2 4 4 9 5 2" xfId="43919"/>
    <cellStyle name="Separador de milhares 3 2 4 4 9 6" xfId="11346"/>
    <cellStyle name="Separador de milhares 3 2 4 4 9 6 2" xfId="37588"/>
    <cellStyle name="Separador de milhares 3 2 4 4 9 7" xfId="29506"/>
    <cellStyle name="Separador de milhares 3 2 4 5" xfId="667"/>
    <cellStyle name="Separador de milhares 3 2 4 5 10" xfId="4923"/>
    <cellStyle name="Separador de milhares 3 2 4 5 10 2" xfId="23557"/>
    <cellStyle name="Separador de milhares 3 2 4 5 10 2 2" xfId="49793"/>
    <cellStyle name="Separador de milhares 3 2 4 5 10 3" xfId="31170"/>
    <cellStyle name="Separador de milhares 3 2 4 5 11" xfId="17643"/>
    <cellStyle name="Separador de milhares 3 2 4 5 11 2" xfId="43885"/>
    <cellStyle name="Separador de milhares 3 2 4 5 12" xfId="11312"/>
    <cellStyle name="Separador de milhares 3 2 4 5 12 2" xfId="37554"/>
    <cellStyle name="Separador de milhares 3 2 4 5 13" xfId="29472"/>
    <cellStyle name="Separador de milhares 3 2 4 5 2" xfId="1490"/>
    <cellStyle name="Separador de milhares 3 2 4 5 2 2" xfId="6875"/>
    <cellStyle name="Separador de milhares 3 2 4 5 2 2 2" xfId="10022"/>
    <cellStyle name="Separador de milhares 3 2 4 5 2 2 2 2" xfId="28236"/>
    <cellStyle name="Separador de milhares 3 2 4 5 2 2 2 2 2" xfId="54466"/>
    <cellStyle name="Separador de milhares 3 2 4 5 2 2 2 3" xfId="22322"/>
    <cellStyle name="Separador de milhares 3 2 4 5 2 2 2 3 2" xfId="48558"/>
    <cellStyle name="Separador de milhares 3 2 4 5 2 2 2 4" xfId="16408"/>
    <cellStyle name="Separador de milhares 3 2 4 5 2 2 2 4 2" xfId="42650"/>
    <cellStyle name="Separador de milhares 3 2 4 5 2 2 2 5" xfId="36264"/>
    <cellStyle name="Separador de milhares 3 2 4 5 2 2 3" xfId="25279"/>
    <cellStyle name="Separador de milhares 3 2 4 5 2 2 3 2" xfId="51512"/>
    <cellStyle name="Separador de milhares 3 2 4 5 2 2 4" xfId="19365"/>
    <cellStyle name="Separador de milhares 3 2 4 5 2 2 4 2" xfId="45604"/>
    <cellStyle name="Separador de milhares 3 2 4 5 2 2 5" xfId="13264"/>
    <cellStyle name="Separador de milhares 3 2 4 5 2 2 5 2" xfId="39506"/>
    <cellStyle name="Separador de milhares 3 2 4 5 2 2 6" xfId="33120"/>
    <cellStyle name="Separador de milhares 3 2 4 5 2 3" xfId="8554"/>
    <cellStyle name="Separador de milhares 3 2 4 5 2 3 2" xfId="26768"/>
    <cellStyle name="Separador de milhares 3 2 4 5 2 3 2 2" xfId="52998"/>
    <cellStyle name="Separador de milhares 3 2 4 5 2 3 3" xfId="20854"/>
    <cellStyle name="Separador de milhares 3 2 4 5 2 3 3 2" xfId="47090"/>
    <cellStyle name="Separador de milhares 3 2 4 5 2 3 4" xfId="14940"/>
    <cellStyle name="Separador de milhares 3 2 4 5 2 3 4 2" xfId="41182"/>
    <cellStyle name="Separador de milhares 3 2 4 5 2 3 5" xfId="34796"/>
    <cellStyle name="Separador de milhares 3 2 4 5 2 4" xfId="5176"/>
    <cellStyle name="Separador de milhares 3 2 4 5 2 4 2" xfId="23811"/>
    <cellStyle name="Separador de milhares 3 2 4 5 2 4 2 2" xfId="50044"/>
    <cellStyle name="Separador de milhares 3 2 4 5 2 4 3" xfId="31421"/>
    <cellStyle name="Separador de milhares 3 2 4 5 2 5" xfId="17897"/>
    <cellStyle name="Separador de milhares 3 2 4 5 2 5 2" xfId="44136"/>
    <cellStyle name="Separador de milhares 3 2 4 5 2 6" xfId="11563"/>
    <cellStyle name="Separador de milhares 3 2 4 5 2 6 2" xfId="37805"/>
    <cellStyle name="Separador de milhares 3 2 4 5 2 7" xfId="29723"/>
    <cellStyle name="Separador de milhares 3 2 4 5 3" xfId="1925"/>
    <cellStyle name="Separador de milhares 3 2 4 5 3 2" xfId="6994"/>
    <cellStyle name="Separador de milhares 3 2 4 5 3 2 2" xfId="10141"/>
    <cellStyle name="Separador de milhares 3 2 4 5 3 2 2 2" xfId="28355"/>
    <cellStyle name="Separador de milhares 3 2 4 5 3 2 2 2 2" xfId="54585"/>
    <cellStyle name="Separador de milhares 3 2 4 5 3 2 2 3" xfId="22441"/>
    <cellStyle name="Separador de milhares 3 2 4 5 3 2 2 3 2" xfId="48677"/>
    <cellStyle name="Separador de milhares 3 2 4 5 3 2 2 4" xfId="16527"/>
    <cellStyle name="Separador de milhares 3 2 4 5 3 2 2 4 2" xfId="42769"/>
    <cellStyle name="Separador de milhares 3 2 4 5 3 2 2 5" xfId="36383"/>
    <cellStyle name="Separador de milhares 3 2 4 5 3 2 3" xfId="25398"/>
    <cellStyle name="Separador de milhares 3 2 4 5 3 2 3 2" xfId="51631"/>
    <cellStyle name="Separador de milhares 3 2 4 5 3 2 4" xfId="19484"/>
    <cellStyle name="Separador de milhares 3 2 4 5 3 2 4 2" xfId="45723"/>
    <cellStyle name="Separador de milhares 3 2 4 5 3 2 5" xfId="13383"/>
    <cellStyle name="Separador de milhares 3 2 4 5 3 2 5 2" xfId="39625"/>
    <cellStyle name="Separador de milhares 3 2 4 5 3 2 6" xfId="33239"/>
    <cellStyle name="Separador de milhares 3 2 4 5 3 3" xfId="8673"/>
    <cellStyle name="Separador de milhares 3 2 4 5 3 3 2" xfId="26887"/>
    <cellStyle name="Separador de milhares 3 2 4 5 3 3 2 2" xfId="53117"/>
    <cellStyle name="Separador de milhares 3 2 4 5 3 3 3" xfId="20973"/>
    <cellStyle name="Separador de milhares 3 2 4 5 3 3 3 2" xfId="47209"/>
    <cellStyle name="Separador de milhares 3 2 4 5 3 3 4" xfId="15059"/>
    <cellStyle name="Separador de milhares 3 2 4 5 3 3 4 2" xfId="41301"/>
    <cellStyle name="Separador de milhares 3 2 4 5 3 3 5" xfId="34915"/>
    <cellStyle name="Separador de milhares 3 2 4 5 3 4" xfId="5295"/>
    <cellStyle name="Separador de milhares 3 2 4 5 3 4 2" xfId="23930"/>
    <cellStyle name="Separador de milhares 3 2 4 5 3 4 2 2" xfId="50163"/>
    <cellStyle name="Separador de milhares 3 2 4 5 3 4 3" xfId="31540"/>
    <cellStyle name="Separador de milhares 3 2 4 5 3 5" xfId="18016"/>
    <cellStyle name="Separador de milhares 3 2 4 5 3 5 2" xfId="44255"/>
    <cellStyle name="Separador de milhares 3 2 4 5 3 6" xfId="11682"/>
    <cellStyle name="Separador de milhares 3 2 4 5 3 6 2" xfId="37924"/>
    <cellStyle name="Separador de milhares 3 2 4 5 3 7" xfId="29842"/>
    <cellStyle name="Separador de milhares 3 2 4 5 4" xfId="2455"/>
    <cellStyle name="Separador de milhares 3 2 4 5 4 2" xfId="7144"/>
    <cellStyle name="Separador de milhares 3 2 4 5 4 2 2" xfId="10288"/>
    <cellStyle name="Separador de milhares 3 2 4 5 4 2 2 2" xfId="28502"/>
    <cellStyle name="Separador de milhares 3 2 4 5 4 2 2 2 2" xfId="54732"/>
    <cellStyle name="Separador de milhares 3 2 4 5 4 2 2 3" xfId="22588"/>
    <cellStyle name="Separador de milhares 3 2 4 5 4 2 2 3 2" xfId="48824"/>
    <cellStyle name="Separador de milhares 3 2 4 5 4 2 2 4" xfId="16674"/>
    <cellStyle name="Separador de milhares 3 2 4 5 4 2 2 4 2" xfId="42916"/>
    <cellStyle name="Separador de milhares 3 2 4 5 4 2 2 5" xfId="36530"/>
    <cellStyle name="Separador de milhares 3 2 4 5 4 2 3" xfId="25545"/>
    <cellStyle name="Separador de milhares 3 2 4 5 4 2 3 2" xfId="51778"/>
    <cellStyle name="Separador de milhares 3 2 4 5 4 2 4" xfId="19631"/>
    <cellStyle name="Separador de milhares 3 2 4 5 4 2 4 2" xfId="45870"/>
    <cellStyle name="Separador de milhares 3 2 4 5 4 2 5" xfId="13533"/>
    <cellStyle name="Separador de milhares 3 2 4 5 4 2 5 2" xfId="39775"/>
    <cellStyle name="Separador de milhares 3 2 4 5 4 2 6" xfId="33389"/>
    <cellStyle name="Separador de milhares 3 2 4 5 4 3" xfId="8820"/>
    <cellStyle name="Separador de milhares 3 2 4 5 4 3 2" xfId="27034"/>
    <cellStyle name="Separador de milhares 3 2 4 5 4 3 2 2" xfId="53264"/>
    <cellStyle name="Separador de milhares 3 2 4 5 4 3 3" xfId="21120"/>
    <cellStyle name="Separador de milhares 3 2 4 5 4 3 3 2" xfId="47356"/>
    <cellStyle name="Separador de milhares 3 2 4 5 4 3 4" xfId="15206"/>
    <cellStyle name="Separador de milhares 3 2 4 5 4 3 4 2" xfId="41448"/>
    <cellStyle name="Separador de milhares 3 2 4 5 4 3 5" xfId="35062"/>
    <cellStyle name="Separador de milhares 3 2 4 5 4 4" xfId="5445"/>
    <cellStyle name="Separador de milhares 3 2 4 5 4 4 2" xfId="24077"/>
    <cellStyle name="Separador de milhares 3 2 4 5 4 4 2 2" xfId="50310"/>
    <cellStyle name="Separador de milhares 3 2 4 5 4 4 3" xfId="31690"/>
    <cellStyle name="Separador de milhares 3 2 4 5 4 5" xfId="18163"/>
    <cellStyle name="Separador de milhares 3 2 4 5 4 5 2" xfId="44402"/>
    <cellStyle name="Separador de milhares 3 2 4 5 4 6" xfId="11832"/>
    <cellStyle name="Separador de milhares 3 2 4 5 4 6 2" xfId="38074"/>
    <cellStyle name="Separador de milhares 3 2 4 5 4 7" xfId="29992"/>
    <cellStyle name="Separador de milhares 3 2 4 5 5" xfId="2982"/>
    <cellStyle name="Separador de milhares 3 2 4 5 5 2" xfId="7291"/>
    <cellStyle name="Separador de milhares 3 2 4 5 5 2 2" xfId="10435"/>
    <cellStyle name="Separador de milhares 3 2 4 5 5 2 2 2" xfId="28649"/>
    <cellStyle name="Separador de milhares 3 2 4 5 5 2 2 2 2" xfId="54879"/>
    <cellStyle name="Separador de milhares 3 2 4 5 5 2 2 3" xfId="22735"/>
    <cellStyle name="Separador de milhares 3 2 4 5 5 2 2 3 2" xfId="48971"/>
    <cellStyle name="Separador de milhares 3 2 4 5 5 2 2 4" xfId="16821"/>
    <cellStyle name="Separador de milhares 3 2 4 5 5 2 2 4 2" xfId="43063"/>
    <cellStyle name="Separador de milhares 3 2 4 5 5 2 2 5" xfId="36677"/>
    <cellStyle name="Separador de milhares 3 2 4 5 5 2 3" xfId="25692"/>
    <cellStyle name="Separador de milhares 3 2 4 5 5 2 3 2" xfId="51925"/>
    <cellStyle name="Separador de milhares 3 2 4 5 5 2 4" xfId="19778"/>
    <cellStyle name="Separador de milhares 3 2 4 5 5 2 4 2" xfId="46017"/>
    <cellStyle name="Separador de milhares 3 2 4 5 5 2 5" xfId="13680"/>
    <cellStyle name="Separador de milhares 3 2 4 5 5 2 5 2" xfId="39922"/>
    <cellStyle name="Separador de milhares 3 2 4 5 5 2 6" xfId="33536"/>
    <cellStyle name="Separador de milhares 3 2 4 5 5 3" xfId="8967"/>
    <cellStyle name="Separador de milhares 3 2 4 5 5 3 2" xfId="27181"/>
    <cellStyle name="Separador de milhares 3 2 4 5 5 3 2 2" xfId="53411"/>
    <cellStyle name="Separador de milhares 3 2 4 5 5 3 3" xfId="21267"/>
    <cellStyle name="Separador de milhares 3 2 4 5 5 3 3 2" xfId="47503"/>
    <cellStyle name="Separador de milhares 3 2 4 5 5 3 4" xfId="15353"/>
    <cellStyle name="Separador de milhares 3 2 4 5 5 3 4 2" xfId="41595"/>
    <cellStyle name="Separador de milhares 3 2 4 5 5 3 5" xfId="35209"/>
    <cellStyle name="Separador de milhares 3 2 4 5 5 4" xfId="5592"/>
    <cellStyle name="Separador de milhares 3 2 4 5 5 4 2" xfId="24224"/>
    <cellStyle name="Separador de milhares 3 2 4 5 5 4 2 2" xfId="50457"/>
    <cellStyle name="Separador de milhares 3 2 4 5 5 4 3" xfId="31837"/>
    <cellStyle name="Separador de milhares 3 2 4 5 5 5" xfId="18310"/>
    <cellStyle name="Separador de milhares 3 2 4 5 5 5 2" xfId="44549"/>
    <cellStyle name="Separador de milhares 3 2 4 5 5 6" xfId="11979"/>
    <cellStyle name="Separador de milhares 3 2 4 5 5 6 2" xfId="38221"/>
    <cellStyle name="Separador de milhares 3 2 4 5 5 7" xfId="30139"/>
    <cellStyle name="Separador de milhares 3 2 4 5 6" xfId="3509"/>
    <cellStyle name="Separador de milhares 3 2 4 5 6 2" xfId="7438"/>
    <cellStyle name="Separador de milhares 3 2 4 5 6 2 2" xfId="10582"/>
    <cellStyle name="Separador de milhares 3 2 4 5 6 2 2 2" xfId="28796"/>
    <cellStyle name="Separador de milhares 3 2 4 5 6 2 2 2 2" xfId="55026"/>
    <cellStyle name="Separador de milhares 3 2 4 5 6 2 2 3" xfId="22882"/>
    <cellStyle name="Separador de milhares 3 2 4 5 6 2 2 3 2" xfId="49118"/>
    <cellStyle name="Separador de milhares 3 2 4 5 6 2 2 4" xfId="16968"/>
    <cellStyle name="Separador de milhares 3 2 4 5 6 2 2 4 2" xfId="43210"/>
    <cellStyle name="Separador de milhares 3 2 4 5 6 2 2 5" xfId="36824"/>
    <cellStyle name="Separador de milhares 3 2 4 5 6 2 3" xfId="25839"/>
    <cellStyle name="Separador de milhares 3 2 4 5 6 2 3 2" xfId="52072"/>
    <cellStyle name="Separador de milhares 3 2 4 5 6 2 4" xfId="19925"/>
    <cellStyle name="Separador de milhares 3 2 4 5 6 2 4 2" xfId="46164"/>
    <cellStyle name="Separador de milhares 3 2 4 5 6 2 5" xfId="13827"/>
    <cellStyle name="Separador de milhares 3 2 4 5 6 2 5 2" xfId="40069"/>
    <cellStyle name="Separador de milhares 3 2 4 5 6 2 6" xfId="33683"/>
    <cellStyle name="Separador de milhares 3 2 4 5 6 3" xfId="9114"/>
    <cellStyle name="Separador de milhares 3 2 4 5 6 3 2" xfId="27328"/>
    <cellStyle name="Separador de milhares 3 2 4 5 6 3 2 2" xfId="53558"/>
    <cellStyle name="Separador de milhares 3 2 4 5 6 3 3" xfId="21414"/>
    <cellStyle name="Separador de milhares 3 2 4 5 6 3 3 2" xfId="47650"/>
    <cellStyle name="Separador de milhares 3 2 4 5 6 3 4" xfId="15500"/>
    <cellStyle name="Separador de milhares 3 2 4 5 6 3 4 2" xfId="41742"/>
    <cellStyle name="Separador de milhares 3 2 4 5 6 3 5" xfId="35356"/>
    <cellStyle name="Separador de milhares 3 2 4 5 6 4" xfId="5739"/>
    <cellStyle name="Separador de milhares 3 2 4 5 6 4 2" xfId="24371"/>
    <cellStyle name="Separador de milhares 3 2 4 5 6 4 2 2" xfId="50604"/>
    <cellStyle name="Separador de milhares 3 2 4 5 6 4 3" xfId="31984"/>
    <cellStyle name="Separador de milhares 3 2 4 5 6 5" xfId="18457"/>
    <cellStyle name="Separador de milhares 3 2 4 5 6 5 2" xfId="44696"/>
    <cellStyle name="Separador de milhares 3 2 4 5 6 6" xfId="12126"/>
    <cellStyle name="Separador de milhares 3 2 4 5 6 6 2" xfId="38368"/>
    <cellStyle name="Separador de milhares 3 2 4 5 6 7" xfId="30286"/>
    <cellStyle name="Separador de milhares 3 2 4 5 7" xfId="4036"/>
    <cellStyle name="Separador de milhares 3 2 4 5 7 2" xfId="7585"/>
    <cellStyle name="Separador de milhares 3 2 4 5 7 2 2" xfId="10729"/>
    <cellStyle name="Separador de milhares 3 2 4 5 7 2 2 2" xfId="28943"/>
    <cellStyle name="Separador de milhares 3 2 4 5 7 2 2 2 2" xfId="55173"/>
    <cellStyle name="Separador de milhares 3 2 4 5 7 2 2 3" xfId="23029"/>
    <cellStyle name="Separador de milhares 3 2 4 5 7 2 2 3 2" xfId="49265"/>
    <cellStyle name="Separador de milhares 3 2 4 5 7 2 2 4" xfId="17115"/>
    <cellStyle name="Separador de milhares 3 2 4 5 7 2 2 4 2" xfId="43357"/>
    <cellStyle name="Separador de milhares 3 2 4 5 7 2 2 5" xfId="36971"/>
    <cellStyle name="Separador de milhares 3 2 4 5 7 2 3" xfId="25986"/>
    <cellStyle name="Separador de milhares 3 2 4 5 7 2 3 2" xfId="52219"/>
    <cellStyle name="Separador de milhares 3 2 4 5 7 2 4" xfId="20072"/>
    <cellStyle name="Separador de milhares 3 2 4 5 7 2 4 2" xfId="46311"/>
    <cellStyle name="Separador de milhares 3 2 4 5 7 2 5" xfId="13974"/>
    <cellStyle name="Separador de milhares 3 2 4 5 7 2 5 2" xfId="40216"/>
    <cellStyle name="Separador de milhares 3 2 4 5 7 2 6" xfId="33830"/>
    <cellStyle name="Separador de milhares 3 2 4 5 7 3" xfId="9261"/>
    <cellStyle name="Separador de milhares 3 2 4 5 7 3 2" xfId="27475"/>
    <cellStyle name="Separador de milhares 3 2 4 5 7 3 2 2" xfId="53705"/>
    <cellStyle name="Separador de milhares 3 2 4 5 7 3 3" xfId="21561"/>
    <cellStyle name="Separador de milhares 3 2 4 5 7 3 3 2" xfId="47797"/>
    <cellStyle name="Separador de milhares 3 2 4 5 7 3 4" xfId="15647"/>
    <cellStyle name="Separador de milhares 3 2 4 5 7 3 4 2" xfId="41889"/>
    <cellStyle name="Separador de milhares 3 2 4 5 7 3 5" xfId="35503"/>
    <cellStyle name="Separador de milhares 3 2 4 5 7 4" xfId="5886"/>
    <cellStyle name="Separador de milhares 3 2 4 5 7 4 2" xfId="24518"/>
    <cellStyle name="Separador de milhares 3 2 4 5 7 4 2 2" xfId="50751"/>
    <cellStyle name="Separador de milhares 3 2 4 5 7 4 3" xfId="32131"/>
    <cellStyle name="Separador de milhares 3 2 4 5 7 5" xfId="18604"/>
    <cellStyle name="Separador de milhares 3 2 4 5 7 5 2" xfId="44843"/>
    <cellStyle name="Separador de milhares 3 2 4 5 7 6" xfId="12273"/>
    <cellStyle name="Separador de milhares 3 2 4 5 7 6 2" xfId="38515"/>
    <cellStyle name="Separador de milhares 3 2 4 5 7 7" xfId="30433"/>
    <cellStyle name="Separador de milhares 3 2 4 5 8" xfId="6624"/>
    <cellStyle name="Separador de milhares 3 2 4 5 8 2" xfId="9771"/>
    <cellStyle name="Separador de milhares 3 2 4 5 8 2 2" xfId="27985"/>
    <cellStyle name="Separador de milhares 3 2 4 5 8 2 2 2" xfId="54215"/>
    <cellStyle name="Separador de milhares 3 2 4 5 8 2 3" xfId="22071"/>
    <cellStyle name="Separador de milhares 3 2 4 5 8 2 3 2" xfId="48307"/>
    <cellStyle name="Separador de milhares 3 2 4 5 8 2 4" xfId="16157"/>
    <cellStyle name="Separador de milhares 3 2 4 5 8 2 4 2" xfId="42399"/>
    <cellStyle name="Separador de milhares 3 2 4 5 8 2 5" xfId="36013"/>
    <cellStyle name="Separador de milhares 3 2 4 5 8 3" xfId="25028"/>
    <cellStyle name="Separador de milhares 3 2 4 5 8 3 2" xfId="51261"/>
    <cellStyle name="Separador de milhares 3 2 4 5 8 4" xfId="19114"/>
    <cellStyle name="Separador de milhares 3 2 4 5 8 4 2" xfId="45353"/>
    <cellStyle name="Separador de milhares 3 2 4 5 8 5" xfId="13013"/>
    <cellStyle name="Separador de milhares 3 2 4 5 8 5 2" xfId="39255"/>
    <cellStyle name="Separador de milhares 3 2 4 5 8 6" xfId="32869"/>
    <cellStyle name="Separador de milhares 3 2 4 5 9" xfId="8300"/>
    <cellStyle name="Separador de milhares 3 2 4 5 9 2" xfId="26514"/>
    <cellStyle name="Separador de milhares 3 2 4 5 9 2 2" xfId="52747"/>
    <cellStyle name="Separador de milhares 3 2 4 5 9 3" xfId="20600"/>
    <cellStyle name="Separador de milhares 3 2 4 5 9 3 2" xfId="46839"/>
    <cellStyle name="Separador de milhares 3 2 4 5 9 4" xfId="14689"/>
    <cellStyle name="Separador de milhares 3 2 4 5 9 4 2" xfId="40931"/>
    <cellStyle name="Separador de milhares 3 2 4 5 9 5" xfId="34545"/>
    <cellStyle name="Separador de milhares 3 2 4 6" xfId="788"/>
    <cellStyle name="Separador de milhares 3 2 4 6 2" xfId="4212"/>
    <cellStyle name="Separador de milhares 3 2 4 6 2 2" xfId="7634"/>
    <cellStyle name="Separador de milhares 3 2 4 6 2 2 2" xfId="10778"/>
    <cellStyle name="Separador de milhares 3 2 4 6 2 2 2 2" xfId="28992"/>
    <cellStyle name="Separador de milhares 3 2 4 6 2 2 2 2 2" xfId="55222"/>
    <cellStyle name="Separador de milhares 3 2 4 6 2 2 2 3" xfId="23078"/>
    <cellStyle name="Separador de milhares 3 2 4 6 2 2 2 3 2" xfId="49314"/>
    <cellStyle name="Separador de milhares 3 2 4 6 2 2 2 4" xfId="17164"/>
    <cellStyle name="Separador de milhares 3 2 4 6 2 2 2 4 2" xfId="43406"/>
    <cellStyle name="Separador de milhares 3 2 4 6 2 2 2 5" xfId="37020"/>
    <cellStyle name="Separador de milhares 3 2 4 6 2 2 3" xfId="26035"/>
    <cellStyle name="Separador de milhares 3 2 4 6 2 2 3 2" xfId="52268"/>
    <cellStyle name="Separador de milhares 3 2 4 6 2 2 4" xfId="20121"/>
    <cellStyle name="Separador de milhares 3 2 4 6 2 2 4 2" xfId="46360"/>
    <cellStyle name="Separador de milhares 3 2 4 6 2 2 5" xfId="14023"/>
    <cellStyle name="Separador de milhares 3 2 4 6 2 2 5 2" xfId="40265"/>
    <cellStyle name="Separador de milhares 3 2 4 6 2 2 6" xfId="33879"/>
    <cellStyle name="Separador de milhares 3 2 4 6 2 3" xfId="9310"/>
    <cellStyle name="Separador de milhares 3 2 4 6 2 3 2" xfId="27524"/>
    <cellStyle name="Separador de milhares 3 2 4 6 2 3 2 2" xfId="53754"/>
    <cellStyle name="Separador de milhares 3 2 4 6 2 3 3" xfId="21610"/>
    <cellStyle name="Separador de milhares 3 2 4 6 2 3 3 2" xfId="47846"/>
    <cellStyle name="Separador de milhares 3 2 4 6 2 3 4" xfId="15696"/>
    <cellStyle name="Separador de milhares 3 2 4 6 2 3 4 2" xfId="41938"/>
    <cellStyle name="Separador de milhares 3 2 4 6 2 3 5" xfId="35552"/>
    <cellStyle name="Separador de milhares 3 2 4 6 2 4" xfId="5935"/>
    <cellStyle name="Separador de milhares 3 2 4 6 2 4 2" xfId="24567"/>
    <cellStyle name="Separador de milhares 3 2 4 6 2 4 2 2" xfId="50800"/>
    <cellStyle name="Separador de milhares 3 2 4 6 2 4 3" xfId="32180"/>
    <cellStyle name="Separador de milhares 3 2 4 6 2 5" xfId="18653"/>
    <cellStyle name="Separador de milhares 3 2 4 6 2 5 2" xfId="44892"/>
    <cellStyle name="Separador de milhares 3 2 4 6 2 6" xfId="12322"/>
    <cellStyle name="Separador de milhares 3 2 4 6 2 6 2" xfId="38564"/>
    <cellStyle name="Separador de milhares 3 2 4 6 2 7" xfId="30482"/>
    <cellStyle name="Separador de milhares 3 2 4 6 3" xfId="6679"/>
    <cellStyle name="Separador de milhares 3 2 4 6 3 2" xfId="9826"/>
    <cellStyle name="Separador de milhares 3 2 4 6 3 2 2" xfId="28040"/>
    <cellStyle name="Separador de milhares 3 2 4 6 3 2 2 2" xfId="54270"/>
    <cellStyle name="Separador de milhares 3 2 4 6 3 2 3" xfId="22126"/>
    <cellStyle name="Separador de milhares 3 2 4 6 3 2 3 2" xfId="48362"/>
    <cellStyle name="Separador de milhares 3 2 4 6 3 2 4" xfId="16212"/>
    <cellStyle name="Separador de milhares 3 2 4 6 3 2 4 2" xfId="42454"/>
    <cellStyle name="Separador de milhares 3 2 4 6 3 2 5" xfId="36068"/>
    <cellStyle name="Separador de milhares 3 2 4 6 3 3" xfId="25083"/>
    <cellStyle name="Separador de milhares 3 2 4 6 3 3 2" xfId="51316"/>
    <cellStyle name="Separador de milhares 3 2 4 6 3 4" xfId="19169"/>
    <cellStyle name="Separador de milhares 3 2 4 6 3 4 2" xfId="45408"/>
    <cellStyle name="Separador de milhares 3 2 4 6 3 5" xfId="13068"/>
    <cellStyle name="Separador de milhares 3 2 4 6 3 5 2" xfId="39310"/>
    <cellStyle name="Separador de milhares 3 2 4 6 3 6" xfId="32924"/>
    <cellStyle name="Separador de milhares 3 2 4 6 4" xfId="8358"/>
    <cellStyle name="Separador de milhares 3 2 4 6 4 2" xfId="26572"/>
    <cellStyle name="Separador de milhares 3 2 4 6 4 2 2" xfId="52802"/>
    <cellStyle name="Separador de milhares 3 2 4 6 4 3" xfId="20658"/>
    <cellStyle name="Separador de milhares 3 2 4 6 4 3 2" xfId="46894"/>
    <cellStyle name="Separador de milhares 3 2 4 6 4 4" xfId="14744"/>
    <cellStyle name="Separador de milhares 3 2 4 6 4 4 2" xfId="40986"/>
    <cellStyle name="Separador de milhares 3 2 4 6 4 5" xfId="34600"/>
    <cellStyle name="Separador de milhares 3 2 4 6 5" xfId="4980"/>
    <cellStyle name="Separador de milhares 3 2 4 6 5 2" xfId="23615"/>
    <cellStyle name="Separador de milhares 3 2 4 6 5 2 2" xfId="49848"/>
    <cellStyle name="Separador de milhares 3 2 4 6 5 3" xfId="31225"/>
    <cellStyle name="Separador de milhares 3 2 4 6 6" xfId="17701"/>
    <cellStyle name="Separador de milhares 3 2 4 6 6 2" xfId="43940"/>
    <cellStyle name="Separador de milhares 3 2 4 6 7" xfId="11367"/>
    <cellStyle name="Separador de milhares 3 2 4 6 7 2" xfId="37609"/>
    <cellStyle name="Separador de milhares 3 2 4 6 8" xfId="29527"/>
    <cellStyle name="Separador de milhares 3 2 4 7" xfId="1139"/>
    <cellStyle name="Separador de milhares 3 2 4 7 2" xfId="6777"/>
    <cellStyle name="Separador de milhares 3 2 4 7 2 2" xfId="9924"/>
    <cellStyle name="Separador de milhares 3 2 4 7 2 2 2" xfId="28138"/>
    <cellStyle name="Separador de milhares 3 2 4 7 2 2 2 2" xfId="54368"/>
    <cellStyle name="Separador de milhares 3 2 4 7 2 2 3" xfId="22224"/>
    <cellStyle name="Separador de milhares 3 2 4 7 2 2 3 2" xfId="48460"/>
    <cellStyle name="Separador de milhares 3 2 4 7 2 2 4" xfId="16310"/>
    <cellStyle name="Separador de milhares 3 2 4 7 2 2 4 2" xfId="42552"/>
    <cellStyle name="Separador de milhares 3 2 4 7 2 2 5" xfId="36166"/>
    <cellStyle name="Separador de milhares 3 2 4 7 2 3" xfId="25181"/>
    <cellStyle name="Separador de milhares 3 2 4 7 2 3 2" xfId="51414"/>
    <cellStyle name="Separador de milhares 3 2 4 7 2 4" xfId="19267"/>
    <cellStyle name="Separador de milhares 3 2 4 7 2 4 2" xfId="45506"/>
    <cellStyle name="Separador de milhares 3 2 4 7 2 5" xfId="13166"/>
    <cellStyle name="Separador de milhares 3 2 4 7 2 5 2" xfId="39408"/>
    <cellStyle name="Separador de milhares 3 2 4 7 2 6" xfId="33022"/>
    <cellStyle name="Separador de milhares 3 2 4 7 3" xfId="8456"/>
    <cellStyle name="Separador de milhares 3 2 4 7 3 2" xfId="26670"/>
    <cellStyle name="Separador de milhares 3 2 4 7 3 2 2" xfId="52900"/>
    <cellStyle name="Separador de milhares 3 2 4 7 3 3" xfId="20756"/>
    <cellStyle name="Separador de milhares 3 2 4 7 3 3 2" xfId="46992"/>
    <cellStyle name="Separador de milhares 3 2 4 7 3 4" xfId="14842"/>
    <cellStyle name="Separador de milhares 3 2 4 7 3 4 2" xfId="41084"/>
    <cellStyle name="Separador de milhares 3 2 4 7 3 5" xfId="34698"/>
    <cellStyle name="Separador de milhares 3 2 4 7 4" xfId="5078"/>
    <cellStyle name="Separador de milhares 3 2 4 7 4 2" xfId="23713"/>
    <cellStyle name="Separador de milhares 3 2 4 7 4 2 2" xfId="49946"/>
    <cellStyle name="Separador de milhares 3 2 4 7 4 3" xfId="31323"/>
    <cellStyle name="Separador de milhares 3 2 4 7 5" xfId="17799"/>
    <cellStyle name="Separador de milhares 3 2 4 7 5 2" xfId="44038"/>
    <cellStyle name="Separador de milhares 3 2 4 7 6" xfId="11465"/>
    <cellStyle name="Separador de milhares 3 2 4 7 6 2" xfId="37707"/>
    <cellStyle name="Separador de milhares 3 2 4 7 7" xfId="29625"/>
    <cellStyle name="Separador de milhares 3 2 4 8" xfId="1574"/>
    <cellStyle name="Separador de milhares 3 2 4 8 2" xfId="6896"/>
    <cellStyle name="Separador de milhares 3 2 4 8 2 2" xfId="10043"/>
    <cellStyle name="Separador de milhares 3 2 4 8 2 2 2" xfId="28257"/>
    <cellStyle name="Separador de milhares 3 2 4 8 2 2 2 2" xfId="54487"/>
    <cellStyle name="Separador de milhares 3 2 4 8 2 2 3" xfId="22343"/>
    <cellStyle name="Separador de milhares 3 2 4 8 2 2 3 2" xfId="48579"/>
    <cellStyle name="Separador de milhares 3 2 4 8 2 2 4" xfId="16429"/>
    <cellStyle name="Separador de milhares 3 2 4 8 2 2 4 2" xfId="42671"/>
    <cellStyle name="Separador de milhares 3 2 4 8 2 2 5" xfId="36285"/>
    <cellStyle name="Separador de milhares 3 2 4 8 2 3" xfId="25300"/>
    <cellStyle name="Separador de milhares 3 2 4 8 2 3 2" xfId="51533"/>
    <cellStyle name="Separador de milhares 3 2 4 8 2 4" xfId="19386"/>
    <cellStyle name="Separador de milhares 3 2 4 8 2 4 2" xfId="45625"/>
    <cellStyle name="Separador de milhares 3 2 4 8 2 5" xfId="13285"/>
    <cellStyle name="Separador de milhares 3 2 4 8 2 5 2" xfId="39527"/>
    <cellStyle name="Separador de milhares 3 2 4 8 2 6" xfId="33141"/>
    <cellStyle name="Separador de milhares 3 2 4 8 3" xfId="8575"/>
    <cellStyle name="Separador de milhares 3 2 4 8 3 2" xfId="26789"/>
    <cellStyle name="Separador de milhares 3 2 4 8 3 2 2" xfId="53019"/>
    <cellStyle name="Separador de milhares 3 2 4 8 3 3" xfId="20875"/>
    <cellStyle name="Separador de milhares 3 2 4 8 3 3 2" xfId="47111"/>
    <cellStyle name="Separador de milhares 3 2 4 8 3 4" xfId="14961"/>
    <cellStyle name="Separador de milhares 3 2 4 8 3 4 2" xfId="41203"/>
    <cellStyle name="Separador de milhares 3 2 4 8 3 5" xfId="34817"/>
    <cellStyle name="Separador de milhares 3 2 4 8 4" xfId="5197"/>
    <cellStyle name="Separador de milhares 3 2 4 8 4 2" xfId="23832"/>
    <cellStyle name="Separador de milhares 3 2 4 8 4 2 2" xfId="50065"/>
    <cellStyle name="Separador de milhares 3 2 4 8 4 3" xfId="31442"/>
    <cellStyle name="Separador de milhares 3 2 4 8 5" xfId="17918"/>
    <cellStyle name="Separador de milhares 3 2 4 8 5 2" xfId="44157"/>
    <cellStyle name="Separador de milhares 3 2 4 8 6" xfId="11584"/>
    <cellStyle name="Separador de milhares 3 2 4 8 6 2" xfId="37826"/>
    <cellStyle name="Separador de milhares 3 2 4 8 7" xfId="29744"/>
    <cellStyle name="Separador de milhares 3 2 4 9" xfId="2104"/>
    <cellStyle name="Separador de milhares 3 2 4 9 2" xfId="7046"/>
    <cellStyle name="Separador de milhares 3 2 4 9 2 2" xfId="10190"/>
    <cellStyle name="Separador de milhares 3 2 4 9 2 2 2" xfId="28404"/>
    <cellStyle name="Separador de milhares 3 2 4 9 2 2 2 2" xfId="54634"/>
    <cellStyle name="Separador de milhares 3 2 4 9 2 2 3" xfId="22490"/>
    <cellStyle name="Separador de milhares 3 2 4 9 2 2 3 2" xfId="48726"/>
    <cellStyle name="Separador de milhares 3 2 4 9 2 2 4" xfId="16576"/>
    <cellStyle name="Separador de milhares 3 2 4 9 2 2 4 2" xfId="42818"/>
    <cellStyle name="Separador de milhares 3 2 4 9 2 2 5" xfId="36432"/>
    <cellStyle name="Separador de milhares 3 2 4 9 2 3" xfId="25447"/>
    <cellStyle name="Separador de milhares 3 2 4 9 2 3 2" xfId="51680"/>
    <cellStyle name="Separador de milhares 3 2 4 9 2 4" xfId="19533"/>
    <cellStyle name="Separador de milhares 3 2 4 9 2 4 2" xfId="45772"/>
    <cellStyle name="Separador de milhares 3 2 4 9 2 5" xfId="13435"/>
    <cellStyle name="Separador de milhares 3 2 4 9 2 5 2" xfId="39677"/>
    <cellStyle name="Separador de milhares 3 2 4 9 2 6" xfId="33291"/>
    <cellStyle name="Separador de milhares 3 2 4 9 3" xfId="8722"/>
    <cellStyle name="Separador de milhares 3 2 4 9 3 2" xfId="26936"/>
    <cellStyle name="Separador de milhares 3 2 4 9 3 2 2" xfId="53166"/>
    <cellStyle name="Separador de milhares 3 2 4 9 3 3" xfId="21022"/>
    <cellStyle name="Separador de milhares 3 2 4 9 3 3 2" xfId="47258"/>
    <cellStyle name="Separador de milhares 3 2 4 9 3 4" xfId="15108"/>
    <cellStyle name="Separador de milhares 3 2 4 9 3 4 2" xfId="41350"/>
    <cellStyle name="Separador de milhares 3 2 4 9 3 5" xfId="34964"/>
    <cellStyle name="Separador de milhares 3 2 4 9 4" xfId="5347"/>
    <cellStyle name="Separador de milhares 3 2 4 9 4 2" xfId="23979"/>
    <cellStyle name="Separador de milhares 3 2 4 9 4 2 2" xfId="50212"/>
    <cellStyle name="Separador de milhares 3 2 4 9 4 3" xfId="31592"/>
    <cellStyle name="Separador de milhares 3 2 4 9 5" xfId="18065"/>
    <cellStyle name="Separador de milhares 3 2 4 9 5 2" xfId="44304"/>
    <cellStyle name="Separador de milhares 3 2 4 9 6" xfId="11734"/>
    <cellStyle name="Separador de milhares 3 2 4 9 6 2" xfId="37976"/>
    <cellStyle name="Separador de milhares 3 2 4 9 7" xfId="29894"/>
    <cellStyle name="Separador de milhares 3 2 5" xfId="136"/>
    <cellStyle name="Separador de milhares 3 2 5 10" xfId="2639"/>
    <cellStyle name="Separador de milhares 3 2 5 10 2" xfId="7195"/>
    <cellStyle name="Separador de milhares 3 2 5 10 2 2" xfId="10339"/>
    <cellStyle name="Separador de milhares 3 2 5 10 2 2 2" xfId="28553"/>
    <cellStyle name="Separador de milhares 3 2 5 10 2 2 2 2" xfId="54783"/>
    <cellStyle name="Separador de milhares 3 2 5 10 2 2 3" xfId="22639"/>
    <cellStyle name="Separador de milhares 3 2 5 10 2 2 3 2" xfId="48875"/>
    <cellStyle name="Separador de milhares 3 2 5 10 2 2 4" xfId="16725"/>
    <cellStyle name="Separador de milhares 3 2 5 10 2 2 4 2" xfId="42967"/>
    <cellStyle name="Separador de milhares 3 2 5 10 2 2 5" xfId="36581"/>
    <cellStyle name="Separador de milhares 3 2 5 10 2 3" xfId="25596"/>
    <cellStyle name="Separador de milhares 3 2 5 10 2 3 2" xfId="51829"/>
    <cellStyle name="Separador de milhares 3 2 5 10 2 4" xfId="19682"/>
    <cellStyle name="Separador de milhares 3 2 5 10 2 4 2" xfId="45921"/>
    <cellStyle name="Separador de milhares 3 2 5 10 2 5" xfId="13584"/>
    <cellStyle name="Separador de milhares 3 2 5 10 2 5 2" xfId="39826"/>
    <cellStyle name="Separador de milhares 3 2 5 10 2 6" xfId="33440"/>
    <cellStyle name="Separador de milhares 3 2 5 10 3" xfId="8871"/>
    <cellStyle name="Separador de milhares 3 2 5 10 3 2" xfId="27085"/>
    <cellStyle name="Separador de milhares 3 2 5 10 3 2 2" xfId="53315"/>
    <cellStyle name="Separador de milhares 3 2 5 10 3 3" xfId="21171"/>
    <cellStyle name="Separador de milhares 3 2 5 10 3 3 2" xfId="47407"/>
    <cellStyle name="Separador de milhares 3 2 5 10 3 4" xfId="15257"/>
    <cellStyle name="Separador de milhares 3 2 5 10 3 4 2" xfId="41499"/>
    <cellStyle name="Separador de milhares 3 2 5 10 3 5" xfId="35113"/>
    <cellStyle name="Separador de milhares 3 2 5 10 4" xfId="5496"/>
    <cellStyle name="Separador de milhares 3 2 5 10 4 2" xfId="24128"/>
    <cellStyle name="Separador de milhares 3 2 5 10 4 2 2" xfId="50361"/>
    <cellStyle name="Separador de milhares 3 2 5 10 4 3" xfId="31741"/>
    <cellStyle name="Separador de milhares 3 2 5 10 5" xfId="18214"/>
    <cellStyle name="Separador de milhares 3 2 5 10 5 2" xfId="44453"/>
    <cellStyle name="Separador de milhares 3 2 5 10 6" xfId="11883"/>
    <cellStyle name="Separador de milhares 3 2 5 10 6 2" xfId="38125"/>
    <cellStyle name="Separador de milhares 3 2 5 10 7" xfId="30043"/>
    <cellStyle name="Separador de milhares 3 2 5 11" xfId="3166"/>
    <cellStyle name="Separador de milhares 3 2 5 11 2" xfId="7342"/>
    <cellStyle name="Separador de milhares 3 2 5 11 2 2" xfId="10486"/>
    <cellStyle name="Separador de milhares 3 2 5 11 2 2 2" xfId="28700"/>
    <cellStyle name="Separador de milhares 3 2 5 11 2 2 2 2" xfId="54930"/>
    <cellStyle name="Separador de milhares 3 2 5 11 2 2 3" xfId="22786"/>
    <cellStyle name="Separador de milhares 3 2 5 11 2 2 3 2" xfId="49022"/>
    <cellStyle name="Separador de milhares 3 2 5 11 2 2 4" xfId="16872"/>
    <cellStyle name="Separador de milhares 3 2 5 11 2 2 4 2" xfId="43114"/>
    <cellStyle name="Separador de milhares 3 2 5 11 2 2 5" xfId="36728"/>
    <cellStyle name="Separador de milhares 3 2 5 11 2 3" xfId="25743"/>
    <cellStyle name="Separador de milhares 3 2 5 11 2 3 2" xfId="51976"/>
    <cellStyle name="Separador de milhares 3 2 5 11 2 4" xfId="19829"/>
    <cellStyle name="Separador de milhares 3 2 5 11 2 4 2" xfId="46068"/>
    <cellStyle name="Separador de milhares 3 2 5 11 2 5" xfId="13731"/>
    <cellStyle name="Separador de milhares 3 2 5 11 2 5 2" xfId="39973"/>
    <cellStyle name="Separador de milhares 3 2 5 11 2 6" xfId="33587"/>
    <cellStyle name="Separador de milhares 3 2 5 11 3" xfId="9018"/>
    <cellStyle name="Separador de milhares 3 2 5 11 3 2" xfId="27232"/>
    <cellStyle name="Separador de milhares 3 2 5 11 3 2 2" xfId="53462"/>
    <cellStyle name="Separador de milhares 3 2 5 11 3 3" xfId="21318"/>
    <cellStyle name="Separador de milhares 3 2 5 11 3 3 2" xfId="47554"/>
    <cellStyle name="Separador de milhares 3 2 5 11 3 4" xfId="15404"/>
    <cellStyle name="Separador de milhares 3 2 5 11 3 4 2" xfId="41646"/>
    <cellStyle name="Separador de milhares 3 2 5 11 3 5" xfId="35260"/>
    <cellStyle name="Separador de milhares 3 2 5 11 4" xfId="5643"/>
    <cellStyle name="Separador de milhares 3 2 5 11 4 2" xfId="24275"/>
    <cellStyle name="Separador de milhares 3 2 5 11 4 2 2" xfId="50508"/>
    <cellStyle name="Separador de milhares 3 2 5 11 4 3" xfId="31888"/>
    <cellStyle name="Separador de milhares 3 2 5 11 5" xfId="18361"/>
    <cellStyle name="Separador de milhares 3 2 5 11 5 2" xfId="44600"/>
    <cellStyle name="Separador de milhares 3 2 5 11 6" xfId="12030"/>
    <cellStyle name="Separador de milhares 3 2 5 11 6 2" xfId="38272"/>
    <cellStyle name="Separador de milhares 3 2 5 11 7" xfId="30190"/>
    <cellStyle name="Separador de milhares 3 2 5 12" xfId="3693"/>
    <cellStyle name="Separador de milhares 3 2 5 12 2" xfId="7489"/>
    <cellStyle name="Separador de milhares 3 2 5 12 2 2" xfId="10633"/>
    <cellStyle name="Separador de milhares 3 2 5 12 2 2 2" xfId="28847"/>
    <cellStyle name="Separador de milhares 3 2 5 12 2 2 2 2" xfId="55077"/>
    <cellStyle name="Separador de milhares 3 2 5 12 2 2 3" xfId="22933"/>
    <cellStyle name="Separador de milhares 3 2 5 12 2 2 3 2" xfId="49169"/>
    <cellStyle name="Separador de milhares 3 2 5 12 2 2 4" xfId="17019"/>
    <cellStyle name="Separador de milhares 3 2 5 12 2 2 4 2" xfId="43261"/>
    <cellStyle name="Separador de milhares 3 2 5 12 2 2 5" xfId="36875"/>
    <cellStyle name="Separador de milhares 3 2 5 12 2 3" xfId="25890"/>
    <cellStyle name="Separador de milhares 3 2 5 12 2 3 2" xfId="52123"/>
    <cellStyle name="Separador de milhares 3 2 5 12 2 4" xfId="19976"/>
    <cellStyle name="Separador de milhares 3 2 5 12 2 4 2" xfId="46215"/>
    <cellStyle name="Separador de milhares 3 2 5 12 2 5" xfId="13878"/>
    <cellStyle name="Separador de milhares 3 2 5 12 2 5 2" xfId="40120"/>
    <cellStyle name="Separador de milhares 3 2 5 12 2 6" xfId="33734"/>
    <cellStyle name="Separador de milhares 3 2 5 12 3" xfId="9165"/>
    <cellStyle name="Separador de milhares 3 2 5 12 3 2" xfId="27379"/>
    <cellStyle name="Separador de milhares 3 2 5 12 3 2 2" xfId="53609"/>
    <cellStyle name="Separador de milhares 3 2 5 12 3 3" xfId="21465"/>
    <cellStyle name="Separador de milhares 3 2 5 12 3 3 2" xfId="47701"/>
    <cellStyle name="Separador de milhares 3 2 5 12 3 4" xfId="15551"/>
    <cellStyle name="Separador de milhares 3 2 5 12 3 4 2" xfId="41793"/>
    <cellStyle name="Separador de milhares 3 2 5 12 3 5" xfId="35407"/>
    <cellStyle name="Separador de milhares 3 2 5 12 4" xfId="5790"/>
    <cellStyle name="Separador de milhares 3 2 5 12 4 2" xfId="24422"/>
    <cellStyle name="Separador de milhares 3 2 5 12 4 2 2" xfId="50655"/>
    <cellStyle name="Separador de milhares 3 2 5 12 4 3" xfId="32035"/>
    <cellStyle name="Separador de milhares 3 2 5 12 5" xfId="18508"/>
    <cellStyle name="Separador de milhares 3 2 5 12 5 2" xfId="44747"/>
    <cellStyle name="Separador de milhares 3 2 5 12 6" xfId="12177"/>
    <cellStyle name="Separador de milhares 3 2 5 12 6 2" xfId="38419"/>
    <cellStyle name="Separador de milhares 3 2 5 12 7" xfId="30337"/>
    <cellStyle name="Separador de milhares 3 2 5 13" xfId="6473"/>
    <cellStyle name="Separador de milhares 3 2 5 13 2" xfId="9629"/>
    <cellStyle name="Separador de milhares 3 2 5 13 2 2" xfId="27843"/>
    <cellStyle name="Separador de milhares 3 2 5 13 2 2 2" xfId="54073"/>
    <cellStyle name="Separador de milhares 3 2 5 13 2 3" xfId="21929"/>
    <cellStyle name="Separador de milhares 3 2 5 13 2 3 2" xfId="48165"/>
    <cellStyle name="Separador de milhares 3 2 5 13 2 4" xfId="16015"/>
    <cellStyle name="Separador de milhares 3 2 5 13 2 4 2" xfId="42257"/>
    <cellStyle name="Separador de milhares 3 2 5 13 2 5" xfId="35871"/>
    <cellStyle name="Separador de milhares 3 2 5 13 3" xfId="24886"/>
    <cellStyle name="Separador de milhares 3 2 5 13 3 2" xfId="51119"/>
    <cellStyle name="Separador de milhares 3 2 5 13 4" xfId="18972"/>
    <cellStyle name="Separador de milhares 3 2 5 13 4 2" xfId="45211"/>
    <cellStyle name="Separador de milhares 3 2 5 13 5" xfId="12862"/>
    <cellStyle name="Separador de milhares 3 2 5 13 5 2" xfId="39104"/>
    <cellStyle name="Separador de milhares 3 2 5 13 6" xfId="32718"/>
    <cellStyle name="Separador de milhares 3 2 5 14" xfId="8158"/>
    <cellStyle name="Separador de milhares 3 2 5 14 2" xfId="26372"/>
    <cellStyle name="Separador de milhares 3 2 5 14 2 2" xfId="52605"/>
    <cellStyle name="Separador de milhares 3 2 5 14 3" xfId="20458"/>
    <cellStyle name="Separador de milhares 3 2 5 14 3 2" xfId="46697"/>
    <cellStyle name="Separador de milhares 3 2 5 14 4" xfId="14547"/>
    <cellStyle name="Separador de milhares 3 2 5 14 4 2" xfId="40789"/>
    <cellStyle name="Separador de milhares 3 2 5 14 5" xfId="34403"/>
    <cellStyle name="Separador de milhares 3 2 5 15" xfId="4771"/>
    <cellStyle name="Separador de milhares 3 2 5 15 2" xfId="23415"/>
    <cellStyle name="Separador de milhares 3 2 5 15 2 2" xfId="49651"/>
    <cellStyle name="Separador de milhares 3 2 5 15 3" xfId="31019"/>
    <cellStyle name="Separador de milhares 3 2 5 16" xfId="17501"/>
    <cellStyle name="Separador de milhares 3 2 5 16 2" xfId="43743"/>
    <cellStyle name="Separador de milhares 3 2 5 17" xfId="11161"/>
    <cellStyle name="Separador de milhares 3 2 5 17 2" xfId="37403"/>
    <cellStyle name="Separador de milhares 3 2 5 18" xfId="29321"/>
    <cellStyle name="Separador de milhares 3 2 5 2" xfId="230"/>
    <cellStyle name="Separador de milhares 3 2 5 2 10" xfId="6502"/>
    <cellStyle name="Separador de milhares 3 2 5 2 10 2" xfId="9656"/>
    <cellStyle name="Separador de milhares 3 2 5 2 10 2 2" xfId="27870"/>
    <cellStyle name="Separador de milhares 3 2 5 2 10 2 2 2" xfId="54100"/>
    <cellStyle name="Separador de milhares 3 2 5 2 10 2 3" xfId="21956"/>
    <cellStyle name="Separador de milhares 3 2 5 2 10 2 3 2" xfId="48192"/>
    <cellStyle name="Separador de milhares 3 2 5 2 10 2 4" xfId="16042"/>
    <cellStyle name="Separador de milhares 3 2 5 2 10 2 4 2" xfId="42284"/>
    <cellStyle name="Separador de milhares 3 2 5 2 10 2 5" xfId="35898"/>
    <cellStyle name="Separador de milhares 3 2 5 2 10 3" xfId="24913"/>
    <cellStyle name="Separador de milhares 3 2 5 2 10 3 2" xfId="51146"/>
    <cellStyle name="Separador de milhares 3 2 5 2 10 4" xfId="18999"/>
    <cellStyle name="Separador de milhares 3 2 5 2 10 4 2" xfId="45238"/>
    <cellStyle name="Separador de milhares 3 2 5 2 10 5" xfId="12891"/>
    <cellStyle name="Separador de milhares 3 2 5 2 10 5 2" xfId="39133"/>
    <cellStyle name="Separador de milhares 3 2 5 2 10 6" xfId="32747"/>
    <cellStyle name="Separador de milhares 3 2 5 2 11" xfId="8185"/>
    <cellStyle name="Separador de milhares 3 2 5 2 11 2" xfId="26399"/>
    <cellStyle name="Separador de milhares 3 2 5 2 11 2 2" xfId="52632"/>
    <cellStyle name="Separador de milhares 3 2 5 2 11 3" xfId="20485"/>
    <cellStyle name="Separador de milhares 3 2 5 2 11 3 2" xfId="46724"/>
    <cellStyle name="Separador de milhares 3 2 5 2 11 4" xfId="14574"/>
    <cellStyle name="Separador de milhares 3 2 5 2 11 4 2" xfId="40816"/>
    <cellStyle name="Separador de milhares 3 2 5 2 11 5" xfId="34430"/>
    <cellStyle name="Separador de milhares 3 2 5 2 12" xfId="4801"/>
    <cellStyle name="Separador de milhares 3 2 5 2 12 2" xfId="23442"/>
    <cellStyle name="Separador de milhares 3 2 5 2 12 2 2" xfId="49678"/>
    <cellStyle name="Separador de milhares 3 2 5 2 12 3" xfId="31048"/>
    <cellStyle name="Separador de milhares 3 2 5 2 13" xfId="17528"/>
    <cellStyle name="Separador de milhares 3 2 5 2 13 2" xfId="43770"/>
    <cellStyle name="Separador de milhares 3 2 5 2 14" xfId="11190"/>
    <cellStyle name="Separador de milhares 3 2 5 2 14 2" xfId="37432"/>
    <cellStyle name="Separador de milhares 3 2 5 2 15" xfId="29351"/>
    <cellStyle name="Separador de milhares 3 2 5 2 2" xfId="503"/>
    <cellStyle name="Separador de milhares 3 2 5 2 2 10" xfId="17602"/>
    <cellStyle name="Separador de milhares 3 2 5 2 2 10 2" xfId="43844"/>
    <cellStyle name="Separador de milhares 3 2 5 2 2 11" xfId="11271"/>
    <cellStyle name="Separador de milhares 3 2 5 2 2 11 2" xfId="37513"/>
    <cellStyle name="Separador de milhares 3 2 5 2 2 12" xfId="29431"/>
    <cellStyle name="Separador de milhares 3 2 5 2 2 2" xfId="2022"/>
    <cellStyle name="Separador de milhares 3 2 5 2 2 2 2" xfId="7021"/>
    <cellStyle name="Separador de milhares 3 2 5 2 2 2 2 2" xfId="10168"/>
    <cellStyle name="Separador de milhares 3 2 5 2 2 2 2 2 2" xfId="28382"/>
    <cellStyle name="Separador de milhares 3 2 5 2 2 2 2 2 2 2" xfId="54612"/>
    <cellStyle name="Separador de milhares 3 2 5 2 2 2 2 2 3" xfId="22468"/>
    <cellStyle name="Separador de milhares 3 2 5 2 2 2 2 2 3 2" xfId="48704"/>
    <cellStyle name="Separador de milhares 3 2 5 2 2 2 2 2 4" xfId="16554"/>
    <cellStyle name="Separador de milhares 3 2 5 2 2 2 2 2 4 2" xfId="42796"/>
    <cellStyle name="Separador de milhares 3 2 5 2 2 2 2 2 5" xfId="36410"/>
    <cellStyle name="Separador de milhares 3 2 5 2 2 2 2 3" xfId="25425"/>
    <cellStyle name="Separador de milhares 3 2 5 2 2 2 2 3 2" xfId="51658"/>
    <cellStyle name="Separador de milhares 3 2 5 2 2 2 2 4" xfId="19511"/>
    <cellStyle name="Separador de milhares 3 2 5 2 2 2 2 4 2" xfId="45750"/>
    <cellStyle name="Separador de milhares 3 2 5 2 2 2 2 5" xfId="13410"/>
    <cellStyle name="Separador de milhares 3 2 5 2 2 2 2 5 2" xfId="39652"/>
    <cellStyle name="Separador de milhares 3 2 5 2 2 2 2 6" xfId="33266"/>
    <cellStyle name="Separador de milhares 3 2 5 2 2 2 3" xfId="8700"/>
    <cellStyle name="Separador de milhares 3 2 5 2 2 2 3 2" xfId="26914"/>
    <cellStyle name="Separador de milhares 3 2 5 2 2 2 3 2 2" xfId="53144"/>
    <cellStyle name="Separador de milhares 3 2 5 2 2 2 3 3" xfId="21000"/>
    <cellStyle name="Separador de milhares 3 2 5 2 2 2 3 3 2" xfId="47236"/>
    <cellStyle name="Separador de milhares 3 2 5 2 2 2 3 4" xfId="15086"/>
    <cellStyle name="Separador de milhares 3 2 5 2 2 2 3 4 2" xfId="41328"/>
    <cellStyle name="Separador de milhares 3 2 5 2 2 2 3 5" xfId="34942"/>
    <cellStyle name="Separador de milhares 3 2 5 2 2 2 4" xfId="5322"/>
    <cellStyle name="Separador de milhares 3 2 5 2 2 2 4 2" xfId="23957"/>
    <cellStyle name="Separador de milhares 3 2 5 2 2 2 4 2 2" xfId="50190"/>
    <cellStyle name="Separador de milhares 3 2 5 2 2 2 4 3" xfId="31567"/>
    <cellStyle name="Separador de milhares 3 2 5 2 2 2 5" xfId="18043"/>
    <cellStyle name="Separador de milhares 3 2 5 2 2 2 5 2" xfId="44282"/>
    <cellStyle name="Separador de milhares 3 2 5 2 2 2 6" xfId="11709"/>
    <cellStyle name="Separador de milhares 3 2 5 2 2 2 6 2" xfId="37951"/>
    <cellStyle name="Separador de milhares 3 2 5 2 2 2 7" xfId="29869"/>
    <cellStyle name="Separador de milhares 3 2 5 2 2 3" xfId="2552"/>
    <cellStyle name="Separador de milhares 3 2 5 2 2 3 2" xfId="7171"/>
    <cellStyle name="Separador de milhares 3 2 5 2 2 3 2 2" xfId="10315"/>
    <cellStyle name="Separador de milhares 3 2 5 2 2 3 2 2 2" xfId="28529"/>
    <cellStyle name="Separador de milhares 3 2 5 2 2 3 2 2 2 2" xfId="54759"/>
    <cellStyle name="Separador de milhares 3 2 5 2 2 3 2 2 3" xfId="22615"/>
    <cellStyle name="Separador de milhares 3 2 5 2 2 3 2 2 3 2" xfId="48851"/>
    <cellStyle name="Separador de milhares 3 2 5 2 2 3 2 2 4" xfId="16701"/>
    <cellStyle name="Separador de milhares 3 2 5 2 2 3 2 2 4 2" xfId="42943"/>
    <cellStyle name="Separador de milhares 3 2 5 2 2 3 2 2 5" xfId="36557"/>
    <cellStyle name="Separador de milhares 3 2 5 2 2 3 2 3" xfId="25572"/>
    <cellStyle name="Separador de milhares 3 2 5 2 2 3 2 3 2" xfId="51805"/>
    <cellStyle name="Separador de milhares 3 2 5 2 2 3 2 4" xfId="19658"/>
    <cellStyle name="Separador de milhares 3 2 5 2 2 3 2 4 2" xfId="45897"/>
    <cellStyle name="Separador de milhares 3 2 5 2 2 3 2 5" xfId="13560"/>
    <cellStyle name="Separador de milhares 3 2 5 2 2 3 2 5 2" xfId="39802"/>
    <cellStyle name="Separador de milhares 3 2 5 2 2 3 2 6" xfId="33416"/>
    <cellStyle name="Separador de milhares 3 2 5 2 2 3 3" xfId="8847"/>
    <cellStyle name="Separador de milhares 3 2 5 2 2 3 3 2" xfId="27061"/>
    <cellStyle name="Separador de milhares 3 2 5 2 2 3 3 2 2" xfId="53291"/>
    <cellStyle name="Separador de milhares 3 2 5 2 2 3 3 3" xfId="21147"/>
    <cellStyle name="Separador de milhares 3 2 5 2 2 3 3 3 2" xfId="47383"/>
    <cellStyle name="Separador de milhares 3 2 5 2 2 3 3 4" xfId="15233"/>
    <cellStyle name="Separador de milhares 3 2 5 2 2 3 3 4 2" xfId="41475"/>
    <cellStyle name="Separador de milhares 3 2 5 2 2 3 3 5" xfId="35089"/>
    <cellStyle name="Separador de milhares 3 2 5 2 2 3 4" xfId="5472"/>
    <cellStyle name="Separador de milhares 3 2 5 2 2 3 4 2" xfId="24104"/>
    <cellStyle name="Separador de milhares 3 2 5 2 2 3 4 2 2" xfId="50337"/>
    <cellStyle name="Separador de milhares 3 2 5 2 2 3 4 3" xfId="31717"/>
    <cellStyle name="Separador de milhares 3 2 5 2 2 3 5" xfId="18190"/>
    <cellStyle name="Separador de milhares 3 2 5 2 2 3 5 2" xfId="44429"/>
    <cellStyle name="Separador de milhares 3 2 5 2 2 3 6" xfId="11859"/>
    <cellStyle name="Separador de milhares 3 2 5 2 2 3 6 2" xfId="38101"/>
    <cellStyle name="Separador de milhares 3 2 5 2 2 3 7" xfId="30019"/>
    <cellStyle name="Separador de milhares 3 2 5 2 2 4" xfId="3079"/>
    <cellStyle name="Separador de milhares 3 2 5 2 2 4 2" xfId="7318"/>
    <cellStyle name="Separador de milhares 3 2 5 2 2 4 2 2" xfId="10462"/>
    <cellStyle name="Separador de milhares 3 2 5 2 2 4 2 2 2" xfId="28676"/>
    <cellStyle name="Separador de milhares 3 2 5 2 2 4 2 2 2 2" xfId="54906"/>
    <cellStyle name="Separador de milhares 3 2 5 2 2 4 2 2 3" xfId="22762"/>
    <cellStyle name="Separador de milhares 3 2 5 2 2 4 2 2 3 2" xfId="48998"/>
    <cellStyle name="Separador de milhares 3 2 5 2 2 4 2 2 4" xfId="16848"/>
    <cellStyle name="Separador de milhares 3 2 5 2 2 4 2 2 4 2" xfId="43090"/>
    <cellStyle name="Separador de milhares 3 2 5 2 2 4 2 2 5" xfId="36704"/>
    <cellStyle name="Separador de milhares 3 2 5 2 2 4 2 3" xfId="25719"/>
    <cellStyle name="Separador de milhares 3 2 5 2 2 4 2 3 2" xfId="51952"/>
    <cellStyle name="Separador de milhares 3 2 5 2 2 4 2 4" xfId="19805"/>
    <cellStyle name="Separador de milhares 3 2 5 2 2 4 2 4 2" xfId="46044"/>
    <cellStyle name="Separador de milhares 3 2 5 2 2 4 2 5" xfId="13707"/>
    <cellStyle name="Separador de milhares 3 2 5 2 2 4 2 5 2" xfId="39949"/>
    <cellStyle name="Separador de milhares 3 2 5 2 2 4 2 6" xfId="33563"/>
    <cellStyle name="Separador de milhares 3 2 5 2 2 4 3" xfId="8994"/>
    <cellStyle name="Separador de milhares 3 2 5 2 2 4 3 2" xfId="27208"/>
    <cellStyle name="Separador de milhares 3 2 5 2 2 4 3 2 2" xfId="53438"/>
    <cellStyle name="Separador de milhares 3 2 5 2 2 4 3 3" xfId="21294"/>
    <cellStyle name="Separador de milhares 3 2 5 2 2 4 3 3 2" xfId="47530"/>
    <cellStyle name="Separador de milhares 3 2 5 2 2 4 3 4" xfId="15380"/>
    <cellStyle name="Separador de milhares 3 2 5 2 2 4 3 4 2" xfId="41622"/>
    <cellStyle name="Separador de milhares 3 2 5 2 2 4 3 5" xfId="35236"/>
    <cellStyle name="Separador de milhares 3 2 5 2 2 4 4" xfId="5619"/>
    <cellStyle name="Separador de milhares 3 2 5 2 2 4 4 2" xfId="24251"/>
    <cellStyle name="Separador de milhares 3 2 5 2 2 4 4 2 2" xfId="50484"/>
    <cellStyle name="Separador de milhares 3 2 5 2 2 4 4 3" xfId="31864"/>
    <cellStyle name="Separador de milhares 3 2 5 2 2 4 5" xfId="18337"/>
    <cellStyle name="Separador de milhares 3 2 5 2 2 4 5 2" xfId="44576"/>
    <cellStyle name="Separador de milhares 3 2 5 2 2 4 6" xfId="12006"/>
    <cellStyle name="Separador de milhares 3 2 5 2 2 4 6 2" xfId="38248"/>
    <cellStyle name="Separador de milhares 3 2 5 2 2 4 7" xfId="30166"/>
    <cellStyle name="Separador de milhares 3 2 5 2 2 5" xfId="3606"/>
    <cellStyle name="Separador de milhares 3 2 5 2 2 5 2" xfId="7465"/>
    <cellStyle name="Separador de milhares 3 2 5 2 2 5 2 2" xfId="10609"/>
    <cellStyle name="Separador de milhares 3 2 5 2 2 5 2 2 2" xfId="28823"/>
    <cellStyle name="Separador de milhares 3 2 5 2 2 5 2 2 2 2" xfId="55053"/>
    <cellStyle name="Separador de milhares 3 2 5 2 2 5 2 2 3" xfId="22909"/>
    <cellStyle name="Separador de milhares 3 2 5 2 2 5 2 2 3 2" xfId="49145"/>
    <cellStyle name="Separador de milhares 3 2 5 2 2 5 2 2 4" xfId="16995"/>
    <cellStyle name="Separador de milhares 3 2 5 2 2 5 2 2 4 2" xfId="43237"/>
    <cellStyle name="Separador de milhares 3 2 5 2 2 5 2 2 5" xfId="36851"/>
    <cellStyle name="Separador de milhares 3 2 5 2 2 5 2 3" xfId="25866"/>
    <cellStyle name="Separador de milhares 3 2 5 2 2 5 2 3 2" xfId="52099"/>
    <cellStyle name="Separador de milhares 3 2 5 2 2 5 2 4" xfId="19952"/>
    <cellStyle name="Separador de milhares 3 2 5 2 2 5 2 4 2" xfId="46191"/>
    <cellStyle name="Separador de milhares 3 2 5 2 2 5 2 5" xfId="13854"/>
    <cellStyle name="Separador de milhares 3 2 5 2 2 5 2 5 2" xfId="40096"/>
    <cellStyle name="Separador de milhares 3 2 5 2 2 5 2 6" xfId="33710"/>
    <cellStyle name="Separador de milhares 3 2 5 2 2 5 3" xfId="9141"/>
    <cellStyle name="Separador de milhares 3 2 5 2 2 5 3 2" xfId="27355"/>
    <cellStyle name="Separador de milhares 3 2 5 2 2 5 3 2 2" xfId="53585"/>
    <cellStyle name="Separador de milhares 3 2 5 2 2 5 3 3" xfId="21441"/>
    <cellStyle name="Separador de milhares 3 2 5 2 2 5 3 3 2" xfId="47677"/>
    <cellStyle name="Separador de milhares 3 2 5 2 2 5 3 4" xfId="15527"/>
    <cellStyle name="Separador de milhares 3 2 5 2 2 5 3 4 2" xfId="41769"/>
    <cellStyle name="Separador de milhares 3 2 5 2 2 5 3 5" xfId="35383"/>
    <cellStyle name="Separador de milhares 3 2 5 2 2 5 4" xfId="5766"/>
    <cellStyle name="Separador de milhares 3 2 5 2 2 5 4 2" xfId="24398"/>
    <cellStyle name="Separador de milhares 3 2 5 2 2 5 4 2 2" xfId="50631"/>
    <cellStyle name="Separador de milhares 3 2 5 2 2 5 4 3" xfId="32011"/>
    <cellStyle name="Separador de milhares 3 2 5 2 2 5 5" xfId="18484"/>
    <cellStyle name="Separador de milhares 3 2 5 2 2 5 5 2" xfId="44723"/>
    <cellStyle name="Separador de milhares 3 2 5 2 2 5 6" xfId="12153"/>
    <cellStyle name="Separador de milhares 3 2 5 2 2 5 6 2" xfId="38395"/>
    <cellStyle name="Separador de milhares 3 2 5 2 2 5 7" xfId="30313"/>
    <cellStyle name="Separador de milhares 3 2 5 2 2 6" xfId="4133"/>
    <cellStyle name="Separador de milhares 3 2 5 2 2 6 2" xfId="7612"/>
    <cellStyle name="Separador de milhares 3 2 5 2 2 6 2 2" xfId="10756"/>
    <cellStyle name="Separador de milhares 3 2 5 2 2 6 2 2 2" xfId="28970"/>
    <cellStyle name="Separador de milhares 3 2 5 2 2 6 2 2 2 2" xfId="55200"/>
    <cellStyle name="Separador de milhares 3 2 5 2 2 6 2 2 3" xfId="23056"/>
    <cellStyle name="Separador de milhares 3 2 5 2 2 6 2 2 3 2" xfId="49292"/>
    <cellStyle name="Separador de milhares 3 2 5 2 2 6 2 2 4" xfId="17142"/>
    <cellStyle name="Separador de milhares 3 2 5 2 2 6 2 2 4 2" xfId="43384"/>
    <cellStyle name="Separador de milhares 3 2 5 2 2 6 2 2 5" xfId="36998"/>
    <cellStyle name="Separador de milhares 3 2 5 2 2 6 2 3" xfId="26013"/>
    <cellStyle name="Separador de milhares 3 2 5 2 2 6 2 3 2" xfId="52246"/>
    <cellStyle name="Separador de milhares 3 2 5 2 2 6 2 4" xfId="20099"/>
    <cellStyle name="Separador de milhares 3 2 5 2 2 6 2 4 2" xfId="46338"/>
    <cellStyle name="Separador de milhares 3 2 5 2 2 6 2 5" xfId="14001"/>
    <cellStyle name="Separador de milhares 3 2 5 2 2 6 2 5 2" xfId="40243"/>
    <cellStyle name="Separador de milhares 3 2 5 2 2 6 2 6" xfId="33857"/>
    <cellStyle name="Separador de milhares 3 2 5 2 2 6 3" xfId="9288"/>
    <cellStyle name="Separador de milhares 3 2 5 2 2 6 3 2" xfId="27502"/>
    <cellStyle name="Separador de milhares 3 2 5 2 2 6 3 2 2" xfId="53732"/>
    <cellStyle name="Separador de milhares 3 2 5 2 2 6 3 3" xfId="21588"/>
    <cellStyle name="Separador de milhares 3 2 5 2 2 6 3 3 2" xfId="47824"/>
    <cellStyle name="Separador de milhares 3 2 5 2 2 6 3 4" xfId="15674"/>
    <cellStyle name="Separador de milhares 3 2 5 2 2 6 3 4 2" xfId="41916"/>
    <cellStyle name="Separador de milhares 3 2 5 2 2 6 3 5" xfId="35530"/>
    <cellStyle name="Separador de milhares 3 2 5 2 2 6 4" xfId="5913"/>
    <cellStyle name="Separador de milhares 3 2 5 2 2 6 4 2" xfId="24545"/>
    <cellStyle name="Separador de milhares 3 2 5 2 2 6 4 2 2" xfId="50778"/>
    <cellStyle name="Separador de milhares 3 2 5 2 2 6 4 3" xfId="32158"/>
    <cellStyle name="Separador de milhares 3 2 5 2 2 6 5" xfId="18631"/>
    <cellStyle name="Separador de milhares 3 2 5 2 2 6 5 2" xfId="44870"/>
    <cellStyle name="Separador de milhares 3 2 5 2 2 6 6" xfId="12300"/>
    <cellStyle name="Separador de milhares 3 2 5 2 2 6 6 2" xfId="38542"/>
    <cellStyle name="Separador de milhares 3 2 5 2 2 6 7" xfId="30460"/>
    <cellStyle name="Separador de milhares 3 2 5 2 2 7" xfId="6583"/>
    <cellStyle name="Separador de milhares 3 2 5 2 2 7 2" xfId="9730"/>
    <cellStyle name="Separador de milhares 3 2 5 2 2 7 2 2" xfId="27944"/>
    <cellStyle name="Separador de milhares 3 2 5 2 2 7 2 2 2" xfId="54174"/>
    <cellStyle name="Separador de milhares 3 2 5 2 2 7 2 3" xfId="22030"/>
    <cellStyle name="Separador de milhares 3 2 5 2 2 7 2 3 2" xfId="48266"/>
    <cellStyle name="Separador de milhares 3 2 5 2 2 7 2 4" xfId="16116"/>
    <cellStyle name="Separador de milhares 3 2 5 2 2 7 2 4 2" xfId="42358"/>
    <cellStyle name="Separador de milhares 3 2 5 2 2 7 2 5" xfId="35972"/>
    <cellStyle name="Separador de milhares 3 2 5 2 2 7 3" xfId="24987"/>
    <cellStyle name="Separador de milhares 3 2 5 2 2 7 3 2" xfId="51220"/>
    <cellStyle name="Separador de milhares 3 2 5 2 2 7 4" xfId="19073"/>
    <cellStyle name="Separador de milhares 3 2 5 2 2 7 4 2" xfId="45312"/>
    <cellStyle name="Separador de milhares 3 2 5 2 2 7 5" xfId="12972"/>
    <cellStyle name="Separador de milhares 3 2 5 2 2 7 5 2" xfId="39214"/>
    <cellStyle name="Separador de milhares 3 2 5 2 2 7 6" xfId="32828"/>
    <cellStyle name="Separador de milhares 3 2 5 2 2 8" xfId="8259"/>
    <cellStyle name="Separador de milhares 3 2 5 2 2 8 2" xfId="26473"/>
    <cellStyle name="Separador de milhares 3 2 5 2 2 8 2 2" xfId="52706"/>
    <cellStyle name="Separador de milhares 3 2 5 2 2 8 3" xfId="20559"/>
    <cellStyle name="Separador de milhares 3 2 5 2 2 8 3 2" xfId="46798"/>
    <cellStyle name="Separador de milhares 3 2 5 2 2 8 4" xfId="14648"/>
    <cellStyle name="Separador de milhares 3 2 5 2 2 8 4 2" xfId="40890"/>
    <cellStyle name="Separador de milhares 3 2 5 2 2 8 5" xfId="34504"/>
    <cellStyle name="Separador de milhares 3 2 5 2 2 9" xfId="4882"/>
    <cellStyle name="Separador de milhares 3 2 5 2 2 9 2" xfId="23516"/>
    <cellStyle name="Separador de milhares 3 2 5 2 2 9 2 2" xfId="49752"/>
    <cellStyle name="Separador de milhares 3 2 5 2 2 9 3" xfId="31129"/>
    <cellStyle name="Separador de milhares 3 2 5 2 3" xfId="976"/>
    <cellStyle name="Separador de milhares 3 2 5 2 3 2" xfId="6734"/>
    <cellStyle name="Separador de milhares 3 2 5 2 3 2 2" xfId="9881"/>
    <cellStyle name="Separador de milhares 3 2 5 2 3 2 2 2" xfId="28095"/>
    <cellStyle name="Separador de milhares 3 2 5 2 3 2 2 2 2" xfId="54325"/>
    <cellStyle name="Separador de milhares 3 2 5 2 3 2 2 3" xfId="22181"/>
    <cellStyle name="Separador de milhares 3 2 5 2 3 2 2 3 2" xfId="48417"/>
    <cellStyle name="Separador de milhares 3 2 5 2 3 2 2 4" xfId="16267"/>
    <cellStyle name="Separador de milhares 3 2 5 2 3 2 2 4 2" xfId="42509"/>
    <cellStyle name="Separador de milhares 3 2 5 2 3 2 2 5" xfId="36123"/>
    <cellStyle name="Separador de milhares 3 2 5 2 3 2 3" xfId="25138"/>
    <cellStyle name="Separador de milhares 3 2 5 2 3 2 3 2" xfId="51371"/>
    <cellStyle name="Separador de milhares 3 2 5 2 3 2 4" xfId="19224"/>
    <cellStyle name="Separador de milhares 3 2 5 2 3 2 4 2" xfId="45463"/>
    <cellStyle name="Separador de milhares 3 2 5 2 3 2 5" xfId="13123"/>
    <cellStyle name="Separador de milhares 3 2 5 2 3 2 5 2" xfId="39365"/>
    <cellStyle name="Separador de milhares 3 2 5 2 3 2 6" xfId="32979"/>
    <cellStyle name="Separador de milhares 3 2 5 2 3 3" xfId="8413"/>
    <cellStyle name="Separador de milhares 3 2 5 2 3 3 2" xfId="26627"/>
    <cellStyle name="Separador de milhares 3 2 5 2 3 3 2 2" xfId="52857"/>
    <cellStyle name="Separador de milhares 3 2 5 2 3 3 3" xfId="20713"/>
    <cellStyle name="Separador de milhares 3 2 5 2 3 3 3 2" xfId="46949"/>
    <cellStyle name="Separador de milhares 3 2 5 2 3 3 4" xfId="14799"/>
    <cellStyle name="Separador de milhares 3 2 5 2 3 3 4 2" xfId="41041"/>
    <cellStyle name="Separador de milhares 3 2 5 2 3 3 5" xfId="34655"/>
    <cellStyle name="Separador de milhares 3 2 5 2 3 4" xfId="5035"/>
    <cellStyle name="Separador de milhares 3 2 5 2 3 4 2" xfId="23670"/>
    <cellStyle name="Separador de milhares 3 2 5 2 3 4 2 2" xfId="49903"/>
    <cellStyle name="Separador de milhares 3 2 5 2 3 4 3" xfId="31280"/>
    <cellStyle name="Separador de milhares 3 2 5 2 3 5" xfId="17756"/>
    <cellStyle name="Separador de milhares 3 2 5 2 3 5 2" xfId="43995"/>
    <cellStyle name="Separador de milhares 3 2 5 2 3 6" xfId="11422"/>
    <cellStyle name="Separador de milhares 3 2 5 2 3 6 2" xfId="37664"/>
    <cellStyle name="Separador de milhares 3 2 5 2 3 7" xfId="29582"/>
    <cellStyle name="Separador de milhares 3 2 5 2 4" xfId="1327"/>
    <cellStyle name="Separador de milhares 3 2 5 2 4 2" xfId="6832"/>
    <cellStyle name="Separador de milhares 3 2 5 2 4 2 2" xfId="9979"/>
    <cellStyle name="Separador de milhares 3 2 5 2 4 2 2 2" xfId="28193"/>
    <cellStyle name="Separador de milhares 3 2 5 2 4 2 2 2 2" xfId="54423"/>
    <cellStyle name="Separador de milhares 3 2 5 2 4 2 2 3" xfId="22279"/>
    <cellStyle name="Separador de milhares 3 2 5 2 4 2 2 3 2" xfId="48515"/>
    <cellStyle name="Separador de milhares 3 2 5 2 4 2 2 4" xfId="16365"/>
    <cellStyle name="Separador de milhares 3 2 5 2 4 2 2 4 2" xfId="42607"/>
    <cellStyle name="Separador de milhares 3 2 5 2 4 2 2 5" xfId="36221"/>
    <cellStyle name="Separador de milhares 3 2 5 2 4 2 3" xfId="25236"/>
    <cellStyle name="Separador de milhares 3 2 5 2 4 2 3 2" xfId="51469"/>
    <cellStyle name="Separador de milhares 3 2 5 2 4 2 4" xfId="19322"/>
    <cellStyle name="Separador de milhares 3 2 5 2 4 2 4 2" xfId="45561"/>
    <cellStyle name="Separador de milhares 3 2 5 2 4 2 5" xfId="13221"/>
    <cellStyle name="Separador de milhares 3 2 5 2 4 2 5 2" xfId="39463"/>
    <cellStyle name="Separador de milhares 3 2 5 2 4 2 6" xfId="33077"/>
    <cellStyle name="Separador de milhares 3 2 5 2 4 3" xfId="8511"/>
    <cellStyle name="Separador de milhares 3 2 5 2 4 3 2" xfId="26725"/>
    <cellStyle name="Separador de milhares 3 2 5 2 4 3 2 2" xfId="52955"/>
    <cellStyle name="Separador de milhares 3 2 5 2 4 3 3" xfId="20811"/>
    <cellStyle name="Separador de milhares 3 2 5 2 4 3 3 2" xfId="47047"/>
    <cellStyle name="Separador de milhares 3 2 5 2 4 3 4" xfId="14897"/>
    <cellStyle name="Separador de milhares 3 2 5 2 4 3 4 2" xfId="41139"/>
    <cellStyle name="Separador de milhares 3 2 5 2 4 3 5" xfId="34753"/>
    <cellStyle name="Separador de milhares 3 2 5 2 4 4" xfId="5133"/>
    <cellStyle name="Separador de milhares 3 2 5 2 4 4 2" xfId="23768"/>
    <cellStyle name="Separador de milhares 3 2 5 2 4 4 2 2" xfId="50001"/>
    <cellStyle name="Separador de milhares 3 2 5 2 4 4 3" xfId="31378"/>
    <cellStyle name="Separador de milhares 3 2 5 2 4 5" xfId="17854"/>
    <cellStyle name="Separador de milhares 3 2 5 2 4 5 2" xfId="44093"/>
    <cellStyle name="Separador de milhares 3 2 5 2 4 6" xfId="11520"/>
    <cellStyle name="Separador de milhares 3 2 5 2 4 6 2" xfId="37762"/>
    <cellStyle name="Separador de milhares 3 2 5 2 4 7" xfId="29680"/>
    <cellStyle name="Separador de milhares 3 2 5 2 5" xfId="1762"/>
    <cellStyle name="Separador de milhares 3 2 5 2 5 2" xfId="6951"/>
    <cellStyle name="Separador de milhares 3 2 5 2 5 2 2" xfId="10098"/>
    <cellStyle name="Separador de milhares 3 2 5 2 5 2 2 2" xfId="28312"/>
    <cellStyle name="Separador de milhares 3 2 5 2 5 2 2 2 2" xfId="54542"/>
    <cellStyle name="Separador de milhares 3 2 5 2 5 2 2 3" xfId="22398"/>
    <cellStyle name="Separador de milhares 3 2 5 2 5 2 2 3 2" xfId="48634"/>
    <cellStyle name="Separador de milhares 3 2 5 2 5 2 2 4" xfId="16484"/>
    <cellStyle name="Separador de milhares 3 2 5 2 5 2 2 4 2" xfId="42726"/>
    <cellStyle name="Separador de milhares 3 2 5 2 5 2 2 5" xfId="36340"/>
    <cellStyle name="Separador de milhares 3 2 5 2 5 2 3" xfId="25355"/>
    <cellStyle name="Separador de milhares 3 2 5 2 5 2 3 2" xfId="51588"/>
    <cellStyle name="Separador de milhares 3 2 5 2 5 2 4" xfId="19441"/>
    <cellStyle name="Separador de milhares 3 2 5 2 5 2 4 2" xfId="45680"/>
    <cellStyle name="Separador de milhares 3 2 5 2 5 2 5" xfId="13340"/>
    <cellStyle name="Separador de milhares 3 2 5 2 5 2 5 2" xfId="39582"/>
    <cellStyle name="Separador de milhares 3 2 5 2 5 2 6" xfId="33196"/>
    <cellStyle name="Separador de milhares 3 2 5 2 5 3" xfId="8630"/>
    <cellStyle name="Separador de milhares 3 2 5 2 5 3 2" xfId="26844"/>
    <cellStyle name="Separador de milhares 3 2 5 2 5 3 2 2" xfId="53074"/>
    <cellStyle name="Separador de milhares 3 2 5 2 5 3 3" xfId="20930"/>
    <cellStyle name="Separador de milhares 3 2 5 2 5 3 3 2" xfId="47166"/>
    <cellStyle name="Separador de milhares 3 2 5 2 5 3 4" xfId="15016"/>
    <cellStyle name="Separador de milhares 3 2 5 2 5 3 4 2" xfId="41258"/>
    <cellStyle name="Separador de milhares 3 2 5 2 5 3 5" xfId="34872"/>
    <cellStyle name="Separador de milhares 3 2 5 2 5 4" xfId="5252"/>
    <cellStyle name="Separador de milhares 3 2 5 2 5 4 2" xfId="23887"/>
    <cellStyle name="Separador de milhares 3 2 5 2 5 4 2 2" xfId="50120"/>
    <cellStyle name="Separador de milhares 3 2 5 2 5 4 3" xfId="31497"/>
    <cellStyle name="Separador de milhares 3 2 5 2 5 5" xfId="17973"/>
    <cellStyle name="Separador de milhares 3 2 5 2 5 5 2" xfId="44212"/>
    <cellStyle name="Separador de milhares 3 2 5 2 5 6" xfId="11639"/>
    <cellStyle name="Separador de milhares 3 2 5 2 5 6 2" xfId="37881"/>
    <cellStyle name="Separador de milhares 3 2 5 2 5 7" xfId="29799"/>
    <cellStyle name="Separador de milhares 3 2 5 2 6" xfId="2292"/>
    <cellStyle name="Separador de milhares 3 2 5 2 6 2" xfId="7101"/>
    <cellStyle name="Separador de milhares 3 2 5 2 6 2 2" xfId="10245"/>
    <cellStyle name="Separador de milhares 3 2 5 2 6 2 2 2" xfId="28459"/>
    <cellStyle name="Separador de milhares 3 2 5 2 6 2 2 2 2" xfId="54689"/>
    <cellStyle name="Separador de milhares 3 2 5 2 6 2 2 3" xfId="22545"/>
    <cellStyle name="Separador de milhares 3 2 5 2 6 2 2 3 2" xfId="48781"/>
    <cellStyle name="Separador de milhares 3 2 5 2 6 2 2 4" xfId="16631"/>
    <cellStyle name="Separador de milhares 3 2 5 2 6 2 2 4 2" xfId="42873"/>
    <cellStyle name="Separador de milhares 3 2 5 2 6 2 2 5" xfId="36487"/>
    <cellStyle name="Separador de milhares 3 2 5 2 6 2 3" xfId="25502"/>
    <cellStyle name="Separador de milhares 3 2 5 2 6 2 3 2" xfId="51735"/>
    <cellStyle name="Separador de milhares 3 2 5 2 6 2 4" xfId="19588"/>
    <cellStyle name="Separador de milhares 3 2 5 2 6 2 4 2" xfId="45827"/>
    <cellStyle name="Separador de milhares 3 2 5 2 6 2 5" xfId="13490"/>
    <cellStyle name="Separador de milhares 3 2 5 2 6 2 5 2" xfId="39732"/>
    <cellStyle name="Separador de milhares 3 2 5 2 6 2 6" xfId="33346"/>
    <cellStyle name="Separador de milhares 3 2 5 2 6 3" xfId="8777"/>
    <cellStyle name="Separador de milhares 3 2 5 2 6 3 2" xfId="26991"/>
    <cellStyle name="Separador de milhares 3 2 5 2 6 3 2 2" xfId="53221"/>
    <cellStyle name="Separador de milhares 3 2 5 2 6 3 3" xfId="21077"/>
    <cellStyle name="Separador de milhares 3 2 5 2 6 3 3 2" xfId="47313"/>
    <cellStyle name="Separador de milhares 3 2 5 2 6 3 4" xfId="15163"/>
    <cellStyle name="Separador de milhares 3 2 5 2 6 3 4 2" xfId="41405"/>
    <cellStyle name="Separador de milhares 3 2 5 2 6 3 5" xfId="35019"/>
    <cellStyle name="Separador de milhares 3 2 5 2 6 4" xfId="5402"/>
    <cellStyle name="Separador de milhares 3 2 5 2 6 4 2" xfId="24034"/>
    <cellStyle name="Separador de milhares 3 2 5 2 6 4 2 2" xfId="50267"/>
    <cellStyle name="Separador de milhares 3 2 5 2 6 4 3" xfId="31647"/>
    <cellStyle name="Separador de milhares 3 2 5 2 6 5" xfId="18120"/>
    <cellStyle name="Separador de milhares 3 2 5 2 6 5 2" xfId="44359"/>
    <cellStyle name="Separador de milhares 3 2 5 2 6 6" xfId="11789"/>
    <cellStyle name="Separador de milhares 3 2 5 2 6 6 2" xfId="38031"/>
    <cellStyle name="Separador de milhares 3 2 5 2 6 7" xfId="29949"/>
    <cellStyle name="Separador de milhares 3 2 5 2 7" xfId="2819"/>
    <cellStyle name="Separador de milhares 3 2 5 2 7 2" xfId="7248"/>
    <cellStyle name="Separador de milhares 3 2 5 2 7 2 2" xfId="10392"/>
    <cellStyle name="Separador de milhares 3 2 5 2 7 2 2 2" xfId="28606"/>
    <cellStyle name="Separador de milhares 3 2 5 2 7 2 2 2 2" xfId="54836"/>
    <cellStyle name="Separador de milhares 3 2 5 2 7 2 2 3" xfId="22692"/>
    <cellStyle name="Separador de milhares 3 2 5 2 7 2 2 3 2" xfId="48928"/>
    <cellStyle name="Separador de milhares 3 2 5 2 7 2 2 4" xfId="16778"/>
    <cellStyle name="Separador de milhares 3 2 5 2 7 2 2 4 2" xfId="43020"/>
    <cellStyle name="Separador de milhares 3 2 5 2 7 2 2 5" xfId="36634"/>
    <cellStyle name="Separador de milhares 3 2 5 2 7 2 3" xfId="25649"/>
    <cellStyle name="Separador de milhares 3 2 5 2 7 2 3 2" xfId="51882"/>
    <cellStyle name="Separador de milhares 3 2 5 2 7 2 4" xfId="19735"/>
    <cellStyle name="Separador de milhares 3 2 5 2 7 2 4 2" xfId="45974"/>
    <cellStyle name="Separador de milhares 3 2 5 2 7 2 5" xfId="13637"/>
    <cellStyle name="Separador de milhares 3 2 5 2 7 2 5 2" xfId="39879"/>
    <cellStyle name="Separador de milhares 3 2 5 2 7 2 6" xfId="33493"/>
    <cellStyle name="Separador de milhares 3 2 5 2 7 3" xfId="8924"/>
    <cellStyle name="Separador de milhares 3 2 5 2 7 3 2" xfId="27138"/>
    <cellStyle name="Separador de milhares 3 2 5 2 7 3 2 2" xfId="53368"/>
    <cellStyle name="Separador de milhares 3 2 5 2 7 3 3" xfId="21224"/>
    <cellStyle name="Separador de milhares 3 2 5 2 7 3 3 2" xfId="47460"/>
    <cellStyle name="Separador de milhares 3 2 5 2 7 3 4" xfId="15310"/>
    <cellStyle name="Separador de milhares 3 2 5 2 7 3 4 2" xfId="41552"/>
    <cellStyle name="Separador de milhares 3 2 5 2 7 3 5" xfId="35166"/>
    <cellStyle name="Separador de milhares 3 2 5 2 7 4" xfId="5549"/>
    <cellStyle name="Separador de milhares 3 2 5 2 7 4 2" xfId="24181"/>
    <cellStyle name="Separador de milhares 3 2 5 2 7 4 2 2" xfId="50414"/>
    <cellStyle name="Separador de milhares 3 2 5 2 7 4 3" xfId="31794"/>
    <cellStyle name="Separador de milhares 3 2 5 2 7 5" xfId="18267"/>
    <cellStyle name="Separador de milhares 3 2 5 2 7 5 2" xfId="44506"/>
    <cellStyle name="Separador de milhares 3 2 5 2 7 6" xfId="11936"/>
    <cellStyle name="Separador de milhares 3 2 5 2 7 6 2" xfId="38178"/>
    <cellStyle name="Separador de milhares 3 2 5 2 7 7" xfId="30096"/>
    <cellStyle name="Separador de milhares 3 2 5 2 8" xfId="3346"/>
    <cellStyle name="Separador de milhares 3 2 5 2 8 2" xfId="7395"/>
    <cellStyle name="Separador de milhares 3 2 5 2 8 2 2" xfId="10539"/>
    <cellStyle name="Separador de milhares 3 2 5 2 8 2 2 2" xfId="28753"/>
    <cellStyle name="Separador de milhares 3 2 5 2 8 2 2 2 2" xfId="54983"/>
    <cellStyle name="Separador de milhares 3 2 5 2 8 2 2 3" xfId="22839"/>
    <cellStyle name="Separador de milhares 3 2 5 2 8 2 2 3 2" xfId="49075"/>
    <cellStyle name="Separador de milhares 3 2 5 2 8 2 2 4" xfId="16925"/>
    <cellStyle name="Separador de milhares 3 2 5 2 8 2 2 4 2" xfId="43167"/>
    <cellStyle name="Separador de milhares 3 2 5 2 8 2 2 5" xfId="36781"/>
    <cellStyle name="Separador de milhares 3 2 5 2 8 2 3" xfId="25796"/>
    <cellStyle name="Separador de milhares 3 2 5 2 8 2 3 2" xfId="52029"/>
    <cellStyle name="Separador de milhares 3 2 5 2 8 2 4" xfId="19882"/>
    <cellStyle name="Separador de milhares 3 2 5 2 8 2 4 2" xfId="46121"/>
    <cellStyle name="Separador de milhares 3 2 5 2 8 2 5" xfId="13784"/>
    <cellStyle name="Separador de milhares 3 2 5 2 8 2 5 2" xfId="40026"/>
    <cellStyle name="Separador de milhares 3 2 5 2 8 2 6" xfId="33640"/>
    <cellStyle name="Separador de milhares 3 2 5 2 8 3" xfId="9071"/>
    <cellStyle name="Separador de milhares 3 2 5 2 8 3 2" xfId="27285"/>
    <cellStyle name="Separador de milhares 3 2 5 2 8 3 2 2" xfId="53515"/>
    <cellStyle name="Separador de milhares 3 2 5 2 8 3 3" xfId="21371"/>
    <cellStyle name="Separador de milhares 3 2 5 2 8 3 3 2" xfId="47607"/>
    <cellStyle name="Separador de milhares 3 2 5 2 8 3 4" xfId="15457"/>
    <cellStyle name="Separador de milhares 3 2 5 2 8 3 4 2" xfId="41699"/>
    <cellStyle name="Separador de milhares 3 2 5 2 8 3 5" xfId="35313"/>
    <cellStyle name="Separador de milhares 3 2 5 2 8 4" xfId="5696"/>
    <cellStyle name="Separador de milhares 3 2 5 2 8 4 2" xfId="24328"/>
    <cellStyle name="Separador de milhares 3 2 5 2 8 4 2 2" xfId="50561"/>
    <cellStyle name="Separador de milhares 3 2 5 2 8 4 3" xfId="31941"/>
    <cellStyle name="Separador de milhares 3 2 5 2 8 5" xfId="18414"/>
    <cellStyle name="Separador de milhares 3 2 5 2 8 5 2" xfId="44653"/>
    <cellStyle name="Separador de milhares 3 2 5 2 8 6" xfId="12083"/>
    <cellStyle name="Separador de milhares 3 2 5 2 8 6 2" xfId="38325"/>
    <cellStyle name="Separador de milhares 3 2 5 2 8 7" xfId="30243"/>
    <cellStyle name="Separador de milhares 3 2 5 2 9" xfId="3873"/>
    <cellStyle name="Separador de milhares 3 2 5 2 9 2" xfId="7542"/>
    <cellStyle name="Separador de milhares 3 2 5 2 9 2 2" xfId="10686"/>
    <cellStyle name="Separador de milhares 3 2 5 2 9 2 2 2" xfId="28900"/>
    <cellStyle name="Separador de milhares 3 2 5 2 9 2 2 2 2" xfId="55130"/>
    <cellStyle name="Separador de milhares 3 2 5 2 9 2 2 3" xfId="22986"/>
    <cellStyle name="Separador de milhares 3 2 5 2 9 2 2 3 2" xfId="49222"/>
    <cellStyle name="Separador de milhares 3 2 5 2 9 2 2 4" xfId="17072"/>
    <cellStyle name="Separador de milhares 3 2 5 2 9 2 2 4 2" xfId="43314"/>
    <cellStyle name="Separador de milhares 3 2 5 2 9 2 2 5" xfId="36928"/>
    <cellStyle name="Separador de milhares 3 2 5 2 9 2 3" xfId="25943"/>
    <cellStyle name="Separador de milhares 3 2 5 2 9 2 3 2" xfId="52176"/>
    <cellStyle name="Separador de milhares 3 2 5 2 9 2 4" xfId="20029"/>
    <cellStyle name="Separador de milhares 3 2 5 2 9 2 4 2" xfId="46268"/>
    <cellStyle name="Separador de milhares 3 2 5 2 9 2 5" xfId="13931"/>
    <cellStyle name="Separador de milhares 3 2 5 2 9 2 5 2" xfId="40173"/>
    <cellStyle name="Separador de milhares 3 2 5 2 9 2 6" xfId="33787"/>
    <cellStyle name="Separador de milhares 3 2 5 2 9 3" xfId="9218"/>
    <cellStyle name="Separador de milhares 3 2 5 2 9 3 2" xfId="27432"/>
    <cellStyle name="Separador de milhares 3 2 5 2 9 3 2 2" xfId="53662"/>
    <cellStyle name="Separador de milhares 3 2 5 2 9 3 3" xfId="21518"/>
    <cellStyle name="Separador de milhares 3 2 5 2 9 3 3 2" xfId="47754"/>
    <cellStyle name="Separador de milhares 3 2 5 2 9 3 4" xfId="15604"/>
    <cellStyle name="Separador de milhares 3 2 5 2 9 3 4 2" xfId="41846"/>
    <cellStyle name="Separador de milhares 3 2 5 2 9 3 5" xfId="35460"/>
    <cellStyle name="Separador de milhares 3 2 5 2 9 4" xfId="5843"/>
    <cellStyle name="Separador de milhares 3 2 5 2 9 4 2" xfId="24475"/>
    <cellStyle name="Separador de milhares 3 2 5 2 9 4 2 2" xfId="50708"/>
    <cellStyle name="Separador de milhares 3 2 5 2 9 4 3" xfId="32088"/>
    <cellStyle name="Separador de milhares 3 2 5 2 9 5" xfId="18561"/>
    <cellStyle name="Separador de milhares 3 2 5 2 9 5 2" xfId="44800"/>
    <cellStyle name="Separador de milhares 3 2 5 2 9 6" xfId="12230"/>
    <cellStyle name="Separador de milhares 3 2 5 2 9 6 2" xfId="38472"/>
    <cellStyle name="Separador de milhares 3 2 5 2 9 7" xfId="30390"/>
    <cellStyle name="Separador de milhares 3 2 5 3" xfId="325"/>
    <cellStyle name="Separador de milhares 3 2 5 3 10" xfId="6533"/>
    <cellStyle name="Separador de milhares 3 2 5 3 10 2" xfId="9684"/>
    <cellStyle name="Separador de milhares 3 2 5 3 10 2 2" xfId="27898"/>
    <cellStyle name="Separador de milhares 3 2 5 3 10 2 2 2" xfId="54128"/>
    <cellStyle name="Separador de milhares 3 2 5 3 10 2 3" xfId="21984"/>
    <cellStyle name="Separador de milhares 3 2 5 3 10 2 3 2" xfId="48220"/>
    <cellStyle name="Separador de milhares 3 2 5 3 10 2 4" xfId="16070"/>
    <cellStyle name="Separador de milhares 3 2 5 3 10 2 4 2" xfId="42312"/>
    <cellStyle name="Separador de milhares 3 2 5 3 10 2 5" xfId="35926"/>
    <cellStyle name="Separador de milhares 3 2 5 3 10 3" xfId="24941"/>
    <cellStyle name="Separador de milhares 3 2 5 3 10 3 2" xfId="51174"/>
    <cellStyle name="Separador de milhares 3 2 5 3 10 4" xfId="19027"/>
    <cellStyle name="Separador de milhares 3 2 5 3 10 4 2" xfId="45266"/>
    <cellStyle name="Separador de milhares 3 2 5 3 10 5" xfId="12922"/>
    <cellStyle name="Separador de milhares 3 2 5 3 10 5 2" xfId="39164"/>
    <cellStyle name="Separador de milhares 3 2 5 3 10 6" xfId="32778"/>
    <cellStyle name="Separador de milhares 3 2 5 3 11" xfId="8213"/>
    <cellStyle name="Separador de milhares 3 2 5 3 11 2" xfId="26427"/>
    <cellStyle name="Separador de milhares 3 2 5 3 11 2 2" xfId="52660"/>
    <cellStyle name="Separador de milhares 3 2 5 3 11 3" xfId="20513"/>
    <cellStyle name="Separador de milhares 3 2 5 3 11 3 2" xfId="46752"/>
    <cellStyle name="Separador de milhares 3 2 5 3 11 4" xfId="14602"/>
    <cellStyle name="Separador de milhares 3 2 5 3 11 4 2" xfId="40844"/>
    <cellStyle name="Separador de milhares 3 2 5 3 11 5" xfId="34458"/>
    <cellStyle name="Separador de milhares 3 2 5 3 12" xfId="4832"/>
    <cellStyle name="Separador de milhares 3 2 5 3 12 2" xfId="23470"/>
    <cellStyle name="Separador de milhares 3 2 5 3 12 2 2" xfId="49706"/>
    <cellStyle name="Separador de milhares 3 2 5 3 12 3" xfId="31079"/>
    <cellStyle name="Separador de milhares 3 2 5 3 13" xfId="17556"/>
    <cellStyle name="Separador de milhares 3 2 5 3 13 2" xfId="43798"/>
    <cellStyle name="Separador de milhares 3 2 5 3 14" xfId="11221"/>
    <cellStyle name="Separador de milhares 3 2 5 3 14 2" xfId="37463"/>
    <cellStyle name="Separador de milhares 3 2 5 3 15" xfId="29381"/>
    <cellStyle name="Separador de milhares 3 2 5 3 2" xfId="588"/>
    <cellStyle name="Separador de milhares 3 2 5 3 2 2" xfId="6604"/>
    <cellStyle name="Separador de milhares 3 2 5 3 2 2 2" xfId="9751"/>
    <cellStyle name="Separador de milhares 3 2 5 3 2 2 2 2" xfId="27965"/>
    <cellStyle name="Separador de milhares 3 2 5 3 2 2 2 2 2" xfId="54195"/>
    <cellStyle name="Separador de milhares 3 2 5 3 2 2 2 3" xfId="22051"/>
    <cellStyle name="Separador de milhares 3 2 5 3 2 2 2 3 2" xfId="48287"/>
    <cellStyle name="Separador de milhares 3 2 5 3 2 2 2 4" xfId="16137"/>
    <cellStyle name="Separador de milhares 3 2 5 3 2 2 2 4 2" xfId="42379"/>
    <cellStyle name="Separador de milhares 3 2 5 3 2 2 2 5" xfId="35993"/>
    <cellStyle name="Separador de milhares 3 2 5 3 2 2 3" xfId="25008"/>
    <cellStyle name="Separador de milhares 3 2 5 3 2 2 3 2" xfId="51241"/>
    <cellStyle name="Separador de milhares 3 2 5 3 2 2 4" xfId="19094"/>
    <cellStyle name="Separador de milhares 3 2 5 3 2 2 4 2" xfId="45333"/>
    <cellStyle name="Separador de milhares 3 2 5 3 2 2 5" xfId="12993"/>
    <cellStyle name="Separador de milhares 3 2 5 3 2 2 5 2" xfId="39235"/>
    <cellStyle name="Separador de milhares 3 2 5 3 2 2 6" xfId="32849"/>
    <cellStyle name="Separador de milhares 3 2 5 3 2 3" xfId="8280"/>
    <cellStyle name="Separador de milhares 3 2 5 3 2 3 2" xfId="26494"/>
    <cellStyle name="Separador de milhares 3 2 5 3 2 3 2 2" xfId="52727"/>
    <cellStyle name="Separador de milhares 3 2 5 3 2 3 3" xfId="20580"/>
    <cellStyle name="Separador de milhares 3 2 5 3 2 3 3 2" xfId="46819"/>
    <cellStyle name="Separador de milhares 3 2 5 3 2 3 4" xfId="14669"/>
    <cellStyle name="Separador de milhares 3 2 5 3 2 3 4 2" xfId="40911"/>
    <cellStyle name="Separador de milhares 3 2 5 3 2 3 5" xfId="34525"/>
    <cellStyle name="Separador de milhares 3 2 5 3 2 4" xfId="4903"/>
    <cellStyle name="Separador de milhares 3 2 5 3 2 4 2" xfId="23537"/>
    <cellStyle name="Separador de milhares 3 2 5 3 2 4 2 2" xfId="49773"/>
    <cellStyle name="Separador de milhares 3 2 5 3 2 4 3" xfId="31150"/>
    <cellStyle name="Separador de milhares 3 2 5 3 2 5" xfId="17623"/>
    <cellStyle name="Separador de milhares 3 2 5 3 2 5 2" xfId="43865"/>
    <cellStyle name="Separador de milhares 3 2 5 3 2 6" xfId="11292"/>
    <cellStyle name="Separador de milhares 3 2 5 3 2 6 2" xfId="37534"/>
    <cellStyle name="Separador de milhares 3 2 5 3 2 7" xfId="29452"/>
    <cellStyle name="Separador de milhares 3 2 5 3 3" xfId="885"/>
    <cellStyle name="Separador de milhares 3 2 5 3 3 2" xfId="6706"/>
    <cellStyle name="Separador de milhares 3 2 5 3 3 2 2" xfId="9853"/>
    <cellStyle name="Separador de milhares 3 2 5 3 3 2 2 2" xfId="28067"/>
    <cellStyle name="Separador de milhares 3 2 5 3 3 2 2 2 2" xfId="54297"/>
    <cellStyle name="Separador de milhares 3 2 5 3 3 2 2 3" xfId="22153"/>
    <cellStyle name="Separador de milhares 3 2 5 3 3 2 2 3 2" xfId="48389"/>
    <cellStyle name="Separador de milhares 3 2 5 3 3 2 2 4" xfId="16239"/>
    <cellStyle name="Separador de milhares 3 2 5 3 3 2 2 4 2" xfId="42481"/>
    <cellStyle name="Separador de milhares 3 2 5 3 3 2 2 5" xfId="36095"/>
    <cellStyle name="Separador de milhares 3 2 5 3 3 2 3" xfId="25110"/>
    <cellStyle name="Separador de milhares 3 2 5 3 3 2 3 2" xfId="51343"/>
    <cellStyle name="Separador de milhares 3 2 5 3 3 2 4" xfId="19196"/>
    <cellStyle name="Separador de milhares 3 2 5 3 3 2 4 2" xfId="45435"/>
    <cellStyle name="Separador de milhares 3 2 5 3 3 2 5" xfId="13095"/>
    <cellStyle name="Separador de milhares 3 2 5 3 3 2 5 2" xfId="39337"/>
    <cellStyle name="Separador de milhares 3 2 5 3 3 2 6" xfId="32951"/>
    <cellStyle name="Separador de milhares 3 2 5 3 3 3" xfId="8385"/>
    <cellStyle name="Separador de milhares 3 2 5 3 3 3 2" xfId="26599"/>
    <cellStyle name="Separador de milhares 3 2 5 3 3 3 2 2" xfId="52829"/>
    <cellStyle name="Separador de milhares 3 2 5 3 3 3 3" xfId="20685"/>
    <cellStyle name="Separador de milhares 3 2 5 3 3 3 3 2" xfId="46921"/>
    <cellStyle name="Separador de milhares 3 2 5 3 3 3 4" xfId="14771"/>
    <cellStyle name="Separador de milhares 3 2 5 3 3 3 4 2" xfId="41013"/>
    <cellStyle name="Separador de milhares 3 2 5 3 3 3 5" xfId="34627"/>
    <cellStyle name="Separador de milhares 3 2 5 3 3 4" xfId="5007"/>
    <cellStyle name="Separador de milhares 3 2 5 3 3 4 2" xfId="23642"/>
    <cellStyle name="Separador de milhares 3 2 5 3 3 4 2 2" xfId="49875"/>
    <cellStyle name="Separador de milhares 3 2 5 3 3 4 3" xfId="31252"/>
    <cellStyle name="Separador de milhares 3 2 5 3 3 5" xfId="17728"/>
    <cellStyle name="Separador de milhares 3 2 5 3 3 5 2" xfId="43967"/>
    <cellStyle name="Separador de milhares 3 2 5 3 3 6" xfId="11394"/>
    <cellStyle name="Separador de milhares 3 2 5 3 3 6 2" xfId="37636"/>
    <cellStyle name="Separador de milhares 3 2 5 3 3 7" xfId="29554"/>
    <cellStyle name="Separador de milhares 3 2 5 3 4" xfId="1236"/>
    <cellStyle name="Separador de milhares 3 2 5 3 4 2" xfId="6804"/>
    <cellStyle name="Separador de milhares 3 2 5 3 4 2 2" xfId="9951"/>
    <cellStyle name="Separador de milhares 3 2 5 3 4 2 2 2" xfId="28165"/>
    <cellStyle name="Separador de milhares 3 2 5 3 4 2 2 2 2" xfId="54395"/>
    <cellStyle name="Separador de milhares 3 2 5 3 4 2 2 3" xfId="22251"/>
    <cellStyle name="Separador de milhares 3 2 5 3 4 2 2 3 2" xfId="48487"/>
    <cellStyle name="Separador de milhares 3 2 5 3 4 2 2 4" xfId="16337"/>
    <cellStyle name="Separador de milhares 3 2 5 3 4 2 2 4 2" xfId="42579"/>
    <cellStyle name="Separador de milhares 3 2 5 3 4 2 2 5" xfId="36193"/>
    <cellStyle name="Separador de milhares 3 2 5 3 4 2 3" xfId="25208"/>
    <cellStyle name="Separador de milhares 3 2 5 3 4 2 3 2" xfId="51441"/>
    <cellStyle name="Separador de milhares 3 2 5 3 4 2 4" xfId="19294"/>
    <cellStyle name="Separador de milhares 3 2 5 3 4 2 4 2" xfId="45533"/>
    <cellStyle name="Separador de milhares 3 2 5 3 4 2 5" xfId="13193"/>
    <cellStyle name="Separador de milhares 3 2 5 3 4 2 5 2" xfId="39435"/>
    <cellStyle name="Separador de milhares 3 2 5 3 4 2 6" xfId="33049"/>
    <cellStyle name="Separador de milhares 3 2 5 3 4 3" xfId="8483"/>
    <cellStyle name="Separador de milhares 3 2 5 3 4 3 2" xfId="26697"/>
    <cellStyle name="Separador de milhares 3 2 5 3 4 3 2 2" xfId="52927"/>
    <cellStyle name="Separador de milhares 3 2 5 3 4 3 3" xfId="20783"/>
    <cellStyle name="Separador de milhares 3 2 5 3 4 3 3 2" xfId="47019"/>
    <cellStyle name="Separador de milhares 3 2 5 3 4 3 4" xfId="14869"/>
    <cellStyle name="Separador de milhares 3 2 5 3 4 3 4 2" xfId="41111"/>
    <cellStyle name="Separador de milhares 3 2 5 3 4 3 5" xfId="34725"/>
    <cellStyle name="Separador de milhares 3 2 5 3 4 4" xfId="5105"/>
    <cellStyle name="Separador de milhares 3 2 5 3 4 4 2" xfId="23740"/>
    <cellStyle name="Separador de milhares 3 2 5 3 4 4 2 2" xfId="49973"/>
    <cellStyle name="Separador de milhares 3 2 5 3 4 4 3" xfId="31350"/>
    <cellStyle name="Separador de milhares 3 2 5 3 4 5" xfId="17826"/>
    <cellStyle name="Separador de milhares 3 2 5 3 4 5 2" xfId="44065"/>
    <cellStyle name="Separador de milhares 3 2 5 3 4 6" xfId="11492"/>
    <cellStyle name="Separador de milhares 3 2 5 3 4 6 2" xfId="37734"/>
    <cellStyle name="Separador de milhares 3 2 5 3 4 7" xfId="29652"/>
    <cellStyle name="Separador de milhares 3 2 5 3 5" xfId="1671"/>
    <cellStyle name="Separador de milhares 3 2 5 3 5 2" xfId="6923"/>
    <cellStyle name="Separador de milhares 3 2 5 3 5 2 2" xfId="10070"/>
    <cellStyle name="Separador de milhares 3 2 5 3 5 2 2 2" xfId="28284"/>
    <cellStyle name="Separador de milhares 3 2 5 3 5 2 2 2 2" xfId="54514"/>
    <cellStyle name="Separador de milhares 3 2 5 3 5 2 2 3" xfId="22370"/>
    <cellStyle name="Separador de milhares 3 2 5 3 5 2 2 3 2" xfId="48606"/>
    <cellStyle name="Separador de milhares 3 2 5 3 5 2 2 4" xfId="16456"/>
    <cellStyle name="Separador de milhares 3 2 5 3 5 2 2 4 2" xfId="42698"/>
    <cellStyle name="Separador de milhares 3 2 5 3 5 2 2 5" xfId="36312"/>
    <cellStyle name="Separador de milhares 3 2 5 3 5 2 3" xfId="25327"/>
    <cellStyle name="Separador de milhares 3 2 5 3 5 2 3 2" xfId="51560"/>
    <cellStyle name="Separador de milhares 3 2 5 3 5 2 4" xfId="19413"/>
    <cellStyle name="Separador de milhares 3 2 5 3 5 2 4 2" xfId="45652"/>
    <cellStyle name="Separador de milhares 3 2 5 3 5 2 5" xfId="13312"/>
    <cellStyle name="Separador de milhares 3 2 5 3 5 2 5 2" xfId="39554"/>
    <cellStyle name="Separador de milhares 3 2 5 3 5 2 6" xfId="33168"/>
    <cellStyle name="Separador de milhares 3 2 5 3 5 3" xfId="8602"/>
    <cellStyle name="Separador de milhares 3 2 5 3 5 3 2" xfId="26816"/>
    <cellStyle name="Separador de milhares 3 2 5 3 5 3 2 2" xfId="53046"/>
    <cellStyle name="Separador de milhares 3 2 5 3 5 3 3" xfId="20902"/>
    <cellStyle name="Separador de milhares 3 2 5 3 5 3 3 2" xfId="47138"/>
    <cellStyle name="Separador de milhares 3 2 5 3 5 3 4" xfId="14988"/>
    <cellStyle name="Separador de milhares 3 2 5 3 5 3 4 2" xfId="41230"/>
    <cellStyle name="Separador de milhares 3 2 5 3 5 3 5" xfId="34844"/>
    <cellStyle name="Separador de milhares 3 2 5 3 5 4" xfId="5224"/>
    <cellStyle name="Separador de milhares 3 2 5 3 5 4 2" xfId="23859"/>
    <cellStyle name="Separador de milhares 3 2 5 3 5 4 2 2" xfId="50092"/>
    <cellStyle name="Separador de milhares 3 2 5 3 5 4 3" xfId="31469"/>
    <cellStyle name="Separador de milhares 3 2 5 3 5 5" xfId="17945"/>
    <cellStyle name="Separador de milhares 3 2 5 3 5 5 2" xfId="44184"/>
    <cellStyle name="Separador de milhares 3 2 5 3 5 6" xfId="11611"/>
    <cellStyle name="Separador de milhares 3 2 5 3 5 6 2" xfId="37853"/>
    <cellStyle name="Separador de milhares 3 2 5 3 5 7" xfId="29771"/>
    <cellStyle name="Separador de milhares 3 2 5 3 6" xfId="2201"/>
    <cellStyle name="Separador de milhares 3 2 5 3 6 2" xfId="7073"/>
    <cellStyle name="Separador de milhares 3 2 5 3 6 2 2" xfId="10217"/>
    <cellStyle name="Separador de milhares 3 2 5 3 6 2 2 2" xfId="28431"/>
    <cellStyle name="Separador de milhares 3 2 5 3 6 2 2 2 2" xfId="54661"/>
    <cellStyle name="Separador de milhares 3 2 5 3 6 2 2 3" xfId="22517"/>
    <cellStyle name="Separador de milhares 3 2 5 3 6 2 2 3 2" xfId="48753"/>
    <cellStyle name="Separador de milhares 3 2 5 3 6 2 2 4" xfId="16603"/>
    <cellStyle name="Separador de milhares 3 2 5 3 6 2 2 4 2" xfId="42845"/>
    <cellStyle name="Separador de milhares 3 2 5 3 6 2 2 5" xfId="36459"/>
    <cellStyle name="Separador de milhares 3 2 5 3 6 2 3" xfId="25474"/>
    <cellStyle name="Separador de milhares 3 2 5 3 6 2 3 2" xfId="51707"/>
    <cellStyle name="Separador de milhares 3 2 5 3 6 2 4" xfId="19560"/>
    <cellStyle name="Separador de milhares 3 2 5 3 6 2 4 2" xfId="45799"/>
    <cellStyle name="Separador de milhares 3 2 5 3 6 2 5" xfId="13462"/>
    <cellStyle name="Separador de milhares 3 2 5 3 6 2 5 2" xfId="39704"/>
    <cellStyle name="Separador de milhares 3 2 5 3 6 2 6" xfId="33318"/>
    <cellStyle name="Separador de milhares 3 2 5 3 6 3" xfId="8749"/>
    <cellStyle name="Separador de milhares 3 2 5 3 6 3 2" xfId="26963"/>
    <cellStyle name="Separador de milhares 3 2 5 3 6 3 2 2" xfId="53193"/>
    <cellStyle name="Separador de milhares 3 2 5 3 6 3 3" xfId="21049"/>
    <cellStyle name="Separador de milhares 3 2 5 3 6 3 3 2" xfId="47285"/>
    <cellStyle name="Separador de milhares 3 2 5 3 6 3 4" xfId="15135"/>
    <cellStyle name="Separador de milhares 3 2 5 3 6 3 4 2" xfId="41377"/>
    <cellStyle name="Separador de milhares 3 2 5 3 6 3 5" xfId="34991"/>
    <cellStyle name="Separador de milhares 3 2 5 3 6 4" xfId="5374"/>
    <cellStyle name="Separador de milhares 3 2 5 3 6 4 2" xfId="24006"/>
    <cellStyle name="Separador de milhares 3 2 5 3 6 4 2 2" xfId="50239"/>
    <cellStyle name="Separador de milhares 3 2 5 3 6 4 3" xfId="31619"/>
    <cellStyle name="Separador de milhares 3 2 5 3 6 5" xfId="18092"/>
    <cellStyle name="Separador de milhares 3 2 5 3 6 5 2" xfId="44331"/>
    <cellStyle name="Separador de milhares 3 2 5 3 6 6" xfId="11761"/>
    <cellStyle name="Separador de milhares 3 2 5 3 6 6 2" xfId="38003"/>
    <cellStyle name="Separador de milhares 3 2 5 3 6 7" xfId="29921"/>
    <cellStyle name="Separador de milhares 3 2 5 3 7" xfId="2728"/>
    <cellStyle name="Separador de milhares 3 2 5 3 7 2" xfId="7220"/>
    <cellStyle name="Separador de milhares 3 2 5 3 7 2 2" xfId="10364"/>
    <cellStyle name="Separador de milhares 3 2 5 3 7 2 2 2" xfId="28578"/>
    <cellStyle name="Separador de milhares 3 2 5 3 7 2 2 2 2" xfId="54808"/>
    <cellStyle name="Separador de milhares 3 2 5 3 7 2 2 3" xfId="22664"/>
    <cellStyle name="Separador de milhares 3 2 5 3 7 2 2 3 2" xfId="48900"/>
    <cellStyle name="Separador de milhares 3 2 5 3 7 2 2 4" xfId="16750"/>
    <cellStyle name="Separador de milhares 3 2 5 3 7 2 2 4 2" xfId="42992"/>
    <cellStyle name="Separador de milhares 3 2 5 3 7 2 2 5" xfId="36606"/>
    <cellStyle name="Separador de milhares 3 2 5 3 7 2 3" xfId="25621"/>
    <cellStyle name="Separador de milhares 3 2 5 3 7 2 3 2" xfId="51854"/>
    <cellStyle name="Separador de milhares 3 2 5 3 7 2 4" xfId="19707"/>
    <cellStyle name="Separador de milhares 3 2 5 3 7 2 4 2" xfId="45946"/>
    <cellStyle name="Separador de milhares 3 2 5 3 7 2 5" xfId="13609"/>
    <cellStyle name="Separador de milhares 3 2 5 3 7 2 5 2" xfId="39851"/>
    <cellStyle name="Separador de milhares 3 2 5 3 7 2 6" xfId="33465"/>
    <cellStyle name="Separador de milhares 3 2 5 3 7 3" xfId="8896"/>
    <cellStyle name="Separador de milhares 3 2 5 3 7 3 2" xfId="27110"/>
    <cellStyle name="Separador de milhares 3 2 5 3 7 3 2 2" xfId="53340"/>
    <cellStyle name="Separador de milhares 3 2 5 3 7 3 3" xfId="21196"/>
    <cellStyle name="Separador de milhares 3 2 5 3 7 3 3 2" xfId="47432"/>
    <cellStyle name="Separador de milhares 3 2 5 3 7 3 4" xfId="15282"/>
    <cellStyle name="Separador de milhares 3 2 5 3 7 3 4 2" xfId="41524"/>
    <cellStyle name="Separador de milhares 3 2 5 3 7 3 5" xfId="35138"/>
    <cellStyle name="Separador de milhares 3 2 5 3 7 4" xfId="5521"/>
    <cellStyle name="Separador de milhares 3 2 5 3 7 4 2" xfId="24153"/>
    <cellStyle name="Separador de milhares 3 2 5 3 7 4 2 2" xfId="50386"/>
    <cellStyle name="Separador de milhares 3 2 5 3 7 4 3" xfId="31766"/>
    <cellStyle name="Separador de milhares 3 2 5 3 7 5" xfId="18239"/>
    <cellStyle name="Separador de milhares 3 2 5 3 7 5 2" xfId="44478"/>
    <cellStyle name="Separador de milhares 3 2 5 3 7 6" xfId="11908"/>
    <cellStyle name="Separador de milhares 3 2 5 3 7 6 2" xfId="38150"/>
    <cellStyle name="Separador de milhares 3 2 5 3 7 7" xfId="30068"/>
    <cellStyle name="Separador de milhares 3 2 5 3 8" xfId="3255"/>
    <cellStyle name="Separador de milhares 3 2 5 3 8 2" xfId="7367"/>
    <cellStyle name="Separador de milhares 3 2 5 3 8 2 2" xfId="10511"/>
    <cellStyle name="Separador de milhares 3 2 5 3 8 2 2 2" xfId="28725"/>
    <cellStyle name="Separador de milhares 3 2 5 3 8 2 2 2 2" xfId="54955"/>
    <cellStyle name="Separador de milhares 3 2 5 3 8 2 2 3" xfId="22811"/>
    <cellStyle name="Separador de milhares 3 2 5 3 8 2 2 3 2" xfId="49047"/>
    <cellStyle name="Separador de milhares 3 2 5 3 8 2 2 4" xfId="16897"/>
    <cellStyle name="Separador de milhares 3 2 5 3 8 2 2 4 2" xfId="43139"/>
    <cellStyle name="Separador de milhares 3 2 5 3 8 2 2 5" xfId="36753"/>
    <cellStyle name="Separador de milhares 3 2 5 3 8 2 3" xfId="25768"/>
    <cellStyle name="Separador de milhares 3 2 5 3 8 2 3 2" xfId="52001"/>
    <cellStyle name="Separador de milhares 3 2 5 3 8 2 4" xfId="19854"/>
    <cellStyle name="Separador de milhares 3 2 5 3 8 2 4 2" xfId="46093"/>
    <cellStyle name="Separador de milhares 3 2 5 3 8 2 5" xfId="13756"/>
    <cellStyle name="Separador de milhares 3 2 5 3 8 2 5 2" xfId="39998"/>
    <cellStyle name="Separador de milhares 3 2 5 3 8 2 6" xfId="33612"/>
    <cellStyle name="Separador de milhares 3 2 5 3 8 3" xfId="9043"/>
    <cellStyle name="Separador de milhares 3 2 5 3 8 3 2" xfId="27257"/>
    <cellStyle name="Separador de milhares 3 2 5 3 8 3 2 2" xfId="53487"/>
    <cellStyle name="Separador de milhares 3 2 5 3 8 3 3" xfId="21343"/>
    <cellStyle name="Separador de milhares 3 2 5 3 8 3 3 2" xfId="47579"/>
    <cellStyle name="Separador de milhares 3 2 5 3 8 3 4" xfId="15429"/>
    <cellStyle name="Separador de milhares 3 2 5 3 8 3 4 2" xfId="41671"/>
    <cellStyle name="Separador de milhares 3 2 5 3 8 3 5" xfId="35285"/>
    <cellStyle name="Separador de milhares 3 2 5 3 8 4" xfId="5668"/>
    <cellStyle name="Separador de milhares 3 2 5 3 8 4 2" xfId="24300"/>
    <cellStyle name="Separador de milhares 3 2 5 3 8 4 2 2" xfId="50533"/>
    <cellStyle name="Separador de milhares 3 2 5 3 8 4 3" xfId="31913"/>
    <cellStyle name="Separador de milhares 3 2 5 3 8 5" xfId="18386"/>
    <cellStyle name="Separador de milhares 3 2 5 3 8 5 2" xfId="44625"/>
    <cellStyle name="Separador de milhares 3 2 5 3 8 6" xfId="12055"/>
    <cellStyle name="Separador de milhares 3 2 5 3 8 6 2" xfId="38297"/>
    <cellStyle name="Separador de milhares 3 2 5 3 8 7" xfId="30215"/>
    <cellStyle name="Separador de milhares 3 2 5 3 9" xfId="3782"/>
    <cellStyle name="Separador de milhares 3 2 5 3 9 2" xfId="7514"/>
    <cellStyle name="Separador de milhares 3 2 5 3 9 2 2" xfId="10658"/>
    <cellStyle name="Separador de milhares 3 2 5 3 9 2 2 2" xfId="28872"/>
    <cellStyle name="Separador de milhares 3 2 5 3 9 2 2 2 2" xfId="55102"/>
    <cellStyle name="Separador de milhares 3 2 5 3 9 2 2 3" xfId="22958"/>
    <cellStyle name="Separador de milhares 3 2 5 3 9 2 2 3 2" xfId="49194"/>
    <cellStyle name="Separador de milhares 3 2 5 3 9 2 2 4" xfId="17044"/>
    <cellStyle name="Separador de milhares 3 2 5 3 9 2 2 4 2" xfId="43286"/>
    <cellStyle name="Separador de milhares 3 2 5 3 9 2 2 5" xfId="36900"/>
    <cellStyle name="Separador de milhares 3 2 5 3 9 2 3" xfId="25915"/>
    <cellStyle name="Separador de milhares 3 2 5 3 9 2 3 2" xfId="52148"/>
    <cellStyle name="Separador de milhares 3 2 5 3 9 2 4" xfId="20001"/>
    <cellStyle name="Separador de milhares 3 2 5 3 9 2 4 2" xfId="46240"/>
    <cellStyle name="Separador de milhares 3 2 5 3 9 2 5" xfId="13903"/>
    <cellStyle name="Separador de milhares 3 2 5 3 9 2 5 2" xfId="40145"/>
    <cellStyle name="Separador de milhares 3 2 5 3 9 2 6" xfId="33759"/>
    <cellStyle name="Separador de milhares 3 2 5 3 9 3" xfId="9190"/>
    <cellStyle name="Separador de milhares 3 2 5 3 9 3 2" xfId="27404"/>
    <cellStyle name="Separador de milhares 3 2 5 3 9 3 2 2" xfId="53634"/>
    <cellStyle name="Separador de milhares 3 2 5 3 9 3 3" xfId="21490"/>
    <cellStyle name="Separador de milhares 3 2 5 3 9 3 3 2" xfId="47726"/>
    <cellStyle name="Separador de milhares 3 2 5 3 9 3 4" xfId="15576"/>
    <cellStyle name="Separador de milhares 3 2 5 3 9 3 4 2" xfId="41818"/>
    <cellStyle name="Separador de milhares 3 2 5 3 9 3 5" xfId="35432"/>
    <cellStyle name="Separador de milhares 3 2 5 3 9 4" xfId="5815"/>
    <cellStyle name="Separador de milhares 3 2 5 3 9 4 2" xfId="24447"/>
    <cellStyle name="Separador de milhares 3 2 5 3 9 4 2 2" xfId="50680"/>
    <cellStyle name="Separador de milhares 3 2 5 3 9 4 3" xfId="32060"/>
    <cellStyle name="Separador de milhares 3 2 5 3 9 5" xfId="18533"/>
    <cellStyle name="Separador de milhares 3 2 5 3 9 5 2" xfId="44772"/>
    <cellStyle name="Separador de milhares 3 2 5 3 9 6" xfId="12202"/>
    <cellStyle name="Separador de milhares 3 2 5 3 9 6 2" xfId="38444"/>
    <cellStyle name="Separador de milhares 3 2 5 3 9 7" xfId="30362"/>
    <cellStyle name="Separador de milhares 3 2 5 4" xfId="418"/>
    <cellStyle name="Separador de milhares 3 2 5 4 10" xfId="6561"/>
    <cellStyle name="Separador de milhares 3 2 5 4 10 2" xfId="9709"/>
    <cellStyle name="Separador de milhares 3 2 5 4 10 2 2" xfId="27923"/>
    <cellStyle name="Separador de milhares 3 2 5 4 10 2 2 2" xfId="54153"/>
    <cellStyle name="Separador de milhares 3 2 5 4 10 2 3" xfId="22009"/>
    <cellStyle name="Separador de milhares 3 2 5 4 10 2 3 2" xfId="48245"/>
    <cellStyle name="Separador de milhares 3 2 5 4 10 2 4" xfId="16095"/>
    <cellStyle name="Separador de milhares 3 2 5 4 10 2 4 2" xfId="42337"/>
    <cellStyle name="Separador de milhares 3 2 5 4 10 2 5" xfId="35951"/>
    <cellStyle name="Separador de milhares 3 2 5 4 10 3" xfId="24966"/>
    <cellStyle name="Separador de milhares 3 2 5 4 10 3 2" xfId="51199"/>
    <cellStyle name="Separador de milhares 3 2 5 4 10 4" xfId="19052"/>
    <cellStyle name="Separador de milhares 3 2 5 4 10 4 2" xfId="45291"/>
    <cellStyle name="Separador de milhares 3 2 5 4 10 5" xfId="12950"/>
    <cellStyle name="Separador de milhares 3 2 5 4 10 5 2" xfId="39192"/>
    <cellStyle name="Separador de milhares 3 2 5 4 10 6" xfId="32806"/>
    <cellStyle name="Separador de milhares 3 2 5 4 11" xfId="8238"/>
    <cellStyle name="Separador de milhares 3 2 5 4 11 2" xfId="26452"/>
    <cellStyle name="Separador de milhares 3 2 5 4 11 2 2" xfId="52685"/>
    <cellStyle name="Separador de milhares 3 2 5 4 11 3" xfId="20538"/>
    <cellStyle name="Separador de milhares 3 2 5 4 11 3 2" xfId="46777"/>
    <cellStyle name="Separador de milhares 3 2 5 4 11 4" xfId="14627"/>
    <cellStyle name="Separador de milhares 3 2 5 4 11 4 2" xfId="40869"/>
    <cellStyle name="Separador de milhares 3 2 5 4 11 5" xfId="34483"/>
    <cellStyle name="Separador de milhares 3 2 5 4 12" xfId="4860"/>
    <cellStyle name="Separador de milhares 3 2 5 4 12 2" xfId="23495"/>
    <cellStyle name="Separador de milhares 3 2 5 4 12 2 2" xfId="49731"/>
    <cellStyle name="Separador de milhares 3 2 5 4 12 3" xfId="31107"/>
    <cellStyle name="Separador de milhares 3 2 5 4 13" xfId="17581"/>
    <cellStyle name="Separador de milhares 3 2 5 4 13 2" xfId="43823"/>
    <cellStyle name="Separador de milhares 3 2 5 4 14" xfId="11249"/>
    <cellStyle name="Separador de milhares 3 2 5 4 14 2" xfId="37491"/>
    <cellStyle name="Separador de milhares 3 2 5 4 15" xfId="29409"/>
    <cellStyle name="Separador de milhares 3 2 5 4 2" xfId="1063"/>
    <cellStyle name="Separador de milhares 3 2 5 4 2 2" xfId="6758"/>
    <cellStyle name="Separador de milhares 3 2 5 4 2 2 2" xfId="9905"/>
    <cellStyle name="Separador de milhares 3 2 5 4 2 2 2 2" xfId="28119"/>
    <cellStyle name="Separador de milhares 3 2 5 4 2 2 2 2 2" xfId="54349"/>
    <cellStyle name="Separador de milhares 3 2 5 4 2 2 2 3" xfId="22205"/>
    <cellStyle name="Separador de milhares 3 2 5 4 2 2 2 3 2" xfId="48441"/>
    <cellStyle name="Separador de milhares 3 2 5 4 2 2 2 4" xfId="16291"/>
    <cellStyle name="Separador de milhares 3 2 5 4 2 2 2 4 2" xfId="42533"/>
    <cellStyle name="Separador de milhares 3 2 5 4 2 2 2 5" xfId="36147"/>
    <cellStyle name="Separador de milhares 3 2 5 4 2 2 3" xfId="25162"/>
    <cellStyle name="Separador de milhares 3 2 5 4 2 2 3 2" xfId="51395"/>
    <cellStyle name="Separador de milhares 3 2 5 4 2 2 4" xfId="19248"/>
    <cellStyle name="Separador de milhares 3 2 5 4 2 2 4 2" xfId="45487"/>
    <cellStyle name="Separador de milhares 3 2 5 4 2 2 5" xfId="13147"/>
    <cellStyle name="Separador de milhares 3 2 5 4 2 2 5 2" xfId="39389"/>
    <cellStyle name="Separador de milhares 3 2 5 4 2 2 6" xfId="33003"/>
    <cellStyle name="Separador de milhares 3 2 5 4 2 3" xfId="8437"/>
    <cellStyle name="Separador de milhares 3 2 5 4 2 3 2" xfId="26651"/>
    <cellStyle name="Separador de milhares 3 2 5 4 2 3 2 2" xfId="52881"/>
    <cellStyle name="Separador de milhares 3 2 5 4 2 3 3" xfId="20737"/>
    <cellStyle name="Separador de milhares 3 2 5 4 2 3 3 2" xfId="46973"/>
    <cellStyle name="Separador de milhares 3 2 5 4 2 3 4" xfId="14823"/>
    <cellStyle name="Separador de milhares 3 2 5 4 2 3 4 2" xfId="41065"/>
    <cellStyle name="Separador de milhares 3 2 5 4 2 3 5" xfId="34679"/>
    <cellStyle name="Separador de milhares 3 2 5 4 2 4" xfId="5059"/>
    <cellStyle name="Separador de milhares 3 2 5 4 2 4 2" xfId="23694"/>
    <cellStyle name="Separador de milhares 3 2 5 4 2 4 2 2" xfId="49927"/>
    <cellStyle name="Separador de milhares 3 2 5 4 2 4 3" xfId="31304"/>
    <cellStyle name="Separador de milhares 3 2 5 4 2 5" xfId="17780"/>
    <cellStyle name="Separador de milhares 3 2 5 4 2 5 2" xfId="44019"/>
    <cellStyle name="Separador de milhares 3 2 5 4 2 6" xfId="11446"/>
    <cellStyle name="Separador de milhares 3 2 5 4 2 6 2" xfId="37688"/>
    <cellStyle name="Separador de milhares 3 2 5 4 2 7" xfId="29606"/>
    <cellStyle name="Separador de milhares 3 2 5 4 3" xfId="1414"/>
    <cellStyle name="Separador de milhares 3 2 5 4 3 2" xfId="6856"/>
    <cellStyle name="Separador de milhares 3 2 5 4 3 2 2" xfId="10003"/>
    <cellStyle name="Separador de milhares 3 2 5 4 3 2 2 2" xfId="28217"/>
    <cellStyle name="Separador de milhares 3 2 5 4 3 2 2 2 2" xfId="54447"/>
    <cellStyle name="Separador de milhares 3 2 5 4 3 2 2 3" xfId="22303"/>
    <cellStyle name="Separador de milhares 3 2 5 4 3 2 2 3 2" xfId="48539"/>
    <cellStyle name="Separador de milhares 3 2 5 4 3 2 2 4" xfId="16389"/>
    <cellStyle name="Separador de milhares 3 2 5 4 3 2 2 4 2" xfId="42631"/>
    <cellStyle name="Separador de milhares 3 2 5 4 3 2 2 5" xfId="36245"/>
    <cellStyle name="Separador de milhares 3 2 5 4 3 2 3" xfId="25260"/>
    <cellStyle name="Separador de milhares 3 2 5 4 3 2 3 2" xfId="51493"/>
    <cellStyle name="Separador de milhares 3 2 5 4 3 2 4" xfId="19346"/>
    <cellStyle name="Separador de milhares 3 2 5 4 3 2 4 2" xfId="45585"/>
    <cellStyle name="Separador de milhares 3 2 5 4 3 2 5" xfId="13245"/>
    <cellStyle name="Separador de milhares 3 2 5 4 3 2 5 2" xfId="39487"/>
    <cellStyle name="Separador de milhares 3 2 5 4 3 2 6" xfId="33101"/>
    <cellStyle name="Separador de milhares 3 2 5 4 3 3" xfId="8535"/>
    <cellStyle name="Separador de milhares 3 2 5 4 3 3 2" xfId="26749"/>
    <cellStyle name="Separador de milhares 3 2 5 4 3 3 2 2" xfId="52979"/>
    <cellStyle name="Separador de milhares 3 2 5 4 3 3 3" xfId="20835"/>
    <cellStyle name="Separador de milhares 3 2 5 4 3 3 3 2" xfId="47071"/>
    <cellStyle name="Separador de milhares 3 2 5 4 3 3 4" xfId="14921"/>
    <cellStyle name="Separador de milhares 3 2 5 4 3 3 4 2" xfId="41163"/>
    <cellStyle name="Separador de milhares 3 2 5 4 3 3 5" xfId="34777"/>
    <cellStyle name="Separador de milhares 3 2 5 4 3 4" xfId="5157"/>
    <cellStyle name="Separador de milhares 3 2 5 4 3 4 2" xfId="23792"/>
    <cellStyle name="Separador de milhares 3 2 5 4 3 4 2 2" xfId="50025"/>
    <cellStyle name="Separador de milhares 3 2 5 4 3 4 3" xfId="31402"/>
    <cellStyle name="Separador de milhares 3 2 5 4 3 5" xfId="17878"/>
    <cellStyle name="Separador de milhares 3 2 5 4 3 5 2" xfId="44117"/>
    <cellStyle name="Separador de milhares 3 2 5 4 3 6" xfId="11544"/>
    <cellStyle name="Separador de milhares 3 2 5 4 3 6 2" xfId="37786"/>
    <cellStyle name="Separador de milhares 3 2 5 4 3 7" xfId="29704"/>
    <cellStyle name="Separador de milhares 3 2 5 4 4" xfId="1849"/>
    <cellStyle name="Separador de milhares 3 2 5 4 4 2" xfId="6975"/>
    <cellStyle name="Separador de milhares 3 2 5 4 4 2 2" xfId="10122"/>
    <cellStyle name="Separador de milhares 3 2 5 4 4 2 2 2" xfId="28336"/>
    <cellStyle name="Separador de milhares 3 2 5 4 4 2 2 2 2" xfId="54566"/>
    <cellStyle name="Separador de milhares 3 2 5 4 4 2 2 3" xfId="22422"/>
    <cellStyle name="Separador de milhares 3 2 5 4 4 2 2 3 2" xfId="48658"/>
    <cellStyle name="Separador de milhares 3 2 5 4 4 2 2 4" xfId="16508"/>
    <cellStyle name="Separador de milhares 3 2 5 4 4 2 2 4 2" xfId="42750"/>
    <cellStyle name="Separador de milhares 3 2 5 4 4 2 2 5" xfId="36364"/>
    <cellStyle name="Separador de milhares 3 2 5 4 4 2 3" xfId="25379"/>
    <cellStyle name="Separador de milhares 3 2 5 4 4 2 3 2" xfId="51612"/>
    <cellStyle name="Separador de milhares 3 2 5 4 4 2 4" xfId="19465"/>
    <cellStyle name="Separador de milhares 3 2 5 4 4 2 4 2" xfId="45704"/>
    <cellStyle name="Separador de milhares 3 2 5 4 4 2 5" xfId="13364"/>
    <cellStyle name="Separador de milhares 3 2 5 4 4 2 5 2" xfId="39606"/>
    <cellStyle name="Separador de milhares 3 2 5 4 4 2 6" xfId="33220"/>
    <cellStyle name="Separador de milhares 3 2 5 4 4 3" xfId="8654"/>
    <cellStyle name="Separador de milhares 3 2 5 4 4 3 2" xfId="26868"/>
    <cellStyle name="Separador de milhares 3 2 5 4 4 3 2 2" xfId="53098"/>
    <cellStyle name="Separador de milhares 3 2 5 4 4 3 3" xfId="20954"/>
    <cellStyle name="Separador de milhares 3 2 5 4 4 3 3 2" xfId="47190"/>
    <cellStyle name="Separador de milhares 3 2 5 4 4 3 4" xfId="15040"/>
    <cellStyle name="Separador de milhares 3 2 5 4 4 3 4 2" xfId="41282"/>
    <cellStyle name="Separador de milhares 3 2 5 4 4 3 5" xfId="34896"/>
    <cellStyle name="Separador de milhares 3 2 5 4 4 4" xfId="5276"/>
    <cellStyle name="Separador de milhares 3 2 5 4 4 4 2" xfId="23911"/>
    <cellStyle name="Separador de milhares 3 2 5 4 4 4 2 2" xfId="50144"/>
    <cellStyle name="Separador de milhares 3 2 5 4 4 4 3" xfId="31521"/>
    <cellStyle name="Separador de milhares 3 2 5 4 4 5" xfId="17997"/>
    <cellStyle name="Separador de milhares 3 2 5 4 4 5 2" xfId="44236"/>
    <cellStyle name="Separador de milhares 3 2 5 4 4 6" xfId="11663"/>
    <cellStyle name="Separador de milhares 3 2 5 4 4 6 2" xfId="37905"/>
    <cellStyle name="Separador de milhares 3 2 5 4 4 7" xfId="29823"/>
    <cellStyle name="Separador de milhares 3 2 5 4 5" xfId="2379"/>
    <cellStyle name="Separador de milhares 3 2 5 4 5 2" xfId="7125"/>
    <cellStyle name="Separador de milhares 3 2 5 4 5 2 2" xfId="10269"/>
    <cellStyle name="Separador de milhares 3 2 5 4 5 2 2 2" xfId="28483"/>
    <cellStyle name="Separador de milhares 3 2 5 4 5 2 2 2 2" xfId="54713"/>
    <cellStyle name="Separador de milhares 3 2 5 4 5 2 2 3" xfId="22569"/>
    <cellStyle name="Separador de milhares 3 2 5 4 5 2 2 3 2" xfId="48805"/>
    <cellStyle name="Separador de milhares 3 2 5 4 5 2 2 4" xfId="16655"/>
    <cellStyle name="Separador de milhares 3 2 5 4 5 2 2 4 2" xfId="42897"/>
    <cellStyle name="Separador de milhares 3 2 5 4 5 2 2 5" xfId="36511"/>
    <cellStyle name="Separador de milhares 3 2 5 4 5 2 3" xfId="25526"/>
    <cellStyle name="Separador de milhares 3 2 5 4 5 2 3 2" xfId="51759"/>
    <cellStyle name="Separador de milhares 3 2 5 4 5 2 4" xfId="19612"/>
    <cellStyle name="Separador de milhares 3 2 5 4 5 2 4 2" xfId="45851"/>
    <cellStyle name="Separador de milhares 3 2 5 4 5 2 5" xfId="13514"/>
    <cellStyle name="Separador de milhares 3 2 5 4 5 2 5 2" xfId="39756"/>
    <cellStyle name="Separador de milhares 3 2 5 4 5 2 6" xfId="33370"/>
    <cellStyle name="Separador de milhares 3 2 5 4 5 3" xfId="8801"/>
    <cellStyle name="Separador de milhares 3 2 5 4 5 3 2" xfId="27015"/>
    <cellStyle name="Separador de milhares 3 2 5 4 5 3 2 2" xfId="53245"/>
    <cellStyle name="Separador de milhares 3 2 5 4 5 3 3" xfId="21101"/>
    <cellStyle name="Separador de milhares 3 2 5 4 5 3 3 2" xfId="47337"/>
    <cellStyle name="Separador de milhares 3 2 5 4 5 3 4" xfId="15187"/>
    <cellStyle name="Separador de milhares 3 2 5 4 5 3 4 2" xfId="41429"/>
    <cellStyle name="Separador de milhares 3 2 5 4 5 3 5" xfId="35043"/>
    <cellStyle name="Separador de milhares 3 2 5 4 5 4" xfId="5426"/>
    <cellStyle name="Separador de milhares 3 2 5 4 5 4 2" xfId="24058"/>
    <cellStyle name="Separador de milhares 3 2 5 4 5 4 2 2" xfId="50291"/>
    <cellStyle name="Separador de milhares 3 2 5 4 5 4 3" xfId="31671"/>
    <cellStyle name="Separador de milhares 3 2 5 4 5 5" xfId="18144"/>
    <cellStyle name="Separador de milhares 3 2 5 4 5 5 2" xfId="44383"/>
    <cellStyle name="Separador de milhares 3 2 5 4 5 6" xfId="11813"/>
    <cellStyle name="Separador de milhares 3 2 5 4 5 6 2" xfId="38055"/>
    <cellStyle name="Separador de milhares 3 2 5 4 5 7" xfId="29973"/>
    <cellStyle name="Separador de milhares 3 2 5 4 6" xfId="2906"/>
    <cellStyle name="Separador de milhares 3 2 5 4 6 2" xfId="7272"/>
    <cellStyle name="Separador de milhares 3 2 5 4 6 2 2" xfId="10416"/>
    <cellStyle name="Separador de milhares 3 2 5 4 6 2 2 2" xfId="28630"/>
    <cellStyle name="Separador de milhares 3 2 5 4 6 2 2 2 2" xfId="54860"/>
    <cellStyle name="Separador de milhares 3 2 5 4 6 2 2 3" xfId="22716"/>
    <cellStyle name="Separador de milhares 3 2 5 4 6 2 2 3 2" xfId="48952"/>
    <cellStyle name="Separador de milhares 3 2 5 4 6 2 2 4" xfId="16802"/>
    <cellStyle name="Separador de milhares 3 2 5 4 6 2 2 4 2" xfId="43044"/>
    <cellStyle name="Separador de milhares 3 2 5 4 6 2 2 5" xfId="36658"/>
    <cellStyle name="Separador de milhares 3 2 5 4 6 2 3" xfId="25673"/>
    <cellStyle name="Separador de milhares 3 2 5 4 6 2 3 2" xfId="51906"/>
    <cellStyle name="Separador de milhares 3 2 5 4 6 2 4" xfId="19759"/>
    <cellStyle name="Separador de milhares 3 2 5 4 6 2 4 2" xfId="45998"/>
    <cellStyle name="Separador de milhares 3 2 5 4 6 2 5" xfId="13661"/>
    <cellStyle name="Separador de milhares 3 2 5 4 6 2 5 2" xfId="39903"/>
    <cellStyle name="Separador de milhares 3 2 5 4 6 2 6" xfId="33517"/>
    <cellStyle name="Separador de milhares 3 2 5 4 6 3" xfId="8948"/>
    <cellStyle name="Separador de milhares 3 2 5 4 6 3 2" xfId="27162"/>
    <cellStyle name="Separador de milhares 3 2 5 4 6 3 2 2" xfId="53392"/>
    <cellStyle name="Separador de milhares 3 2 5 4 6 3 3" xfId="21248"/>
    <cellStyle name="Separador de milhares 3 2 5 4 6 3 3 2" xfId="47484"/>
    <cellStyle name="Separador de milhares 3 2 5 4 6 3 4" xfId="15334"/>
    <cellStyle name="Separador de milhares 3 2 5 4 6 3 4 2" xfId="41576"/>
    <cellStyle name="Separador de milhares 3 2 5 4 6 3 5" xfId="35190"/>
    <cellStyle name="Separador de milhares 3 2 5 4 6 4" xfId="5573"/>
    <cellStyle name="Separador de milhares 3 2 5 4 6 4 2" xfId="24205"/>
    <cellStyle name="Separador de milhares 3 2 5 4 6 4 2 2" xfId="50438"/>
    <cellStyle name="Separador de milhares 3 2 5 4 6 4 3" xfId="31818"/>
    <cellStyle name="Separador de milhares 3 2 5 4 6 5" xfId="18291"/>
    <cellStyle name="Separador de milhares 3 2 5 4 6 5 2" xfId="44530"/>
    <cellStyle name="Separador de milhares 3 2 5 4 6 6" xfId="11960"/>
    <cellStyle name="Separador de milhares 3 2 5 4 6 6 2" xfId="38202"/>
    <cellStyle name="Separador de milhares 3 2 5 4 6 7" xfId="30120"/>
    <cellStyle name="Separador de milhares 3 2 5 4 7" xfId="3433"/>
    <cellStyle name="Separador de milhares 3 2 5 4 7 2" xfId="7419"/>
    <cellStyle name="Separador de milhares 3 2 5 4 7 2 2" xfId="10563"/>
    <cellStyle name="Separador de milhares 3 2 5 4 7 2 2 2" xfId="28777"/>
    <cellStyle name="Separador de milhares 3 2 5 4 7 2 2 2 2" xfId="55007"/>
    <cellStyle name="Separador de milhares 3 2 5 4 7 2 2 3" xfId="22863"/>
    <cellStyle name="Separador de milhares 3 2 5 4 7 2 2 3 2" xfId="49099"/>
    <cellStyle name="Separador de milhares 3 2 5 4 7 2 2 4" xfId="16949"/>
    <cellStyle name="Separador de milhares 3 2 5 4 7 2 2 4 2" xfId="43191"/>
    <cellStyle name="Separador de milhares 3 2 5 4 7 2 2 5" xfId="36805"/>
    <cellStyle name="Separador de milhares 3 2 5 4 7 2 3" xfId="25820"/>
    <cellStyle name="Separador de milhares 3 2 5 4 7 2 3 2" xfId="52053"/>
    <cellStyle name="Separador de milhares 3 2 5 4 7 2 4" xfId="19906"/>
    <cellStyle name="Separador de milhares 3 2 5 4 7 2 4 2" xfId="46145"/>
    <cellStyle name="Separador de milhares 3 2 5 4 7 2 5" xfId="13808"/>
    <cellStyle name="Separador de milhares 3 2 5 4 7 2 5 2" xfId="40050"/>
    <cellStyle name="Separador de milhares 3 2 5 4 7 2 6" xfId="33664"/>
    <cellStyle name="Separador de milhares 3 2 5 4 7 3" xfId="9095"/>
    <cellStyle name="Separador de milhares 3 2 5 4 7 3 2" xfId="27309"/>
    <cellStyle name="Separador de milhares 3 2 5 4 7 3 2 2" xfId="53539"/>
    <cellStyle name="Separador de milhares 3 2 5 4 7 3 3" xfId="21395"/>
    <cellStyle name="Separador de milhares 3 2 5 4 7 3 3 2" xfId="47631"/>
    <cellStyle name="Separador de milhares 3 2 5 4 7 3 4" xfId="15481"/>
    <cellStyle name="Separador de milhares 3 2 5 4 7 3 4 2" xfId="41723"/>
    <cellStyle name="Separador de milhares 3 2 5 4 7 3 5" xfId="35337"/>
    <cellStyle name="Separador de milhares 3 2 5 4 7 4" xfId="5720"/>
    <cellStyle name="Separador de milhares 3 2 5 4 7 4 2" xfId="24352"/>
    <cellStyle name="Separador de milhares 3 2 5 4 7 4 2 2" xfId="50585"/>
    <cellStyle name="Separador de milhares 3 2 5 4 7 4 3" xfId="31965"/>
    <cellStyle name="Separador de milhares 3 2 5 4 7 5" xfId="18438"/>
    <cellStyle name="Separador de milhares 3 2 5 4 7 5 2" xfId="44677"/>
    <cellStyle name="Separador de milhares 3 2 5 4 7 6" xfId="12107"/>
    <cellStyle name="Separador de milhares 3 2 5 4 7 6 2" xfId="38349"/>
    <cellStyle name="Separador de milhares 3 2 5 4 7 7" xfId="30267"/>
    <cellStyle name="Separador de milhares 3 2 5 4 8" xfId="3960"/>
    <cellStyle name="Separador de milhares 3 2 5 4 8 2" xfId="7566"/>
    <cellStyle name="Separador de milhares 3 2 5 4 8 2 2" xfId="10710"/>
    <cellStyle name="Separador de milhares 3 2 5 4 8 2 2 2" xfId="28924"/>
    <cellStyle name="Separador de milhares 3 2 5 4 8 2 2 2 2" xfId="55154"/>
    <cellStyle name="Separador de milhares 3 2 5 4 8 2 2 3" xfId="23010"/>
    <cellStyle name="Separador de milhares 3 2 5 4 8 2 2 3 2" xfId="49246"/>
    <cellStyle name="Separador de milhares 3 2 5 4 8 2 2 4" xfId="17096"/>
    <cellStyle name="Separador de milhares 3 2 5 4 8 2 2 4 2" xfId="43338"/>
    <cellStyle name="Separador de milhares 3 2 5 4 8 2 2 5" xfId="36952"/>
    <cellStyle name="Separador de milhares 3 2 5 4 8 2 3" xfId="25967"/>
    <cellStyle name="Separador de milhares 3 2 5 4 8 2 3 2" xfId="52200"/>
    <cellStyle name="Separador de milhares 3 2 5 4 8 2 4" xfId="20053"/>
    <cellStyle name="Separador de milhares 3 2 5 4 8 2 4 2" xfId="46292"/>
    <cellStyle name="Separador de milhares 3 2 5 4 8 2 5" xfId="13955"/>
    <cellStyle name="Separador de milhares 3 2 5 4 8 2 5 2" xfId="40197"/>
    <cellStyle name="Separador de milhares 3 2 5 4 8 2 6" xfId="33811"/>
    <cellStyle name="Separador de milhares 3 2 5 4 8 3" xfId="9242"/>
    <cellStyle name="Separador de milhares 3 2 5 4 8 3 2" xfId="27456"/>
    <cellStyle name="Separador de milhares 3 2 5 4 8 3 2 2" xfId="53686"/>
    <cellStyle name="Separador de milhares 3 2 5 4 8 3 3" xfId="21542"/>
    <cellStyle name="Separador de milhares 3 2 5 4 8 3 3 2" xfId="47778"/>
    <cellStyle name="Separador de milhares 3 2 5 4 8 3 4" xfId="15628"/>
    <cellStyle name="Separador de milhares 3 2 5 4 8 3 4 2" xfId="41870"/>
    <cellStyle name="Separador de milhares 3 2 5 4 8 3 5" xfId="35484"/>
    <cellStyle name="Separador de milhares 3 2 5 4 8 4" xfId="5867"/>
    <cellStyle name="Separador de milhares 3 2 5 4 8 4 2" xfId="24499"/>
    <cellStyle name="Separador de milhares 3 2 5 4 8 4 2 2" xfId="50732"/>
    <cellStyle name="Separador de milhares 3 2 5 4 8 4 3" xfId="32112"/>
    <cellStyle name="Separador de milhares 3 2 5 4 8 5" xfId="18585"/>
    <cellStyle name="Separador de milhares 3 2 5 4 8 5 2" xfId="44824"/>
    <cellStyle name="Separador de milhares 3 2 5 4 8 6" xfId="12254"/>
    <cellStyle name="Separador de milhares 3 2 5 4 8 6 2" xfId="38496"/>
    <cellStyle name="Separador de milhares 3 2 5 4 8 7" xfId="30414"/>
    <cellStyle name="Separador de milhares 3 2 5 4 9" xfId="725"/>
    <cellStyle name="Separador de milhares 3 2 5 4 9 2" xfId="6660"/>
    <cellStyle name="Separador de milhares 3 2 5 4 9 2 2" xfId="9807"/>
    <cellStyle name="Separador de milhares 3 2 5 4 9 2 2 2" xfId="28021"/>
    <cellStyle name="Separador de milhares 3 2 5 4 9 2 2 2 2" xfId="54251"/>
    <cellStyle name="Separador de milhares 3 2 5 4 9 2 2 3" xfId="22107"/>
    <cellStyle name="Separador de milhares 3 2 5 4 9 2 2 3 2" xfId="48343"/>
    <cellStyle name="Separador de milhares 3 2 5 4 9 2 2 4" xfId="16193"/>
    <cellStyle name="Separador de milhares 3 2 5 4 9 2 2 4 2" xfId="42435"/>
    <cellStyle name="Separador de milhares 3 2 5 4 9 2 2 5" xfId="36049"/>
    <cellStyle name="Separador de milhares 3 2 5 4 9 2 3" xfId="25064"/>
    <cellStyle name="Separador de milhares 3 2 5 4 9 2 3 2" xfId="51297"/>
    <cellStyle name="Separador de milhares 3 2 5 4 9 2 4" xfId="19150"/>
    <cellStyle name="Separador de milhares 3 2 5 4 9 2 4 2" xfId="45389"/>
    <cellStyle name="Separador de milhares 3 2 5 4 9 2 5" xfId="13049"/>
    <cellStyle name="Separador de milhares 3 2 5 4 9 2 5 2" xfId="39291"/>
    <cellStyle name="Separador de milhares 3 2 5 4 9 2 6" xfId="32905"/>
    <cellStyle name="Separador de milhares 3 2 5 4 9 3" xfId="8339"/>
    <cellStyle name="Separador de milhares 3 2 5 4 9 3 2" xfId="26553"/>
    <cellStyle name="Separador de milhares 3 2 5 4 9 3 2 2" xfId="52783"/>
    <cellStyle name="Separador de milhares 3 2 5 4 9 3 3" xfId="20639"/>
    <cellStyle name="Separador de milhares 3 2 5 4 9 3 3 2" xfId="46875"/>
    <cellStyle name="Separador de milhares 3 2 5 4 9 3 4" xfId="14725"/>
    <cellStyle name="Separador de milhares 3 2 5 4 9 3 4 2" xfId="40967"/>
    <cellStyle name="Separador de milhares 3 2 5 4 9 3 5" xfId="34581"/>
    <cellStyle name="Separador de milhares 3 2 5 4 9 4" xfId="4961"/>
    <cellStyle name="Separador de milhares 3 2 5 4 9 4 2" xfId="23596"/>
    <cellStyle name="Separador de milhares 3 2 5 4 9 4 2 2" xfId="49829"/>
    <cellStyle name="Separador de milhares 3 2 5 4 9 4 3" xfId="31206"/>
    <cellStyle name="Separador de milhares 3 2 5 4 9 5" xfId="17682"/>
    <cellStyle name="Separador de milhares 3 2 5 4 9 5 2" xfId="43921"/>
    <cellStyle name="Separador de milhares 3 2 5 4 9 6" xfId="11348"/>
    <cellStyle name="Separador de milhares 3 2 5 4 9 6 2" xfId="37590"/>
    <cellStyle name="Separador de milhares 3 2 5 4 9 7" xfId="29508"/>
    <cellStyle name="Separador de milhares 3 2 5 5" xfId="675"/>
    <cellStyle name="Separador de milhares 3 2 5 5 10" xfId="4925"/>
    <cellStyle name="Separador de milhares 3 2 5 5 10 2" xfId="23559"/>
    <cellStyle name="Separador de milhares 3 2 5 5 10 2 2" xfId="49795"/>
    <cellStyle name="Separador de milhares 3 2 5 5 10 3" xfId="31172"/>
    <cellStyle name="Separador de milhares 3 2 5 5 11" xfId="17645"/>
    <cellStyle name="Separador de milhares 3 2 5 5 11 2" xfId="43887"/>
    <cellStyle name="Separador de milhares 3 2 5 5 12" xfId="11314"/>
    <cellStyle name="Separador de milhares 3 2 5 5 12 2" xfId="37556"/>
    <cellStyle name="Separador de milhares 3 2 5 5 13" xfId="29474"/>
    <cellStyle name="Separador de milhares 3 2 5 5 2" xfId="1498"/>
    <cellStyle name="Separador de milhares 3 2 5 5 2 2" xfId="6877"/>
    <cellStyle name="Separador de milhares 3 2 5 5 2 2 2" xfId="10024"/>
    <cellStyle name="Separador de milhares 3 2 5 5 2 2 2 2" xfId="28238"/>
    <cellStyle name="Separador de milhares 3 2 5 5 2 2 2 2 2" xfId="54468"/>
    <cellStyle name="Separador de milhares 3 2 5 5 2 2 2 3" xfId="22324"/>
    <cellStyle name="Separador de milhares 3 2 5 5 2 2 2 3 2" xfId="48560"/>
    <cellStyle name="Separador de milhares 3 2 5 5 2 2 2 4" xfId="16410"/>
    <cellStyle name="Separador de milhares 3 2 5 5 2 2 2 4 2" xfId="42652"/>
    <cellStyle name="Separador de milhares 3 2 5 5 2 2 2 5" xfId="36266"/>
    <cellStyle name="Separador de milhares 3 2 5 5 2 2 3" xfId="25281"/>
    <cellStyle name="Separador de milhares 3 2 5 5 2 2 3 2" xfId="51514"/>
    <cellStyle name="Separador de milhares 3 2 5 5 2 2 4" xfId="19367"/>
    <cellStyle name="Separador de milhares 3 2 5 5 2 2 4 2" xfId="45606"/>
    <cellStyle name="Separador de milhares 3 2 5 5 2 2 5" xfId="13266"/>
    <cellStyle name="Separador de milhares 3 2 5 5 2 2 5 2" xfId="39508"/>
    <cellStyle name="Separador de milhares 3 2 5 5 2 2 6" xfId="33122"/>
    <cellStyle name="Separador de milhares 3 2 5 5 2 3" xfId="8556"/>
    <cellStyle name="Separador de milhares 3 2 5 5 2 3 2" xfId="26770"/>
    <cellStyle name="Separador de milhares 3 2 5 5 2 3 2 2" xfId="53000"/>
    <cellStyle name="Separador de milhares 3 2 5 5 2 3 3" xfId="20856"/>
    <cellStyle name="Separador de milhares 3 2 5 5 2 3 3 2" xfId="47092"/>
    <cellStyle name="Separador de milhares 3 2 5 5 2 3 4" xfId="14942"/>
    <cellStyle name="Separador de milhares 3 2 5 5 2 3 4 2" xfId="41184"/>
    <cellStyle name="Separador de milhares 3 2 5 5 2 3 5" xfId="34798"/>
    <cellStyle name="Separador de milhares 3 2 5 5 2 4" xfId="5178"/>
    <cellStyle name="Separador de milhares 3 2 5 5 2 4 2" xfId="23813"/>
    <cellStyle name="Separador de milhares 3 2 5 5 2 4 2 2" xfId="50046"/>
    <cellStyle name="Separador de milhares 3 2 5 5 2 4 3" xfId="31423"/>
    <cellStyle name="Separador de milhares 3 2 5 5 2 5" xfId="17899"/>
    <cellStyle name="Separador de milhares 3 2 5 5 2 5 2" xfId="44138"/>
    <cellStyle name="Separador de milhares 3 2 5 5 2 6" xfId="11565"/>
    <cellStyle name="Separador de milhares 3 2 5 5 2 6 2" xfId="37807"/>
    <cellStyle name="Separador de milhares 3 2 5 5 2 7" xfId="29725"/>
    <cellStyle name="Separador de milhares 3 2 5 5 3" xfId="1933"/>
    <cellStyle name="Separador de milhares 3 2 5 5 3 2" xfId="6996"/>
    <cellStyle name="Separador de milhares 3 2 5 5 3 2 2" xfId="10143"/>
    <cellStyle name="Separador de milhares 3 2 5 5 3 2 2 2" xfId="28357"/>
    <cellStyle name="Separador de milhares 3 2 5 5 3 2 2 2 2" xfId="54587"/>
    <cellStyle name="Separador de milhares 3 2 5 5 3 2 2 3" xfId="22443"/>
    <cellStyle name="Separador de milhares 3 2 5 5 3 2 2 3 2" xfId="48679"/>
    <cellStyle name="Separador de milhares 3 2 5 5 3 2 2 4" xfId="16529"/>
    <cellStyle name="Separador de milhares 3 2 5 5 3 2 2 4 2" xfId="42771"/>
    <cellStyle name="Separador de milhares 3 2 5 5 3 2 2 5" xfId="36385"/>
    <cellStyle name="Separador de milhares 3 2 5 5 3 2 3" xfId="25400"/>
    <cellStyle name="Separador de milhares 3 2 5 5 3 2 3 2" xfId="51633"/>
    <cellStyle name="Separador de milhares 3 2 5 5 3 2 4" xfId="19486"/>
    <cellStyle name="Separador de milhares 3 2 5 5 3 2 4 2" xfId="45725"/>
    <cellStyle name="Separador de milhares 3 2 5 5 3 2 5" xfId="13385"/>
    <cellStyle name="Separador de milhares 3 2 5 5 3 2 5 2" xfId="39627"/>
    <cellStyle name="Separador de milhares 3 2 5 5 3 2 6" xfId="33241"/>
    <cellStyle name="Separador de milhares 3 2 5 5 3 3" xfId="8675"/>
    <cellStyle name="Separador de milhares 3 2 5 5 3 3 2" xfId="26889"/>
    <cellStyle name="Separador de milhares 3 2 5 5 3 3 2 2" xfId="53119"/>
    <cellStyle name="Separador de milhares 3 2 5 5 3 3 3" xfId="20975"/>
    <cellStyle name="Separador de milhares 3 2 5 5 3 3 3 2" xfId="47211"/>
    <cellStyle name="Separador de milhares 3 2 5 5 3 3 4" xfId="15061"/>
    <cellStyle name="Separador de milhares 3 2 5 5 3 3 4 2" xfId="41303"/>
    <cellStyle name="Separador de milhares 3 2 5 5 3 3 5" xfId="34917"/>
    <cellStyle name="Separador de milhares 3 2 5 5 3 4" xfId="5297"/>
    <cellStyle name="Separador de milhares 3 2 5 5 3 4 2" xfId="23932"/>
    <cellStyle name="Separador de milhares 3 2 5 5 3 4 2 2" xfId="50165"/>
    <cellStyle name="Separador de milhares 3 2 5 5 3 4 3" xfId="31542"/>
    <cellStyle name="Separador de milhares 3 2 5 5 3 5" xfId="18018"/>
    <cellStyle name="Separador de milhares 3 2 5 5 3 5 2" xfId="44257"/>
    <cellStyle name="Separador de milhares 3 2 5 5 3 6" xfId="11684"/>
    <cellStyle name="Separador de milhares 3 2 5 5 3 6 2" xfId="37926"/>
    <cellStyle name="Separador de milhares 3 2 5 5 3 7" xfId="29844"/>
    <cellStyle name="Separador de milhares 3 2 5 5 4" xfId="2463"/>
    <cellStyle name="Separador de milhares 3 2 5 5 4 2" xfId="7146"/>
    <cellStyle name="Separador de milhares 3 2 5 5 4 2 2" xfId="10290"/>
    <cellStyle name="Separador de milhares 3 2 5 5 4 2 2 2" xfId="28504"/>
    <cellStyle name="Separador de milhares 3 2 5 5 4 2 2 2 2" xfId="54734"/>
    <cellStyle name="Separador de milhares 3 2 5 5 4 2 2 3" xfId="22590"/>
    <cellStyle name="Separador de milhares 3 2 5 5 4 2 2 3 2" xfId="48826"/>
    <cellStyle name="Separador de milhares 3 2 5 5 4 2 2 4" xfId="16676"/>
    <cellStyle name="Separador de milhares 3 2 5 5 4 2 2 4 2" xfId="42918"/>
    <cellStyle name="Separador de milhares 3 2 5 5 4 2 2 5" xfId="36532"/>
    <cellStyle name="Separador de milhares 3 2 5 5 4 2 3" xfId="25547"/>
    <cellStyle name="Separador de milhares 3 2 5 5 4 2 3 2" xfId="51780"/>
    <cellStyle name="Separador de milhares 3 2 5 5 4 2 4" xfId="19633"/>
    <cellStyle name="Separador de milhares 3 2 5 5 4 2 4 2" xfId="45872"/>
    <cellStyle name="Separador de milhares 3 2 5 5 4 2 5" xfId="13535"/>
    <cellStyle name="Separador de milhares 3 2 5 5 4 2 5 2" xfId="39777"/>
    <cellStyle name="Separador de milhares 3 2 5 5 4 2 6" xfId="33391"/>
    <cellStyle name="Separador de milhares 3 2 5 5 4 3" xfId="8822"/>
    <cellStyle name="Separador de milhares 3 2 5 5 4 3 2" xfId="27036"/>
    <cellStyle name="Separador de milhares 3 2 5 5 4 3 2 2" xfId="53266"/>
    <cellStyle name="Separador de milhares 3 2 5 5 4 3 3" xfId="21122"/>
    <cellStyle name="Separador de milhares 3 2 5 5 4 3 3 2" xfId="47358"/>
    <cellStyle name="Separador de milhares 3 2 5 5 4 3 4" xfId="15208"/>
    <cellStyle name="Separador de milhares 3 2 5 5 4 3 4 2" xfId="41450"/>
    <cellStyle name="Separador de milhares 3 2 5 5 4 3 5" xfId="35064"/>
    <cellStyle name="Separador de milhares 3 2 5 5 4 4" xfId="5447"/>
    <cellStyle name="Separador de milhares 3 2 5 5 4 4 2" xfId="24079"/>
    <cellStyle name="Separador de milhares 3 2 5 5 4 4 2 2" xfId="50312"/>
    <cellStyle name="Separador de milhares 3 2 5 5 4 4 3" xfId="31692"/>
    <cellStyle name="Separador de milhares 3 2 5 5 4 5" xfId="18165"/>
    <cellStyle name="Separador de milhares 3 2 5 5 4 5 2" xfId="44404"/>
    <cellStyle name="Separador de milhares 3 2 5 5 4 6" xfId="11834"/>
    <cellStyle name="Separador de milhares 3 2 5 5 4 6 2" xfId="38076"/>
    <cellStyle name="Separador de milhares 3 2 5 5 4 7" xfId="29994"/>
    <cellStyle name="Separador de milhares 3 2 5 5 5" xfId="2990"/>
    <cellStyle name="Separador de milhares 3 2 5 5 5 2" xfId="7293"/>
    <cellStyle name="Separador de milhares 3 2 5 5 5 2 2" xfId="10437"/>
    <cellStyle name="Separador de milhares 3 2 5 5 5 2 2 2" xfId="28651"/>
    <cellStyle name="Separador de milhares 3 2 5 5 5 2 2 2 2" xfId="54881"/>
    <cellStyle name="Separador de milhares 3 2 5 5 5 2 2 3" xfId="22737"/>
    <cellStyle name="Separador de milhares 3 2 5 5 5 2 2 3 2" xfId="48973"/>
    <cellStyle name="Separador de milhares 3 2 5 5 5 2 2 4" xfId="16823"/>
    <cellStyle name="Separador de milhares 3 2 5 5 5 2 2 4 2" xfId="43065"/>
    <cellStyle name="Separador de milhares 3 2 5 5 5 2 2 5" xfId="36679"/>
    <cellStyle name="Separador de milhares 3 2 5 5 5 2 3" xfId="25694"/>
    <cellStyle name="Separador de milhares 3 2 5 5 5 2 3 2" xfId="51927"/>
    <cellStyle name="Separador de milhares 3 2 5 5 5 2 4" xfId="19780"/>
    <cellStyle name="Separador de milhares 3 2 5 5 5 2 4 2" xfId="46019"/>
    <cellStyle name="Separador de milhares 3 2 5 5 5 2 5" xfId="13682"/>
    <cellStyle name="Separador de milhares 3 2 5 5 5 2 5 2" xfId="39924"/>
    <cellStyle name="Separador de milhares 3 2 5 5 5 2 6" xfId="33538"/>
    <cellStyle name="Separador de milhares 3 2 5 5 5 3" xfId="8969"/>
    <cellStyle name="Separador de milhares 3 2 5 5 5 3 2" xfId="27183"/>
    <cellStyle name="Separador de milhares 3 2 5 5 5 3 2 2" xfId="53413"/>
    <cellStyle name="Separador de milhares 3 2 5 5 5 3 3" xfId="21269"/>
    <cellStyle name="Separador de milhares 3 2 5 5 5 3 3 2" xfId="47505"/>
    <cellStyle name="Separador de milhares 3 2 5 5 5 3 4" xfId="15355"/>
    <cellStyle name="Separador de milhares 3 2 5 5 5 3 4 2" xfId="41597"/>
    <cellStyle name="Separador de milhares 3 2 5 5 5 3 5" xfId="35211"/>
    <cellStyle name="Separador de milhares 3 2 5 5 5 4" xfId="5594"/>
    <cellStyle name="Separador de milhares 3 2 5 5 5 4 2" xfId="24226"/>
    <cellStyle name="Separador de milhares 3 2 5 5 5 4 2 2" xfId="50459"/>
    <cellStyle name="Separador de milhares 3 2 5 5 5 4 3" xfId="31839"/>
    <cellStyle name="Separador de milhares 3 2 5 5 5 5" xfId="18312"/>
    <cellStyle name="Separador de milhares 3 2 5 5 5 5 2" xfId="44551"/>
    <cellStyle name="Separador de milhares 3 2 5 5 5 6" xfId="11981"/>
    <cellStyle name="Separador de milhares 3 2 5 5 5 6 2" xfId="38223"/>
    <cellStyle name="Separador de milhares 3 2 5 5 5 7" xfId="30141"/>
    <cellStyle name="Separador de milhares 3 2 5 5 6" xfId="3517"/>
    <cellStyle name="Separador de milhares 3 2 5 5 6 2" xfId="7440"/>
    <cellStyle name="Separador de milhares 3 2 5 5 6 2 2" xfId="10584"/>
    <cellStyle name="Separador de milhares 3 2 5 5 6 2 2 2" xfId="28798"/>
    <cellStyle name="Separador de milhares 3 2 5 5 6 2 2 2 2" xfId="55028"/>
    <cellStyle name="Separador de milhares 3 2 5 5 6 2 2 3" xfId="22884"/>
    <cellStyle name="Separador de milhares 3 2 5 5 6 2 2 3 2" xfId="49120"/>
    <cellStyle name="Separador de milhares 3 2 5 5 6 2 2 4" xfId="16970"/>
    <cellStyle name="Separador de milhares 3 2 5 5 6 2 2 4 2" xfId="43212"/>
    <cellStyle name="Separador de milhares 3 2 5 5 6 2 2 5" xfId="36826"/>
    <cellStyle name="Separador de milhares 3 2 5 5 6 2 3" xfId="25841"/>
    <cellStyle name="Separador de milhares 3 2 5 5 6 2 3 2" xfId="52074"/>
    <cellStyle name="Separador de milhares 3 2 5 5 6 2 4" xfId="19927"/>
    <cellStyle name="Separador de milhares 3 2 5 5 6 2 4 2" xfId="46166"/>
    <cellStyle name="Separador de milhares 3 2 5 5 6 2 5" xfId="13829"/>
    <cellStyle name="Separador de milhares 3 2 5 5 6 2 5 2" xfId="40071"/>
    <cellStyle name="Separador de milhares 3 2 5 5 6 2 6" xfId="33685"/>
    <cellStyle name="Separador de milhares 3 2 5 5 6 3" xfId="9116"/>
    <cellStyle name="Separador de milhares 3 2 5 5 6 3 2" xfId="27330"/>
    <cellStyle name="Separador de milhares 3 2 5 5 6 3 2 2" xfId="53560"/>
    <cellStyle name="Separador de milhares 3 2 5 5 6 3 3" xfId="21416"/>
    <cellStyle name="Separador de milhares 3 2 5 5 6 3 3 2" xfId="47652"/>
    <cellStyle name="Separador de milhares 3 2 5 5 6 3 4" xfId="15502"/>
    <cellStyle name="Separador de milhares 3 2 5 5 6 3 4 2" xfId="41744"/>
    <cellStyle name="Separador de milhares 3 2 5 5 6 3 5" xfId="35358"/>
    <cellStyle name="Separador de milhares 3 2 5 5 6 4" xfId="5741"/>
    <cellStyle name="Separador de milhares 3 2 5 5 6 4 2" xfId="24373"/>
    <cellStyle name="Separador de milhares 3 2 5 5 6 4 2 2" xfId="50606"/>
    <cellStyle name="Separador de milhares 3 2 5 5 6 4 3" xfId="31986"/>
    <cellStyle name="Separador de milhares 3 2 5 5 6 5" xfId="18459"/>
    <cellStyle name="Separador de milhares 3 2 5 5 6 5 2" xfId="44698"/>
    <cellStyle name="Separador de milhares 3 2 5 5 6 6" xfId="12128"/>
    <cellStyle name="Separador de milhares 3 2 5 5 6 6 2" xfId="38370"/>
    <cellStyle name="Separador de milhares 3 2 5 5 6 7" xfId="30288"/>
    <cellStyle name="Separador de milhares 3 2 5 5 7" xfId="4044"/>
    <cellStyle name="Separador de milhares 3 2 5 5 7 2" xfId="7587"/>
    <cellStyle name="Separador de milhares 3 2 5 5 7 2 2" xfId="10731"/>
    <cellStyle name="Separador de milhares 3 2 5 5 7 2 2 2" xfId="28945"/>
    <cellStyle name="Separador de milhares 3 2 5 5 7 2 2 2 2" xfId="55175"/>
    <cellStyle name="Separador de milhares 3 2 5 5 7 2 2 3" xfId="23031"/>
    <cellStyle name="Separador de milhares 3 2 5 5 7 2 2 3 2" xfId="49267"/>
    <cellStyle name="Separador de milhares 3 2 5 5 7 2 2 4" xfId="17117"/>
    <cellStyle name="Separador de milhares 3 2 5 5 7 2 2 4 2" xfId="43359"/>
    <cellStyle name="Separador de milhares 3 2 5 5 7 2 2 5" xfId="36973"/>
    <cellStyle name="Separador de milhares 3 2 5 5 7 2 3" xfId="25988"/>
    <cellStyle name="Separador de milhares 3 2 5 5 7 2 3 2" xfId="52221"/>
    <cellStyle name="Separador de milhares 3 2 5 5 7 2 4" xfId="20074"/>
    <cellStyle name="Separador de milhares 3 2 5 5 7 2 4 2" xfId="46313"/>
    <cellStyle name="Separador de milhares 3 2 5 5 7 2 5" xfId="13976"/>
    <cellStyle name="Separador de milhares 3 2 5 5 7 2 5 2" xfId="40218"/>
    <cellStyle name="Separador de milhares 3 2 5 5 7 2 6" xfId="33832"/>
    <cellStyle name="Separador de milhares 3 2 5 5 7 3" xfId="9263"/>
    <cellStyle name="Separador de milhares 3 2 5 5 7 3 2" xfId="27477"/>
    <cellStyle name="Separador de milhares 3 2 5 5 7 3 2 2" xfId="53707"/>
    <cellStyle name="Separador de milhares 3 2 5 5 7 3 3" xfId="21563"/>
    <cellStyle name="Separador de milhares 3 2 5 5 7 3 3 2" xfId="47799"/>
    <cellStyle name="Separador de milhares 3 2 5 5 7 3 4" xfId="15649"/>
    <cellStyle name="Separador de milhares 3 2 5 5 7 3 4 2" xfId="41891"/>
    <cellStyle name="Separador de milhares 3 2 5 5 7 3 5" xfId="35505"/>
    <cellStyle name="Separador de milhares 3 2 5 5 7 4" xfId="5888"/>
    <cellStyle name="Separador de milhares 3 2 5 5 7 4 2" xfId="24520"/>
    <cellStyle name="Separador de milhares 3 2 5 5 7 4 2 2" xfId="50753"/>
    <cellStyle name="Separador de milhares 3 2 5 5 7 4 3" xfId="32133"/>
    <cellStyle name="Separador de milhares 3 2 5 5 7 5" xfId="18606"/>
    <cellStyle name="Separador de milhares 3 2 5 5 7 5 2" xfId="44845"/>
    <cellStyle name="Separador de milhares 3 2 5 5 7 6" xfId="12275"/>
    <cellStyle name="Separador de milhares 3 2 5 5 7 6 2" xfId="38517"/>
    <cellStyle name="Separador de milhares 3 2 5 5 7 7" xfId="30435"/>
    <cellStyle name="Separador de milhares 3 2 5 5 8" xfId="6626"/>
    <cellStyle name="Separador de milhares 3 2 5 5 8 2" xfId="9773"/>
    <cellStyle name="Separador de milhares 3 2 5 5 8 2 2" xfId="27987"/>
    <cellStyle name="Separador de milhares 3 2 5 5 8 2 2 2" xfId="54217"/>
    <cellStyle name="Separador de milhares 3 2 5 5 8 2 3" xfId="22073"/>
    <cellStyle name="Separador de milhares 3 2 5 5 8 2 3 2" xfId="48309"/>
    <cellStyle name="Separador de milhares 3 2 5 5 8 2 4" xfId="16159"/>
    <cellStyle name="Separador de milhares 3 2 5 5 8 2 4 2" xfId="42401"/>
    <cellStyle name="Separador de milhares 3 2 5 5 8 2 5" xfId="36015"/>
    <cellStyle name="Separador de milhares 3 2 5 5 8 3" xfId="25030"/>
    <cellStyle name="Separador de milhares 3 2 5 5 8 3 2" xfId="51263"/>
    <cellStyle name="Separador de milhares 3 2 5 5 8 4" xfId="19116"/>
    <cellStyle name="Separador de milhares 3 2 5 5 8 4 2" xfId="45355"/>
    <cellStyle name="Separador de milhares 3 2 5 5 8 5" xfId="13015"/>
    <cellStyle name="Separador de milhares 3 2 5 5 8 5 2" xfId="39257"/>
    <cellStyle name="Separador de milhares 3 2 5 5 8 6" xfId="32871"/>
    <cellStyle name="Separador de milhares 3 2 5 5 9" xfId="8302"/>
    <cellStyle name="Separador de milhares 3 2 5 5 9 2" xfId="26516"/>
    <cellStyle name="Separador de milhares 3 2 5 5 9 2 2" xfId="52749"/>
    <cellStyle name="Separador de milhares 3 2 5 5 9 3" xfId="20602"/>
    <cellStyle name="Separador de milhares 3 2 5 5 9 3 2" xfId="46841"/>
    <cellStyle name="Separador de milhares 3 2 5 5 9 4" xfId="14691"/>
    <cellStyle name="Separador de milhares 3 2 5 5 9 4 2" xfId="40933"/>
    <cellStyle name="Separador de milhares 3 2 5 5 9 5" xfId="34547"/>
    <cellStyle name="Separador de milhares 3 2 5 6" xfId="796"/>
    <cellStyle name="Separador de milhares 3 2 5 6 2" xfId="4220"/>
    <cellStyle name="Separador de milhares 3 2 5 6 2 2" xfId="7636"/>
    <cellStyle name="Separador de milhares 3 2 5 6 2 2 2" xfId="10780"/>
    <cellStyle name="Separador de milhares 3 2 5 6 2 2 2 2" xfId="28994"/>
    <cellStyle name="Separador de milhares 3 2 5 6 2 2 2 2 2" xfId="55224"/>
    <cellStyle name="Separador de milhares 3 2 5 6 2 2 2 3" xfId="23080"/>
    <cellStyle name="Separador de milhares 3 2 5 6 2 2 2 3 2" xfId="49316"/>
    <cellStyle name="Separador de milhares 3 2 5 6 2 2 2 4" xfId="17166"/>
    <cellStyle name="Separador de milhares 3 2 5 6 2 2 2 4 2" xfId="43408"/>
    <cellStyle name="Separador de milhares 3 2 5 6 2 2 2 5" xfId="37022"/>
    <cellStyle name="Separador de milhares 3 2 5 6 2 2 3" xfId="26037"/>
    <cellStyle name="Separador de milhares 3 2 5 6 2 2 3 2" xfId="52270"/>
    <cellStyle name="Separador de milhares 3 2 5 6 2 2 4" xfId="20123"/>
    <cellStyle name="Separador de milhares 3 2 5 6 2 2 4 2" xfId="46362"/>
    <cellStyle name="Separador de milhares 3 2 5 6 2 2 5" xfId="14025"/>
    <cellStyle name="Separador de milhares 3 2 5 6 2 2 5 2" xfId="40267"/>
    <cellStyle name="Separador de milhares 3 2 5 6 2 2 6" xfId="33881"/>
    <cellStyle name="Separador de milhares 3 2 5 6 2 3" xfId="9312"/>
    <cellStyle name="Separador de milhares 3 2 5 6 2 3 2" xfId="27526"/>
    <cellStyle name="Separador de milhares 3 2 5 6 2 3 2 2" xfId="53756"/>
    <cellStyle name="Separador de milhares 3 2 5 6 2 3 3" xfId="21612"/>
    <cellStyle name="Separador de milhares 3 2 5 6 2 3 3 2" xfId="47848"/>
    <cellStyle name="Separador de milhares 3 2 5 6 2 3 4" xfId="15698"/>
    <cellStyle name="Separador de milhares 3 2 5 6 2 3 4 2" xfId="41940"/>
    <cellStyle name="Separador de milhares 3 2 5 6 2 3 5" xfId="35554"/>
    <cellStyle name="Separador de milhares 3 2 5 6 2 4" xfId="5937"/>
    <cellStyle name="Separador de milhares 3 2 5 6 2 4 2" xfId="24569"/>
    <cellStyle name="Separador de milhares 3 2 5 6 2 4 2 2" xfId="50802"/>
    <cellStyle name="Separador de milhares 3 2 5 6 2 4 3" xfId="32182"/>
    <cellStyle name="Separador de milhares 3 2 5 6 2 5" xfId="18655"/>
    <cellStyle name="Separador de milhares 3 2 5 6 2 5 2" xfId="44894"/>
    <cellStyle name="Separador de milhares 3 2 5 6 2 6" xfId="12324"/>
    <cellStyle name="Separador de milhares 3 2 5 6 2 6 2" xfId="38566"/>
    <cellStyle name="Separador de milhares 3 2 5 6 2 7" xfId="30484"/>
    <cellStyle name="Separador de milhares 3 2 5 6 3" xfId="6681"/>
    <cellStyle name="Separador de milhares 3 2 5 6 3 2" xfId="9828"/>
    <cellStyle name="Separador de milhares 3 2 5 6 3 2 2" xfId="28042"/>
    <cellStyle name="Separador de milhares 3 2 5 6 3 2 2 2" xfId="54272"/>
    <cellStyle name="Separador de milhares 3 2 5 6 3 2 3" xfId="22128"/>
    <cellStyle name="Separador de milhares 3 2 5 6 3 2 3 2" xfId="48364"/>
    <cellStyle name="Separador de milhares 3 2 5 6 3 2 4" xfId="16214"/>
    <cellStyle name="Separador de milhares 3 2 5 6 3 2 4 2" xfId="42456"/>
    <cellStyle name="Separador de milhares 3 2 5 6 3 2 5" xfId="36070"/>
    <cellStyle name="Separador de milhares 3 2 5 6 3 3" xfId="25085"/>
    <cellStyle name="Separador de milhares 3 2 5 6 3 3 2" xfId="51318"/>
    <cellStyle name="Separador de milhares 3 2 5 6 3 4" xfId="19171"/>
    <cellStyle name="Separador de milhares 3 2 5 6 3 4 2" xfId="45410"/>
    <cellStyle name="Separador de milhares 3 2 5 6 3 5" xfId="13070"/>
    <cellStyle name="Separador de milhares 3 2 5 6 3 5 2" xfId="39312"/>
    <cellStyle name="Separador de milhares 3 2 5 6 3 6" xfId="32926"/>
    <cellStyle name="Separador de milhares 3 2 5 6 4" xfId="8360"/>
    <cellStyle name="Separador de milhares 3 2 5 6 4 2" xfId="26574"/>
    <cellStyle name="Separador de milhares 3 2 5 6 4 2 2" xfId="52804"/>
    <cellStyle name="Separador de milhares 3 2 5 6 4 3" xfId="20660"/>
    <cellStyle name="Separador de milhares 3 2 5 6 4 3 2" xfId="46896"/>
    <cellStyle name="Separador de milhares 3 2 5 6 4 4" xfId="14746"/>
    <cellStyle name="Separador de milhares 3 2 5 6 4 4 2" xfId="40988"/>
    <cellStyle name="Separador de milhares 3 2 5 6 4 5" xfId="34602"/>
    <cellStyle name="Separador de milhares 3 2 5 6 5" xfId="4982"/>
    <cellStyle name="Separador de milhares 3 2 5 6 5 2" xfId="23617"/>
    <cellStyle name="Separador de milhares 3 2 5 6 5 2 2" xfId="49850"/>
    <cellStyle name="Separador de milhares 3 2 5 6 5 3" xfId="31227"/>
    <cellStyle name="Separador de milhares 3 2 5 6 6" xfId="17703"/>
    <cellStyle name="Separador de milhares 3 2 5 6 6 2" xfId="43942"/>
    <cellStyle name="Separador de milhares 3 2 5 6 7" xfId="11369"/>
    <cellStyle name="Separador de milhares 3 2 5 6 7 2" xfId="37611"/>
    <cellStyle name="Separador de milhares 3 2 5 6 8" xfId="29529"/>
    <cellStyle name="Separador de milhares 3 2 5 7" xfId="1147"/>
    <cellStyle name="Separador de milhares 3 2 5 7 2" xfId="6779"/>
    <cellStyle name="Separador de milhares 3 2 5 7 2 2" xfId="9926"/>
    <cellStyle name="Separador de milhares 3 2 5 7 2 2 2" xfId="28140"/>
    <cellStyle name="Separador de milhares 3 2 5 7 2 2 2 2" xfId="54370"/>
    <cellStyle name="Separador de milhares 3 2 5 7 2 2 3" xfId="22226"/>
    <cellStyle name="Separador de milhares 3 2 5 7 2 2 3 2" xfId="48462"/>
    <cellStyle name="Separador de milhares 3 2 5 7 2 2 4" xfId="16312"/>
    <cellStyle name="Separador de milhares 3 2 5 7 2 2 4 2" xfId="42554"/>
    <cellStyle name="Separador de milhares 3 2 5 7 2 2 5" xfId="36168"/>
    <cellStyle name="Separador de milhares 3 2 5 7 2 3" xfId="25183"/>
    <cellStyle name="Separador de milhares 3 2 5 7 2 3 2" xfId="51416"/>
    <cellStyle name="Separador de milhares 3 2 5 7 2 4" xfId="19269"/>
    <cellStyle name="Separador de milhares 3 2 5 7 2 4 2" xfId="45508"/>
    <cellStyle name="Separador de milhares 3 2 5 7 2 5" xfId="13168"/>
    <cellStyle name="Separador de milhares 3 2 5 7 2 5 2" xfId="39410"/>
    <cellStyle name="Separador de milhares 3 2 5 7 2 6" xfId="33024"/>
    <cellStyle name="Separador de milhares 3 2 5 7 3" xfId="8458"/>
    <cellStyle name="Separador de milhares 3 2 5 7 3 2" xfId="26672"/>
    <cellStyle name="Separador de milhares 3 2 5 7 3 2 2" xfId="52902"/>
    <cellStyle name="Separador de milhares 3 2 5 7 3 3" xfId="20758"/>
    <cellStyle name="Separador de milhares 3 2 5 7 3 3 2" xfId="46994"/>
    <cellStyle name="Separador de milhares 3 2 5 7 3 4" xfId="14844"/>
    <cellStyle name="Separador de milhares 3 2 5 7 3 4 2" xfId="41086"/>
    <cellStyle name="Separador de milhares 3 2 5 7 3 5" xfId="34700"/>
    <cellStyle name="Separador de milhares 3 2 5 7 4" xfId="5080"/>
    <cellStyle name="Separador de milhares 3 2 5 7 4 2" xfId="23715"/>
    <cellStyle name="Separador de milhares 3 2 5 7 4 2 2" xfId="49948"/>
    <cellStyle name="Separador de milhares 3 2 5 7 4 3" xfId="31325"/>
    <cellStyle name="Separador de milhares 3 2 5 7 5" xfId="17801"/>
    <cellStyle name="Separador de milhares 3 2 5 7 5 2" xfId="44040"/>
    <cellStyle name="Separador de milhares 3 2 5 7 6" xfId="11467"/>
    <cellStyle name="Separador de milhares 3 2 5 7 6 2" xfId="37709"/>
    <cellStyle name="Separador de milhares 3 2 5 7 7" xfId="29627"/>
    <cellStyle name="Separador de milhares 3 2 5 8" xfId="1582"/>
    <cellStyle name="Separador de milhares 3 2 5 8 2" xfId="6898"/>
    <cellStyle name="Separador de milhares 3 2 5 8 2 2" xfId="10045"/>
    <cellStyle name="Separador de milhares 3 2 5 8 2 2 2" xfId="28259"/>
    <cellStyle name="Separador de milhares 3 2 5 8 2 2 2 2" xfId="54489"/>
    <cellStyle name="Separador de milhares 3 2 5 8 2 2 3" xfId="22345"/>
    <cellStyle name="Separador de milhares 3 2 5 8 2 2 3 2" xfId="48581"/>
    <cellStyle name="Separador de milhares 3 2 5 8 2 2 4" xfId="16431"/>
    <cellStyle name="Separador de milhares 3 2 5 8 2 2 4 2" xfId="42673"/>
    <cellStyle name="Separador de milhares 3 2 5 8 2 2 5" xfId="36287"/>
    <cellStyle name="Separador de milhares 3 2 5 8 2 3" xfId="25302"/>
    <cellStyle name="Separador de milhares 3 2 5 8 2 3 2" xfId="51535"/>
    <cellStyle name="Separador de milhares 3 2 5 8 2 4" xfId="19388"/>
    <cellStyle name="Separador de milhares 3 2 5 8 2 4 2" xfId="45627"/>
    <cellStyle name="Separador de milhares 3 2 5 8 2 5" xfId="13287"/>
    <cellStyle name="Separador de milhares 3 2 5 8 2 5 2" xfId="39529"/>
    <cellStyle name="Separador de milhares 3 2 5 8 2 6" xfId="33143"/>
    <cellStyle name="Separador de milhares 3 2 5 8 3" xfId="8577"/>
    <cellStyle name="Separador de milhares 3 2 5 8 3 2" xfId="26791"/>
    <cellStyle name="Separador de milhares 3 2 5 8 3 2 2" xfId="53021"/>
    <cellStyle name="Separador de milhares 3 2 5 8 3 3" xfId="20877"/>
    <cellStyle name="Separador de milhares 3 2 5 8 3 3 2" xfId="47113"/>
    <cellStyle name="Separador de milhares 3 2 5 8 3 4" xfId="14963"/>
    <cellStyle name="Separador de milhares 3 2 5 8 3 4 2" xfId="41205"/>
    <cellStyle name="Separador de milhares 3 2 5 8 3 5" xfId="34819"/>
    <cellStyle name="Separador de milhares 3 2 5 8 4" xfId="5199"/>
    <cellStyle name="Separador de milhares 3 2 5 8 4 2" xfId="23834"/>
    <cellStyle name="Separador de milhares 3 2 5 8 4 2 2" xfId="50067"/>
    <cellStyle name="Separador de milhares 3 2 5 8 4 3" xfId="31444"/>
    <cellStyle name="Separador de milhares 3 2 5 8 5" xfId="17920"/>
    <cellStyle name="Separador de milhares 3 2 5 8 5 2" xfId="44159"/>
    <cellStyle name="Separador de milhares 3 2 5 8 6" xfId="11586"/>
    <cellStyle name="Separador de milhares 3 2 5 8 6 2" xfId="37828"/>
    <cellStyle name="Separador de milhares 3 2 5 8 7" xfId="29746"/>
    <cellStyle name="Separador de milhares 3 2 5 9" xfId="2112"/>
    <cellStyle name="Separador de milhares 3 2 5 9 2" xfId="7048"/>
    <cellStyle name="Separador de milhares 3 2 5 9 2 2" xfId="10192"/>
    <cellStyle name="Separador de milhares 3 2 5 9 2 2 2" xfId="28406"/>
    <cellStyle name="Separador de milhares 3 2 5 9 2 2 2 2" xfId="54636"/>
    <cellStyle name="Separador de milhares 3 2 5 9 2 2 3" xfId="22492"/>
    <cellStyle name="Separador de milhares 3 2 5 9 2 2 3 2" xfId="48728"/>
    <cellStyle name="Separador de milhares 3 2 5 9 2 2 4" xfId="16578"/>
    <cellStyle name="Separador de milhares 3 2 5 9 2 2 4 2" xfId="42820"/>
    <cellStyle name="Separador de milhares 3 2 5 9 2 2 5" xfId="36434"/>
    <cellStyle name="Separador de milhares 3 2 5 9 2 3" xfId="25449"/>
    <cellStyle name="Separador de milhares 3 2 5 9 2 3 2" xfId="51682"/>
    <cellStyle name="Separador de milhares 3 2 5 9 2 4" xfId="19535"/>
    <cellStyle name="Separador de milhares 3 2 5 9 2 4 2" xfId="45774"/>
    <cellStyle name="Separador de milhares 3 2 5 9 2 5" xfId="13437"/>
    <cellStyle name="Separador de milhares 3 2 5 9 2 5 2" xfId="39679"/>
    <cellStyle name="Separador de milhares 3 2 5 9 2 6" xfId="33293"/>
    <cellStyle name="Separador de milhares 3 2 5 9 3" xfId="8724"/>
    <cellStyle name="Separador de milhares 3 2 5 9 3 2" xfId="26938"/>
    <cellStyle name="Separador de milhares 3 2 5 9 3 2 2" xfId="53168"/>
    <cellStyle name="Separador de milhares 3 2 5 9 3 3" xfId="21024"/>
    <cellStyle name="Separador de milhares 3 2 5 9 3 3 2" xfId="47260"/>
    <cellStyle name="Separador de milhares 3 2 5 9 3 4" xfId="15110"/>
    <cellStyle name="Separador de milhares 3 2 5 9 3 4 2" xfId="41352"/>
    <cellStyle name="Separador de milhares 3 2 5 9 3 5" xfId="34966"/>
    <cellStyle name="Separador de milhares 3 2 5 9 4" xfId="5349"/>
    <cellStyle name="Separador de milhares 3 2 5 9 4 2" xfId="23981"/>
    <cellStyle name="Separador de milhares 3 2 5 9 4 2 2" xfId="50214"/>
    <cellStyle name="Separador de milhares 3 2 5 9 4 3" xfId="31594"/>
    <cellStyle name="Separador de milhares 3 2 5 9 5" xfId="18067"/>
    <cellStyle name="Separador de milhares 3 2 5 9 5 2" xfId="44306"/>
    <cellStyle name="Separador de milhares 3 2 5 9 6" xfId="11736"/>
    <cellStyle name="Separador de milhares 3 2 5 9 6 2" xfId="37978"/>
    <cellStyle name="Separador de milhares 3 2 5 9 7" xfId="29896"/>
    <cellStyle name="Separador de milhares 3 2 6" xfId="144"/>
    <cellStyle name="Separador de milhares 3 2 6 10" xfId="2647"/>
    <cellStyle name="Separador de milhares 3 2 6 10 2" xfId="7197"/>
    <cellStyle name="Separador de milhares 3 2 6 10 2 2" xfId="10341"/>
    <cellStyle name="Separador de milhares 3 2 6 10 2 2 2" xfId="28555"/>
    <cellStyle name="Separador de milhares 3 2 6 10 2 2 2 2" xfId="54785"/>
    <cellStyle name="Separador de milhares 3 2 6 10 2 2 3" xfId="22641"/>
    <cellStyle name="Separador de milhares 3 2 6 10 2 2 3 2" xfId="48877"/>
    <cellStyle name="Separador de milhares 3 2 6 10 2 2 4" xfId="16727"/>
    <cellStyle name="Separador de milhares 3 2 6 10 2 2 4 2" xfId="42969"/>
    <cellStyle name="Separador de milhares 3 2 6 10 2 2 5" xfId="36583"/>
    <cellStyle name="Separador de milhares 3 2 6 10 2 3" xfId="25598"/>
    <cellStyle name="Separador de milhares 3 2 6 10 2 3 2" xfId="51831"/>
    <cellStyle name="Separador de milhares 3 2 6 10 2 4" xfId="19684"/>
    <cellStyle name="Separador de milhares 3 2 6 10 2 4 2" xfId="45923"/>
    <cellStyle name="Separador de milhares 3 2 6 10 2 5" xfId="13586"/>
    <cellStyle name="Separador de milhares 3 2 6 10 2 5 2" xfId="39828"/>
    <cellStyle name="Separador de milhares 3 2 6 10 2 6" xfId="33442"/>
    <cellStyle name="Separador de milhares 3 2 6 10 3" xfId="8873"/>
    <cellStyle name="Separador de milhares 3 2 6 10 3 2" xfId="27087"/>
    <cellStyle name="Separador de milhares 3 2 6 10 3 2 2" xfId="53317"/>
    <cellStyle name="Separador de milhares 3 2 6 10 3 3" xfId="21173"/>
    <cellStyle name="Separador de milhares 3 2 6 10 3 3 2" xfId="47409"/>
    <cellStyle name="Separador de milhares 3 2 6 10 3 4" xfId="15259"/>
    <cellStyle name="Separador de milhares 3 2 6 10 3 4 2" xfId="41501"/>
    <cellStyle name="Separador de milhares 3 2 6 10 3 5" xfId="35115"/>
    <cellStyle name="Separador de milhares 3 2 6 10 4" xfId="5498"/>
    <cellStyle name="Separador de milhares 3 2 6 10 4 2" xfId="24130"/>
    <cellStyle name="Separador de milhares 3 2 6 10 4 2 2" xfId="50363"/>
    <cellStyle name="Separador de milhares 3 2 6 10 4 3" xfId="31743"/>
    <cellStyle name="Separador de milhares 3 2 6 10 5" xfId="18216"/>
    <cellStyle name="Separador de milhares 3 2 6 10 5 2" xfId="44455"/>
    <cellStyle name="Separador de milhares 3 2 6 10 6" xfId="11885"/>
    <cellStyle name="Separador de milhares 3 2 6 10 6 2" xfId="38127"/>
    <cellStyle name="Separador de milhares 3 2 6 10 7" xfId="30045"/>
    <cellStyle name="Separador de milhares 3 2 6 11" xfId="3174"/>
    <cellStyle name="Separador de milhares 3 2 6 11 2" xfId="7344"/>
    <cellStyle name="Separador de milhares 3 2 6 11 2 2" xfId="10488"/>
    <cellStyle name="Separador de milhares 3 2 6 11 2 2 2" xfId="28702"/>
    <cellStyle name="Separador de milhares 3 2 6 11 2 2 2 2" xfId="54932"/>
    <cellStyle name="Separador de milhares 3 2 6 11 2 2 3" xfId="22788"/>
    <cellStyle name="Separador de milhares 3 2 6 11 2 2 3 2" xfId="49024"/>
    <cellStyle name="Separador de milhares 3 2 6 11 2 2 4" xfId="16874"/>
    <cellStyle name="Separador de milhares 3 2 6 11 2 2 4 2" xfId="43116"/>
    <cellStyle name="Separador de milhares 3 2 6 11 2 2 5" xfId="36730"/>
    <cellStyle name="Separador de milhares 3 2 6 11 2 3" xfId="25745"/>
    <cellStyle name="Separador de milhares 3 2 6 11 2 3 2" xfId="51978"/>
    <cellStyle name="Separador de milhares 3 2 6 11 2 4" xfId="19831"/>
    <cellStyle name="Separador de milhares 3 2 6 11 2 4 2" xfId="46070"/>
    <cellStyle name="Separador de milhares 3 2 6 11 2 5" xfId="13733"/>
    <cellStyle name="Separador de milhares 3 2 6 11 2 5 2" xfId="39975"/>
    <cellStyle name="Separador de milhares 3 2 6 11 2 6" xfId="33589"/>
    <cellStyle name="Separador de milhares 3 2 6 11 3" xfId="9020"/>
    <cellStyle name="Separador de milhares 3 2 6 11 3 2" xfId="27234"/>
    <cellStyle name="Separador de milhares 3 2 6 11 3 2 2" xfId="53464"/>
    <cellStyle name="Separador de milhares 3 2 6 11 3 3" xfId="21320"/>
    <cellStyle name="Separador de milhares 3 2 6 11 3 3 2" xfId="47556"/>
    <cellStyle name="Separador de milhares 3 2 6 11 3 4" xfId="15406"/>
    <cellStyle name="Separador de milhares 3 2 6 11 3 4 2" xfId="41648"/>
    <cellStyle name="Separador de milhares 3 2 6 11 3 5" xfId="35262"/>
    <cellStyle name="Separador de milhares 3 2 6 11 4" xfId="5645"/>
    <cellStyle name="Separador de milhares 3 2 6 11 4 2" xfId="24277"/>
    <cellStyle name="Separador de milhares 3 2 6 11 4 2 2" xfId="50510"/>
    <cellStyle name="Separador de milhares 3 2 6 11 4 3" xfId="31890"/>
    <cellStyle name="Separador de milhares 3 2 6 11 5" xfId="18363"/>
    <cellStyle name="Separador de milhares 3 2 6 11 5 2" xfId="44602"/>
    <cellStyle name="Separador de milhares 3 2 6 11 6" xfId="12032"/>
    <cellStyle name="Separador de milhares 3 2 6 11 6 2" xfId="38274"/>
    <cellStyle name="Separador de milhares 3 2 6 11 7" xfId="30192"/>
    <cellStyle name="Separador de milhares 3 2 6 12" xfId="3701"/>
    <cellStyle name="Separador de milhares 3 2 6 12 2" xfId="7491"/>
    <cellStyle name="Separador de milhares 3 2 6 12 2 2" xfId="10635"/>
    <cellStyle name="Separador de milhares 3 2 6 12 2 2 2" xfId="28849"/>
    <cellStyle name="Separador de milhares 3 2 6 12 2 2 2 2" xfId="55079"/>
    <cellStyle name="Separador de milhares 3 2 6 12 2 2 3" xfId="22935"/>
    <cellStyle name="Separador de milhares 3 2 6 12 2 2 3 2" xfId="49171"/>
    <cellStyle name="Separador de milhares 3 2 6 12 2 2 4" xfId="17021"/>
    <cellStyle name="Separador de milhares 3 2 6 12 2 2 4 2" xfId="43263"/>
    <cellStyle name="Separador de milhares 3 2 6 12 2 2 5" xfId="36877"/>
    <cellStyle name="Separador de milhares 3 2 6 12 2 3" xfId="25892"/>
    <cellStyle name="Separador de milhares 3 2 6 12 2 3 2" xfId="52125"/>
    <cellStyle name="Separador de milhares 3 2 6 12 2 4" xfId="19978"/>
    <cellStyle name="Separador de milhares 3 2 6 12 2 4 2" xfId="46217"/>
    <cellStyle name="Separador de milhares 3 2 6 12 2 5" xfId="13880"/>
    <cellStyle name="Separador de milhares 3 2 6 12 2 5 2" xfId="40122"/>
    <cellStyle name="Separador de milhares 3 2 6 12 2 6" xfId="33736"/>
    <cellStyle name="Separador de milhares 3 2 6 12 3" xfId="9167"/>
    <cellStyle name="Separador de milhares 3 2 6 12 3 2" xfId="27381"/>
    <cellStyle name="Separador de milhares 3 2 6 12 3 2 2" xfId="53611"/>
    <cellStyle name="Separador de milhares 3 2 6 12 3 3" xfId="21467"/>
    <cellStyle name="Separador de milhares 3 2 6 12 3 3 2" xfId="47703"/>
    <cellStyle name="Separador de milhares 3 2 6 12 3 4" xfId="15553"/>
    <cellStyle name="Separador de milhares 3 2 6 12 3 4 2" xfId="41795"/>
    <cellStyle name="Separador de milhares 3 2 6 12 3 5" xfId="35409"/>
    <cellStyle name="Separador de milhares 3 2 6 12 4" xfId="5792"/>
    <cellStyle name="Separador de milhares 3 2 6 12 4 2" xfId="24424"/>
    <cellStyle name="Separador de milhares 3 2 6 12 4 2 2" xfId="50657"/>
    <cellStyle name="Separador de milhares 3 2 6 12 4 3" xfId="32037"/>
    <cellStyle name="Separador de milhares 3 2 6 12 5" xfId="18510"/>
    <cellStyle name="Separador de milhares 3 2 6 12 5 2" xfId="44749"/>
    <cellStyle name="Separador de milhares 3 2 6 12 6" xfId="12179"/>
    <cellStyle name="Separador de milhares 3 2 6 12 6 2" xfId="38421"/>
    <cellStyle name="Separador de milhares 3 2 6 12 7" xfId="30339"/>
    <cellStyle name="Separador de milhares 3 2 6 13" xfId="6475"/>
    <cellStyle name="Separador de milhares 3 2 6 13 2" xfId="9631"/>
    <cellStyle name="Separador de milhares 3 2 6 13 2 2" xfId="27845"/>
    <cellStyle name="Separador de milhares 3 2 6 13 2 2 2" xfId="54075"/>
    <cellStyle name="Separador de milhares 3 2 6 13 2 3" xfId="21931"/>
    <cellStyle name="Separador de milhares 3 2 6 13 2 3 2" xfId="48167"/>
    <cellStyle name="Separador de milhares 3 2 6 13 2 4" xfId="16017"/>
    <cellStyle name="Separador de milhares 3 2 6 13 2 4 2" xfId="42259"/>
    <cellStyle name="Separador de milhares 3 2 6 13 2 5" xfId="35873"/>
    <cellStyle name="Separador de milhares 3 2 6 13 3" xfId="24888"/>
    <cellStyle name="Separador de milhares 3 2 6 13 3 2" xfId="51121"/>
    <cellStyle name="Separador de milhares 3 2 6 13 4" xfId="18974"/>
    <cellStyle name="Separador de milhares 3 2 6 13 4 2" xfId="45213"/>
    <cellStyle name="Separador de milhares 3 2 6 13 5" xfId="12864"/>
    <cellStyle name="Separador de milhares 3 2 6 13 5 2" xfId="39106"/>
    <cellStyle name="Separador de milhares 3 2 6 13 6" xfId="32720"/>
    <cellStyle name="Separador de milhares 3 2 6 14" xfId="8160"/>
    <cellStyle name="Separador de milhares 3 2 6 14 2" xfId="26374"/>
    <cellStyle name="Separador de milhares 3 2 6 14 2 2" xfId="52607"/>
    <cellStyle name="Separador de milhares 3 2 6 14 3" xfId="20460"/>
    <cellStyle name="Separador de milhares 3 2 6 14 3 2" xfId="46699"/>
    <cellStyle name="Separador de milhares 3 2 6 14 4" xfId="14549"/>
    <cellStyle name="Separador de milhares 3 2 6 14 4 2" xfId="40791"/>
    <cellStyle name="Separador de milhares 3 2 6 14 5" xfId="34405"/>
    <cellStyle name="Separador de milhares 3 2 6 15" xfId="4773"/>
    <cellStyle name="Separador de milhares 3 2 6 15 2" xfId="23417"/>
    <cellStyle name="Separador de milhares 3 2 6 15 2 2" xfId="49653"/>
    <cellStyle name="Separador de milhares 3 2 6 15 3" xfId="31021"/>
    <cellStyle name="Separador de milhares 3 2 6 16" xfId="17503"/>
    <cellStyle name="Separador de milhares 3 2 6 16 2" xfId="43745"/>
    <cellStyle name="Separador de milhares 3 2 6 17" xfId="11163"/>
    <cellStyle name="Separador de milhares 3 2 6 17 2" xfId="37405"/>
    <cellStyle name="Separador de milhares 3 2 6 18" xfId="29323"/>
    <cellStyle name="Separador de milhares 3 2 6 2" xfId="238"/>
    <cellStyle name="Separador de milhares 3 2 6 2 10" xfId="6504"/>
    <cellStyle name="Separador de milhares 3 2 6 2 10 2" xfId="9658"/>
    <cellStyle name="Separador de milhares 3 2 6 2 10 2 2" xfId="27872"/>
    <cellStyle name="Separador de milhares 3 2 6 2 10 2 2 2" xfId="54102"/>
    <cellStyle name="Separador de milhares 3 2 6 2 10 2 3" xfId="21958"/>
    <cellStyle name="Separador de milhares 3 2 6 2 10 2 3 2" xfId="48194"/>
    <cellStyle name="Separador de milhares 3 2 6 2 10 2 4" xfId="16044"/>
    <cellStyle name="Separador de milhares 3 2 6 2 10 2 4 2" xfId="42286"/>
    <cellStyle name="Separador de milhares 3 2 6 2 10 2 5" xfId="35900"/>
    <cellStyle name="Separador de milhares 3 2 6 2 10 3" xfId="24915"/>
    <cellStyle name="Separador de milhares 3 2 6 2 10 3 2" xfId="51148"/>
    <cellStyle name="Separador de milhares 3 2 6 2 10 4" xfId="19001"/>
    <cellStyle name="Separador de milhares 3 2 6 2 10 4 2" xfId="45240"/>
    <cellStyle name="Separador de milhares 3 2 6 2 10 5" xfId="12893"/>
    <cellStyle name="Separador de milhares 3 2 6 2 10 5 2" xfId="39135"/>
    <cellStyle name="Separador de milhares 3 2 6 2 10 6" xfId="32749"/>
    <cellStyle name="Separador de milhares 3 2 6 2 11" xfId="8187"/>
    <cellStyle name="Separador de milhares 3 2 6 2 11 2" xfId="26401"/>
    <cellStyle name="Separador de milhares 3 2 6 2 11 2 2" xfId="52634"/>
    <cellStyle name="Separador de milhares 3 2 6 2 11 3" xfId="20487"/>
    <cellStyle name="Separador de milhares 3 2 6 2 11 3 2" xfId="46726"/>
    <cellStyle name="Separador de milhares 3 2 6 2 11 4" xfId="14576"/>
    <cellStyle name="Separador de milhares 3 2 6 2 11 4 2" xfId="40818"/>
    <cellStyle name="Separador de milhares 3 2 6 2 11 5" xfId="34432"/>
    <cellStyle name="Separador de milhares 3 2 6 2 12" xfId="4803"/>
    <cellStyle name="Separador de milhares 3 2 6 2 12 2" xfId="23444"/>
    <cellStyle name="Separador de milhares 3 2 6 2 12 2 2" xfId="49680"/>
    <cellStyle name="Separador de milhares 3 2 6 2 12 3" xfId="31050"/>
    <cellStyle name="Separador de milhares 3 2 6 2 13" xfId="17530"/>
    <cellStyle name="Separador de milhares 3 2 6 2 13 2" xfId="43772"/>
    <cellStyle name="Separador de milhares 3 2 6 2 14" xfId="11192"/>
    <cellStyle name="Separador de milhares 3 2 6 2 14 2" xfId="37434"/>
    <cellStyle name="Separador de milhares 3 2 6 2 15" xfId="29353"/>
    <cellStyle name="Separador de milhares 3 2 6 2 2" xfId="511"/>
    <cellStyle name="Separador de milhares 3 2 6 2 2 10" xfId="17604"/>
    <cellStyle name="Separador de milhares 3 2 6 2 2 10 2" xfId="43846"/>
    <cellStyle name="Separador de milhares 3 2 6 2 2 11" xfId="11273"/>
    <cellStyle name="Separador de milhares 3 2 6 2 2 11 2" xfId="37515"/>
    <cellStyle name="Separador de milhares 3 2 6 2 2 12" xfId="29433"/>
    <cellStyle name="Separador de milhares 3 2 6 2 2 2" xfId="2030"/>
    <cellStyle name="Separador de milhares 3 2 6 2 2 2 2" xfId="7023"/>
    <cellStyle name="Separador de milhares 3 2 6 2 2 2 2 2" xfId="10170"/>
    <cellStyle name="Separador de milhares 3 2 6 2 2 2 2 2 2" xfId="28384"/>
    <cellStyle name="Separador de milhares 3 2 6 2 2 2 2 2 2 2" xfId="54614"/>
    <cellStyle name="Separador de milhares 3 2 6 2 2 2 2 2 3" xfId="22470"/>
    <cellStyle name="Separador de milhares 3 2 6 2 2 2 2 2 3 2" xfId="48706"/>
    <cellStyle name="Separador de milhares 3 2 6 2 2 2 2 2 4" xfId="16556"/>
    <cellStyle name="Separador de milhares 3 2 6 2 2 2 2 2 4 2" xfId="42798"/>
    <cellStyle name="Separador de milhares 3 2 6 2 2 2 2 2 5" xfId="36412"/>
    <cellStyle name="Separador de milhares 3 2 6 2 2 2 2 3" xfId="25427"/>
    <cellStyle name="Separador de milhares 3 2 6 2 2 2 2 3 2" xfId="51660"/>
    <cellStyle name="Separador de milhares 3 2 6 2 2 2 2 4" xfId="19513"/>
    <cellStyle name="Separador de milhares 3 2 6 2 2 2 2 4 2" xfId="45752"/>
    <cellStyle name="Separador de milhares 3 2 6 2 2 2 2 5" xfId="13412"/>
    <cellStyle name="Separador de milhares 3 2 6 2 2 2 2 5 2" xfId="39654"/>
    <cellStyle name="Separador de milhares 3 2 6 2 2 2 2 6" xfId="33268"/>
    <cellStyle name="Separador de milhares 3 2 6 2 2 2 3" xfId="8702"/>
    <cellStyle name="Separador de milhares 3 2 6 2 2 2 3 2" xfId="26916"/>
    <cellStyle name="Separador de milhares 3 2 6 2 2 2 3 2 2" xfId="53146"/>
    <cellStyle name="Separador de milhares 3 2 6 2 2 2 3 3" xfId="21002"/>
    <cellStyle name="Separador de milhares 3 2 6 2 2 2 3 3 2" xfId="47238"/>
    <cellStyle name="Separador de milhares 3 2 6 2 2 2 3 4" xfId="15088"/>
    <cellStyle name="Separador de milhares 3 2 6 2 2 2 3 4 2" xfId="41330"/>
    <cellStyle name="Separador de milhares 3 2 6 2 2 2 3 5" xfId="34944"/>
    <cellStyle name="Separador de milhares 3 2 6 2 2 2 4" xfId="5324"/>
    <cellStyle name="Separador de milhares 3 2 6 2 2 2 4 2" xfId="23959"/>
    <cellStyle name="Separador de milhares 3 2 6 2 2 2 4 2 2" xfId="50192"/>
    <cellStyle name="Separador de milhares 3 2 6 2 2 2 4 3" xfId="31569"/>
    <cellStyle name="Separador de milhares 3 2 6 2 2 2 5" xfId="18045"/>
    <cellStyle name="Separador de milhares 3 2 6 2 2 2 5 2" xfId="44284"/>
    <cellStyle name="Separador de milhares 3 2 6 2 2 2 6" xfId="11711"/>
    <cellStyle name="Separador de milhares 3 2 6 2 2 2 6 2" xfId="37953"/>
    <cellStyle name="Separador de milhares 3 2 6 2 2 2 7" xfId="29871"/>
    <cellStyle name="Separador de milhares 3 2 6 2 2 3" xfId="2560"/>
    <cellStyle name="Separador de milhares 3 2 6 2 2 3 2" xfId="7173"/>
    <cellStyle name="Separador de milhares 3 2 6 2 2 3 2 2" xfId="10317"/>
    <cellStyle name="Separador de milhares 3 2 6 2 2 3 2 2 2" xfId="28531"/>
    <cellStyle name="Separador de milhares 3 2 6 2 2 3 2 2 2 2" xfId="54761"/>
    <cellStyle name="Separador de milhares 3 2 6 2 2 3 2 2 3" xfId="22617"/>
    <cellStyle name="Separador de milhares 3 2 6 2 2 3 2 2 3 2" xfId="48853"/>
    <cellStyle name="Separador de milhares 3 2 6 2 2 3 2 2 4" xfId="16703"/>
    <cellStyle name="Separador de milhares 3 2 6 2 2 3 2 2 4 2" xfId="42945"/>
    <cellStyle name="Separador de milhares 3 2 6 2 2 3 2 2 5" xfId="36559"/>
    <cellStyle name="Separador de milhares 3 2 6 2 2 3 2 3" xfId="25574"/>
    <cellStyle name="Separador de milhares 3 2 6 2 2 3 2 3 2" xfId="51807"/>
    <cellStyle name="Separador de milhares 3 2 6 2 2 3 2 4" xfId="19660"/>
    <cellStyle name="Separador de milhares 3 2 6 2 2 3 2 4 2" xfId="45899"/>
    <cellStyle name="Separador de milhares 3 2 6 2 2 3 2 5" xfId="13562"/>
    <cellStyle name="Separador de milhares 3 2 6 2 2 3 2 5 2" xfId="39804"/>
    <cellStyle name="Separador de milhares 3 2 6 2 2 3 2 6" xfId="33418"/>
    <cellStyle name="Separador de milhares 3 2 6 2 2 3 3" xfId="8849"/>
    <cellStyle name="Separador de milhares 3 2 6 2 2 3 3 2" xfId="27063"/>
    <cellStyle name="Separador de milhares 3 2 6 2 2 3 3 2 2" xfId="53293"/>
    <cellStyle name="Separador de milhares 3 2 6 2 2 3 3 3" xfId="21149"/>
    <cellStyle name="Separador de milhares 3 2 6 2 2 3 3 3 2" xfId="47385"/>
    <cellStyle name="Separador de milhares 3 2 6 2 2 3 3 4" xfId="15235"/>
    <cellStyle name="Separador de milhares 3 2 6 2 2 3 3 4 2" xfId="41477"/>
    <cellStyle name="Separador de milhares 3 2 6 2 2 3 3 5" xfId="35091"/>
    <cellStyle name="Separador de milhares 3 2 6 2 2 3 4" xfId="5474"/>
    <cellStyle name="Separador de milhares 3 2 6 2 2 3 4 2" xfId="24106"/>
    <cellStyle name="Separador de milhares 3 2 6 2 2 3 4 2 2" xfId="50339"/>
    <cellStyle name="Separador de milhares 3 2 6 2 2 3 4 3" xfId="31719"/>
    <cellStyle name="Separador de milhares 3 2 6 2 2 3 5" xfId="18192"/>
    <cellStyle name="Separador de milhares 3 2 6 2 2 3 5 2" xfId="44431"/>
    <cellStyle name="Separador de milhares 3 2 6 2 2 3 6" xfId="11861"/>
    <cellStyle name="Separador de milhares 3 2 6 2 2 3 6 2" xfId="38103"/>
    <cellStyle name="Separador de milhares 3 2 6 2 2 3 7" xfId="30021"/>
    <cellStyle name="Separador de milhares 3 2 6 2 2 4" xfId="3087"/>
    <cellStyle name="Separador de milhares 3 2 6 2 2 4 2" xfId="7320"/>
    <cellStyle name="Separador de milhares 3 2 6 2 2 4 2 2" xfId="10464"/>
    <cellStyle name="Separador de milhares 3 2 6 2 2 4 2 2 2" xfId="28678"/>
    <cellStyle name="Separador de milhares 3 2 6 2 2 4 2 2 2 2" xfId="54908"/>
    <cellStyle name="Separador de milhares 3 2 6 2 2 4 2 2 3" xfId="22764"/>
    <cellStyle name="Separador de milhares 3 2 6 2 2 4 2 2 3 2" xfId="49000"/>
    <cellStyle name="Separador de milhares 3 2 6 2 2 4 2 2 4" xfId="16850"/>
    <cellStyle name="Separador de milhares 3 2 6 2 2 4 2 2 4 2" xfId="43092"/>
    <cellStyle name="Separador de milhares 3 2 6 2 2 4 2 2 5" xfId="36706"/>
    <cellStyle name="Separador de milhares 3 2 6 2 2 4 2 3" xfId="25721"/>
    <cellStyle name="Separador de milhares 3 2 6 2 2 4 2 3 2" xfId="51954"/>
    <cellStyle name="Separador de milhares 3 2 6 2 2 4 2 4" xfId="19807"/>
    <cellStyle name="Separador de milhares 3 2 6 2 2 4 2 4 2" xfId="46046"/>
    <cellStyle name="Separador de milhares 3 2 6 2 2 4 2 5" xfId="13709"/>
    <cellStyle name="Separador de milhares 3 2 6 2 2 4 2 5 2" xfId="39951"/>
    <cellStyle name="Separador de milhares 3 2 6 2 2 4 2 6" xfId="33565"/>
    <cellStyle name="Separador de milhares 3 2 6 2 2 4 3" xfId="8996"/>
    <cellStyle name="Separador de milhares 3 2 6 2 2 4 3 2" xfId="27210"/>
    <cellStyle name="Separador de milhares 3 2 6 2 2 4 3 2 2" xfId="53440"/>
    <cellStyle name="Separador de milhares 3 2 6 2 2 4 3 3" xfId="21296"/>
    <cellStyle name="Separador de milhares 3 2 6 2 2 4 3 3 2" xfId="47532"/>
    <cellStyle name="Separador de milhares 3 2 6 2 2 4 3 4" xfId="15382"/>
    <cellStyle name="Separador de milhares 3 2 6 2 2 4 3 4 2" xfId="41624"/>
    <cellStyle name="Separador de milhares 3 2 6 2 2 4 3 5" xfId="35238"/>
    <cellStyle name="Separador de milhares 3 2 6 2 2 4 4" xfId="5621"/>
    <cellStyle name="Separador de milhares 3 2 6 2 2 4 4 2" xfId="24253"/>
    <cellStyle name="Separador de milhares 3 2 6 2 2 4 4 2 2" xfId="50486"/>
    <cellStyle name="Separador de milhares 3 2 6 2 2 4 4 3" xfId="31866"/>
    <cellStyle name="Separador de milhares 3 2 6 2 2 4 5" xfId="18339"/>
    <cellStyle name="Separador de milhares 3 2 6 2 2 4 5 2" xfId="44578"/>
    <cellStyle name="Separador de milhares 3 2 6 2 2 4 6" xfId="12008"/>
    <cellStyle name="Separador de milhares 3 2 6 2 2 4 6 2" xfId="38250"/>
    <cellStyle name="Separador de milhares 3 2 6 2 2 4 7" xfId="30168"/>
    <cellStyle name="Separador de milhares 3 2 6 2 2 5" xfId="3614"/>
    <cellStyle name="Separador de milhares 3 2 6 2 2 5 2" xfId="7467"/>
    <cellStyle name="Separador de milhares 3 2 6 2 2 5 2 2" xfId="10611"/>
    <cellStyle name="Separador de milhares 3 2 6 2 2 5 2 2 2" xfId="28825"/>
    <cellStyle name="Separador de milhares 3 2 6 2 2 5 2 2 2 2" xfId="55055"/>
    <cellStyle name="Separador de milhares 3 2 6 2 2 5 2 2 3" xfId="22911"/>
    <cellStyle name="Separador de milhares 3 2 6 2 2 5 2 2 3 2" xfId="49147"/>
    <cellStyle name="Separador de milhares 3 2 6 2 2 5 2 2 4" xfId="16997"/>
    <cellStyle name="Separador de milhares 3 2 6 2 2 5 2 2 4 2" xfId="43239"/>
    <cellStyle name="Separador de milhares 3 2 6 2 2 5 2 2 5" xfId="36853"/>
    <cellStyle name="Separador de milhares 3 2 6 2 2 5 2 3" xfId="25868"/>
    <cellStyle name="Separador de milhares 3 2 6 2 2 5 2 3 2" xfId="52101"/>
    <cellStyle name="Separador de milhares 3 2 6 2 2 5 2 4" xfId="19954"/>
    <cellStyle name="Separador de milhares 3 2 6 2 2 5 2 4 2" xfId="46193"/>
    <cellStyle name="Separador de milhares 3 2 6 2 2 5 2 5" xfId="13856"/>
    <cellStyle name="Separador de milhares 3 2 6 2 2 5 2 5 2" xfId="40098"/>
    <cellStyle name="Separador de milhares 3 2 6 2 2 5 2 6" xfId="33712"/>
    <cellStyle name="Separador de milhares 3 2 6 2 2 5 3" xfId="9143"/>
    <cellStyle name="Separador de milhares 3 2 6 2 2 5 3 2" xfId="27357"/>
    <cellStyle name="Separador de milhares 3 2 6 2 2 5 3 2 2" xfId="53587"/>
    <cellStyle name="Separador de milhares 3 2 6 2 2 5 3 3" xfId="21443"/>
    <cellStyle name="Separador de milhares 3 2 6 2 2 5 3 3 2" xfId="47679"/>
    <cellStyle name="Separador de milhares 3 2 6 2 2 5 3 4" xfId="15529"/>
    <cellStyle name="Separador de milhares 3 2 6 2 2 5 3 4 2" xfId="41771"/>
    <cellStyle name="Separador de milhares 3 2 6 2 2 5 3 5" xfId="35385"/>
    <cellStyle name="Separador de milhares 3 2 6 2 2 5 4" xfId="5768"/>
    <cellStyle name="Separador de milhares 3 2 6 2 2 5 4 2" xfId="24400"/>
    <cellStyle name="Separador de milhares 3 2 6 2 2 5 4 2 2" xfId="50633"/>
    <cellStyle name="Separador de milhares 3 2 6 2 2 5 4 3" xfId="32013"/>
    <cellStyle name="Separador de milhares 3 2 6 2 2 5 5" xfId="18486"/>
    <cellStyle name="Separador de milhares 3 2 6 2 2 5 5 2" xfId="44725"/>
    <cellStyle name="Separador de milhares 3 2 6 2 2 5 6" xfId="12155"/>
    <cellStyle name="Separador de milhares 3 2 6 2 2 5 6 2" xfId="38397"/>
    <cellStyle name="Separador de milhares 3 2 6 2 2 5 7" xfId="30315"/>
    <cellStyle name="Separador de milhares 3 2 6 2 2 6" xfId="4141"/>
    <cellStyle name="Separador de milhares 3 2 6 2 2 6 2" xfId="7614"/>
    <cellStyle name="Separador de milhares 3 2 6 2 2 6 2 2" xfId="10758"/>
    <cellStyle name="Separador de milhares 3 2 6 2 2 6 2 2 2" xfId="28972"/>
    <cellStyle name="Separador de milhares 3 2 6 2 2 6 2 2 2 2" xfId="55202"/>
    <cellStyle name="Separador de milhares 3 2 6 2 2 6 2 2 3" xfId="23058"/>
    <cellStyle name="Separador de milhares 3 2 6 2 2 6 2 2 3 2" xfId="49294"/>
    <cellStyle name="Separador de milhares 3 2 6 2 2 6 2 2 4" xfId="17144"/>
    <cellStyle name="Separador de milhares 3 2 6 2 2 6 2 2 4 2" xfId="43386"/>
    <cellStyle name="Separador de milhares 3 2 6 2 2 6 2 2 5" xfId="37000"/>
    <cellStyle name="Separador de milhares 3 2 6 2 2 6 2 3" xfId="26015"/>
    <cellStyle name="Separador de milhares 3 2 6 2 2 6 2 3 2" xfId="52248"/>
    <cellStyle name="Separador de milhares 3 2 6 2 2 6 2 4" xfId="20101"/>
    <cellStyle name="Separador de milhares 3 2 6 2 2 6 2 4 2" xfId="46340"/>
    <cellStyle name="Separador de milhares 3 2 6 2 2 6 2 5" xfId="14003"/>
    <cellStyle name="Separador de milhares 3 2 6 2 2 6 2 5 2" xfId="40245"/>
    <cellStyle name="Separador de milhares 3 2 6 2 2 6 2 6" xfId="33859"/>
    <cellStyle name="Separador de milhares 3 2 6 2 2 6 3" xfId="9290"/>
    <cellStyle name="Separador de milhares 3 2 6 2 2 6 3 2" xfId="27504"/>
    <cellStyle name="Separador de milhares 3 2 6 2 2 6 3 2 2" xfId="53734"/>
    <cellStyle name="Separador de milhares 3 2 6 2 2 6 3 3" xfId="21590"/>
    <cellStyle name="Separador de milhares 3 2 6 2 2 6 3 3 2" xfId="47826"/>
    <cellStyle name="Separador de milhares 3 2 6 2 2 6 3 4" xfId="15676"/>
    <cellStyle name="Separador de milhares 3 2 6 2 2 6 3 4 2" xfId="41918"/>
    <cellStyle name="Separador de milhares 3 2 6 2 2 6 3 5" xfId="35532"/>
    <cellStyle name="Separador de milhares 3 2 6 2 2 6 4" xfId="5915"/>
    <cellStyle name="Separador de milhares 3 2 6 2 2 6 4 2" xfId="24547"/>
    <cellStyle name="Separador de milhares 3 2 6 2 2 6 4 2 2" xfId="50780"/>
    <cellStyle name="Separador de milhares 3 2 6 2 2 6 4 3" xfId="32160"/>
    <cellStyle name="Separador de milhares 3 2 6 2 2 6 5" xfId="18633"/>
    <cellStyle name="Separador de milhares 3 2 6 2 2 6 5 2" xfId="44872"/>
    <cellStyle name="Separador de milhares 3 2 6 2 2 6 6" xfId="12302"/>
    <cellStyle name="Separador de milhares 3 2 6 2 2 6 6 2" xfId="38544"/>
    <cellStyle name="Separador de milhares 3 2 6 2 2 6 7" xfId="30462"/>
    <cellStyle name="Separador de milhares 3 2 6 2 2 7" xfId="6585"/>
    <cellStyle name="Separador de milhares 3 2 6 2 2 7 2" xfId="9732"/>
    <cellStyle name="Separador de milhares 3 2 6 2 2 7 2 2" xfId="27946"/>
    <cellStyle name="Separador de milhares 3 2 6 2 2 7 2 2 2" xfId="54176"/>
    <cellStyle name="Separador de milhares 3 2 6 2 2 7 2 3" xfId="22032"/>
    <cellStyle name="Separador de milhares 3 2 6 2 2 7 2 3 2" xfId="48268"/>
    <cellStyle name="Separador de milhares 3 2 6 2 2 7 2 4" xfId="16118"/>
    <cellStyle name="Separador de milhares 3 2 6 2 2 7 2 4 2" xfId="42360"/>
    <cellStyle name="Separador de milhares 3 2 6 2 2 7 2 5" xfId="35974"/>
    <cellStyle name="Separador de milhares 3 2 6 2 2 7 3" xfId="24989"/>
    <cellStyle name="Separador de milhares 3 2 6 2 2 7 3 2" xfId="51222"/>
    <cellStyle name="Separador de milhares 3 2 6 2 2 7 4" xfId="19075"/>
    <cellStyle name="Separador de milhares 3 2 6 2 2 7 4 2" xfId="45314"/>
    <cellStyle name="Separador de milhares 3 2 6 2 2 7 5" xfId="12974"/>
    <cellStyle name="Separador de milhares 3 2 6 2 2 7 5 2" xfId="39216"/>
    <cellStyle name="Separador de milhares 3 2 6 2 2 7 6" xfId="32830"/>
    <cellStyle name="Separador de milhares 3 2 6 2 2 8" xfId="8261"/>
    <cellStyle name="Separador de milhares 3 2 6 2 2 8 2" xfId="26475"/>
    <cellStyle name="Separador de milhares 3 2 6 2 2 8 2 2" xfId="52708"/>
    <cellStyle name="Separador de milhares 3 2 6 2 2 8 3" xfId="20561"/>
    <cellStyle name="Separador de milhares 3 2 6 2 2 8 3 2" xfId="46800"/>
    <cellStyle name="Separador de milhares 3 2 6 2 2 8 4" xfId="14650"/>
    <cellStyle name="Separador de milhares 3 2 6 2 2 8 4 2" xfId="40892"/>
    <cellStyle name="Separador de milhares 3 2 6 2 2 8 5" xfId="34506"/>
    <cellStyle name="Separador de milhares 3 2 6 2 2 9" xfId="4884"/>
    <cellStyle name="Separador de milhares 3 2 6 2 2 9 2" xfId="23518"/>
    <cellStyle name="Separador de milhares 3 2 6 2 2 9 2 2" xfId="49754"/>
    <cellStyle name="Separador de milhares 3 2 6 2 2 9 3" xfId="31131"/>
    <cellStyle name="Separador de milhares 3 2 6 2 3" xfId="984"/>
    <cellStyle name="Separador de milhares 3 2 6 2 3 2" xfId="6736"/>
    <cellStyle name="Separador de milhares 3 2 6 2 3 2 2" xfId="9883"/>
    <cellStyle name="Separador de milhares 3 2 6 2 3 2 2 2" xfId="28097"/>
    <cellStyle name="Separador de milhares 3 2 6 2 3 2 2 2 2" xfId="54327"/>
    <cellStyle name="Separador de milhares 3 2 6 2 3 2 2 3" xfId="22183"/>
    <cellStyle name="Separador de milhares 3 2 6 2 3 2 2 3 2" xfId="48419"/>
    <cellStyle name="Separador de milhares 3 2 6 2 3 2 2 4" xfId="16269"/>
    <cellStyle name="Separador de milhares 3 2 6 2 3 2 2 4 2" xfId="42511"/>
    <cellStyle name="Separador de milhares 3 2 6 2 3 2 2 5" xfId="36125"/>
    <cellStyle name="Separador de milhares 3 2 6 2 3 2 3" xfId="25140"/>
    <cellStyle name="Separador de milhares 3 2 6 2 3 2 3 2" xfId="51373"/>
    <cellStyle name="Separador de milhares 3 2 6 2 3 2 4" xfId="19226"/>
    <cellStyle name="Separador de milhares 3 2 6 2 3 2 4 2" xfId="45465"/>
    <cellStyle name="Separador de milhares 3 2 6 2 3 2 5" xfId="13125"/>
    <cellStyle name="Separador de milhares 3 2 6 2 3 2 5 2" xfId="39367"/>
    <cellStyle name="Separador de milhares 3 2 6 2 3 2 6" xfId="32981"/>
    <cellStyle name="Separador de milhares 3 2 6 2 3 3" xfId="8415"/>
    <cellStyle name="Separador de milhares 3 2 6 2 3 3 2" xfId="26629"/>
    <cellStyle name="Separador de milhares 3 2 6 2 3 3 2 2" xfId="52859"/>
    <cellStyle name="Separador de milhares 3 2 6 2 3 3 3" xfId="20715"/>
    <cellStyle name="Separador de milhares 3 2 6 2 3 3 3 2" xfId="46951"/>
    <cellStyle name="Separador de milhares 3 2 6 2 3 3 4" xfId="14801"/>
    <cellStyle name="Separador de milhares 3 2 6 2 3 3 4 2" xfId="41043"/>
    <cellStyle name="Separador de milhares 3 2 6 2 3 3 5" xfId="34657"/>
    <cellStyle name="Separador de milhares 3 2 6 2 3 4" xfId="5037"/>
    <cellStyle name="Separador de milhares 3 2 6 2 3 4 2" xfId="23672"/>
    <cellStyle name="Separador de milhares 3 2 6 2 3 4 2 2" xfId="49905"/>
    <cellStyle name="Separador de milhares 3 2 6 2 3 4 3" xfId="31282"/>
    <cellStyle name="Separador de milhares 3 2 6 2 3 5" xfId="17758"/>
    <cellStyle name="Separador de milhares 3 2 6 2 3 5 2" xfId="43997"/>
    <cellStyle name="Separador de milhares 3 2 6 2 3 6" xfId="11424"/>
    <cellStyle name="Separador de milhares 3 2 6 2 3 6 2" xfId="37666"/>
    <cellStyle name="Separador de milhares 3 2 6 2 3 7" xfId="29584"/>
    <cellStyle name="Separador de milhares 3 2 6 2 4" xfId="1335"/>
    <cellStyle name="Separador de milhares 3 2 6 2 4 2" xfId="6834"/>
    <cellStyle name="Separador de milhares 3 2 6 2 4 2 2" xfId="9981"/>
    <cellStyle name="Separador de milhares 3 2 6 2 4 2 2 2" xfId="28195"/>
    <cellStyle name="Separador de milhares 3 2 6 2 4 2 2 2 2" xfId="54425"/>
    <cellStyle name="Separador de milhares 3 2 6 2 4 2 2 3" xfId="22281"/>
    <cellStyle name="Separador de milhares 3 2 6 2 4 2 2 3 2" xfId="48517"/>
    <cellStyle name="Separador de milhares 3 2 6 2 4 2 2 4" xfId="16367"/>
    <cellStyle name="Separador de milhares 3 2 6 2 4 2 2 4 2" xfId="42609"/>
    <cellStyle name="Separador de milhares 3 2 6 2 4 2 2 5" xfId="36223"/>
    <cellStyle name="Separador de milhares 3 2 6 2 4 2 3" xfId="25238"/>
    <cellStyle name="Separador de milhares 3 2 6 2 4 2 3 2" xfId="51471"/>
    <cellStyle name="Separador de milhares 3 2 6 2 4 2 4" xfId="19324"/>
    <cellStyle name="Separador de milhares 3 2 6 2 4 2 4 2" xfId="45563"/>
    <cellStyle name="Separador de milhares 3 2 6 2 4 2 5" xfId="13223"/>
    <cellStyle name="Separador de milhares 3 2 6 2 4 2 5 2" xfId="39465"/>
    <cellStyle name="Separador de milhares 3 2 6 2 4 2 6" xfId="33079"/>
    <cellStyle name="Separador de milhares 3 2 6 2 4 3" xfId="8513"/>
    <cellStyle name="Separador de milhares 3 2 6 2 4 3 2" xfId="26727"/>
    <cellStyle name="Separador de milhares 3 2 6 2 4 3 2 2" xfId="52957"/>
    <cellStyle name="Separador de milhares 3 2 6 2 4 3 3" xfId="20813"/>
    <cellStyle name="Separador de milhares 3 2 6 2 4 3 3 2" xfId="47049"/>
    <cellStyle name="Separador de milhares 3 2 6 2 4 3 4" xfId="14899"/>
    <cellStyle name="Separador de milhares 3 2 6 2 4 3 4 2" xfId="41141"/>
    <cellStyle name="Separador de milhares 3 2 6 2 4 3 5" xfId="34755"/>
    <cellStyle name="Separador de milhares 3 2 6 2 4 4" xfId="5135"/>
    <cellStyle name="Separador de milhares 3 2 6 2 4 4 2" xfId="23770"/>
    <cellStyle name="Separador de milhares 3 2 6 2 4 4 2 2" xfId="50003"/>
    <cellStyle name="Separador de milhares 3 2 6 2 4 4 3" xfId="31380"/>
    <cellStyle name="Separador de milhares 3 2 6 2 4 5" xfId="17856"/>
    <cellStyle name="Separador de milhares 3 2 6 2 4 5 2" xfId="44095"/>
    <cellStyle name="Separador de milhares 3 2 6 2 4 6" xfId="11522"/>
    <cellStyle name="Separador de milhares 3 2 6 2 4 6 2" xfId="37764"/>
    <cellStyle name="Separador de milhares 3 2 6 2 4 7" xfId="29682"/>
    <cellStyle name="Separador de milhares 3 2 6 2 5" xfId="1770"/>
    <cellStyle name="Separador de milhares 3 2 6 2 5 2" xfId="6953"/>
    <cellStyle name="Separador de milhares 3 2 6 2 5 2 2" xfId="10100"/>
    <cellStyle name="Separador de milhares 3 2 6 2 5 2 2 2" xfId="28314"/>
    <cellStyle name="Separador de milhares 3 2 6 2 5 2 2 2 2" xfId="54544"/>
    <cellStyle name="Separador de milhares 3 2 6 2 5 2 2 3" xfId="22400"/>
    <cellStyle name="Separador de milhares 3 2 6 2 5 2 2 3 2" xfId="48636"/>
    <cellStyle name="Separador de milhares 3 2 6 2 5 2 2 4" xfId="16486"/>
    <cellStyle name="Separador de milhares 3 2 6 2 5 2 2 4 2" xfId="42728"/>
    <cellStyle name="Separador de milhares 3 2 6 2 5 2 2 5" xfId="36342"/>
    <cellStyle name="Separador de milhares 3 2 6 2 5 2 3" xfId="25357"/>
    <cellStyle name="Separador de milhares 3 2 6 2 5 2 3 2" xfId="51590"/>
    <cellStyle name="Separador de milhares 3 2 6 2 5 2 4" xfId="19443"/>
    <cellStyle name="Separador de milhares 3 2 6 2 5 2 4 2" xfId="45682"/>
    <cellStyle name="Separador de milhares 3 2 6 2 5 2 5" xfId="13342"/>
    <cellStyle name="Separador de milhares 3 2 6 2 5 2 5 2" xfId="39584"/>
    <cellStyle name="Separador de milhares 3 2 6 2 5 2 6" xfId="33198"/>
    <cellStyle name="Separador de milhares 3 2 6 2 5 3" xfId="8632"/>
    <cellStyle name="Separador de milhares 3 2 6 2 5 3 2" xfId="26846"/>
    <cellStyle name="Separador de milhares 3 2 6 2 5 3 2 2" xfId="53076"/>
    <cellStyle name="Separador de milhares 3 2 6 2 5 3 3" xfId="20932"/>
    <cellStyle name="Separador de milhares 3 2 6 2 5 3 3 2" xfId="47168"/>
    <cellStyle name="Separador de milhares 3 2 6 2 5 3 4" xfId="15018"/>
    <cellStyle name="Separador de milhares 3 2 6 2 5 3 4 2" xfId="41260"/>
    <cellStyle name="Separador de milhares 3 2 6 2 5 3 5" xfId="34874"/>
    <cellStyle name="Separador de milhares 3 2 6 2 5 4" xfId="5254"/>
    <cellStyle name="Separador de milhares 3 2 6 2 5 4 2" xfId="23889"/>
    <cellStyle name="Separador de milhares 3 2 6 2 5 4 2 2" xfId="50122"/>
    <cellStyle name="Separador de milhares 3 2 6 2 5 4 3" xfId="31499"/>
    <cellStyle name="Separador de milhares 3 2 6 2 5 5" xfId="17975"/>
    <cellStyle name="Separador de milhares 3 2 6 2 5 5 2" xfId="44214"/>
    <cellStyle name="Separador de milhares 3 2 6 2 5 6" xfId="11641"/>
    <cellStyle name="Separador de milhares 3 2 6 2 5 6 2" xfId="37883"/>
    <cellStyle name="Separador de milhares 3 2 6 2 5 7" xfId="29801"/>
    <cellStyle name="Separador de milhares 3 2 6 2 6" xfId="2300"/>
    <cellStyle name="Separador de milhares 3 2 6 2 6 2" xfId="7103"/>
    <cellStyle name="Separador de milhares 3 2 6 2 6 2 2" xfId="10247"/>
    <cellStyle name="Separador de milhares 3 2 6 2 6 2 2 2" xfId="28461"/>
    <cellStyle name="Separador de milhares 3 2 6 2 6 2 2 2 2" xfId="54691"/>
    <cellStyle name="Separador de milhares 3 2 6 2 6 2 2 3" xfId="22547"/>
    <cellStyle name="Separador de milhares 3 2 6 2 6 2 2 3 2" xfId="48783"/>
    <cellStyle name="Separador de milhares 3 2 6 2 6 2 2 4" xfId="16633"/>
    <cellStyle name="Separador de milhares 3 2 6 2 6 2 2 4 2" xfId="42875"/>
    <cellStyle name="Separador de milhares 3 2 6 2 6 2 2 5" xfId="36489"/>
    <cellStyle name="Separador de milhares 3 2 6 2 6 2 3" xfId="25504"/>
    <cellStyle name="Separador de milhares 3 2 6 2 6 2 3 2" xfId="51737"/>
    <cellStyle name="Separador de milhares 3 2 6 2 6 2 4" xfId="19590"/>
    <cellStyle name="Separador de milhares 3 2 6 2 6 2 4 2" xfId="45829"/>
    <cellStyle name="Separador de milhares 3 2 6 2 6 2 5" xfId="13492"/>
    <cellStyle name="Separador de milhares 3 2 6 2 6 2 5 2" xfId="39734"/>
    <cellStyle name="Separador de milhares 3 2 6 2 6 2 6" xfId="33348"/>
    <cellStyle name="Separador de milhares 3 2 6 2 6 3" xfId="8779"/>
    <cellStyle name="Separador de milhares 3 2 6 2 6 3 2" xfId="26993"/>
    <cellStyle name="Separador de milhares 3 2 6 2 6 3 2 2" xfId="53223"/>
    <cellStyle name="Separador de milhares 3 2 6 2 6 3 3" xfId="21079"/>
    <cellStyle name="Separador de milhares 3 2 6 2 6 3 3 2" xfId="47315"/>
    <cellStyle name="Separador de milhares 3 2 6 2 6 3 4" xfId="15165"/>
    <cellStyle name="Separador de milhares 3 2 6 2 6 3 4 2" xfId="41407"/>
    <cellStyle name="Separador de milhares 3 2 6 2 6 3 5" xfId="35021"/>
    <cellStyle name="Separador de milhares 3 2 6 2 6 4" xfId="5404"/>
    <cellStyle name="Separador de milhares 3 2 6 2 6 4 2" xfId="24036"/>
    <cellStyle name="Separador de milhares 3 2 6 2 6 4 2 2" xfId="50269"/>
    <cellStyle name="Separador de milhares 3 2 6 2 6 4 3" xfId="31649"/>
    <cellStyle name="Separador de milhares 3 2 6 2 6 5" xfId="18122"/>
    <cellStyle name="Separador de milhares 3 2 6 2 6 5 2" xfId="44361"/>
    <cellStyle name="Separador de milhares 3 2 6 2 6 6" xfId="11791"/>
    <cellStyle name="Separador de milhares 3 2 6 2 6 6 2" xfId="38033"/>
    <cellStyle name="Separador de milhares 3 2 6 2 6 7" xfId="29951"/>
    <cellStyle name="Separador de milhares 3 2 6 2 7" xfId="2827"/>
    <cellStyle name="Separador de milhares 3 2 6 2 7 2" xfId="7250"/>
    <cellStyle name="Separador de milhares 3 2 6 2 7 2 2" xfId="10394"/>
    <cellStyle name="Separador de milhares 3 2 6 2 7 2 2 2" xfId="28608"/>
    <cellStyle name="Separador de milhares 3 2 6 2 7 2 2 2 2" xfId="54838"/>
    <cellStyle name="Separador de milhares 3 2 6 2 7 2 2 3" xfId="22694"/>
    <cellStyle name="Separador de milhares 3 2 6 2 7 2 2 3 2" xfId="48930"/>
    <cellStyle name="Separador de milhares 3 2 6 2 7 2 2 4" xfId="16780"/>
    <cellStyle name="Separador de milhares 3 2 6 2 7 2 2 4 2" xfId="43022"/>
    <cellStyle name="Separador de milhares 3 2 6 2 7 2 2 5" xfId="36636"/>
    <cellStyle name="Separador de milhares 3 2 6 2 7 2 3" xfId="25651"/>
    <cellStyle name="Separador de milhares 3 2 6 2 7 2 3 2" xfId="51884"/>
    <cellStyle name="Separador de milhares 3 2 6 2 7 2 4" xfId="19737"/>
    <cellStyle name="Separador de milhares 3 2 6 2 7 2 4 2" xfId="45976"/>
    <cellStyle name="Separador de milhares 3 2 6 2 7 2 5" xfId="13639"/>
    <cellStyle name="Separador de milhares 3 2 6 2 7 2 5 2" xfId="39881"/>
    <cellStyle name="Separador de milhares 3 2 6 2 7 2 6" xfId="33495"/>
    <cellStyle name="Separador de milhares 3 2 6 2 7 3" xfId="8926"/>
    <cellStyle name="Separador de milhares 3 2 6 2 7 3 2" xfId="27140"/>
    <cellStyle name="Separador de milhares 3 2 6 2 7 3 2 2" xfId="53370"/>
    <cellStyle name="Separador de milhares 3 2 6 2 7 3 3" xfId="21226"/>
    <cellStyle name="Separador de milhares 3 2 6 2 7 3 3 2" xfId="47462"/>
    <cellStyle name="Separador de milhares 3 2 6 2 7 3 4" xfId="15312"/>
    <cellStyle name="Separador de milhares 3 2 6 2 7 3 4 2" xfId="41554"/>
    <cellStyle name="Separador de milhares 3 2 6 2 7 3 5" xfId="35168"/>
    <cellStyle name="Separador de milhares 3 2 6 2 7 4" xfId="5551"/>
    <cellStyle name="Separador de milhares 3 2 6 2 7 4 2" xfId="24183"/>
    <cellStyle name="Separador de milhares 3 2 6 2 7 4 2 2" xfId="50416"/>
    <cellStyle name="Separador de milhares 3 2 6 2 7 4 3" xfId="31796"/>
    <cellStyle name="Separador de milhares 3 2 6 2 7 5" xfId="18269"/>
    <cellStyle name="Separador de milhares 3 2 6 2 7 5 2" xfId="44508"/>
    <cellStyle name="Separador de milhares 3 2 6 2 7 6" xfId="11938"/>
    <cellStyle name="Separador de milhares 3 2 6 2 7 6 2" xfId="38180"/>
    <cellStyle name="Separador de milhares 3 2 6 2 7 7" xfId="30098"/>
    <cellStyle name="Separador de milhares 3 2 6 2 8" xfId="3354"/>
    <cellStyle name="Separador de milhares 3 2 6 2 8 2" xfId="7397"/>
    <cellStyle name="Separador de milhares 3 2 6 2 8 2 2" xfId="10541"/>
    <cellStyle name="Separador de milhares 3 2 6 2 8 2 2 2" xfId="28755"/>
    <cellStyle name="Separador de milhares 3 2 6 2 8 2 2 2 2" xfId="54985"/>
    <cellStyle name="Separador de milhares 3 2 6 2 8 2 2 3" xfId="22841"/>
    <cellStyle name="Separador de milhares 3 2 6 2 8 2 2 3 2" xfId="49077"/>
    <cellStyle name="Separador de milhares 3 2 6 2 8 2 2 4" xfId="16927"/>
    <cellStyle name="Separador de milhares 3 2 6 2 8 2 2 4 2" xfId="43169"/>
    <cellStyle name="Separador de milhares 3 2 6 2 8 2 2 5" xfId="36783"/>
    <cellStyle name="Separador de milhares 3 2 6 2 8 2 3" xfId="25798"/>
    <cellStyle name="Separador de milhares 3 2 6 2 8 2 3 2" xfId="52031"/>
    <cellStyle name="Separador de milhares 3 2 6 2 8 2 4" xfId="19884"/>
    <cellStyle name="Separador de milhares 3 2 6 2 8 2 4 2" xfId="46123"/>
    <cellStyle name="Separador de milhares 3 2 6 2 8 2 5" xfId="13786"/>
    <cellStyle name="Separador de milhares 3 2 6 2 8 2 5 2" xfId="40028"/>
    <cellStyle name="Separador de milhares 3 2 6 2 8 2 6" xfId="33642"/>
    <cellStyle name="Separador de milhares 3 2 6 2 8 3" xfId="9073"/>
    <cellStyle name="Separador de milhares 3 2 6 2 8 3 2" xfId="27287"/>
    <cellStyle name="Separador de milhares 3 2 6 2 8 3 2 2" xfId="53517"/>
    <cellStyle name="Separador de milhares 3 2 6 2 8 3 3" xfId="21373"/>
    <cellStyle name="Separador de milhares 3 2 6 2 8 3 3 2" xfId="47609"/>
    <cellStyle name="Separador de milhares 3 2 6 2 8 3 4" xfId="15459"/>
    <cellStyle name="Separador de milhares 3 2 6 2 8 3 4 2" xfId="41701"/>
    <cellStyle name="Separador de milhares 3 2 6 2 8 3 5" xfId="35315"/>
    <cellStyle name="Separador de milhares 3 2 6 2 8 4" xfId="5698"/>
    <cellStyle name="Separador de milhares 3 2 6 2 8 4 2" xfId="24330"/>
    <cellStyle name="Separador de milhares 3 2 6 2 8 4 2 2" xfId="50563"/>
    <cellStyle name="Separador de milhares 3 2 6 2 8 4 3" xfId="31943"/>
    <cellStyle name="Separador de milhares 3 2 6 2 8 5" xfId="18416"/>
    <cellStyle name="Separador de milhares 3 2 6 2 8 5 2" xfId="44655"/>
    <cellStyle name="Separador de milhares 3 2 6 2 8 6" xfId="12085"/>
    <cellStyle name="Separador de milhares 3 2 6 2 8 6 2" xfId="38327"/>
    <cellStyle name="Separador de milhares 3 2 6 2 8 7" xfId="30245"/>
    <cellStyle name="Separador de milhares 3 2 6 2 9" xfId="3881"/>
    <cellStyle name="Separador de milhares 3 2 6 2 9 2" xfId="7544"/>
    <cellStyle name="Separador de milhares 3 2 6 2 9 2 2" xfId="10688"/>
    <cellStyle name="Separador de milhares 3 2 6 2 9 2 2 2" xfId="28902"/>
    <cellStyle name="Separador de milhares 3 2 6 2 9 2 2 2 2" xfId="55132"/>
    <cellStyle name="Separador de milhares 3 2 6 2 9 2 2 3" xfId="22988"/>
    <cellStyle name="Separador de milhares 3 2 6 2 9 2 2 3 2" xfId="49224"/>
    <cellStyle name="Separador de milhares 3 2 6 2 9 2 2 4" xfId="17074"/>
    <cellStyle name="Separador de milhares 3 2 6 2 9 2 2 4 2" xfId="43316"/>
    <cellStyle name="Separador de milhares 3 2 6 2 9 2 2 5" xfId="36930"/>
    <cellStyle name="Separador de milhares 3 2 6 2 9 2 3" xfId="25945"/>
    <cellStyle name="Separador de milhares 3 2 6 2 9 2 3 2" xfId="52178"/>
    <cellStyle name="Separador de milhares 3 2 6 2 9 2 4" xfId="20031"/>
    <cellStyle name="Separador de milhares 3 2 6 2 9 2 4 2" xfId="46270"/>
    <cellStyle name="Separador de milhares 3 2 6 2 9 2 5" xfId="13933"/>
    <cellStyle name="Separador de milhares 3 2 6 2 9 2 5 2" xfId="40175"/>
    <cellStyle name="Separador de milhares 3 2 6 2 9 2 6" xfId="33789"/>
    <cellStyle name="Separador de milhares 3 2 6 2 9 3" xfId="9220"/>
    <cellStyle name="Separador de milhares 3 2 6 2 9 3 2" xfId="27434"/>
    <cellStyle name="Separador de milhares 3 2 6 2 9 3 2 2" xfId="53664"/>
    <cellStyle name="Separador de milhares 3 2 6 2 9 3 3" xfId="21520"/>
    <cellStyle name="Separador de milhares 3 2 6 2 9 3 3 2" xfId="47756"/>
    <cellStyle name="Separador de milhares 3 2 6 2 9 3 4" xfId="15606"/>
    <cellStyle name="Separador de milhares 3 2 6 2 9 3 4 2" xfId="41848"/>
    <cellStyle name="Separador de milhares 3 2 6 2 9 3 5" xfId="35462"/>
    <cellStyle name="Separador de milhares 3 2 6 2 9 4" xfId="5845"/>
    <cellStyle name="Separador de milhares 3 2 6 2 9 4 2" xfId="24477"/>
    <cellStyle name="Separador de milhares 3 2 6 2 9 4 2 2" xfId="50710"/>
    <cellStyle name="Separador de milhares 3 2 6 2 9 4 3" xfId="32090"/>
    <cellStyle name="Separador de milhares 3 2 6 2 9 5" xfId="18563"/>
    <cellStyle name="Separador de milhares 3 2 6 2 9 5 2" xfId="44802"/>
    <cellStyle name="Separador de milhares 3 2 6 2 9 6" xfId="12232"/>
    <cellStyle name="Separador de milhares 3 2 6 2 9 6 2" xfId="38474"/>
    <cellStyle name="Separador de milhares 3 2 6 2 9 7" xfId="30392"/>
    <cellStyle name="Separador de milhares 3 2 6 3" xfId="333"/>
    <cellStyle name="Separador de milhares 3 2 6 3 10" xfId="6535"/>
    <cellStyle name="Separador de milhares 3 2 6 3 10 2" xfId="9686"/>
    <cellStyle name="Separador de milhares 3 2 6 3 10 2 2" xfId="27900"/>
    <cellStyle name="Separador de milhares 3 2 6 3 10 2 2 2" xfId="54130"/>
    <cellStyle name="Separador de milhares 3 2 6 3 10 2 3" xfId="21986"/>
    <cellStyle name="Separador de milhares 3 2 6 3 10 2 3 2" xfId="48222"/>
    <cellStyle name="Separador de milhares 3 2 6 3 10 2 4" xfId="16072"/>
    <cellStyle name="Separador de milhares 3 2 6 3 10 2 4 2" xfId="42314"/>
    <cellStyle name="Separador de milhares 3 2 6 3 10 2 5" xfId="35928"/>
    <cellStyle name="Separador de milhares 3 2 6 3 10 3" xfId="24943"/>
    <cellStyle name="Separador de milhares 3 2 6 3 10 3 2" xfId="51176"/>
    <cellStyle name="Separador de milhares 3 2 6 3 10 4" xfId="19029"/>
    <cellStyle name="Separador de milhares 3 2 6 3 10 4 2" xfId="45268"/>
    <cellStyle name="Separador de milhares 3 2 6 3 10 5" xfId="12924"/>
    <cellStyle name="Separador de milhares 3 2 6 3 10 5 2" xfId="39166"/>
    <cellStyle name="Separador de milhares 3 2 6 3 10 6" xfId="32780"/>
    <cellStyle name="Separador de milhares 3 2 6 3 11" xfId="8215"/>
    <cellStyle name="Separador de milhares 3 2 6 3 11 2" xfId="26429"/>
    <cellStyle name="Separador de milhares 3 2 6 3 11 2 2" xfId="52662"/>
    <cellStyle name="Separador de milhares 3 2 6 3 11 3" xfId="20515"/>
    <cellStyle name="Separador de milhares 3 2 6 3 11 3 2" xfId="46754"/>
    <cellStyle name="Separador de milhares 3 2 6 3 11 4" xfId="14604"/>
    <cellStyle name="Separador de milhares 3 2 6 3 11 4 2" xfId="40846"/>
    <cellStyle name="Separador de milhares 3 2 6 3 11 5" xfId="34460"/>
    <cellStyle name="Separador de milhares 3 2 6 3 12" xfId="4834"/>
    <cellStyle name="Separador de milhares 3 2 6 3 12 2" xfId="23472"/>
    <cellStyle name="Separador de milhares 3 2 6 3 12 2 2" xfId="49708"/>
    <cellStyle name="Separador de milhares 3 2 6 3 12 3" xfId="31081"/>
    <cellStyle name="Separador de milhares 3 2 6 3 13" xfId="17558"/>
    <cellStyle name="Separador de milhares 3 2 6 3 13 2" xfId="43800"/>
    <cellStyle name="Separador de milhares 3 2 6 3 14" xfId="11223"/>
    <cellStyle name="Separador de milhares 3 2 6 3 14 2" xfId="37465"/>
    <cellStyle name="Separador de milhares 3 2 6 3 15" xfId="29383"/>
    <cellStyle name="Separador de milhares 3 2 6 3 2" xfId="596"/>
    <cellStyle name="Separador de milhares 3 2 6 3 2 2" xfId="6606"/>
    <cellStyle name="Separador de milhares 3 2 6 3 2 2 2" xfId="9753"/>
    <cellStyle name="Separador de milhares 3 2 6 3 2 2 2 2" xfId="27967"/>
    <cellStyle name="Separador de milhares 3 2 6 3 2 2 2 2 2" xfId="54197"/>
    <cellStyle name="Separador de milhares 3 2 6 3 2 2 2 3" xfId="22053"/>
    <cellStyle name="Separador de milhares 3 2 6 3 2 2 2 3 2" xfId="48289"/>
    <cellStyle name="Separador de milhares 3 2 6 3 2 2 2 4" xfId="16139"/>
    <cellStyle name="Separador de milhares 3 2 6 3 2 2 2 4 2" xfId="42381"/>
    <cellStyle name="Separador de milhares 3 2 6 3 2 2 2 5" xfId="35995"/>
    <cellStyle name="Separador de milhares 3 2 6 3 2 2 3" xfId="25010"/>
    <cellStyle name="Separador de milhares 3 2 6 3 2 2 3 2" xfId="51243"/>
    <cellStyle name="Separador de milhares 3 2 6 3 2 2 4" xfId="19096"/>
    <cellStyle name="Separador de milhares 3 2 6 3 2 2 4 2" xfId="45335"/>
    <cellStyle name="Separador de milhares 3 2 6 3 2 2 5" xfId="12995"/>
    <cellStyle name="Separador de milhares 3 2 6 3 2 2 5 2" xfId="39237"/>
    <cellStyle name="Separador de milhares 3 2 6 3 2 2 6" xfId="32851"/>
    <cellStyle name="Separador de milhares 3 2 6 3 2 3" xfId="8282"/>
    <cellStyle name="Separador de milhares 3 2 6 3 2 3 2" xfId="26496"/>
    <cellStyle name="Separador de milhares 3 2 6 3 2 3 2 2" xfId="52729"/>
    <cellStyle name="Separador de milhares 3 2 6 3 2 3 3" xfId="20582"/>
    <cellStyle name="Separador de milhares 3 2 6 3 2 3 3 2" xfId="46821"/>
    <cellStyle name="Separador de milhares 3 2 6 3 2 3 4" xfId="14671"/>
    <cellStyle name="Separador de milhares 3 2 6 3 2 3 4 2" xfId="40913"/>
    <cellStyle name="Separador de milhares 3 2 6 3 2 3 5" xfId="34527"/>
    <cellStyle name="Separador de milhares 3 2 6 3 2 4" xfId="4905"/>
    <cellStyle name="Separador de milhares 3 2 6 3 2 4 2" xfId="23539"/>
    <cellStyle name="Separador de milhares 3 2 6 3 2 4 2 2" xfId="49775"/>
    <cellStyle name="Separador de milhares 3 2 6 3 2 4 3" xfId="31152"/>
    <cellStyle name="Separador de milhares 3 2 6 3 2 5" xfId="17625"/>
    <cellStyle name="Separador de milhares 3 2 6 3 2 5 2" xfId="43867"/>
    <cellStyle name="Separador de milhares 3 2 6 3 2 6" xfId="11294"/>
    <cellStyle name="Separador de milhares 3 2 6 3 2 6 2" xfId="37536"/>
    <cellStyle name="Separador de milhares 3 2 6 3 2 7" xfId="29454"/>
    <cellStyle name="Separador de milhares 3 2 6 3 3" xfId="893"/>
    <cellStyle name="Separador de milhares 3 2 6 3 3 2" xfId="6708"/>
    <cellStyle name="Separador de milhares 3 2 6 3 3 2 2" xfId="9855"/>
    <cellStyle name="Separador de milhares 3 2 6 3 3 2 2 2" xfId="28069"/>
    <cellStyle name="Separador de milhares 3 2 6 3 3 2 2 2 2" xfId="54299"/>
    <cellStyle name="Separador de milhares 3 2 6 3 3 2 2 3" xfId="22155"/>
    <cellStyle name="Separador de milhares 3 2 6 3 3 2 2 3 2" xfId="48391"/>
    <cellStyle name="Separador de milhares 3 2 6 3 3 2 2 4" xfId="16241"/>
    <cellStyle name="Separador de milhares 3 2 6 3 3 2 2 4 2" xfId="42483"/>
    <cellStyle name="Separador de milhares 3 2 6 3 3 2 2 5" xfId="36097"/>
    <cellStyle name="Separador de milhares 3 2 6 3 3 2 3" xfId="25112"/>
    <cellStyle name="Separador de milhares 3 2 6 3 3 2 3 2" xfId="51345"/>
    <cellStyle name="Separador de milhares 3 2 6 3 3 2 4" xfId="19198"/>
    <cellStyle name="Separador de milhares 3 2 6 3 3 2 4 2" xfId="45437"/>
    <cellStyle name="Separador de milhares 3 2 6 3 3 2 5" xfId="13097"/>
    <cellStyle name="Separador de milhares 3 2 6 3 3 2 5 2" xfId="39339"/>
    <cellStyle name="Separador de milhares 3 2 6 3 3 2 6" xfId="32953"/>
    <cellStyle name="Separador de milhares 3 2 6 3 3 3" xfId="8387"/>
    <cellStyle name="Separador de milhares 3 2 6 3 3 3 2" xfId="26601"/>
    <cellStyle name="Separador de milhares 3 2 6 3 3 3 2 2" xfId="52831"/>
    <cellStyle name="Separador de milhares 3 2 6 3 3 3 3" xfId="20687"/>
    <cellStyle name="Separador de milhares 3 2 6 3 3 3 3 2" xfId="46923"/>
    <cellStyle name="Separador de milhares 3 2 6 3 3 3 4" xfId="14773"/>
    <cellStyle name="Separador de milhares 3 2 6 3 3 3 4 2" xfId="41015"/>
    <cellStyle name="Separador de milhares 3 2 6 3 3 3 5" xfId="34629"/>
    <cellStyle name="Separador de milhares 3 2 6 3 3 4" xfId="5009"/>
    <cellStyle name="Separador de milhares 3 2 6 3 3 4 2" xfId="23644"/>
    <cellStyle name="Separador de milhares 3 2 6 3 3 4 2 2" xfId="49877"/>
    <cellStyle name="Separador de milhares 3 2 6 3 3 4 3" xfId="31254"/>
    <cellStyle name="Separador de milhares 3 2 6 3 3 5" xfId="17730"/>
    <cellStyle name="Separador de milhares 3 2 6 3 3 5 2" xfId="43969"/>
    <cellStyle name="Separador de milhares 3 2 6 3 3 6" xfId="11396"/>
    <cellStyle name="Separador de milhares 3 2 6 3 3 6 2" xfId="37638"/>
    <cellStyle name="Separador de milhares 3 2 6 3 3 7" xfId="29556"/>
    <cellStyle name="Separador de milhares 3 2 6 3 4" xfId="1244"/>
    <cellStyle name="Separador de milhares 3 2 6 3 4 2" xfId="6806"/>
    <cellStyle name="Separador de milhares 3 2 6 3 4 2 2" xfId="9953"/>
    <cellStyle name="Separador de milhares 3 2 6 3 4 2 2 2" xfId="28167"/>
    <cellStyle name="Separador de milhares 3 2 6 3 4 2 2 2 2" xfId="54397"/>
    <cellStyle name="Separador de milhares 3 2 6 3 4 2 2 3" xfId="22253"/>
    <cellStyle name="Separador de milhares 3 2 6 3 4 2 2 3 2" xfId="48489"/>
    <cellStyle name="Separador de milhares 3 2 6 3 4 2 2 4" xfId="16339"/>
    <cellStyle name="Separador de milhares 3 2 6 3 4 2 2 4 2" xfId="42581"/>
    <cellStyle name="Separador de milhares 3 2 6 3 4 2 2 5" xfId="36195"/>
    <cellStyle name="Separador de milhares 3 2 6 3 4 2 3" xfId="25210"/>
    <cellStyle name="Separador de milhares 3 2 6 3 4 2 3 2" xfId="51443"/>
    <cellStyle name="Separador de milhares 3 2 6 3 4 2 4" xfId="19296"/>
    <cellStyle name="Separador de milhares 3 2 6 3 4 2 4 2" xfId="45535"/>
    <cellStyle name="Separador de milhares 3 2 6 3 4 2 5" xfId="13195"/>
    <cellStyle name="Separador de milhares 3 2 6 3 4 2 5 2" xfId="39437"/>
    <cellStyle name="Separador de milhares 3 2 6 3 4 2 6" xfId="33051"/>
    <cellStyle name="Separador de milhares 3 2 6 3 4 3" xfId="8485"/>
    <cellStyle name="Separador de milhares 3 2 6 3 4 3 2" xfId="26699"/>
    <cellStyle name="Separador de milhares 3 2 6 3 4 3 2 2" xfId="52929"/>
    <cellStyle name="Separador de milhares 3 2 6 3 4 3 3" xfId="20785"/>
    <cellStyle name="Separador de milhares 3 2 6 3 4 3 3 2" xfId="47021"/>
    <cellStyle name="Separador de milhares 3 2 6 3 4 3 4" xfId="14871"/>
    <cellStyle name="Separador de milhares 3 2 6 3 4 3 4 2" xfId="41113"/>
    <cellStyle name="Separador de milhares 3 2 6 3 4 3 5" xfId="34727"/>
    <cellStyle name="Separador de milhares 3 2 6 3 4 4" xfId="5107"/>
    <cellStyle name="Separador de milhares 3 2 6 3 4 4 2" xfId="23742"/>
    <cellStyle name="Separador de milhares 3 2 6 3 4 4 2 2" xfId="49975"/>
    <cellStyle name="Separador de milhares 3 2 6 3 4 4 3" xfId="31352"/>
    <cellStyle name="Separador de milhares 3 2 6 3 4 5" xfId="17828"/>
    <cellStyle name="Separador de milhares 3 2 6 3 4 5 2" xfId="44067"/>
    <cellStyle name="Separador de milhares 3 2 6 3 4 6" xfId="11494"/>
    <cellStyle name="Separador de milhares 3 2 6 3 4 6 2" xfId="37736"/>
    <cellStyle name="Separador de milhares 3 2 6 3 4 7" xfId="29654"/>
    <cellStyle name="Separador de milhares 3 2 6 3 5" xfId="1679"/>
    <cellStyle name="Separador de milhares 3 2 6 3 5 2" xfId="6925"/>
    <cellStyle name="Separador de milhares 3 2 6 3 5 2 2" xfId="10072"/>
    <cellStyle name="Separador de milhares 3 2 6 3 5 2 2 2" xfId="28286"/>
    <cellStyle name="Separador de milhares 3 2 6 3 5 2 2 2 2" xfId="54516"/>
    <cellStyle name="Separador de milhares 3 2 6 3 5 2 2 3" xfId="22372"/>
    <cellStyle name="Separador de milhares 3 2 6 3 5 2 2 3 2" xfId="48608"/>
    <cellStyle name="Separador de milhares 3 2 6 3 5 2 2 4" xfId="16458"/>
    <cellStyle name="Separador de milhares 3 2 6 3 5 2 2 4 2" xfId="42700"/>
    <cellStyle name="Separador de milhares 3 2 6 3 5 2 2 5" xfId="36314"/>
    <cellStyle name="Separador de milhares 3 2 6 3 5 2 3" xfId="25329"/>
    <cellStyle name="Separador de milhares 3 2 6 3 5 2 3 2" xfId="51562"/>
    <cellStyle name="Separador de milhares 3 2 6 3 5 2 4" xfId="19415"/>
    <cellStyle name="Separador de milhares 3 2 6 3 5 2 4 2" xfId="45654"/>
    <cellStyle name="Separador de milhares 3 2 6 3 5 2 5" xfId="13314"/>
    <cellStyle name="Separador de milhares 3 2 6 3 5 2 5 2" xfId="39556"/>
    <cellStyle name="Separador de milhares 3 2 6 3 5 2 6" xfId="33170"/>
    <cellStyle name="Separador de milhares 3 2 6 3 5 3" xfId="8604"/>
    <cellStyle name="Separador de milhares 3 2 6 3 5 3 2" xfId="26818"/>
    <cellStyle name="Separador de milhares 3 2 6 3 5 3 2 2" xfId="53048"/>
    <cellStyle name="Separador de milhares 3 2 6 3 5 3 3" xfId="20904"/>
    <cellStyle name="Separador de milhares 3 2 6 3 5 3 3 2" xfId="47140"/>
    <cellStyle name="Separador de milhares 3 2 6 3 5 3 4" xfId="14990"/>
    <cellStyle name="Separador de milhares 3 2 6 3 5 3 4 2" xfId="41232"/>
    <cellStyle name="Separador de milhares 3 2 6 3 5 3 5" xfId="34846"/>
    <cellStyle name="Separador de milhares 3 2 6 3 5 4" xfId="5226"/>
    <cellStyle name="Separador de milhares 3 2 6 3 5 4 2" xfId="23861"/>
    <cellStyle name="Separador de milhares 3 2 6 3 5 4 2 2" xfId="50094"/>
    <cellStyle name="Separador de milhares 3 2 6 3 5 4 3" xfId="31471"/>
    <cellStyle name="Separador de milhares 3 2 6 3 5 5" xfId="17947"/>
    <cellStyle name="Separador de milhares 3 2 6 3 5 5 2" xfId="44186"/>
    <cellStyle name="Separador de milhares 3 2 6 3 5 6" xfId="11613"/>
    <cellStyle name="Separador de milhares 3 2 6 3 5 6 2" xfId="37855"/>
    <cellStyle name="Separador de milhares 3 2 6 3 5 7" xfId="29773"/>
    <cellStyle name="Separador de milhares 3 2 6 3 6" xfId="2209"/>
    <cellStyle name="Separador de milhares 3 2 6 3 6 2" xfId="7075"/>
    <cellStyle name="Separador de milhares 3 2 6 3 6 2 2" xfId="10219"/>
    <cellStyle name="Separador de milhares 3 2 6 3 6 2 2 2" xfId="28433"/>
    <cellStyle name="Separador de milhares 3 2 6 3 6 2 2 2 2" xfId="54663"/>
    <cellStyle name="Separador de milhares 3 2 6 3 6 2 2 3" xfId="22519"/>
    <cellStyle name="Separador de milhares 3 2 6 3 6 2 2 3 2" xfId="48755"/>
    <cellStyle name="Separador de milhares 3 2 6 3 6 2 2 4" xfId="16605"/>
    <cellStyle name="Separador de milhares 3 2 6 3 6 2 2 4 2" xfId="42847"/>
    <cellStyle name="Separador de milhares 3 2 6 3 6 2 2 5" xfId="36461"/>
    <cellStyle name="Separador de milhares 3 2 6 3 6 2 3" xfId="25476"/>
    <cellStyle name="Separador de milhares 3 2 6 3 6 2 3 2" xfId="51709"/>
    <cellStyle name="Separador de milhares 3 2 6 3 6 2 4" xfId="19562"/>
    <cellStyle name="Separador de milhares 3 2 6 3 6 2 4 2" xfId="45801"/>
    <cellStyle name="Separador de milhares 3 2 6 3 6 2 5" xfId="13464"/>
    <cellStyle name="Separador de milhares 3 2 6 3 6 2 5 2" xfId="39706"/>
    <cellStyle name="Separador de milhares 3 2 6 3 6 2 6" xfId="33320"/>
    <cellStyle name="Separador de milhares 3 2 6 3 6 3" xfId="8751"/>
    <cellStyle name="Separador de milhares 3 2 6 3 6 3 2" xfId="26965"/>
    <cellStyle name="Separador de milhares 3 2 6 3 6 3 2 2" xfId="53195"/>
    <cellStyle name="Separador de milhares 3 2 6 3 6 3 3" xfId="21051"/>
    <cellStyle name="Separador de milhares 3 2 6 3 6 3 3 2" xfId="47287"/>
    <cellStyle name="Separador de milhares 3 2 6 3 6 3 4" xfId="15137"/>
    <cellStyle name="Separador de milhares 3 2 6 3 6 3 4 2" xfId="41379"/>
    <cellStyle name="Separador de milhares 3 2 6 3 6 3 5" xfId="34993"/>
    <cellStyle name="Separador de milhares 3 2 6 3 6 4" xfId="5376"/>
    <cellStyle name="Separador de milhares 3 2 6 3 6 4 2" xfId="24008"/>
    <cellStyle name="Separador de milhares 3 2 6 3 6 4 2 2" xfId="50241"/>
    <cellStyle name="Separador de milhares 3 2 6 3 6 4 3" xfId="31621"/>
    <cellStyle name="Separador de milhares 3 2 6 3 6 5" xfId="18094"/>
    <cellStyle name="Separador de milhares 3 2 6 3 6 5 2" xfId="44333"/>
    <cellStyle name="Separador de milhares 3 2 6 3 6 6" xfId="11763"/>
    <cellStyle name="Separador de milhares 3 2 6 3 6 6 2" xfId="38005"/>
    <cellStyle name="Separador de milhares 3 2 6 3 6 7" xfId="29923"/>
    <cellStyle name="Separador de milhares 3 2 6 3 7" xfId="2736"/>
    <cellStyle name="Separador de milhares 3 2 6 3 7 2" xfId="7222"/>
    <cellStyle name="Separador de milhares 3 2 6 3 7 2 2" xfId="10366"/>
    <cellStyle name="Separador de milhares 3 2 6 3 7 2 2 2" xfId="28580"/>
    <cellStyle name="Separador de milhares 3 2 6 3 7 2 2 2 2" xfId="54810"/>
    <cellStyle name="Separador de milhares 3 2 6 3 7 2 2 3" xfId="22666"/>
    <cellStyle name="Separador de milhares 3 2 6 3 7 2 2 3 2" xfId="48902"/>
    <cellStyle name="Separador de milhares 3 2 6 3 7 2 2 4" xfId="16752"/>
    <cellStyle name="Separador de milhares 3 2 6 3 7 2 2 4 2" xfId="42994"/>
    <cellStyle name="Separador de milhares 3 2 6 3 7 2 2 5" xfId="36608"/>
    <cellStyle name="Separador de milhares 3 2 6 3 7 2 3" xfId="25623"/>
    <cellStyle name="Separador de milhares 3 2 6 3 7 2 3 2" xfId="51856"/>
    <cellStyle name="Separador de milhares 3 2 6 3 7 2 4" xfId="19709"/>
    <cellStyle name="Separador de milhares 3 2 6 3 7 2 4 2" xfId="45948"/>
    <cellStyle name="Separador de milhares 3 2 6 3 7 2 5" xfId="13611"/>
    <cellStyle name="Separador de milhares 3 2 6 3 7 2 5 2" xfId="39853"/>
    <cellStyle name="Separador de milhares 3 2 6 3 7 2 6" xfId="33467"/>
    <cellStyle name="Separador de milhares 3 2 6 3 7 3" xfId="8898"/>
    <cellStyle name="Separador de milhares 3 2 6 3 7 3 2" xfId="27112"/>
    <cellStyle name="Separador de milhares 3 2 6 3 7 3 2 2" xfId="53342"/>
    <cellStyle name="Separador de milhares 3 2 6 3 7 3 3" xfId="21198"/>
    <cellStyle name="Separador de milhares 3 2 6 3 7 3 3 2" xfId="47434"/>
    <cellStyle name="Separador de milhares 3 2 6 3 7 3 4" xfId="15284"/>
    <cellStyle name="Separador de milhares 3 2 6 3 7 3 4 2" xfId="41526"/>
    <cellStyle name="Separador de milhares 3 2 6 3 7 3 5" xfId="35140"/>
    <cellStyle name="Separador de milhares 3 2 6 3 7 4" xfId="5523"/>
    <cellStyle name="Separador de milhares 3 2 6 3 7 4 2" xfId="24155"/>
    <cellStyle name="Separador de milhares 3 2 6 3 7 4 2 2" xfId="50388"/>
    <cellStyle name="Separador de milhares 3 2 6 3 7 4 3" xfId="31768"/>
    <cellStyle name="Separador de milhares 3 2 6 3 7 5" xfId="18241"/>
    <cellStyle name="Separador de milhares 3 2 6 3 7 5 2" xfId="44480"/>
    <cellStyle name="Separador de milhares 3 2 6 3 7 6" xfId="11910"/>
    <cellStyle name="Separador de milhares 3 2 6 3 7 6 2" xfId="38152"/>
    <cellStyle name="Separador de milhares 3 2 6 3 7 7" xfId="30070"/>
    <cellStyle name="Separador de milhares 3 2 6 3 8" xfId="3263"/>
    <cellStyle name="Separador de milhares 3 2 6 3 8 2" xfId="7369"/>
    <cellStyle name="Separador de milhares 3 2 6 3 8 2 2" xfId="10513"/>
    <cellStyle name="Separador de milhares 3 2 6 3 8 2 2 2" xfId="28727"/>
    <cellStyle name="Separador de milhares 3 2 6 3 8 2 2 2 2" xfId="54957"/>
    <cellStyle name="Separador de milhares 3 2 6 3 8 2 2 3" xfId="22813"/>
    <cellStyle name="Separador de milhares 3 2 6 3 8 2 2 3 2" xfId="49049"/>
    <cellStyle name="Separador de milhares 3 2 6 3 8 2 2 4" xfId="16899"/>
    <cellStyle name="Separador de milhares 3 2 6 3 8 2 2 4 2" xfId="43141"/>
    <cellStyle name="Separador de milhares 3 2 6 3 8 2 2 5" xfId="36755"/>
    <cellStyle name="Separador de milhares 3 2 6 3 8 2 3" xfId="25770"/>
    <cellStyle name="Separador de milhares 3 2 6 3 8 2 3 2" xfId="52003"/>
    <cellStyle name="Separador de milhares 3 2 6 3 8 2 4" xfId="19856"/>
    <cellStyle name="Separador de milhares 3 2 6 3 8 2 4 2" xfId="46095"/>
    <cellStyle name="Separador de milhares 3 2 6 3 8 2 5" xfId="13758"/>
    <cellStyle name="Separador de milhares 3 2 6 3 8 2 5 2" xfId="40000"/>
    <cellStyle name="Separador de milhares 3 2 6 3 8 2 6" xfId="33614"/>
    <cellStyle name="Separador de milhares 3 2 6 3 8 3" xfId="9045"/>
    <cellStyle name="Separador de milhares 3 2 6 3 8 3 2" xfId="27259"/>
    <cellStyle name="Separador de milhares 3 2 6 3 8 3 2 2" xfId="53489"/>
    <cellStyle name="Separador de milhares 3 2 6 3 8 3 3" xfId="21345"/>
    <cellStyle name="Separador de milhares 3 2 6 3 8 3 3 2" xfId="47581"/>
    <cellStyle name="Separador de milhares 3 2 6 3 8 3 4" xfId="15431"/>
    <cellStyle name="Separador de milhares 3 2 6 3 8 3 4 2" xfId="41673"/>
    <cellStyle name="Separador de milhares 3 2 6 3 8 3 5" xfId="35287"/>
    <cellStyle name="Separador de milhares 3 2 6 3 8 4" xfId="5670"/>
    <cellStyle name="Separador de milhares 3 2 6 3 8 4 2" xfId="24302"/>
    <cellStyle name="Separador de milhares 3 2 6 3 8 4 2 2" xfId="50535"/>
    <cellStyle name="Separador de milhares 3 2 6 3 8 4 3" xfId="31915"/>
    <cellStyle name="Separador de milhares 3 2 6 3 8 5" xfId="18388"/>
    <cellStyle name="Separador de milhares 3 2 6 3 8 5 2" xfId="44627"/>
    <cellStyle name="Separador de milhares 3 2 6 3 8 6" xfId="12057"/>
    <cellStyle name="Separador de milhares 3 2 6 3 8 6 2" xfId="38299"/>
    <cellStyle name="Separador de milhares 3 2 6 3 8 7" xfId="30217"/>
    <cellStyle name="Separador de milhares 3 2 6 3 9" xfId="3790"/>
    <cellStyle name="Separador de milhares 3 2 6 3 9 2" xfId="7516"/>
    <cellStyle name="Separador de milhares 3 2 6 3 9 2 2" xfId="10660"/>
    <cellStyle name="Separador de milhares 3 2 6 3 9 2 2 2" xfId="28874"/>
    <cellStyle name="Separador de milhares 3 2 6 3 9 2 2 2 2" xfId="55104"/>
    <cellStyle name="Separador de milhares 3 2 6 3 9 2 2 3" xfId="22960"/>
    <cellStyle name="Separador de milhares 3 2 6 3 9 2 2 3 2" xfId="49196"/>
    <cellStyle name="Separador de milhares 3 2 6 3 9 2 2 4" xfId="17046"/>
    <cellStyle name="Separador de milhares 3 2 6 3 9 2 2 4 2" xfId="43288"/>
    <cellStyle name="Separador de milhares 3 2 6 3 9 2 2 5" xfId="36902"/>
    <cellStyle name="Separador de milhares 3 2 6 3 9 2 3" xfId="25917"/>
    <cellStyle name="Separador de milhares 3 2 6 3 9 2 3 2" xfId="52150"/>
    <cellStyle name="Separador de milhares 3 2 6 3 9 2 4" xfId="20003"/>
    <cellStyle name="Separador de milhares 3 2 6 3 9 2 4 2" xfId="46242"/>
    <cellStyle name="Separador de milhares 3 2 6 3 9 2 5" xfId="13905"/>
    <cellStyle name="Separador de milhares 3 2 6 3 9 2 5 2" xfId="40147"/>
    <cellStyle name="Separador de milhares 3 2 6 3 9 2 6" xfId="33761"/>
    <cellStyle name="Separador de milhares 3 2 6 3 9 3" xfId="9192"/>
    <cellStyle name="Separador de milhares 3 2 6 3 9 3 2" xfId="27406"/>
    <cellStyle name="Separador de milhares 3 2 6 3 9 3 2 2" xfId="53636"/>
    <cellStyle name="Separador de milhares 3 2 6 3 9 3 3" xfId="21492"/>
    <cellStyle name="Separador de milhares 3 2 6 3 9 3 3 2" xfId="47728"/>
    <cellStyle name="Separador de milhares 3 2 6 3 9 3 4" xfId="15578"/>
    <cellStyle name="Separador de milhares 3 2 6 3 9 3 4 2" xfId="41820"/>
    <cellStyle name="Separador de milhares 3 2 6 3 9 3 5" xfId="35434"/>
    <cellStyle name="Separador de milhares 3 2 6 3 9 4" xfId="5817"/>
    <cellStyle name="Separador de milhares 3 2 6 3 9 4 2" xfId="24449"/>
    <cellStyle name="Separador de milhares 3 2 6 3 9 4 2 2" xfId="50682"/>
    <cellStyle name="Separador de milhares 3 2 6 3 9 4 3" xfId="32062"/>
    <cellStyle name="Separador de milhares 3 2 6 3 9 5" xfId="18535"/>
    <cellStyle name="Separador de milhares 3 2 6 3 9 5 2" xfId="44774"/>
    <cellStyle name="Separador de milhares 3 2 6 3 9 6" xfId="12204"/>
    <cellStyle name="Separador de milhares 3 2 6 3 9 6 2" xfId="38446"/>
    <cellStyle name="Separador de milhares 3 2 6 3 9 7" xfId="30364"/>
    <cellStyle name="Separador de milhares 3 2 6 4" xfId="426"/>
    <cellStyle name="Separador de milhares 3 2 6 4 10" xfId="6563"/>
    <cellStyle name="Separador de milhares 3 2 6 4 10 2" xfId="9711"/>
    <cellStyle name="Separador de milhares 3 2 6 4 10 2 2" xfId="27925"/>
    <cellStyle name="Separador de milhares 3 2 6 4 10 2 2 2" xfId="54155"/>
    <cellStyle name="Separador de milhares 3 2 6 4 10 2 3" xfId="22011"/>
    <cellStyle name="Separador de milhares 3 2 6 4 10 2 3 2" xfId="48247"/>
    <cellStyle name="Separador de milhares 3 2 6 4 10 2 4" xfId="16097"/>
    <cellStyle name="Separador de milhares 3 2 6 4 10 2 4 2" xfId="42339"/>
    <cellStyle name="Separador de milhares 3 2 6 4 10 2 5" xfId="35953"/>
    <cellStyle name="Separador de milhares 3 2 6 4 10 3" xfId="24968"/>
    <cellStyle name="Separador de milhares 3 2 6 4 10 3 2" xfId="51201"/>
    <cellStyle name="Separador de milhares 3 2 6 4 10 4" xfId="19054"/>
    <cellStyle name="Separador de milhares 3 2 6 4 10 4 2" xfId="45293"/>
    <cellStyle name="Separador de milhares 3 2 6 4 10 5" xfId="12952"/>
    <cellStyle name="Separador de milhares 3 2 6 4 10 5 2" xfId="39194"/>
    <cellStyle name="Separador de milhares 3 2 6 4 10 6" xfId="32808"/>
    <cellStyle name="Separador de milhares 3 2 6 4 11" xfId="8240"/>
    <cellStyle name="Separador de milhares 3 2 6 4 11 2" xfId="26454"/>
    <cellStyle name="Separador de milhares 3 2 6 4 11 2 2" xfId="52687"/>
    <cellStyle name="Separador de milhares 3 2 6 4 11 3" xfId="20540"/>
    <cellStyle name="Separador de milhares 3 2 6 4 11 3 2" xfId="46779"/>
    <cellStyle name="Separador de milhares 3 2 6 4 11 4" xfId="14629"/>
    <cellStyle name="Separador de milhares 3 2 6 4 11 4 2" xfId="40871"/>
    <cellStyle name="Separador de milhares 3 2 6 4 11 5" xfId="34485"/>
    <cellStyle name="Separador de milhares 3 2 6 4 12" xfId="4862"/>
    <cellStyle name="Separador de milhares 3 2 6 4 12 2" xfId="23497"/>
    <cellStyle name="Separador de milhares 3 2 6 4 12 2 2" xfId="49733"/>
    <cellStyle name="Separador de milhares 3 2 6 4 12 3" xfId="31109"/>
    <cellStyle name="Separador de milhares 3 2 6 4 13" xfId="17583"/>
    <cellStyle name="Separador de milhares 3 2 6 4 13 2" xfId="43825"/>
    <cellStyle name="Separador de milhares 3 2 6 4 14" xfId="11251"/>
    <cellStyle name="Separador de milhares 3 2 6 4 14 2" xfId="37493"/>
    <cellStyle name="Separador de milhares 3 2 6 4 15" xfId="29411"/>
    <cellStyle name="Separador de milhares 3 2 6 4 2" xfId="1071"/>
    <cellStyle name="Separador de milhares 3 2 6 4 2 2" xfId="6760"/>
    <cellStyle name="Separador de milhares 3 2 6 4 2 2 2" xfId="9907"/>
    <cellStyle name="Separador de milhares 3 2 6 4 2 2 2 2" xfId="28121"/>
    <cellStyle name="Separador de milhares 3 2 6 4 2 2 2 2 2" xfId="54351"/>
    <cellStyle name="Separador de milhares 3 2 6 4 2 2 2 3" xfId="22207"/>
    <cellStyle name="Separador de milhares 3 2 6 4 2 2 2 3 2" xfId="48443"/>
    <cellStyle name="Separador de milhares 3 2 6 4 2 2 2 4" xfId="16293"/>
    <cellStyle name="Separador de milhares 3 2 6 4 2 2 2 4 2" xfId="42535"/>
    <cellStyle name="Separador de milhares 3 2 6 4 2 2 2 5" xfId="36149"/>
    <cellStyle name="Separador de milhares 3 2 6 4 2 2 3" xfId="25164"/>
    <cellStyle name="Separador de milhares 3 2 6 4 2 2 3 2" xfId="51397"/>
    <cellStyle name="Separador de milhares 3 2 6 4 2 2 4" xfId="19250"/>
    <cellStyle name="Separador de milhares 3 2 6 4 2 2 4 2" xfId="45489"/>
    <cellStyle name="Separador de milhares 3 2 6 4 2 2 5" xfId="13149"/>
    <cellStyle name="Separador de milhares 3 2 6 4 2 2 5 2" xfId="39391"/>
    <cellStyle name="Separador de milhares 3 2 6 4 2 2 6" xfId="33005"/>
    <cellStyle name="Separador de milhares 3 2 6 4 2 3" xfId="8439"/>
    <cellStyle name="Separador de milhares 3 2 6 4 2 3 2" xfId="26653"/>
    <cellStyle name="Separador de milhares 3 2 6 4 2 3 2 2" xfId="52883"/>
    <cellStyle name="Separador de milhares 3 2 6 4 2 3 3" xfId="20739"/>
    <cellStyle name="Separador de milhares 3 2 6 4 2 3 3 2" xfId="46975"/>
    <cellStyle name="Separador de milhares 3 2 6 4 2 3 4" xfId="14825"/>
    <cellStyle name="Separador de milhares 3 2 6 4 2 3 4 2" xfId="41067"/>
    <cellStyle name="Separador de milhares 3 2 6 4 2 3 5" xfId="34681"/>
    <cellStyle name="Separador de milhares 3 2 6 4 2 4" xfId="5061"/>
    <cellStyle name="Separador de milhares 3 2 6 4 2 4 2" xfId="23696"/>
    <cellStyle name="Separador de milhares 3 2 6 4 2 4 2 2" xfId="49929"/>
    <cellStyle name="Separador de milhares 3 2 6 4 2 4 3" xfId="31306"/>
    <cellStyle name="Separador de milhares 3 2 6 4 2 5" xfId="17782"/>
    <cellStyle name="Separador de milhares 3 2 6 4 2 5 2" xfId="44021"/>
    <cellStyle name="Separador de milhares 3 2 6 4 2 6" xfId="11448"/>
    <cellStyle name="Separador de milhares 3 2 6 4 2 6 2" xfId="37690"/>
    <cellStyle name="Separador de milhares 3 2 6 4 2 7" xfId="29608"/>
    <cellStyle name="Separador de milhares 3 2 6 4 3" xfId="1422"/>
    <cellStyle name="Separador de milhares 3 2 6 4 3 2" xfId="6858"/>
    <cellStyle name="Separador de milhares 3 2 6 4 3 2 2" xfId="10005"/>
    <cellStyle name="Separador de milhares 3 2 6 4 3 2 2 2" xfId="28219"/>
    <cellStyle name="Separador de milhares 3 2 6 4 3 2 2 2 2" xfId="54449"/>
    <cellStyle name="Separador de milhares 3 2 6 4 3 2 2 3" xfId="22305"/>
    <cellStyle name="Separador de milhares 3 2 6 4 3 2 2 3 2" xfId="48541"/>
    <cellStyle name="Separador de milhares 3 2 6 4 3 2 2 4" xfId="16391"/>
    <cellStyle name="Separador de milhares 3 2 6 4 3 2 2 4 2" xfId="42633"/>
    <cellStyle name="Separador de milhares 3 2 6 4 3 2 2 5" xfId="36247"/>
    <cellStyle name="Separador de milhares 3 2 6 4 3 2 3" xfId="25262"/>
    <cellStyle name="Separador de milhares 3 2 6 4 3 2 3 2" xfId="51495"/>
    <cellStyle name="Separador de milhares 3 2 6 4 3 2 4" xfId="19348"/>
    <cellStyle name="Separador de milhares 3 2 6 4 3 2 4 2" xfId="45587"/>
    <cellStyle name="Separador de milhares 3 2 6 4 3 2 5" xfId="13247"/>
    <cellStyle name="Separador de milhares 3 2 6 4 3 2 5 2" xfId="39489"/>
    <cellStyle name="Separador de milhares 3 2 6 4 3 2 6" xfId="33103"/>
    <cellStyle name="Separador de milhares 3 2 6 4 3 3" xfId="8537"/>
    <cellStyle name="Separador de milhares 3 2 6 4 3 3 2" xfId="26751"/>
    <cellStyle name="Separador de milhares 3 2 6 4 3 3 2 2" xfId="52981"/>
    <cellStyle name="Separador de milhares 3 2 6 4 3 3 3" xfId="20837"/>
    <cellStyle name="Separador de milhares 3 2 6 4 3 3 3 2" xfId="47073"/>
    <cellStyle name="Separador de milhares 3 2 6 4 3 3 4" xfId="14923"/>
    <cellStyle name="Separador de milhares 3 2 6 4 3 3 4 2" xfId="41165"/>
    <cellStyle name="Separador de milhares 3 2 6 4 3 3 5" xfId="34779"/>
    <cellStyle name="Separador de milhares 3 2 6 4 3 4" xfId="5159"/>
    <cellStyle name="Separador de milhares 3 2 6 4 3 4 2" xfId="23794"/>
    <cellStyle name="Separador de milhares 3 2 6 4 3 4 2 2" xfId="50027"/>
    <cellStyle name="Separador de milhares 3 2 6 4 3 4 3" xfId="31404"/>
    <cellStyle name="Separador de milhares 3 2 6 4 3 5" xfId="17880"/>
    <cellStyle name="Separador de milhares 3 2 6 4 3 5 2" xfId="44119"/>
    <cellStyle name="Separador de milhares 3 2 6 4 3 6" xfId="11546"/>
    <cellStyle name="Separador de milhares 3 2 6 4 3 6 2" xfId="37788"/>
    <cellStyle name="Separador de milhares 3 2 6 4 3 7" xfId="29706"/>
    <cellStyle name="Separador de milhares 3 2 6 4 4" xfId="1857"/>
    <cellStyle name="Separador de milhares 3 2 6 4 4 2" xfId="6977"/>
    <cellStyle name="Separador de milhares 3 2 6 4 4 2 2" xfId="10124"/>
    <cellStyle name="Separador de milhares 3 2 6 4 4 2 2 2" xfId="28338"/>
    <cellStyle name="Separador de milhares 3 2 6 4 4 2 2 2 2" xfId="54568"/>
    <cellStyle name="Separador de milhares 3 2 6 4 4 2 2 3" xfId="22424"/>
    <cellStyle name="Separador de milhares 3 2 6 4 4 2 2 3 2" xfId="48660"/>
    <cellStyle name="Separador de milhares 3 2 6 4 4 2 2 4" xfId="16510"/>
    <cellStyle name="Separador de milhares 3 2 6 4 4 2 2 4 2" xfId="42752"/>
    <cellStyle name="Separador de milhares 3 2 6 4 4 2 2 5" xfId="36366"/>
    <cellStyle name="Separador de milhares 3 2 6 4 4 2 3" xfId="25381"/>
    <cellStyle name="Separador de milhares 3 2 6 4 4 2 3 2" xfId="51614"/>
    <cellStyle name="Separador de milhares 3 2 6 4 4 2 4" xfId="19467"/>
    <cellStyle name="Separador de milhares 3 2 6 4 4 2 4 2" xfId="45706"/>
    <cellStyle name="Separador de milhares 3 2 6 4 4 2 5" xfId="13366"/>
    <cellStyle name="Separador de milhares 3 2 6 4 4 2 5 2" xfId="39608"/>
    <cellStyle name="Separador de milhares 3 2 6 4 4 2 6" xfId="33222"/>
    <cellStyle name="Separador de milhares 3 2 6 4 4 3" xfId="8656"/>
    <cellStyle name="Separador de milhares 3 2 6 4 4 3 2" xfId="26870"/>
    <cellStyle name="Separador de milhares 3 2 6 4 4 3 2 2" xfId="53100"/>
    <cellStyle name="Separador de milhares 3 2 6 4 4 3 3" xfId="20956"/>
    <cellStyle name="Separador de milhares 3 2 6 4 4 3 3 2" xfId="47192"/>
    <cellStyle name="Separador de milhares 3 2 6 4 4 3 4" xfId="15042"/>
    <cellStyle name="Separador de milhares 3 2 6 4 4 3 4 2" xfId="41284"/>
    <cellStyle name="Separador de milhares 3 2 6 4 4 3 5" xfId="34898"/>
    <cellStyle name="Separador de milhares 3 2 6 4 4 4" xfId="5278"/>
    <cellStyle name="Separador de milhares 3 2 6 4 4 4 2" xfId="23913"/>
    <cellStyle name="Separador de milhares 3 2 6 4 4 4 2 2" xfId="50146"/>
    <cellStyle name="Separador de milhares 3 2 6 4 4 4 3" xfId="31523"/>
    <cellStyle name="Separador de milhares 3 2 6 4 4 5" xfId="17999"/>
    <cellStyle name="Separador de milhares 3 2 6 4 4 5 2" xfId="44238"/>
    <cellStyle name="Separador de milhares 3 2 6 4 4 6" xfId="11665"/>
    <cellStyle name="Separador de milhares 3 2 6 4 4 6 2" xfId="37907"/>
    <cellStyle name="Separador de milhares 3 2 6 4 4 7" xfId="29825"/>
    <cellStyle name="Separador de milhares 3 2 6 4 5" xfId="2387"/>
    <cellStyle name="Separador de milhares 3 2 6 4 5 2" xfId="7127"/>
    <cellStyle name="Separador de milhares 3 2 6 4 5 2 2" xfId="10271"/>
    <cellStyle name="Separador de milhares 3 2 6 4 5 2 2 2" xfId="28485"/>
    <cellStyle name="Separador de milhares 3 2 6 4 5 2 2 2 2" xfId="54715"/>
    <cellStyle name="Separador de milhares 3 2 6 4 5 2 2 3" xfId="22571"/>
    <cellStyle name="Separador de milhares 3 2 6 4 5 2 2 3 2" xfId="48807"/>
    <cellStyle name="Separador de milhares 3 2 6 4 5 2 2 4" xfId="16657"/>
    <cellStyle name="Separador de milhares 3 2 6 4 5 2 2 4 2" xfId="42899"/>
    <cellStyle name="Separador de milhares 3 2 6 4 5 2 2 5" xfId="36513"/>
    <cellStyle name="Separador de milhares 3 2 6 4 5 2 3" xfId="25528"/>
    <cellStyle name="Separador de milhares 3 2 6 4 5 2 3 2" xfId="51761"/>
    <cellStyle name="Separador de milhares 3 2 6 4 5 2 4" xfId="19614"/>
    <cellStyle name="Separador de milhares 3 2 6 4 5 2 4 2" xfId="45853"/>
    <cellStyle name="Separador de milhares 3 2 6 4 5 2 5" xfId="13516"/>
    <cellStyle name="Separador de milhares 3 2 6 4 5 2 5 2" xfId="39758"/>
    <cellStyle name="Separador de milhares 3 2 6 4 5 2 6" xfId="33372"/>
    <cellStyle name="Separador de milhares 3 2 6 4 5 3" xfId="8803"/>
    <cellStyle name="Separador de milhares 3 2 6 4 5 3 2" xfId="27017"/>
    <cellStyle name="Separador de milhares 3 2 6 4 5 3 2 2" xfId="53247"/>
    <cellStyle name="Separador de milhares 3 2 6 4 5 3 3" xfId="21103"/>
    <cellStyle name="Separador de milhares 3 2 6 4 5 3 3 2" xfId="47339"/>
    <cellStyle name="Separador de milhares 3 2 6 4 5 3 4" xfId="15189"/>
    <cellStyle name="Separador de milhares 3 2 6 4 5 3 4 2" xfId="41431"/>
    <cellStyle name="Separador de milhares 3 2 6 4 5 3 5" xfId="35045"/>
    <cellStyle name="Separador de milhares 3 2 6 4 5 4" xfId="5428"/>
    <cellStyle name="Separador de milhares 3 2 6 4 5 4 2" xfId="24060"/>
    <cellStyle name="Separador de milhares 3 2 6 4 5 4 2 2" xfId="50293"/>
    <cellStyle name="Separador de milhares 3 2 6 4 5 4 3" xfId="31673"/>
    <cellStyle name="Separador de milhares 3 2 6 4 5 5" xfId="18146"/>
    <cellStyle name="Separador de milhares 3 2 6 4 5 5 2" xfId="44385"/>
    <cellStyle name="Separador de milhares 3 2 6 4 5 6" xfId="11815"/>
    <cellStyle name="Separador de milhares 3 2 6 4 5 6 2" xfId="38057"/>
    <cellStyle name="Separador de milhares 3 2 6 4 5 7" xfId="29975"/>
    <cellStyle name="Separador de milhares 3 2 6 4 6" xfId="2914"/>
    <cellStyle name="Separador de milhares 3 2 6 4 6 2" xfId="7274"/>
    <cellStyle name="Separador de milhares 3 2 6 4 6 2 2" xfId="10418"/>
    <cellStyle name="Separador de milhares 3 2 6 4 6 2 2 2" xfId="28632"/>
    <cellStyle name="Separador de milhares 3 2 6 4 6 2 2 2 2" xfId="54862"/>
    <cellStyle name="Separador de milhares 3 2 6 4 6 2 2 3" xfId="22718"/>
    <cellStyle name="Separador de milhares 3 2 6 4 6 2 2 3 2" xfId="48954"/>
    <cellStyle name="Separador de milhares 3 2 6 4 6 2 2 4" xfId="16804"/>
    <cellStyle name="Separador de milhares 3 2 6 4 6 2 2 4 2" xfId="43046"/>
    <cellStyle name="Separador de milhares 3 2 6 4 6 2 2 5" xfId="36660"/>
    <cellStyle name="Separador de milhares 3 2 6 4 6 2 3" xfId="25675"/>
    <cellStyle name="Separador de milhares 3 2 6 4 6 2 3 2" xfId="51908"/>
    <cellStyle name="Separador de milhares 3 2 6 4 6 2 4" xfId="19761"/>
    <cellStyle name="Separador de milhares 3 2 6 4 6 2 4 2" xfId="46000"/>
    <cellStyle name="Separador de milhares 3 2 6 4 6 2 5" xfId="13663"/>
    <cellStyle name="Separador de milhares 3 2 6 4 6 2 5 2" xfId="39905"/>
    <cellStyle name="Separador de milhares 3 2 6 4 6 2 6" xfId="33519"/>
    <cellStyle name="Separador de milhares 3 2 6 4 6 3" xfId="8950"/>
    <cellStyle name="Separador de milhares 3 2 6 4 6 3 2" xfId="27164"/>
    <cellStyle name="Separador de milhares 3 2 6 4 6 3 2 2" xfId="53394"/>
    <cellStyle name="Separador de milhares 3 2 6 4 6 3 3" xfId="21250"/>
    <cellStyle name="Separador de milhares 3 2 6 4 6 3 3 2" xfId="47486"/>
    <cellStyle name="Separador de milhares 3 2 6 4 6 3 4" xfId="15336"/>
    <cellStyle name="Separador de milhares 3 2 6 4 6 3 4 2" xfId="41578"/>
    <cellStyle name="Separador de milhares 3 2 6 4 6 3 5" xfId="35192"/>
    <cellStyle name="Separador de milhares 3 2 6 4 6 4" xfId="5575"/>
    <cellStyle name="Separador de milhares 3 2 6 4 6 4 2" xfId="24207"/>
    <cellStyle name="Separador de milhares 3 2 6 4 6 4 2 2" xfId="50440"/>
    <cellStyle name="Separador de milhares 3 2 6 4 6 4 3" xfId="31820"/>
    <cellStyle name="Separador de milhares 3 2 6 4 6 5" xfId="18293"/>
    <cellStyle name="Separador de milhares 3 2 6 4 6 5 2" xfId="44532"/>
    <cellStyle name="Separador de milhares 3 2 6 4 6 6" xfId="11962"/>
    <cellStyle name="Separador de milhares 3 2 6 4 6 6 2" xfId="38204"/>
    <cellStyle name="Separador de milhares 3 2 6 4 6 7" xfId="30122"/>
    <cellStyle name="Separador de milhares 3 2 6 4 7" xfId="3441"/>
    <cellStyle name="Separador de milhares 3 2 6 4 7 2" xfId="7421"/>
    <cellStyle name="Separador de milhares 3 2 6 4 7 2 2" xfId="10565"/>
    <cellStyle name="Separador de milhares 3 2 6 4 7 2 2 2" xfId="28779"/>
    <cellStyle name="Separador de milhares 3 2 6 4 7 2 2 2 2" xfId="55009"/>
    <cellStyle name="Separador de milhares 3 2 6 4 7 2 2 3" xfId="22865"/>
    <cellStyle name="Separador de milhares 3 2 6 4 7 2 2 3 2" xfId="49101"/>
    <cellStyle name="Separador de milhares 3 2 6 4 7 2 2 4" xfId="16951"/>
    <cellStyle name="Separador de milhares 3 2 6 4 7 2 2 4 2" xfId="43193"/>
    <cellStyle name="Separador de milhares 3 2 6 4 7 2 2 5" xfId="36807"/>
    <cellStyle name="Separador de milhares 3 2 6 4 7 2 3" xfId="25822"/>
    <cellStyle name="Separador de milhares 3 2 6 4 7 2 3 2" xfId="52055"/>
    <cellStyle name="Separador de milhares 3 2 6 4 7 2 4" xfId="19908"/>
    <cellStyle name="Separador de milhares 3 2 6 4 7 2 4 2" xfId="46147"/>
    <cellStyle name="Separador de milhares 3 2 6 4 7 2 5" xfId="13810"/>
    <cellStyle name="Separador de milhares 3 2 6 4 7 2 5 2" xfId="40052"/>
    <cellStyle name="Separador de milhares 3 2 6 4 7 2 6" xfId="33666"/>
    <cellStyle name="Separador de milhares 3 2 6 4 7 3" xfId="9097"/>
    <cellStyle name="Separador de milhares 3 2 6 4 7 3 2" xfId="27311"/>
    <cellStyle name="Separador de milhares 3 2 6 4 7 3 2 2" xfId="53541"/>
    <cellStyle name="Separador de milhares 3 2 6 4 7 3 3" xfId="21397"/>
    <cellStyle name="Separador de milhares 3 2 6 4 7 3 3 2" xfId="47633"/>
    <cellStyle name="Separador de milhares 3 2 6 4 7 3 4" xfId="15483"/>
    <cellStyle name="Separador de milhares 3 2 6 4 7 3 4 2" xfId="41725"/>
    <cellStyle name="Separador de milhares 3 2 6 4 7 3 5" xfId="35339"/>
    <cellStyle name="Separador de milhares 3 2 6 4 7 4" xfId="5722"/>
    <cellStyle name="Separador de milhares 3 2 6 4 7 4 2" xfId="24354"/>
    <cellStyle name="Separador de milhares 3 2 6 4 7 4 2 2" xfId="50587"/>
    <cellStyle name="Separador de milhares 3 2 6 4 7 4 3" xfId="31967"/>
    <cellStyle name="Separador de milhares 3 2 6 4 7 5" xfId="18440"/>
    <cellStyle name="Separador de milhares 3 2 6 4 7 5 2" xfId="44679"/>
    <cellStyle name="Separador de milhares 3 2 6 4 7 6" xfId="12109"/>
    <cellStyle name="Separador de milhares 3 2 6 4 7 6 2" xfId="38351"/>
    <cellStyle name="Separador de milhares 3 2 6 4 7 7" xfId="30269"/>
    <cellStyle name="Separador de milhares 3 2 6 4 8" xfId="3968"/>
    <cellStyle name="Separador de milhares 3 2 6 4 8 2" xfId="7568"/>
    <cellStyle name="Separador de milhares 3 2 6 4 8 2 2" xfId="10712"/>
    <cellStyle name="Separador de milhares 3 2 6 4 8 2 2 2" xfId="28926"/>
    <cellStyle name="Separador de milhares 3 2 6 4 8 2 2 2 2" xfId="55156"/>
    <cellStyle name="Separador de milhares 3 2 6 4 8 2 2 3" xfId="23012"/>
    <cellStyle name="Separador de milhares 3 2 6 4 8 2 2 3 2" xfId="49248"/>
    <cellStyle name="Separador de milhares 3 2 6 4 8 2 2 4" xfId="17098"/>
    <cellStyle name="Separador de milhares 3 2 6 4 8 2 2 4 2" xfId="43340"/>
    <cellStyle name="Separador de milhares 3 2 6 4 8 2 2 5" xfId="36954"/>
    <cellStyle name="Separador de milhares 3 2 6 4 8 2 3" xfId="25969"/>
    <cellStyle name="Separador de milhares 3 2 6 4 8 2 3 2" xfId="52202"/>
    <cellStyle name="Separador de milhares 3 2 6 4 8 2 4" xfId="20055"/>
    <cellStyle name="Separador de milhares 3 2 6 4 8 2 4 2" xfId="46294"/>
    <cellStyle name="Separador de milhares 3 2 6 4 8 2 5" xfId="13957"/>
    <cellStyle name="Separador de milhares 3 2 6 4 8 2 5 2" xfId="40199"/>
    <cellStyle name="Separador de milhares 3 2 6 4 8 2 6" xfId="33813"/>
    <cellStyle name="Separador de milhares 3 2 6 4 8 3" xfId="9244"/>
    <cellStyle name="Separador de milhares 3 2 6 4 8 3 2" xfId="27458"/>
    <cellStyle name="Separador de milhares 3 2 6 4 8 3 2 2" xfId="53688"/>
    <cellStyle name="Separador de milhares 3 2 6 4 8 3 3" xfId="21544"/>
    <cellStyle name="Separador de milhares 3 2 6 4 8 3 3 2" xfId="47780"/>
    <cellStyle name="Separador de milhares 3 2 6 4 8 3 4" xfId="15630"/>
    <cellStyle name="Separador de milhares 3 2 6 4 8 3 4 2" xfId="41872"/>
    <cellStyle name="Separador de milhares 3 2 6 4 8 3 5" xfId="35486"/>
    <cellStyle name="Separador de milhares 3 2 6 4 8 4" xfId="5869"/>
    <cellStyle name="Separador de milhares 3 2 6 4 8 4 2" xfId="24501"/>
    <cellStyle name="Separador de milhares 3 2 6 4 8 4 2 2" xfId="50734"/>
    <cellStyle name="Separador de milhares 3 2 6 4 8 4 3" xfId="32114"/>
    <cellStyle name="Separador de milhares 3 2 6 4 8 5" xfId="18587"/>
    <cellStyle name="Separador de milhares 3 2 6 4 8 5 2" xfId="44826"/>
    <cellStyle name="Separador de milhares 3 2 6 4 8 6" xfId="12256"/>
    <cellStyle name="Separador de milhares 3 2 6 4 8 6 2" xfId="38498"/>
    <cellStyle name="Separador de milhares 3 2 6 4 8 7" xfId="30416"/>
    <cellStyle name="Separador de milhares 3 2 6 4 9" xfId="727"/>
    <cellStyle name="Separador de milhares 3 2 6 4 9 2" xfId="6662"/>
    <cellStyle name="Separador de milhares 3 2 6 4 9 2 2" xfId="9809"/>
    <cellStyle name="Separador de milhares 3 2 6 4 9 2 2 2" xfId="28023"/>
    <cellStyle name="Separador de milhares 3 2 6 4 9 2 2 2 2" xfId="54253"/>
    <cellStyle name="Separador de milhares 3 2 6 4 9 2 2 3" xfId="22109"/>
    <cellStyle name="Separador de milhares 3 2 6 4 9 2 2 3 2" xfId="48345"/>
    <cellStyle name="Separador de milhares 3 2 6 4 9 2 2 4" xfId="16195"/>
    <cellStyle name="Separador de milhares 3 2 6 4 9 2 2 4 2" xfId="42437"/>
    <cellStyle name="Separador de milhares 3 2 6 4 9 2 2 5" xfId="36051"/>
    <cellStyle name="Separador de milhares 3 2 6 4 9 2 3" xfId="25066"/>
    <cellStyle name="Separador de milhares 3 2 6 4 9 2 3 2" xfId="51299"/>
    <cellStyle name="Separador de milhares 3 2 6 4 9 2 4" xfId="19152"/>
    <cellStyle name="Separador de milhares 3 2 6 4 9 2 4 2" xfId="45391"/>
    <cellStyle name="Separador de milhares 3 2 6 4 9 2 5" xfId="13051"/>
    <cellStyle name="Separador de milhares 3 2 6 4 9 2 5 2" xfId="39293"/>
    <cellStyle name="Separador de milhares 3 2 6 4 9 2 6" xfId="32907"/>
    <cellStyle name="Separador de milhares 3 2 6 4 9 3" xfId="8341"/>
    <cellStyle name="Separador de milhares 3 2 6 4 9 3 2" xfId="26555"/>
    <cellStyle name="Separador de milhares 3 2 6 4 9 3 2 2" xfId="52785"/>
    <cellStyle name="Separador de milhares 3 2 6 4 9 3 3" xfId="20641"/>
    <cellStyle name="Separador de milhares 3 2 6 4 9 3 3 2" xfId="46877"/>
    <cellStyle name="Separador de milhares 3 2 6 4 9 3 4" xfId="14727"/>
    <cellStyle name="Separador de milhares 3 2 6 4 9 3 4 2" xfId="40969"/>
    <cellStyle name="Separador de milhares 3 2 6 4 9 3 5" xfId="34583"/>
    <cellStyle name="Separador de milhares 3 2 6 4 9 4" xfId="4963"/>
    <cellStyle name="Separador de milhares 3 2 6 4 9 4 2" xfId="23598"/>
    <cellStyle name="Separador de milhares 3 2 6 4 9 4 2 2" xfId="49831"/>
    <cellStyle name="Separador de milhares 3 2 6 4 9 4 3" xfId="31208"/>
    <cellStyle name="Separador de milhares 3 2 6 4 9 5" xfId="17684"/>
    <cellStyle name="Separador de milhares 3 2 6 4 9 5 2" xfId="43923"/>
    <cellStyle name="Separador de milhares 3 2 6 4 9 6" xfId="11350"/>
    <cellStyle name="Separador de milhares 3 2 6 4 9 6 2" xfId="37592"/>
    <cellStyle name="Separador de milhares 3 2 6 4 9 7" xfId="29510"/>
    <cellStyle name="Separador de milhares 3 2 6 5" xfId="683"/>
    <cellStyle name="Separador de milhares 3 2 6 5 10" xfId="4927"/>
    <cellStyle name="Separador de milhares 3 2 6 5 10 2" xfId="23561"/>
    <cellStyle name="Separador de milhares 3 2 6 5 10 2 2" xfId="49797"/>
    <cellStyle name="Separador de milhares 3 2 6 5 10 3" xfId="31174"/>
    <cellStyle name="Separador de milhares 3 2 6 5 11" xfId="17647"/>
    <cellStyle name="Separador de milhares 3 2 6 5 11 2" xfId="43889"/>
    <cellStyle name="Separador de milhares 3 2 6 5 12" xfId="11316"/>
    <cellStyle name="Separador de milhares 3 2 6 5 12 2" xfId="37558"/>
    <cellStyle name="Separador de milhares 3 2 6 5 13" xfId="29476"/>
    <cellStyle name="Separador de milhares 3 2 6 5 2" xfId="1506"/>
    <cellStyle name="Separador de milhares 3 2 6 5 2 2" xfId="6879"/>
    <cellStyle name="Separador de milhares 3 2 6 5 2 2 2" xfId="10026"/>
    <cellStyle name="Separador de milhares 3 2 6 5 2 2 2 2" xfId="28240"/>
    <cellStyle name="Separador de milhares 3 2 6 5 2 2 2 2 2" xfId="54470"/>
    <cellStyle name="Separador de milhares 3 2 6 5 2 2 2 3" xfId="22326"/>
    <cellStyle name="Separador de milhares 3 2 6 5 2 2 2 3 2" xfId="48562"/>
    <cellStyle name="Separador de milhares 3 2 6 5 2 2 2 4" xfId="16412"/>
    <cellStyle name="Separador de milhares 3 2 6 5 2 2 2 4 2" xfId="42654"/>
    <cellStyle name="Separador de milhares 3 2 6 5 2 2 2 5" xfId="36268"/>
    <cellStyle name="Separador de milhares 3 2 6 5 2 2 3" xfId="25283"/>
    <cellStyle name="Separador de milhares 3 2 6 5 2 2 3 2" xfId="51516"/>
    <cellStyle name="Separador de milhares 3 2 6 5 2 2 4" xfId="19369"/>
    <cellStyle name="Separador de milhares 3 2 6 5 2 2 4 2" xfId="45608"/>
    <cellStyle name="Separador de milhares 3 2 6 5 2 2 5" xfId="13268"/>
    <cellStyle name="Separador de milhares 3 2 6 5 2 2 5 2" xfId="39510"/>
    <cellStyle name="Separador de milhares 3 2 6 5 2 2 6" xfId="33124"/>
    <cellStyle name="Separador de milhares 3 2 6 5 2 3" xfId="8558"/>
    <cellStyle name="Separador de milhares 3 2 6 5 2 3 2" xfId="26772"/>
    <cellStyle name="Separador de milhares 3 2 6 5 2 3 2 2" xfId="53002"/>
    <cellStyle name="Separador de milhares 3 2 6 5 2 3 3" xfId="20858"/>
    <cellStyle name="Separador de milhares 3 2 6 5 2 3 3 2" xfId="47094"/>
    <cellStyle name="Separador de milhares 3 2 6 5 2 3 4" xfId="14944"/>
    <cellStyle name="Separador de milhares 3 2 6 5 2 3 4 2" xfId="41186"/>
    <cellStyle name="Separador de milhares 3 2 6 5 2 3 5" xfId="34800"/>
    <cellStyle name="Separador de milhares 3 2 6 5 2 4" xfId="5180"/>
    <cellStyle name="Separador de milhares 3 2 6 5 2 4 2" xfId="23815"/>
    <cellStyle name="Separador de milhares 3 2 6 5 2 4 2 2" xfId="50048"/>
    <cellStyle name="Separador de milhares 3 2 6 5 2 4 3" xfId="31425"/>
    <cellStyle name="Separador de milhares 3 2 6 5 2 5" xfId="17901"/>
    <cellStyle name="Separador de milhares 3 2 6 5 2 5 2" xfId="44140"/>
    <cellStyle name="Separador de milhares 3 2 6 5 2 6" xfId="11567"/>
    <cellStyle name="Separador de milhares 3 2 6 5 2 6 2" xfId="37809"/>
    <cellStyle name="Separador de milhares 3 2 6 5 2 7" xfId="29727"/>
    <cellStyle name="Separador de milhares 3 2 6 5 3" xfId="1941"/>
    <cellStyle name="Separador de milhares 3 2 6 5 3 2" xfId="6998"/>
    <cellStyle name="Separador de milhares 3 2 6 5 3 2 2" xfId="10145"/>
    <cellStyle name="Separador de milhares 3 2 6 5 3 2 2 2" xfId="28359"/>
    <cellStyle name="Separador de milhares 3 2 6 5 3 2 2 2 2" xfId="54589"/>
    <cellStyle name="Separador de milhares 3 2 6 5 3 2 2 3" xfId="22445"/>
    <cellStyle name="Separador de milhares 3 2 6 5 3 2 2 3 2" xfId="48681"/>
    <cellStyle name="Separador de milhares 3 2 6 5 3 2 2 4" xfId="16531"/>
    <cellStyle name="Separador de milhares 3 2 6 5 3 2 2 4 2" xfId="42773"/>
    <cellStyle name="Separador de milhares 3 2 6 5 3 2 2 5" xfId="36387"/>
    <cellStyle name="Separador de milhares 3 2 6 5 3 2 3" xfId="25402"/>
    <cellStyle name="Separador de milhares 3 2 6 5 3 2 3 2" xfId="51635"/>
    <cellStyle name="Separador de milhares 3 2 6 5 3 2 4" xfId="19488"/>
    <cellStyle name="Separador de milhares 3 2 6 5 3 2 4 2" xfId="45727"/>
    <cellStyle name="Separador de milhares 3 2 6 5 3 2 5" xfId="13387"/>
    <cellStyle name="Separador de milhares 3 2 6 5 3 2 5 2" xfId="39629"/>
    <cellStyle name="Separador de milhares 3 2 6 5 3 2 6" xfId="33243"/>
    <cellStyle name="Separador de milhares 3 2 6 5 3 3" xfId="8677"/>
    <cellStyle name="Separador de milhares 3 2 6 5 3 3 2" xfId="26891"/>
    <cellStyle name="Separador de milhares 3 2 6 5 3 3 2 2" xfId="53121"/>
    <cellStyle name="Separador de milhares 3 2 6 5 3 3 3" xfId="20977"/>
    <cellStyle name="Separador de milhares 3 2 6 5 3 3 3 2" xfId="47213"/>
    <cellStyle name="Separador de milhares 3 2 6 5 3 3 4" xfId="15063"/>
    <cellStyle name="Separador de milhares 3 2 6 5 3 3 4 2" xfId="41305"/>
    <cellStyle name="Separador de milhares 3 2 6 5 3 3 5" xfId="34919"/>
    <cellStyle name="Separador de milhares 3 2 6 5 3 4" xfId="5299"/>
    <cellStyle name="Separador de milhares 3 2 6 5 3 4 2" xfId="23934"/>
    <cellStyle name="Separador de milhares 3 2 6 5 3 4 2 2" xfId="50167"/>
    <cellStyle name="Separador de milhares 3 2 6 5 3 4 3" xfId="31544"/>
    <cellStyle name="Separador de milhares 3 2 6 5 3 5" xfId="18020"/>
    <cellStyle name="Separador de milhares 3 2 6 5 3 5 2" xfId="44259"/>
    <cellStyle name="Separador de milhares 3 2 6 5 3 6" xfId="11686"/>
    <cellStyle name="Separador de milhares 3 2 6 5 3 6 2" xfId="37928"/>
    <cellStyle name="Separador de milhares 3 2 6 5 3 7" xfId="29846"/>
    <cellStyle name="Separador de milhares 3 2 6 5 4" xfId="2471"/>
    <cellStyle name="Separador de milhares 3 2 6 5 4 2" xfId="7148"/>
    <cellStyle name="Separador de milhares 3 2 6 5 4 2 2" xfId="10292"/>
    <cellStyle name="Separador de milhares 3 2 6 5 4 2 2 2" xfId="28506"/>
    <cellStyle name="Separador de milhares 3 2 6 5 4 2 2 2 2" xfId="54736"/>
    <cellStyle name="Separador de milhares 3 2 6 5 4 2 2 3" xfId="22592"/>
    <cellStyle name="Separador de milhares 3 2 6 5 4 2 2 3 2" xfId="48828"/>
    <cellStyle name="Separador de milhares 3 2 6 5 4 2 2 4" xfId="16678"/>
    <cellStyle name="Separador de milhares 3 2 6 5 4 2 2 4 2" xfId="42920"/>
    <cellStyle name="Separador de milhares 3 2 6 5 4 2 2 5" xfId="36534"/>
    <cellStyle name="Separador de milhares 3 2 6 5 4 2 3" xfId="25549"/>
    <cellStyle name="Separador de milhares 3 2 6 5 4 2 3 2" xfId="51782"/>
    <cellStyle name="Separador de milhares 3 2 6 5 4 2 4" xfId="19635"/>
    <cellStyle name="Separador de milhares 3 2 6 5 4 2 4 2" xfId="45874"/>
    <cellStyle name="Separador de milhares 3 2 6 5 4 2 5" xfId="13537"/>
    <cellStyle name="Separador de milhares 3 2 6 5 4 2 5 2" xfId="39779"/>
    <cellStyle name="Separador de milhares 3 2 6 5 4 2 6" xfId="33393"/>
    <cellStyle name="Separador de milhares 3 2 6 5 4 3" xfId="8824"/>
    <cellStyle name="Separador de milhares 3 2 6 5 4 3 2" xfId="27038"/>
    <cellStyle name="Separador de milhares 3 2 6 5 4 3 2 2" xfId="53268"/>
    <cellStyle name="Separador de milhares 3 2 6 5 4 3 3" xfId="21124"/>
    <cellStyle name="Separador de milhares 3 2 6 5 4 3 3 2" xfId="47360"/>
    <cellStyle name="Separador de milhares 3 2 6 5 4 3 4" xfId="15210"/>
    <cellStyle name="Separador de milhares 3 2 6 5 4 3 4 2" xfId="41452"/>
    <cellStyle name="Separador de milhares 3 2 6 5 4 3 5" xfId="35066"/>
    <cellStyle name="Separador de milhares 3 2 6 5 4 4" xfId="5449"/>
    <cellStyle name="Separador de milhares 3 2 6 5 4 4 2" xfId="24081"/>
    <cellStyle name="Separador de milhares 3 2 6 5 4 4 2 2" xfId="50314"/>
    <cellStyle name="Separador de milhares 3 2 6 5 4 4 3" xfId="31694"/>
    <cellStyle name="Separador de milhares 3 2 6 5 4 5" xfId="18167"/>
    <cellStyle name="Separador de milhares 3 2 6 5 4 5 2" xfId="44406"/>
    <cellStyle name="Separador de milhares 3 2 6 5 4 6" xfId="11836"/>
    <cellStyle name="Separador de milhares 3 2 6 5 4 6 2" xfId="38078"/>
    <cellStyle name="Separador de milhares 3 2 6 5 4 7" xfId="29996"/>
    <cellStyle name="Separador de milhares 3 2 6 5 5" xfId="2998"/>
    <cellStyle name="Separador de milhares 3 2 6 5 5 2" xfId="7295"/>
    <cellStyle name="Separador de milhares 3 2 6 5 5 2 2" xfId="10439"/>
    <cellStyle name="Separador de milhares 3 2 6 5 5 2 2 2" xfId="28653"/>
    <cellStyle name="Separador de milhares 3 2 6 5 5 2 2 2 2" xfId="54883"/>
    <cellStyle name="Separador de milhares 3 2 6 5 5 2 2 3" xfId="22739"/>
    <cellStyle name="Separador de milhares 3 2 6 5 5 2 2 3 2" xfId="48975"/>
    <cellStyle name="Separador de milhares 3 2 6 5 5 2 2 4" xfId="16825"/>
    <cellStyle name="Separador de milhares 3 2 6 5 5 2 2 4 2" xfId="43067"/>
    <cellStyle name="Separador de milhares 3 2 6 5 5 2 2 5" xfId="36681"/>
    <cellStyle name="Separador de milhares 3 2 6 5 5 2 3" xfId="25696"/>
    <cellStyle name="Separador de milhares 3 2 6 5 5 2 3 2" xfId="51929"/>
    <cellStyle name="Separador de milhares 3 2 6 5 5 2 4" xfId="19782"/>
    <cellStyle name="Separador de milhares 3 2 6 5 5 2 4 2" xfId="46021"/>
    <cellStyle name="Separador de milhares 3 2 6 5 5 2 5" xfId="13684"/>
    <cellStyle name="Separador de milhares 3 2 6 5 5 2 5 2" xfId="39926"/>
    <cellStyle name="Separador de milhares 3 2 6 5 5 2 6" xfId="33540"/>
    <cellStyle name="Separador de milhares 3 2 6 5 5 3" xfId="8971"/>
    <cellStyle name="Separador de milhares 3 2 6 5 5 3 2" xfId="27185"/>
    <cellStyle name="Separador de milhares 3 2 6 5 5 3 2 2" xfId="53415"/>
    <cellStyle name="Separador de milhares 3 2 6 5 5 3 3" xfId="21271"/>
    <cellStyle name="Separador de milhares 3 2 6 5 5 3 3 2" xfId="47507"/>
    <cellStyle name="Separador de milhares 3 2 6 5 5 3 4" xfId="15357"/>
    <cellStyle name="Separador de milhares 3 2 6 5 5 3 4 2" xfId="41599"/>
    <cellStyle name="Separador de milhares 3 2 6 5 5 3 5" xfId="35213"/>
    <cellStyle name="Separador de milhares 3 2 6 5 5 4" xfId="5596"/>
    <cellStyle name="Separador de milhares 3 2 6 5 5 4 2" xfId="24228"/>
    <cellStyle name="Separador de milhares 3 2 6 5 5 4 2 2" xfId="50461"/>
    <cellStyle name="Separador de milhares 3 2 6 5 5 4 3" xfId="31841"/>
    <cellStyle name="Separador de milhares 3 2 6 5 5 5" xfId="18314"/>
    <cellStyle name="Separador de milhares 3 2 6 5 5 5 2" xfId="44553"/>
    <cellStyle name="Separador de milhares 3 2 6 5 5 6" xfId="11983"/>
    <cellStyle name="Separador de milhares 3 2 6 5 5 6 2" xfId="38225"/>
    <cellStyle name="Separador de milhares 3 2 6 5 5 7" xfId="30143"/>
    <cellStyle name="Separador de milhares 3 2 6 5 6" xfId="3525"/>
    <cellStyle name="Separador de milhares 3 2 6 5 6 2" xfId="7442"/>
    <cellStyle name="Separador de milhares 3 2 6 5 6 2 2" xfId="10586"/>
    <cellStyle name="Separador de milhares 3 2 6 5 6 2 2 2" xfId="28800"/>
    <cellStyle name="Separador de milhares 3 2 6 5 6 2 2 2 2" xfId="55030"/>
    <cellStyle name="Separador de milhares 3 2 6 5 6 2 2 3" xfId="22886"/>
    <cellStyle name="Separador de milhares 3 2 6 5 6 2 2 3 2" xfId="49122"/>
    <cellStyle name="Separador de milhares 3 2 6 5 6 2 2 4" xfId="16972"/>
    <cellStyle name="Separador de milhares 3 2 6 5 6 2 2 4 2" xfId="43214"/>
    <cellStyle name="Separador de milhares 3 2 6 5 6 2 2 5" xfId="36828"/>
    <cellStyle name="Separador de milhares 3 2 6 5 6 2 3" xfId="25843"/>
    <cellStyle name="Separador de milhares 3 2 6 5 6 2 3 2" xfId="52076"/>
    <cellStyle name="Separador de milhares 3 2 6 5 6 2 4" xfId="19929"/>
    <cellStyle name="Separador de milhares 3 2 6 5 6 2 4 2" xfId="46168"/>
    <cellStyle name="Separador de milhares 3 2 6 5 6 2 5" xfId="13831"/>
    <cellStyle name="Separador de milhares 3 2 6 5 6 2 5 2" xfId="40073"/>
    <cellStyle name="Separador de milhares 3 2 6 5 6 2 6" xfId="33687"/>
    <cellStyle name="Separador de milhares 3 2 6 5 6 3" xfId="9118"/>
    <cellStyle name="Separador de milhares 3 2 6 5 6 3 2" xfId="27332"/>
    <cellStyle name="Separador de milhares 3 2 6 5 6 3 2 2" xfId="53562"/>
    <cellStyle name="Separador de milhares 3 2 6 5 6 3 3" xfId="21418"/>
    <cellStyle name="Separador de milhares 3 2 6 5 6 3 3 2" xfId="47654"/>
    <cellStyle name="Separador de milhares 3 2 6 5 6 3 4" xfId="15504"/>
    <cellStyle name="Separador de milhares 3 2 6 5 6 3 4 2" xfId="41746"/>
    <cellStyle name="Separador de milhares 3 2 6 5 6 3 5" xfId="35360"/>
    <cellStyle name="Separador de milhares 3 2 6 5 6 4" xfId="5743"/>
    <cellStyle name="Separador de milhares 3 2 6 5 6 4 2" xfId="24375"/>
    <cellStyle name="Separador de milhares 3 2 6 5 6 4 2 2" xfId="50608"/>
    <cellStyle name="Separador de milhares 3 2 6 5 6 4 3" xfId="31988"/>
    <cellStyle name="Separador de milhares 3 2 6 5 6 5" xfId="18461"/>
    <cellStyle name="Separador de milhares 3 2 6 5 6 5 2" xfId="44700"/>
    <cellStyle name="Separador de milhares 3 2 6 5 6 6" xfId="12130"/>
    <cellStyle name="Separador de milhares 3 2 6 5 6 6 2" xfId="38372"/>
    <cellStyle name="Separador de milhares 3 2 6 5 6 7" xfId="30290"/>
    <cellStyle name="Separador de milhares 3 2 6 5 7" xfId="4052"/>
    <cellStyle name="Separador de milhares 3 2 6 5 7 2" xfId="7589"/>
    <cellStyle name="Separador de milhares 3 2 6 5 7 2 2" xfId="10733"/>
    <cellStyle name="Separador de milhares 3 2 6 5 7 2 2 2" xfId="28947"/>
    <cellStyle name="Separador de milhares 3 2 6 5 7 2 2 2 2" xfId="55177"/>
    <cellStyle name="Separador de milhares 3 2 6 5 7 2 2 3" xfId="23033"/>
    <cellStyle name="Separador de milhares 3 2 6 5 7 2 2 3 2" xfId="49269"/>
    <cellStyle name="Separador de milhares 3 2 6 5 7 2 2 4" xfId="17119"/>
    <cellStyle name="Separador de milhares 3 2 6 5 7 2 2 4 2" xfId="43361"/>
    <cellStyle name="Separador de milhares 3 2 6 5 7 2 2 5" xfId="36975"/>
    <cellStyle name="Separador de milhares 3 2 6 5 7 2 3" xfId="25990"/>
    <cellStyle name="Separador de milhares 3 2 6 5 7 2 3 2" xfId="52223"/>
    <cellStyle name="Separador de milhares 3 2 6 5 7 2 4" xfId="20076"/>
    <cellStyle name="Separador de milhares 3 2 6 5 7 2 4 2" xfId="46315"/>
    <cellStyle name="Separador de milhares 3 2 6 5 7 2 5" xfId="13978"/>
    <cellStyle name="Separador de milhares 3 2 6 5 7 2 5 2" xfId="40220"/>
    <cellStyle name="Separador de milhares 3 2 6 5 7 2 6" xfId="33834"/>
    <cellStyle name="Separador de milhares 3 2 6 5 7 3" xfId="9265"/>
    <cellStyle name="Separador de milhares 3 2 6 5 7 3 2" xfId="27479"/>
    <cellStyle name="Separador de milhares 3 2 6 5 7 3 2 2" xfId="53709"/>
    <cellStyle name="Separador de milhares 3 2 6 5 7 3 3" xfId="21565"/>
    <cellStyle name="Separador de milhares 3 2 6 5 7 3 3 2" xfId="47801"/>
    <cellStyle name="Separador de milhares 3 2 6 5 7 3 4" xfId="15651"/>
    <cellStyle name="Separador de milhares 3 2 6 5 7 3 4 2" xfId="41893"/>
    <cellStyle name="Separador de milhares 3 2 6 5 7 3 5" xfId="35507"/>
    <cellStyle name="Separador de milhares 3 2 6 5 7 4" xfId="5890"/>
    <cellStyle name="Separador de milhares 3 2 6 5 7 4 2" xfId="24522"/>
    <cellStyle name="Separador de milhares 3 2 6 5 7 4 2 2" xfId="50755"/>
    <cellStyle name="Separador de milhares 3 2 6 5 7 4 3" xfId="32135"/>
    <cellStyle name="Separador de milhares 3 2 6 5 7 5" xfId="18608"/>
    <cellStyle name="Separador de milhares 3 2 6 5 7 5 2" xfId="44847"/>
    <cellStyle name="Separador de milhares 3 2 6 5 7 6" xfId="12277"/>
    <cellStyle name="Separador de milhares 3 2 6 5 7 6 2" xfId="38519"/>
    <cellStyle name="Separador de milhares 3 2 6 5 7 7" xfId="30437"/>
    <cellStyle name="Separador de milhares 3 2 6 5 8" xfId="6628"/>
    <cellStyle name="Separador de milhares 3 2 6 5 8 2" xfId="9775"/>
    <cellStyle name="Separador de milhares 3 2 6 5 8 2 2" xfId="27989"/>
    <cellStyle name="Separador de milhares 3 2 6 5 8 2 2 2" xfId="54219"/>
    <cellStyle name="Separador de milhares 3 2 6 5 8 2 3" xfId="22075"/>
    <cellStyle name="Separador de milhares 3 2 6 5 8 2 3 2" xfId="48311"/>
    <cellStyle name="Separador de milhares 3 2 6 5 8 2 4" xfId="16161"/>
    <cellStyle name="Separador de milhares 3 2 6 5 8 2 4 2" xfId="42403"/>
    <cellStyle name="Separador de milhares 3 2 6 5 8 2 5" xfId="36017"/>
    <cellStyle name="Separador de milhares 3 2 6 5 8 3" xfId="25032"/>
    <cellStyle name="Separador de milhares 3 2 6 5 8 3 2" xfId="51265"/>
    <cellStyle name="Separador de milhares 3 2 6 5 8 4" xfId="19118"/>
    <cellStyle name="Separador de milhares 3 2 6 5 8 4 2" xfId="45357"/>
    <cellStyle name="Separador de milhares 3 2 6 5 8 5" xfId="13017"/>
    <cellStyle name="Separador de milhares 3 2 6 5 8 5 2" xfId="39259"/>
    <cellStyle name="Separador de milhares 3 2 6 5 8 6" xfId="32873"/>
    <cellStyle name="Separador de milhares 3 2 6 5 9" xfId="8304"/>
    <cellStyle name="Separador de milhares 3 2 6 5 9 2" xfId="26518"/>
    <cellStyle name="Separador de milhares 3 2 6 5 9 2 2" xfId="52751"/>
    <cellStyle name="Separador de milhares 3 2 6 5 9 3" xfId="20604"/>
    <cellStyle name="Separador de milhares 3 2 6 5 9 3 2" xfId="46843"/>
    <cellStyle name="Separador de milhares 3 2 6 5 9 4" xfId="14693"/>
    <cellStyle name="Separador de milhares 3 2 6 5 9 4 2" xfId="40935"/>
    <cellStyle name="Separador de milhares 3 2 6 5 9 5" xfId="34549"/>
    <cellStyle name="Separador de milhares 3 2 6 6" xfId="804"/>
    <cellStyle name="Separador de milhares 3 2 6 6 2" xfId="4228"/>
    <cellStyle name="Separador de milhares 3 2 6 6 2 2" xfId="7638"/>
    <cellStyle name="Separador de milhares 3 2 6 6 2 2 2" xfId="10782"/>
    <cellStyle name="Separador de milhares 3 2 6 6 2 2 2 2" xfId="28996"/>
    <cellStyle name="Separador de milhares 3 2 6 6 2 2 2 2 2" xfId="55226"/>
    <cellStyle name="Separador de milhares 3 2 6 6 2 2 2 3" xfId="23082"/>
    <cellStyle name="Separador de milhares 3 2 6 6 2 2 2 3 2" xfId="49318"/>
    <cellStyle name="Separador de milhares 3 2 6 6 2 2 2 4" xfId="17168"/>
    <cellStyle name="Separador de milhares 3 2 6 6 2 2 2 4 2" xfId="43410"/>
    <cellStyle name="Separador de milhares 3 2 6 6 2 2 2 5" xfId="37024"/>
    <cellStyle name="Separador de milhares 3 2 6 6 2 2 3" xfId="26039"/>
    <cellStyle name="Separador de milhares 3 2 6 6 2 2 3 2" xfId="52272"/>
    <cellStyle name="Separador de milhares 3 2 6 6 2 2 4" xfId="20125"/>
    <cellStyle name="Separador de milhares 3 2 6 6 2 2 4 2" xfId="46364"/>
    <cellStyle name="Separador de milhares 3 2 6 6 2 2 5" xfId="14027"/>
    <cellStyle name="Separador de milhares 3 2 6 6 2 2 5 2" xfId="40269"/>
    <cellStyle name="Separador de milhares 3 2 6 6 2 2 6" xfId="33883"/>
    <cellStyle name="Separador de milhares 3 2 6 6 2 3" xfId="9314"/>
    <cellStyle name="Separador de milhares 3 2 6 6 2 3 2" xfId="27528"/>
    <cellStyle name="Separador de milhares 3 2 6 6 2 3 2 2" xfId="53758"/>
    <cellStyle name="Separador de milhares 3 2 6 6 2 3 3" xfId="21614"/>
    <cellStyle name="Separador de milhares 3 2 6 6 2 3 3 2" xfId="47850"/>
    <cellStyle name="Separador de milhares 3 2 6 6 2 3 4" xfId="15700"/>
    <cellStyle name="Separador de milhares 3 2 6 6 2 3 4 2" xfId="41942"/>
    <cellStyle name="Separador de milhares 3 2 6 6 2 3 5" xfId="35556"/>
    <cellStyle name="Separador de milhares 3 2 6 6 2 4" xfId="5939"/>
    <cellStyle name="Separador de milhares 3 2 6 6 2 4 2" xfId="24571"/>
    <cellStyle name="Separador de milhares 3 2 6 6 2 4 2 2" xfId="50804"/>
    <cellStyle name="Separador de milhares 3 2 6 6 2 4 3" xfId="32184"/>
    <cellStyle name="Separador de milhares 3 2 6 6 2 5" xfId="18657"/>
    <cellStyle name="Separador de milhares 3 2 6 6 2 5 2" xfId="44896"/>
    <cellStyle name="Separador de milhares 3 2 6 6 2 6" xfId="12326"/>
    <cellStyle name="Separador de milhares 3 2 6 6 2 6 2" xfId="38568"/>
    <cellStyle name="Separador de milhares 3 2 6 6 2 7" xfId="30486"/>
    <cellStyle name="Separador de milhares 3 2 6 6 3" xfId="6683"/>
    <cellStyle name="Separador de milhares 3 2 6 6 3 2" xfId="9830"/>
    <cellStyle name="Separador de milhares 3 2 6 6 3 2 2" xfId="28044"/>
    <cellStyle name="Separador de milhares 3 2 6 6 3 2 2 2" xfId="54274"/>
    <cellStyle name="Separador de milhares 3 2 6 6 3 2 3" xfId="22130"/>
    <cellStyle name="Separador de milhares 3 2 6 6 3 2 3 2" xfId="48366"/>
    <cellStyle name="Separador de milhares 3 2 6 6 3 2 4" xfId="16216"/>
    <cellStyle name="Separador de milhares 3 2 6 6 3 2 4 2" xfId="42458"/>
    <cellStyle name="Separador de milhares 3 2 6 6 3 2 5" xfId="36072"/>
    <cellStyle name="Separador de milhares 3 2 6 6 3 3" xfId="25087"/>
    <cellStyle name="Separador de milhares 3 2 6 6 3 3 2" xfId="51320"/>
    <cellStyle name="Separador de milhares 3 2 6 6 3 4" xfId="19173"/>
    <cellStyle name="Separador de milhares 3 2 6 6 3 4 2" xfId="45412"/>
    <cellStyle name="Separador de milhares 3 2 6 6 3 5" xfId="13072"/>
    <cellStyle name="Separador de milhares 3 2 6 6 3 5 2" xfId="39314"/>
    <cellStyle name="Separador de milhares 3 2 6 6 3 6" xfId="32928"/>
    <cellStyle name="Separador de milhares 3 2 6 6 4" xfId="8362"/>
    <cellStyle name="Separador de milhares 3 2 6 6 4 2" xfId="26576"/>
    <cellStyle name="Separador de milhares 3 2 6 6 4 2 2" xfId="52806"/>
    <cellStyle name="Separador de milhares 3 2 6 6 4 3" xfId="20662"/>
    <cellStyle name="Separador de milhares 3 2 6 6 4 3 2" xfId="46898"/>
    <cellStyle name="Separador de milhares 3 2 6 6 4 4" xfId="14748"/>
    <cellStyle name="Separador de milhares 3 2 6 6 4 4 2" xfId="40990"/>
    <cellStyle name="Separador de milhares 3 2 6 6 4 5" xfId="34604"/>
    <cellStyle name="Separador de milhares 3 2 6 6 5" xfId="4984"/>
    <cellStyle name="Separador de milhares 3 2 6 6 5 2" xfId="23619"/>
    <cellStyle name="Separador de milhares 3 2 6 6 5 2 2" xfId="49852"/>
    <cellStyle name="Separador de milhares 3 2 6 6 5 3" xfId="31229"/>
    <cellStyle name="Separador de milhares 3 2 6 6 6" xfId="17705"/>
    <cellStyle name="Separador de milhares 3 2 6 6 6 2" xfId="43944"/>
    <cellStyle name="Separador de milhares 3 2 6 6 7" xfId="11371"/>
    <cellStyle name="Separador de milhares 3 2 6 6 7 2" xfId="37613"/>
    <cellStyle name="Separador de milhares 3 2 6 6 8" xfId="29531"/>
    <cellStyle name="Separador de milhares 3 2 6 7" xfId="1155"/>
    <cellStyle name="Separador de milhares 3 2 6 7 2" xfId="6781"/>
    <cellStyle name="Separador de milhares 3 2 6 7 2 2" xfId="9928"/>
    <cellStyle name="Separador de milhares 3 2 6 7 2 2 2" xfId="28142"/>
    <cellStyle name="Separador de milhares 3 2 6 7 2 2 2 2" xfId="54372"/>
    <cellStyle name="Separador de milhares 3 2 6 7 2 2 3" xfId="22228"/>
    <cellStyle name="Separador de milhares 3 2 6 7 2 2 3 2" xfId="48464"/>
    <cellStyle name="Separador de milhares 3 2 6 7 2 2 4" xfId="16314"/>
    <cellStyle name="Separador de milhares 3 2 6 7 2 2 4 2" xfId="42556"/>
    <cellStyle name="Separador de milhares 3 2 6 7 2 2 5" xfId="36170"/>
    <cellStyle name="Separador de milhares 3 2 6 7 2 3" xfId="25185"/>
    <cellStyle name="Separador de milhares 3 2 6 7 2 3 2" xfId="51418"/>
    <cellStyle name="Separador de milhares 3 2 6 7 2 4" xfId="19271"/>
    <cellStyle name="Separador de milhares 3 2 6 7 2 4 2" xfId="45510"/>
    <cellStyle name="Separador de milhares 3 2 6 7 2 5" xfId="13170"/>
    <cellStyle name="Separador de milhares 3 2 6 7 2 5 2" xfId="39412"/>
    <cellStyle name="Separador de milhares 3 2 6 7 2 6" xfId="33026"/>
    <cellStyle name="Separador de milhares 3 2 6 7 3" xfId="8460"/>
    <cellStyle name="Separador de milhares 3 2 6 7 3 2" xfId="26674"/>
    <cellStyle name="Separador de milhares 3 2 6 7 3 2 2" xfId="52904"/>
    <cellStyle name="Separador de milhares 3 2 6 7 3 3" xfId="20760"/>
    <cellStyle name="Separador de milhares 3 2 6 7 3 3 2" xfId="46996"/>
    <cellStyle name="Separador de milhares 3 2 6 7 3 4" xfId="14846"/>
    <cellStyle name="Separador de milhares 3 2 6 7 3 4 2" xfId="41088"/>
    <cellStyle name="Separador de milhares 3 2 6 7 3 5" xfId="34702"/>
    <cellStyle name="Separador de milhares 3 2 6 7 4" xfId="5082"/>
    <cellStyle name="Separador de milhares 3 2 6 7 4 2" xfId="23717"/>
    <cellStyle name="Separador de milhares 3 2 6 7 4 2 2" xfId="49950"/>
    <cellStyle name="Separador de milhares 3 2 6 7 4 3" xfId="31327"/>
    <cellStyle name="Separador de milhares 3 2 6 7 5" xfId="17803"/>
    <cellStyle name="Separador de milhares 3 2 6 7 5 2" xfId="44042"/>
    <cellStyle name="Separador de milhares 3 2 6 7 6" xfId="11469"/>
    <cellStyle name="Separador de milhares 3 2 6 7 6 2" xfId="37711"/>
    <cellStyle name="Separador de milhares 3 2 6 7 7" xfId="29629"/>
    <cellStyle name="Separador de milhares 3 2 6 8" xfId="1590"/>
    <cellStyle name="Separador de milhares 3 2 6 8 2" xfId="6900"/>
    <cellStyle name="Separador de milhares 3 2 6 8 2 2" xfId="10047"/>
    <cellStyle name="Separador de milhares 3 2 6 8 2 2 2" xfId="28261"/>
    <cellStyle name="Separador de milhares 3 2 6 8 2 2 2 2" xfId="54491"/>
    <cellStyle name="Separador de milhares 3 2 6 8 2 2 3" xfId="22347"/>
    <cellStyle name="Separador de milhares 3 2 6 8 2 2 3 2" xfId="48583"/>
    <cellStyle name="Separador de milhares 3 2 6 8 2 2 4" xfId="16433"/>
    <cellStyle name="Separador de milhares 3 2 6 8 2 2 4 2" xfId="42675"/>
    <cellStyle name="Separador de milhares 3 2 6 8 2 2 5" xfId="36289"/>
    <cellStyle name="Separador de milhares 3 2 6 8 2 3" xfId="25304"/>
    <cellStyle name="Separador de milhares 3 2 6 8 2 3 2" xfId="51537"/>
    <cellStyle name="Separador de milhares 3 2 6 8 2 4" xfId="19390"/>
    <cellStyle name="Separador de milhares 3 2 6 8 2 4 2" xfId="45629"/>
    <cellStyle name="Separador de milhares 3 2 6 8 2 5" xfId="13289"/>
    <cellStyle name="Separador de milhares 3 2 6 8 2 5 2" xfId="39531"/>
    <cellStyle name="Separador de milhares 3 2 6 8 2 6" xfId="33145"/>
    <cellStyle name="Separador de milhares 3 2 6 8 3" xfId="8579"/>
    <cellStyle name="Separador de milhares 3 2 6 8 3 2" xfId="26793"/>
    <cellStyle name="Separador de milhares 3 2 6 8 3 2 2" xfId="53023"/>
    <cellStyle name="Separador de milhares 3 2 6 8 3 3" xfId="20879"/>
    <cellStyle name="Separador de milhares 3 2 6 8 3 3 2" xfId="47115"/>
    <cellStyle name="Separador de milhares 3 2 6 8 3 4" xfId="14965"/>
    <cellStyle name="Separador de milhares 3 2 6 8 3 4 2" xfId="41207"/>
    <cellStyle name="Separador de milhares 3 2 6 8 3 5" xfId="34821"/>
    <cellStyle name="Separador de milhares 3 2 6 8 4" xfId="5201"/>
    <cellStyle name="Separador de milhares 3 2 6 8 4 2" xfId="23836"/>
    <cellStyle name="Separador de milhares 3 2 6 8 4 2 2" xfId="50069"/>
    <cellStyle name="Separador de milhares 3 2 6 8 4 3" xfId="31446"/>
    <cellStyle name="Separador de milhares 3 2 6 8 5" xfId="17922"/>
    <cellStyle name="Separador de milhares 3 2 6 8 5 2" xfId="44161"/>
    <cellStyle name="Separador de milhares 3 2 6 8 6" xfId="11588"/>
    <cellStyle name="Separador de milhares 3 2 6 8 6 2" xfId="37830"/>
    <cellStyle name="Separador de milhares 3 2 6 8 7" xfId="29748"/>
    <cellStyle name="Separador de milhares 3 2 6 9" xfId="2120"/>
    <cellStyle name="Separador de milhares 3 2 6 9 2" xfId="7050"/>
    <cellStyle name="Separador de milhares 3 2 6 9 2 2" xfId="10194"/>
    <cellStyle name="Separador de milhares 3 2 6 9 2 2 2" xfId="28408"/>
    <cellStyle name="Separador de milhares 3 2 6 9 2 2 2 2" xfId="54638"/>
    <cellStyle name="Separador de milhares 3 2 6 9 2 2 3" xfId="22494"/>
    <cellStyle name="Separador de milhares 3 2 6 9 2 2 3 2" xfId="48730"/>
    <cellStyle name="Separador de milhares 3 2 6 9 2 2 4" xfId="16580"/>
    <cellStyle name="Separador de milhares 3 2 6 9 2 2 4 2" xfId="42822"/>
    <cellStyle name="Separador de milhares 3 2 6 9 2 2 5" xfId="36436"/>
    <cellStyle name="Separador de milhares 3 2 6 9 2 3" xfId="25451"/>
    <cellStyle name="Separador de milhares 3 2 6 9 2 3 2" xfId="51684"/>
    <cellStyle name="Separador de milhares 3 2 6 9 2 4" xfId="19537"/>
    <cellStyle name="Separador de milhares 3 2 6 9 2 4 2" xfId="45776"/>
    <cellStyle name="Separador de milhares 3 2 6 9 2 5" xfId="13439"/>
    <cellStyle name="Separador de milhares 3 2 6 9 2 5 2" xfId="39681"/>
    <cellStyle name="Separador de milhares 3 2 6 9 2 6" xfId="33295"/>
    <cellStyle name="Separador de milhares 3 2 6 9 3" xfId="8726"/>
    <cellStyle name="Separador de milhares 3 2 6 9 3 2" xfId="26940"/>
    <cellStyle name="Separador de milhares 3 2 6 9 3 2 2" xfId="53170"/>
    <cellStyle name="Separador de milhares 3 2 6 9 3 3" xfId="21026"/>
    <cellStyle name="Separador de milhares 3 2 6 9 3 3 2" xfId="47262"/>
    <cellStyle name="Separador de milhares 3 2 6 9 3 4" xfId="15112"/>
    <cellStyle name="Separador de milhares 3 2 6 9 3 4 2" xfId="41354"/>
    <cellStyle name="Separador de milhares 3 2 6 9 3 5" xfId="34968"/>
    <cellStyle name="Separador de milhares 3 2 6 9 4" xfId="5351"/>
    <cellStyle name="Separador de milhares 3 2 6 9 4 2" xfId="23983"/>
    <cellStyle name="Separador de milhares 3 2 6 9 4 2 2" xfId="50216"/>
    <cellStyle name="Separador de milhares 3 2 6 9 4 3" xfId="31596"/>
    <cellStyle name="Separador de milhares 3 2 6 9 5" xfId="18069"/>
    <cellStyle name="Separador de milhares 3 2 6 9 5 2" xfId="44308"/>
    <cellStyle name="Separador de milhares 3 2 6 9 6" xfId="11738"/>
    <cellStyle name="Separador de milhares 3 2 6 9 6 2" xfId="37980"/>
    <cellStyle name="Separador de milhares 3 2 6 9 7" xfId="29898"/>
    <cellStyle name="Separador de milhares 3 2 7" xfId="84"/>
    <cellStyle name="Separador de milhares 3 2 7 10" xfId="2587"/>
    <cellStyle name="Separador de milhares 3 2 7 10 2" xfId="7182"/>
    <cellStyle name="Separador de milhares 3 2 7 10 2 2" xfId="10326"/>
    <cellStyle name="Separador de milhares 3 2 7 10 2 2 2" xfId="28540"/>
    <cellStyle name="Separador de milhares 3 2 7 10 2 2 2 2" xfId="54770"/>
    <cellStyle name="Separador de milhares 3 2 7 10 2 2 3" xfId="22626"/>
    <cellStyle name="Separador de milhares 3 2 7 10 2 2 3 2" xfId="48862"/>
    <cellStyle name="Separador de milhares 3 2 7 10 2 2 4" xfId="16712"/>
    <cellStyle name="Separador de milhares 3 2 7 10 2 2 4 2" xfId="42954"/>
    <cellStyle name="Separador de milhares 3 2 7 10 2 2 5" xfId="36568"/>
    <cellStyle name="Separador de milhares 3 2 7 10 2 3" xfId="25583"/>
    <cellStyle name="Separador de milhares 3 2 7 10 2 3 2" xfId="51816"/>
    <cellStyle name="Separador de milhares 3 2 7 10 2 4" xfId="19669"/>
    <cellStyle name="Separador de milhares 3 2 7 10 2 4 2" xfId="45908"/>
    <cellStyle name="Separador de milhares 3 2 7 10 2 5" xfId="13571"/>
    <cellStyle name="Separador de milhares 3 2 7 10 2 5 2" xfId="39813"/>
    <cellStyle name="Separador de milhares 3 2 7 10 2 6" xfId="33427"/>
    <cellStyle name="Separador de milhares 3 2 7 10 3" xfId="8858"/>
    <cellStyle name="Separador de milhares 3 2 7 10 3 2" xfId="27072"/>
    <cellStyle name="Separador de milhares 3 2 7 10 3 2 2" xfId="53302"/>
    <cellStyle name="Separador de milhares 3 2 7 10 3 3" xfId="21158"/>
    <cellStyle name="Separador de milhares 3 2 7 10 3 3 2" xfId="47394"/>
    <cellStyle name="Separador de milhares 3 2 7 10 3 4" xfId="15244"/>
    <cellStyle name="Separador de milhares 3 2 7 10 3 4 2" xfId="41486"/>
    <cellStyle name="Separador de milhares 3 2 7 10 3 5" xfId="35100"/>
    <cellStyle name="Separador de milhares 3 2 7 10 4" xfId="5483"/>
    <cellStyle name="Separador de milhares 3 2 7 10 4 2" xfId="24115"/>
    <cellStyle name="Separador de milhares 3 2 7 10 4 2 2" xfId="50348"/>
    <cellStyle name="Separador de milhares 3 2 7 10 4 3" xfId="31728"/>
    <cellStyle name="Separador de milhares 3 2 7 10 5" xfId="18201"/>
    <cellStyle name="Separador de milhares 3 2 7 10 5 2" xfId="44440"/>
    <cellStyle name="Separador de milhares 3 2 7 10 6" xfId="11870"/>
    <cellStyle name="Separador de milhares 3 2 7 10 6 2" xfId="38112"/>
    <cellStyle name="Separador de milhares 3 2 7 10 7" xfId="30030"/>
    <cellStyle name="Separador de milhares 3 2 7 11" xfId="3114"/>
    <cellStyle name="Separador de milhares 3 2 7 11 2" xfId="7329"/>
    <cellStyle name="Separador de milhares 3 2 7 11 2 2" xfId="10473"/>
    <cellStyle name="Separador de milhares 3 2 7 11 2 2 2" xfId="28687"/>
    <cellStyle name="Separador de milhares 3 2 7 11 2 2 2 2" xfId="54917"/>
    <cellStyle name="Separador de milhares 3 2 7 11 2 2 3" xfId="22773"/>
    <cellStyle name="Separador de milhares 3 2 7 11 2 2 3 2" xfId="49009"/>
    <cellStyle name="Separador de milhares 3 2 7 11 2 2 4" xfId="16859"/>
    <cellStyle name="Separador de milhares 3 2 7 11 2 2 4 2" xfId="43101"/>
    <cellStyle name="Separador de milhares 3 2 7 11 2 2 5" xfId="36715"/>
    <cellStyle name="Separador de milhares 3 2 7 11 2 3" xfId="25730"/>
    <cellStyle name="Separador de milhares 3 2 7 11 2 3 2" xfId="51963"/>
    <cellStyle name="Separador de milhares 3 2 7 11 2 4" xfId="19816"/>
    <cellStyle name="Separador de milhares 3 2 7 11 2 4 2" xfId="46055"/>
    <cellStyle name="Separador de milhares 3 2 7 11 2 5" xfId="13718"/>
    <cellStyle name="Separador de milhares 3 2 7 11 2 5 2" xfId="39960"/>
    <cellStyle name="Separador de milhares 3 2 7 11 2 6" xfId="33574"/>
    <cellStyle name="Separador de milhares 3 2 7 11 3" xfId="9005"/>
    <cellStyle name="Separador de milhares 3 2 7 11 3 2" xfId="27219"/>
    <cellStyle name="Separador de milhares 3 2 7 11 3 2 2" xfId="53449"/>
    <cellStyle name="Separador de milhares 3 2 7 11 3 3" xfId="21305"/>
    <cellStyle name="Separador de milhares 3 2 7 11 3 3 2" xfId="47541"/>
    <cellStyle name="Separador de milhares 3 2 7 11 3 4" xfId="15391"/>
    <cellStyle name="Separador de milhares 3 2 7 11 3 4 2" xfId="41633"/>
    <cellStyle name="Separador de milhares 3 2 7 11 3 5" xfId="35247"/>
    <cellStyle name="Separador de milhares 3 2 7 11 4" xfId="5630"/>
    <cellStyle name="Separador de milhares 3 2 7 11 4 2" xfId="24262"/>
    <cellStyle name="Separador de milhares 3 2 7 11 4 2 2" xfId="50495"/>
    <cellStyle name="Separador de milhares 3 2 7 11 4 3" xfId="31875"/>
    <cellStyle name="Separador de milhares 3 2 7 11 5" xfId="18348"/>
    <cellStyle name="Separador de milhares 3 2 7 11 5 2" xfId="44587"/>
    <cellStyle name="Separador de milhares 3 2 7 11 6" xfId="12017"/>
    <cellStyle name="Separador de milhares 3 2 7 11 6 2" xfId="38259"/>
    <cellStyle name="Separador de milhares 3 2 7 11 7" xfId="30177"/>
    <cellStyle name="Separador de milhares 3 2 7 12" xfId="3641"/>
    <cellStyle name="Separador de milhares 3 2 7 12 2" xfId="7476"/>
    <cellStyle name="Separador de milhares 3 2 7 12 2 2" xfId="10620"/>
    <cellStyle name="Separador de milhares 3 2 7 12 2 2 2" xfId="28834"/>
    <cellStyle name="Separador de milhares 3 2 7 12 2 2 2 2" xfId="55064"/>
    <cellStyle name="Separador de milhares 3 2 7 12 2 2 3" xfId="22920"/>
    <cellStyle name="Separador de milhares 3 2 7 12 2 2 3 2" xfId="49156"/>
    <cellStyle name="Separador de milhares 3 2 7 12 2 2 4" xfId="17006"/>
    <cellStyle name="Separador de milhares 3 2 7 12 2 2 4 2" xfId="43248"/>
    <cellStyle name="Separador de milhares 3 2 7 12 2 2 5" xfId="36862"/>
    <cellStyle name="Separador de milhares 3 2 7 12 2 3" xfId="25877"/>
    <cellStyle name="Separador de milhares 3 2 7 12 2 3 2" xfId="52110"/>
    <cellStyle name="Separador de milhares 3 2 7 12 2 4" xfId="19963"/>
    <cellStyle name="Separador de milhares 3 2 7 12 2 4 2" xfId="46202"/>
    <cellStyle name="Separador de milhares 3 2 7 12 2 5" xfId="13865"/>
    <cellStyle name="Separador de milhares 3 2 7 12 2 5 2" xfId="40107"/>
    <cellStyle name="Separador de milhares 3 2 7 12 2 6" xfId="33721"/>
    <cellStyle name="Separador de milhares 3 2 7 12 3" xfId="9152"/>
    <cellStyle name="Separador de milhares 3 2 7 12 3 2" xfId="27366"/>
    <cellStyle name="Separador de milhares 3 2 7 12 3 2 2" xfId="53596"/>
    <cellStyle name="Separador de milhares 3 2 7 12 3 3" xfId="21452"/>
    <cellStyle name="Separador de milhares 3 2 7 12 3 3 2" xfId="47688"/>
    <cellStyle name="Separador de milhares 3 2 7 12 3 4" xfId="15538"/>
    <cellStyle name="Separador de milhares 3 2 7 12 3 4 2" xfId="41780"/>
    <cellStyle name="Separador de milhares 3 2 7 12 3 5" xfId="35394"/>
    <cellStyle name="Separador de milhares 3 2 7 12 4" xfId="5777"/>
    <cellStyle name="Separador de milhares 3 2 7 12 4 2" xfId="24409"/>
    <cellStyle name="Separador de milhares 3 2 7 12 4 2 2" xfId="50642"/>
    <cellStyle name="Separador de milhares 3 2 7 12 4 3" xfId="32022"/>
    <cellStyle name="Separador de milhares 3 2 7 12 5" xfId="18495"/>
    <cellStyle name="Separador de milhares 3 2 7 12 5 2" xfId="44734"/>
    <cellStyle name="Separador de milhares 3 2 7 12 6" xfId="12164"/>
    <cellStyle name="Separador de milhares 3 2 7 12 6 2" xfId="38406"/>
    <cellStyle name="Separador de milhares 3 2 7 12 7" xfId="30324"/>
    <cellStyle name="Separador de milhares 3 2 7 13" xfId="6460"/>
    <cellStyle name="Separador de milhares 3 2 7 13 2" xfId="9616"/>
    <cellStyle name="Separador de milhares 3 2 7 13 2 2" xfId="27830"/>
    <cellStyle name="Separador de milhares 3 2 7 13 2 2 2" xfId="54060"/>
    <cellStyle name="Separador de milhares 3 2 7 13 2 3" xfId="21916"/>
    <cellStyle name="Separador de milhares 3 2 7 13 2 3 2" xfId="48152"/>
    <cellStyle name="Separador de milhares 3 2 7 13 2 4" xfId="16002"/>
    <cellStyle name="Separador de milhares 3 2 7 13 2 4 2" xfId="42244"/>
    <cellStyle name="Separador de milhares 3 2 7 13 2 5" xfId="35858"/>
    <cellStyle name="Separador de milhares 3 2 7 13 3" xfId="24873"/>
    <cellStyle name="Separador de milhares 3 2 7 13 3 2" xfId="51106"/>
    <cellStyle name="Separador de milhares 3 2 7 13 4" xfId="18959"/>
    <cellStyle name="Separador de milhares 3 2 7 13 4 2" xfId="45198"/>
    <cellStyle name="Separador de milhares 3 2 7 13 5" xfId="12849"/>
    <cellStyle name="Separador de milhares 3 2 7 13 5 2" xfId="39091"/>
    <cellStyle name="Separador de milhares 3 2 7 13 6" xfId="32705"/>
    <cellStyle name="Separador de milhares 3 2 7 14" xfId="8145"/>
    <cellStyle name="Separador de milhares 3 2 7 14 2" xfId="26359"/>
    <cellStyle name="Separador de milhares 3 2 7 14 2 2" xfId="52592"/>
    <cellStyle name="Separador de milhares 3 2 7 14 3" xfId="20445"/>
    <cellStyle name="Separador de milhares 3 2 7 14 3 2" xfId="46684"/>
    <cellStyle name="Separador de milhares 3 2 7 14 4" xfId="14534"/>
    <cellStyle name="Separador de milhares 3 2 7 14 4 2" xfId="40776"/>
    <cellStyle name="Separador de milhares 3 2 7 14 5" xfId="34390"/>
    <cellStyle name="Separador de milhares 3 2 7 15" xfId="4758"/>
    <cellStyle name="Separador de milhares 3 2 7 15 2" xfId="23402"/>
    <cellStyle name="Separador de milhares 3 2 7 15 2 2" xfId="49638"/>
    <cellStyle name="Separador de milhares 3 2 7 15 3" xfId="31006"/>
    <cellStyle name="Separador de milhares 3 2 7 16" xfId="17488"/>
    <cellStyle name="Separador de milhares 3 2 7 16 2" xfId="43730"/>
    <cellStyle name="Separador de milhares 3 2 7 17" xfId="11148"/>
    <cellStyle name="Separador de milhares 3 2 7 17 2" xfId="37390"/>
    <cellStyle name="Separador de milhares 3 2 7 18" xfId="29308"/>
    <cellStyle name="Separador de milhares 3 2 7 2" xfId="178"/>
    <cellStyle name="Separador de milhares 3 2 7 2 10" xfId="6489"/>
    <cellStyle name="Separador de milhares 3 2 7 2 10 2" xfId="9643"/>
    <cellStyle name="Separador de milhares 3 2 7 2 10 2 2" xfId="27857"/>
    <cellStyle name="Separador de milhares 3 2 7 2 10 2 2 2" xfId="54087"/>
    <cellStyle name="Separador de milhares 3 2 7 2 10 2 3" xfId="21943"/>
    <cellStyle name="Separador de milhares 3 2 7 2 10 2 3 2" xfId="48179"/>
    <cellStyle name="Separador de milhares 3 2 7 2 10 2 4" xfId="16029"/>
    <cellStyle name="Separador de milhares 3 2 7 2 10 2 4 2" xfId="42271"/>
    <cellStyle name="Separador de milhares 3 2 7 2 10 2 5" xfId="35885"/>
    <cellStyle name="Separador de milhares 3 2 7 2 10 3" xfId="24900"/>
    <cellStyle name="Separador de milhares 3 2 7 2 10 3 2" xfId="51133"/>
    <cellStyle name="Separador de milhares 3 2 7 2 10 4" xfId="18986"/>
    <cellStyle name="Separador de milhares 3 2 7 2 10 4 2" xfId="45225"/>
    <cellStyle name="Separador de milhares 3 2 7 2 10 5" xfId="12878"/>
    <cellStyle name="Separador de milhares 3 2 7 2 10 5 2" xfId="39120"/>
    <cellStyle name="Separador de milhares 3 2 7 2 10 6" xfId="32734"/>
    <cellStyle name="Separador de milhares 3 2 7 2 11" xfId="8172"/>
    <cellStyle name="Separador de milhares 3 2 7 2 11 2" xfId="26386"/>
    <cellStyle name="Separador de milhares 3 2 7 2 11 2 2" xfId="52619"/>
    <cellStyle name="Separador de milhares 3 2 7 2 11 3" xfId="20472"/>
    <cellStyle name="Separador de milhares 3 2 7 2 11 3 2" xfId="46711"/>
    <cellStyle name="Separador de milhares 3 2 7 2 11 4" xfId="14561"/>
    <cellStyle name="Separador de milhares 3 2 7 2 11 4 2" xfId="40803"/>
    <cellStyle name="Separador de milhares 3 2 7 2 11 5" xfId="34417"/>
    <cellStyle name="Separador de milhares 3 2 7 2 12" xfId="4788"/>
    <cellStyle name="Separador de milhares 3 2 7 2 12 2" xfId="23429"/>
    <cellStyle name="Separador de milhares 3 2 7 2 12 2 2" xfId="49665"/>
    <cellStyle name="Separador de milhares 3 2 7 2 12 3" xfId="31035"/>
    <cellStyle name="Separador de milhares 3 2 7 2 13" xfId="17515"/>
    <cellStyle name="Separador de milhares 3 2 7 2 13 2" xfId="43757"/>
    <cellStyle name="Separador de milhares 3 2 7 2 14" xfId="11177"/>
    <cellStyle name="Separador de milhares 3 2 7 2 14 2" xfId="37419"/>
    <cellStyle name="Separador de milhares 3 2 7 2 15" xfId="29338"/>
    <cellStyle name="Separador de milhares 3 2 7 2 2" xfId="451"/>
    <cellStyle name="Separador de milhares 3 2 7 2 2 10" xfId="17589"/>
    <cellStyle name="Separador de milhares 3 2 7 2 2 10 2" xfId="43831"/>
    <cellStyle name="Separador de milhares 3 2 7 2 2 11" xfId="11258"/>
    <cellStyle name="Separador de milhares 3 2 7 2 2 11 2" xfId="37500"/>
    <cellStyle name="Separador de milhares 3 2 7 2 2 12" xfId="29418"/>
    <cellStyle name="Separador de milhares 3 2 7 2 2 2" xfId="1970"/>
    <cellStyle name="Separador de milhares 3 2 7 2 2 2 2" xfId="7008"/>
    <cellStyle name="Separador de milhares 3 2 7 2 2 2 2 2" xfId="10155"/>
    <cellStyle name="Separador de milhares 3 2 7 2 2 2 2 2 2" xfId="28369"/>
    <cellStyle name="Separador de milhares 3 2 7 2 2 2 2 2 2 2" xfId="54599"/>
    <cellStyle name="Separador de milhares 3 2 7 2 2 2 2 2 3" xfId="22455"/>
    <cellStyle name="Separador de milhares 3 2 7 2 2 2 2 2 3 2" xfId="48691"/>
    <cellStyle name="Separador de milhares 3 2 7 2 2 2 2 2 4" xfId="16541"/>
    <cellStyle name="Separador de milhares 3 2 7 2 2 2 2 2 4 2" xfId="42783"/>
    <cellStyle name="Separador de milhares 3 2 7 2 2 2 2 2 5" xfId="36397"/>
    <cellStyle name="Separador de milhares 3 2 7 2 2 2 2 3" xfId="25412"/>
    <cellStyle name="Separador de milhares 3 2 7 2 2 2 2 3 2" xfId="51645"/>
    <cellStyle name="Separador de milhares 3 2 7 2 2 2 2 4" xfId="19498"/>
    <cellStyle name="Separador de milhares 3 2 7 2 2 2 2 4 2" xfId="45737"/>
    <cellStyle name="Separador de milhares 3 2 7 2 2 2 2 5" xfId="13397"/>
    <cellStyle name="Separador de milhares 3 2 7 2 2 2 2 5 2" xfId="39639"/>
    <cellStyle name="Separador de milhares 3 2 7 2 2 2 2 6" xfId="33253"/>
    <cellStyle name="Separador de milhares 3 2 7 2 2 2 3" xfId="8687"/>
    <cellStyle name="Separador de milhares 3 2 7 2 2 2 3 2" xfId="26901"/>
    <cellStyle name="Separador de milhares 3 2 7 2 2 2 3 2 2" xfId="53131"/>
    <cellStyle name="Separador de milhares 3 2 7 2 2 2 3 3" xfId="20987"/>
    <cellStyle name="Separador de milhares 3 2 7 2 2 2 3 3 2" xfId="47223"/>
    <cellStyle name="Separador de milhares 3 2 7 2 2 2 3 4" xfId="15073"/>
    <cellStyle name="Separador de milhares 3 2 7 2 2 2 3 4 2" xfId="41315"/>
    <cellStyle name="Separador de milhares 3 2 7 2 2 2 3 5" xfId="34929"/>
    <cellStyle name="Separador de milhares 3 2 7 2 2 2 4" xfId="5309"/>
    <cellStyle name="Separador de milhares 3 2 7 2 2 2 4 2" xfId="23944"/>
    <cellStyle name="Separador de milhares 3 2 7 2 2 2 4 2 2" xfId="50177"/>
    <cellStyle name="Separador de milhares 3 2 7 2 2 2 4 3" xfId="31554"/>
    <cellStyle name="Separador de milhares 3 2 7 2 2 2 5" xfId="18030"/>
    <cellStyle name="Separador de milhares 3 2 7 2 2 2 5 2" xfId="44269"/>
    <cellStyle name="Separador de milhares 3 2 7 2 2 2 6" xfId="11696"/>
    <cellStyle name="Separador de milhares 3 2 7 2 2 2 6 2" xfId="37938"/>
    <cellStyle name="Separador de milhares 3 2 7 2 2 2 7" xfId="29856"/>
    <cellStyle name="Separador de milhares 3 2 7 2 2 3" xfId="2500"/>
    <cellStyle name="Separador de milhares 3 2 7 2 2 3 2" xfId="7158"/>
    <cellStyle name="Separador de milhares 3 2 7 2 2 3 2 2" xfId="10302"/>
    <cellStyle name="Separador de milhares 3 2 7 2 2 3 2 2 2" xfId="28516"/>
    <cellStyle name="Separador de milhares 3 2 7 2 2 3 2 2 2 2" xfId="54746"/>
    <cellStyle name="Separador de milhares 3 2 7 2 2 3 2 2 3" xfId="22602"/>
    <cellStyle name="Separador de milhares 3 2 7 2 2 3 2 2 3 2" xfId="48838"/>
    <cellStyle name="Separador de milhares 3 2 7 2 2 3 2 2 4" xfId="16688"/>
    <cellStyle name="Separador de milhares 3 2 7 2 2 3 2 2 4 2" xfId="42930"/>
    <cellStyle name="Separador de milhares 3 2 7 2 2 3 2 2 5" xfId="36544"/>
    <cellStyle name="Separador de milhares 3 2 7 2 2 3 2 3" xfId="25559"/>
    <cellStyle name="Separador de milhares 3 2 7 2 2 3 2 3 2" xfId="51792"/>
    <cellStyle name="Separador de milhares 3 2 7 2 2 3 2 4" xfId="19645"/>
    <cellStyle name="Separador de milhares 3 2 7 2 2 3 2 4 2" xfId="45884"/>
    <cellStyle name="Separador de milhares 3 2 7 2 2 3 2 5" xfId="13547"/>
    <cellStyle name="Separador de milhares 3 2 7 2 2 3 2 5 2" xfId="39789"/>
    <cellStyle name="Separador de milhares 3 2 7 2 2 3 2 6" xfId="33403"/>
    <cellStyle name="Separador de milhares 3 2 7 2 2 3 3" xfId="8834"/>
    <cellStyle name="Separador de milhares 3 2 7 2 2 3 3 2" xfId="27048"/>
    <cellStyle name="Separador de milhares 3 2 7 2 2 3 3 2 2" xfId="53278"/>
    <cellStyle name="Separador de milhares 3 2 7 2 2 3 3 3" xfId="21134"/>
    <cellStyle name="Separador de milhares 3 2 7 2 2 3 3 3 2" xfId="47370"/>
    <cellStyle name="Separador de milhares 3 2 7 2 2 3 3 4" xfId="15220"/>
    <cellStyle name="Separador de milhares 3 2 7 2 2 3 3 4 2" xfId="41462"/>
    <cellStyle name="Separador de milhares 3 2 7 2 2 3 3 5" xfId="35076"/>
    <cellStyle name="Separador de milhares 3 2 7 2 2 3 4" xfId="5459"/>
    <cellStyle name="Separador de milhares 3 2 7 2 2 3 4 2" xfId="24091"/>
    <cellStyle name="Separador de milhares 3 2 7 2 2 3 4 2 2" xfId="50324"/>
    <cellStyle name="Separador de milhares 3 2 7 2 2 3 4 3" xfId="31704"/>
    <cellStyle name="Separador de milhares 3 2 7 2 2 3 5" xfId="18177"/>
    <cellStyle name="Separador de milhares 3 2 7 2 2 3 5 2" xfId="44416"/>
    <cellStyle name="Separador de milhares 3 2 7 2 2 3 6" xfId="11846"/>
    <cellStyle name="Separador de milhares 3 2 7 2 2 3 6 2" xfId="38088"/>
    <cellStyle name="Separador de milhares 3 2 7 2 2 3 7" xfId="30006"/>
    <cellStyle name="Separador de milhares 3 2 7 2 2 4" xfId="3027"/>
    <cellStyle name="Separador de milhares 3 2 7 2 2 4 2" xfId="7305"/>
    <cellStyle name="Separador de milhares 3 2 7 2 2 4 2 2" xfId="10449"/>
    <cellStyle name="Separador de milhares 3 2 7 2 2 4 2 2 2" xfId="28663"/>
    <cellStyle name="Separador de milhares 3 2 7 2 2 4 2 2 2 2" xfId="54893"/>
    <cellStyle name="Separador de milhares 3 2 7 2 2 4 2 2 3" xfId="22749"/>
    <cellStyle name="Separador de milhares 3 2 7 2 2 4 2 2 3 2" xfId="48985"/>
    <cellStyle name="Separador de milhares 3 2 7 2 2 4 2 2 4" xfId="16835"/>
    <cellStyle name="Separador de milhares 3 2 7 2 2 4 2 2 4 2" xfId="43077"/>
    <cellStyle name="Separador de milhares 3 2 7 2 2 4 2 2 5" xfId="36691"/>
    <cellStyle name="Separador de milhares 3 2 7 2 2 4 2 3" xfId="25706"/>
    <cellStyle name="Separador de milhares 3 2 7 2 2 4 2 3 2" xfId="51939"/>
    <cellStyle name="Separador de milhares 3 2 7 2 2 4 2 4" xfId="19792"/>
    <cellStyle name="Separador de milhares 3 2 7 2 2 4 2 4 2" xfId="46031"/>
    <cellStyle name="Separador de milhares 3 2 7 2 2 4 2 5" xfId="13694"/>
    <cellStyle name="Separador de milhares 3 2 7 2 2 4 2 5 2" xfId="39936"/>
    <cellStyle name="Separador de milhares 3 2 7 2 2 4 2 6" xfId="33550"/>
    <cellStyle name="Separador de milhares 3 2 7 2 2 4 3" xfId="8981"/>
    <cellStyle name="Separador de milhares 3 2 7 2 2 4 3 2" xfId="27195"/>
    <cellStyle name="Separador de milhares 3 2 7 2 2 4 3 2 2" xfId="53425"/>
    <cellStyle name="Separador de milhares 3 2 7 2 2 4 3 3" xfId="21281"/>
    <cellStyle name="Separador de milhares 3 2 7 2 2 4 3 3 2" xfId="47517"/>
    <cellStyle name="Separador de milhares 3 2 7 2 2 4 3 4" xfId="15367"/>
    <cellStyle name="Separador de milhares 3 2 7 2 2 4 3 4 2" xfId="41609"/>
    <cellStyle name="Separador de milhares 3 2 7 2 2 4 3 5" xfId="35223"/>
    <cellStyle name="Separador de milhares 3 2 7 2 2 4 4" xfId="5606"/>
    <cellStyle name="Separador de milhares 3 2 7 2 2 4 4 2" xfId="24238"/>
    <cellStyle name="Separador de milhares 3 2 7 2 2 4 4 2 2" xfId="50471"/>
    <cellStyle name="Separador de milhares 3 2 7 2 2 4 4 3" xfId="31851"/>
    <cellStyle name="Separador de milhares 3 2 7 2 2 4 5" xfId="18324"/>
    <cellStyle name="Separador de milhares 3 2 7 2 2 4 5 2" xfId="44563"/>
    <cellStyle name="Separador de milhares 3 2 7 2 2 4 6" xfId="11993"/>
    <cellStyle name="Separador de milhares 3 2 7 2 2 4 6 2" xfId="38235"/>
    <cellStyle name="Separador de milhares 3 2 7 2 2 4 7" xfId="30153"/>
    <cellStyle name="Separador de milhares 3 2 7 2 2 5" xfId="3554"/>
    <cellStyle name="Separador de milhares 3 2 7 2 2 5 2" xfId="7452"/>
    <cellStyle name="Separador de milhares 3 2 7 2 2 5 2 2" xfId="10596"/>
    <cellStyle name="Separador de milhares 3 2 7 2 2 5 2 2 2" xfId="28810"/>
    <cellStyle name="Separador de milhares 3 2 7 2 2 5 2 2 2 2" xfId="55040"/>
    <cellStyle name="Separador de milhares 3 2 7 2 2 5 2 2 3" xfId="22896"/>
    <cellStyle name="Separador de milhares 3 2 7 2 2 5 2 2 3 2" xfId="49132"/>
    <cellStyle name="Separador de milhares 3 2 7 2 2 5 2 2 4" xfId="16982"/>
    <cellStyle name="Separador de milhares 3 2 7 2 2 5 2 2 4 2" xfId="43224"/>
    <cellStyle name="Separador de milhares 3 2 7 2 2 5 2 2 5" xfId="36838"/>
    <cellStyle name="Separador de milhares 3 2 7 2 2 5 2 3" xfId="25853"/>
    <cellStyle name="Separador de milhares 3 2 7 2 2 5 2 3 2" xfId="52086"/>
    <cellStyle name="Separador de milhares 3 2 7 2 2 5 2 4" xfId="19939"/>
    <cellStyle name="Separador de milhares 3 2 7 2 2 5 2 4 2" xfId="46178"/>
    <cellStyle name="Separador de milhares 3 2 7 2 2 5 2 5" xfId="13841"/>
    <cellStyle name="Separador de milhares 3 2 7 2 2 5 2 5 2" xfId="40083"/>
    <cellStyle name="Separador de milhares 3 2 7 2 2 5 2 6" xfId="33697"/>
    <cellStyle name="Separador de milhares 3 2 7 2 2 5 3" xfId="9128"/>
    <cellStyle name="Separador de milhares 3 2 7 2 2 5 3 2" xfId="27342"/>
    <cellStyle name="Separador de milhares 3 2 7 2 2 5 3 2 2" xfId="53572"/>
    <cellStyle name="Separador de milhares 3 2 7 2 2 5 3 3" xfId="21428"/>
    <cellStyle name="Separador de milhares 3 2 7 2 2 5 3 3 2" xfId="47664"/>
    <cellStyle name="Separador de milhares 3 2 7 2 2 5 3 4" xfId="15514"/>
    <cellStyle name="Separador de milhares 3 2 7 2 2 5 3 4 2" xfId="41756"/>
    <cellStyle name="Separador de milhares 3 2 7 2 2 5 3 5" xfId="35370"/>
    <cellStyle name="Separador de milhares 3 2 7 2 2 5 4" xfId="5753"/>
    <cellStyle name="Separador de milhares 3 2 7 2 2 5 4 2" xfId="24385"/>
    <cellStyle name="Separador de milhares 3 2 7 2 2 5 4 2 2" xfId="50618"/>
    <cellStyle name="Separador de milhares 3 2 7 2 2 5 4 3" xfId="31998"/>
    <cellStyle name="Separador de milhares 3 2 7 2 2 5 5" xfId="18471"/>
    <cellStyle name="Separador de milhares 3 2 7 2 2 5 5 2" xfId="44710"/>
    <cellStyle name="Separador de milhares 3 2 7 2 2 5 6" xfId="12140"/>
    <cellStyle name="Separador de milhares 3 2 7 2 2 5 6 2" xfId="38382"/>
    <cellStyle name="Separador de milhares 3 2 7 2 2 5 7" xfId="30300"/>
    <cellStyle name="Separador de milhares 3 2 7 2 2 6" xfId="4081"/>
    <cellStyle name="Separador de milhares 3 2 7 2 2 6 2" xfId="7599"/>
    <cellStyle name="Separador de milhares 3 2 7 2 2 6 2 2" xfId="10743"/>
    <cellStyle name="Separador de milhares 3 2 7 2 2 6 2 2 2" xfId="28957"/>
    <cellStyle name="Separador de milhares 3 2 7 2 2 6 2 2 2 2" xfId="55187"/>
    <cellStyle name="Separador de milhares 3 2 7 2 2 6 2 2 3" xfId="23043"/>
    <cellStyle name="Separador de milhares 3 2 7 2 2 6 2 2 3 2" xfId="49279"/>
    <cellStyle name="Separador de milhares 3 2 7 2 2 6 2 2 4" xfId="17129"/>
    <cellStyle name="Separador de milhares 3 2 7 2 2 6 2 2 4 2" xfId="43371"/>
    <cellStyle name="Separador de milhares 3 2 7 2 2 6 2 2 5" xfId="36985"/>
    <cellStyle name="Separador de milhares 3 2 7 2 2 6 2 3" xfId="26000"/>
    <cellStyle name="Separador de milhares 3 2 7 2 2 6 2 3 2" xfId="52233"/>
    <cellStyle name="Separador de milhares 3 2 7 2 2 6 2 4" xfId="20086"/>
    <cellStyle name="Separador de milhares 3 2 7 2 2 6 2 4 2" xfId="46325"/>
    <cellStyle name="Separador de milhares 3 2 7 2 2 6 2 5" xfId="13988"/>
    <cellStyle name="Separador de milhares 3 2 7 2 2 6 2 5 2" xfId="40230"/>
    <cellStyle name="Separador de milhares 3 2 7 2 2 6 2 6" xfId="33844"/>
    <cellStyle name="Separador de milhares 3 2 7 2 2 6 3" xfId="9275"/>
    <cellStyle name="Separador de milhares 3 2 7 2 2 6 3 2" xfId="27489"/>
    <cellStyle name="Separador de milhares 3 2 7 2 2 6 3 2 2" xfId="53719"/>
    <cellStyle name="Separador de milhares 3 2 7 2 2 6 3 3" xfId="21575"/>
    <cellStyle name="Separador de milhares 3 2 7 2 2 6 3 3 2" xfId="47811"/>
    <cellStyle name="Separador de milhares 3 2 7 2 2 6 3 4" xfId="15661"/>
    <cellStyle name="Separador de milhares 3 2 7 2 2 6 3 4 2" xfId="41903"/>
    <cellStyle name="Separador de milhares 3 2 7 2 2 6 3 5" xfId="35517"/>
    <cellStyle name="Separador de milhares 3 2 7 2 2 6 4" xfId="5900"/>
    <cellStyle name="Separador de milhares 3 2 7 2 2 6 4 2" xfId="24532"/>
    <cellStyle name="Separador de milhares 3 2 7 2 2 6 4 2 2" xfId="50765"/>
    <cellStyle name="Separador de milhares 3 2 7 2 2 6 4 3" xfId="32145"/>
    <cellStyle name="Separador de milhares 3 2 7 2 2 6 5" xfId="18618"/>
    <cellStyle name="Separador de milhares 3 2 7 2 2 6 5 2" xfId="44857"/>
    <cellStyle name="Separador de milhares 3 2 7 2 2 6 6" xfId="12287"/>
    <cellStyle name="Separador de milhares 3 2 7 2 2 6 6 2" xfId="38529"/>
    <cellStyle name="Separador de milhares 3 2 7 2 2 6 7" xfId="30447"/>
    <cellStyle name="Separador de milhares 3 2 7 2 2 7" xfId="6570"/>
    <cellStyle name="Separador de milhares 3 2 7 2 2 7 2" xfId="9717"/>
    <cellStyle name="Separador de milhares 3 2 7 2 2 7 2 2" xfId="27931"/>
    <cellStyle name="Separador de milhares 3 2 7 2 2 7 2 2 2" xfId="54161"/>
    <cellStyle name="Separador de milhares 3 2 7 2 2 7 2 3" xfId="22017"/>
    <cellStyle name="Separador de milhares 3 2 7 2 2 7 2 3 2" xfId="48253"/>
    <cellStyle name="Separador de milhares 3 2 7 2 2 7 2 4" xfId="16103"/>
    <cellStyle name="Separador de milhares 3 2 7 2 2 7 2 4 2" xfId="42345"/>
    <cellStyle name="Separador de milhares 3 2 7 2 2 7 2 5" xfId="35959"/>
    <cellStyle name="Separador de milhares 3 2 7 2 2 7 3" xfId="24974"/>
    <cellStyle name="Separador de milhares 3 2 7 2 2 7 3 2" xfId="51207"/>
    <cellStyle name="Separador de milhares 3 2 7 2 2 7 4" xfId="19060"/>
    <cellStyle name="Separador de milhares 3 2 7 2 2 7 4 2" xfId="45299"/>
    <cellStyle name="Separador de milhares 3 2 7 2 2 7 5" xfId="12959"/>
    <cellStyle name="Separador de milhares 3 2 7 2 2 7 5 2" xfId="39201"/>
    <cellStyle name="Separador de milhares 3 2 7 2 2 7 6" xfId="32815"/>
    <cellStyle name="Separador de milhares 3 2 7 2 2 8" xfId="8246"/>
    <cellStyle name="Separador de milhares 3 2 7 2 2 8 2" xfId="26460"/>
    <cellStyle name="Separador de milhares 3 2 7 2 2 8 2 2" xfId="52693"/>
    <cellStyle name="Separador de milhares 3 2 7 2 2 8 3" xfId="20546"/>
    <cellStyle name="Separador de milhares 3 2 7 2 2 8 3 2" xfId="46785"/>
    <cellStyle name="Separador de milhares 3 2 7 2 2 8 4" xfId="14635"/>
    <cellStyle name="Separador de milhares 3 2 7 2 2 8 4 2" xfId="40877"/>
    <cellStyle name="Separador de milhares 3 2 7 2 2 8 5" xfId="34491"/>
    <cellStyle name="Separador de milhares 3 2 7 2 2 9" xfId="4869"/>
    <cellStyle name="Separador de milhares 3 2 7 2 2 9 2" xfId="23503"/>
    <cellStyle name="Separador de milhares 3 2 7 2 2 9 2 2" xfId="49739"/>
    <cellStyle name="Separador de milhares 3 2 7 2 2 9 3" xfId="31116"/>
    <cellStyle name="Separador de milhares 3 2 7 2 3" xfId="924"/>
    <cellStyle name="Separador de milhares 3 2 7 2 3 2" xfId="6721"/>
    <cellStyle name="Separador de milhares 3 2 7 2 3 2 2" xfId="9868"/>
    <cellStyle name="Separador de milhares 3 2 7 2 3 2 2 2" xfId="28082"/>
    <cellStyle name="Separador de milhares 3 2 7 2 3 2 2 2 2" xfId="54312"/>
    <cellStyle name="Separador de milhares 3 2 7 2 3 2 2 3" xfId="22168"/>
    <cellStyle name="Separador de milhares 3 2 7 2 3 2 2 3 2" xfId="48404"/>
    <cellStyle name="Separador de milhares 3 2 7 2 3 2 2 4" xfId="16254"/>
    <cellStyle name="Separador de milhares 3 2 7 2 3 2 2 4 2" xfId="42496"/>
    <cellStyle name="Separador de milhares 3 2 7 2 3 2 2 5" xfId="36110"/>
    <cellStyle name="Separador de milhares 3 2 7 2 3 2 3" xfId="25125"/>
    <cellStyle name="Separador de milhares 3 2 7 2 3 2 3 2" xfId="51358"/>
    <cellStyle name="Separador de milhares 3 2 7 2 3 2 4" xfId="19211"/>
    <cellStyle name="Separador de milhares 3 2 7 2 3 2 4 2" xfId="45450"/>
    <cellStyle name="Separador de milhares 3 2 7 2 3 2 5" xfId="13110"/>
    <cellStyle name="Separador de milhares 3 2 7 2 3 2 5 2" xfId="39352"/>
    <cellStyle name="Separador de milhares 3 2 7 2 3 2 6" xfId="32966"/>
    <cellStyle name="Separador de milhares 3 2 7 2 3 3" xfId="8400"/>
    <cellStyle name="Separador de milhares 3 2 7 2 3 3 2" xfId="26614"/>
    <cellStyle name="Separador de milhares 3 2 7 2 3 3 2 2" xfId="52844"/>
    <cellStyle name="Separador de milhares 3 2 7 2 3 3 3" xfId="20700"/>
    <cellStyle name="Separador de milhares 3 2 7 2 3 3 3 2" xfId="46936"/>
    <cellStyle name="Separador de milhares 3 2 7 2 3 3 4" xfId="14786"/>
    <cellStyle name="Separador de milhares 3 2 7 2 3 3 4 2" xfId="41028"/>
    <cellStyle name="Separador de milhares 3 2 7 2 3 3 5" xfId="34642"/>
    <cellStyle name="Separador de milhares 3 2 7 2 3 4" xfId="5022"/>
    <cellStyle name="Separador de milhares 3 2 7 2 3 4 2" xfId="23657"/>
    <cellStyle name="Separador de milhares 3 2 7 2 3 4 2 2" xfId="49890"/>
    <cellStyle name="Separador de milhares 3 2 7 2 3 4 3" xfId="31267"/>
    <cellStyle name="Separador de milhares 3 2 7 2 3 5" xfId="17743"/>
    <cellStyle name="Separador de milhares 3 2 7 2 3 5 2" xfId="43982"/>
    <cellStyle name="Separador de milhares 3 2 7 2 3 6" xfId="11409"/>
    <cellStyle name="Separador de milhares 3 2 7 2 3 6 2" xfId="37651"/>
    <cellStyle name="Separador de milhares 3 2 7 2 3 7" xfId="29569"/>
    <cellStyle name="Separador de milhares 3 2 7 2 4" xfId="1275"/>
    <cellStyle name="Separador de milhares 3 2 7 2 4 2" xfId="6819"/>
    <cellStyle name="Separador de milhares 3 2 7 2 4 2 2" xfId="9966"/>
    <cellStyle name="Separador de milhares 3 2 7 2 4 2 2 2" xfId="28180"/>
    <cellStyle name="Separador de milhares 3 2 7 2 4 2 2 2 2" xfId="54410"/>
    <cellStyle name="Separador de milhares 3 2 7 2 4 2 2 3" xfId="22266"/>
    <cellStyle name="Separador de milhares 3 2 7 2 4 2 2 3 2" xfId="48502"/>
    <cellStyle name="Separador de milhares 3 2 7 2 4 2 2 4" xfId="16352"/>
    <cellStyle name="Separador de milhares 3 2 7 2 4 2 2 4 2" xfId="42594"/>
    <cellStyle name="Separador de milhares 3 2 7 2 4 2 2 5" xfId="36208"/>
    <cellStyle name="Separador de milhares 3 2 7 2 4 2 3" xfId="25223"/>
    <cellStyle name="Separador de milhares 3 2 7 2 4 2 3 2" xfId="51456"/>
    <cellStyle name="Separador de milhares 3 2 7 2 4 2 4" xfId="19309"/>
    <cellStyle name="Separador de milhares 3 2 7 2 4 2 4 2" xfId="45548"/>
    <cellStyle name="Separador de milhares 3 2 7 2 4 2 5" xfId="13208"/>
    <cellStyle name="Separador de milhares 3 2 7 2 4 2 5 2" xfId="39450"/>
    <cellStyle name="Separador de milhares 3 2 7 2 4 2 6" xfId="33064"/>
    <cellStyle name="Separador de milhares 3 2 7 2 4 3" xfId="8498"/>
    <cellStyle name="Separador de milhares 3 2 7 2 4 3 2" xfId="26712"/>
    <cellStyle name="Separador de milhares 3 2 7 2 4 3 2 2" xfId="52942"/>
    <cellStyle name="Separador de milhares 3 2 7 2 4 3 3" xfId="20798"/>
    <cellStyle name="Separador de milhares 3 2 7 2 4 3 3 2" xfId="47034"/>
    <cellStyle name="Separador de milhares 3 2 7 2 4 3 4" xfId="14884"/>
    <cellStyle name="Separador de milhares 3 2 7 2 4 3 4 2" xfId="41126"/>
    <cellStyle name="Separador de milhares 3 2 7 2 4 3 5" xfId="34740"/>
    <cellStyle name="Separador de milhares 3 2 7 2 4 4" xfId="5120"/>
    <cellStyle name="Separador de milhares 3 2 7 2 4 4 2" xfId="23755"/>
    <cellStyle name="Separador de milhares 3 2 7 2 4 4 2 2" xfId="49988"/>
    <cellStyle name="Separador de milhares 3 2 7 2 4 4 3" xfId="31365"/>
    <cellStyle name="Separador de milhares 3 2 7 2 4 5" xfId="17841"/>
    <cellStyle name="Separador de milhares 3 2 7 2 4 5 2" xfId="44080"/>
    <cellStyle name="Separador de milhares 3 2 7 2 4 6" xfId="11507"/>
    <cellStyle name="Separador de milhares 3 2 7 2 4 6 2" xfId="37749"/>
    <cellStyle name="Separador de milhares 3 2 7 2 4 7" xfId="29667"/>
    <cellStyle name="Separador de milhares 3 2 7 2 5" xfId="1710"/>
    <cellStyle name="Separador de milhares 3 2 7 2 5 2" xfId="6938"/>
    <cellStyle name="Separador de milhares 3 2 7 2 5 2 2" xfId="10085"/>
    <cellStyle name="Separador de milhares 3 2 7 2 5 2 2 2" xfId="28299"/>
    <cellStyle name="Separador de milhares 3 2 7 2 5 2 2 2 2" xfId="54529"/>
    <cellStyle name="Separador de milhares 3 2 7 2 5 2 2 3" xfId="22385"/>
    <cellStyle name="Separador de milhares 3 2 7 2 5 2 2 3 2" xfId="48621"/>
    <cellStyle name="Separador de milhares 3 2 7 2 5 2 2 4" xfId="16471"/>
    <cellStyle name="Separador de milhares 3 2 7 2 5 2 2 4 2" xfId="42713"/>
    <cellStyle name="Separador de milhares 3 2 7 2 5 2 2 5" xfId="36327"/>
    <cellStyle name="Separador de milhares 3 2 7 2 5 2 3" xfId="25342"/>
    <cellStyle name="Separador de milhares 3 2 7 2 5 2 3 2" xfId="51575"/>
    <cellStyle name="Separador de milhares 3 2 7 2 5 2 4" xfId="19428"/>
    <cellStyle name="Separador de milhares 3 2 7 2 5 2 4 2" xfId="45667"/>
    <cellStyle name="Separador de milhares 3 2 7 2 5 2 5" xfId="13327"/>
    <cellStyle name="Separador de milhares 3 2 7 2 5 2 5 2" xfId="39569"/>
    <cellStyle name="Separador de milhares 3 2 7 2 5 2 6" xfId="33183"/>
    <cellStyle name="Separador de milhares 3 2 7 2 5 3" xfId="8617"/>
    <cellStyle name="Separador de milhares 3 2 7 2 5 3 2" xfId="26831"/>
    <cellStyle name="Separador de milhares 3 2 7 2 5 3 2 2" xfId="53061"/>
    <cellStyle name="Separador de milhares 3 2 7 2 5 3 3" xfId="20917"/>
    <cellStyle name="Separador de milhares 3 2 7 2 5 3 3 2" xfId="47153"/>
    <cellStyle name="Separador de milhares 3 2 7 2 5 3 4" xfId="15003"/>
    <cellStyle name="Separador de milhares 3 2 7 2 5 3 4 2" xfId="41245"/>
    <cellStyle name="Separador de milhares 3 2 7 2 5 3 5" xfId="34859"/>
    <cellStyle name="Separador de milhares 3 2 7 2 5 4" xfId="5239"/>
    <cellStyle name="Separador de milhares 3 2 7 2 5 4 2" xfId="23874"/>
    <cellStyle name="Separador de milhares 3 2 7 2 5 4 2 2" xfId="50107"/>
    <cellStyle name="Separador de milhares 3 2 7 2 5 4 3" xfId="31484"/>
    <cellStyle name="Separador de milhares 3 2 7 2 5 5" xfId="17960"/>
    <cellStyle name="Separador de milhares 3 2 7 2 5 5 2" xfId="44199"/>
    <cellStyle name="Separador de milhares 3 2 7 2 5 6" xfId="11626"/>
    <cellStyle name="Separador de milhares 3 2 7 2 5 6 2" xfId="37868"/>
    <cellStyle name="Separador de milhares 3 2 7 2 5 7" xfId="29786"/>
    <cellStyle name="Separador de milhares 3 2 7 2 6" xfId="2240"/>
    <cellStyle name="Separador de milhares 3 2 7 2 6 2" xfId="7088"/>
    <cellStyle name="Separador de milhares 3 2 7 2 6 2 2" xfId="10232"/>
    <cellStyle name="Separador de milhares 3 2 7 2 6 2 2 2" xfId="28446"/>
    <cellStyle name="Separador de milhares 3 2 7 2 6 2 2 2 2" xfId="54676"/>
    <cellStyle name="Separador de milhares 3 2 7 2 6 2 2 3" xfId="22532"/>
    <cellStyle name="Separador de milhares 3 2 7 2 6 2 2 3 2" xfId="48768"/>
    <cellStyle name="Separador de milhares 3 2 7 2 6 2 2 4" xfId="16618"/>
    <cellStyle name="Separador de milhares 3 2 7 2 6 2 2 4 2" xfId="42860"/>
    <cellStyle name="Separador de milhares 3 2 7 2 6 2 2 5" xfId="36474"/>
    <cellStyle name="Separador de milhares 3 2 7 2 6 2 3" xfId="25489"/>
    <cellStyle name="Separador de milhares 3 2 7 2 6 2 3 2" xfId="51722"/>
    <cellStyle name="Separador de milhares 3 2 7 2 6 2 4" xfId="19575"/>
    <cellStyle name="Separador de milhares 3 2 7 2 6 2 4 2" xfId="45814"/>
    <cellStyle name="Separador de milhares 3 2 7 2 6 2 5" xfId="13477"/>
    <cellStyle name="Separador de milhares 3 2 7 2 6 2 5 2" xfId="39719"/>
    <cellStyle name="Separador de milhares 3 2 7 2 6 2 6" xfId="33333"/>
    <cellStyle name="Separador de milhares 3 2 7 2 6 3" xfId="8764"/>
    <cellStyle name="Separador de milhares 3 2 7 2 6 3 2" xfId="26978"/>
    <cellStyle name="Separador de milhares 3 2 7 2 6 3 2 2" xfId="53208"/>
    <cellStyle name="Separador de milhares 3 2 7 2 6 3 3" xfId="21064"/>
    <cellStyle name="Separador de milhares 3 2 7 2 6 3 3 2" xfId="47300"/>
    <cellStyle name="Separador de milhares 3 2 7 2 6 3 4" xfId="15150"/>
    <cellStyle name="Separador de milhares 3 2 7 2 6 3 4 2" xfId="41392"/>
    <cellStyle name="Separador de milhares 3 2 7 2 6 3 5" xfId="35006"/>
    <cellStyle name="Separador de milhares 3 2 7 2 6 4" xfId="5389"/>
    <cellStyle name="Separador de milhares 3 2 7 2 6 4 2" xfId="24021"/>
    <cellStyle name="Separador de milhares 3 2 7 2 6 4 2 2" xfId="50254"/>
    <cellStyle name="Separador de milhares 3 2 7 2 6 4 3" xfId="31634"/>
    <cellStyle name="Separador de milhares 3 2 7 2 6 5" xfId="18107"/>
    <cellStyle name="Separador de milhares 3 2 7 2 6 5 2" xfId="44346"/>
    <cellStyle name="Separador de milhares 3 2 7 2 6 6" xfId="11776"/>
    <cellStyle name="Separador de milhares 3 2 7 2 6 6 2" xfId="38018"/>
    <cellStyle name="Separador de milhares 3 2 7 2 6 7" xfId="29936"/>
    <cellStyle name="Separador de milhares 3 2 7 2 7" xfId="2767"/>
    <cellStyle name="Separador de milhares 3 2 7 2 7 2" xfId="7235"/>
    <cellStyle name="Separador de milhares 3 2 7 2 7 2 2" xfId="10379"/>
    <cellStyle name="Separador de milhares 3 2 7 2 7 2 2 2" xfId="28593"/>
    <cellStyle name="Separador de milhares 3 2 7 2 7 2 2 2 2" xfId="54823"/>
    <cellStyle name="Separador de milhares 3 2 7 2 7 2 2 3" xfId="22679"/>
    <cellStyle name="Separador de milhares 3 2 7 2 7 2 2 3 2" xfId="48915"/>
    <cellStyle name="Separador de milhares 3 2 7 2 7 2 2 4" xfId="16765"/>
    <cellStyle name="Separador de milhares 3 2 7 2 7 2 2 4 2" xfId="43007"/>
    <cellStyle name="Separador de milhares 3 2 7 2 7 2 2 5" xfId="36621"/>
    <cellStyle name="Separador de milhares 3 2 7 2 7 2 3" xfId="25636"/>
    <cellStyle name="Separador de milhares 3 2 7 2 7 2 3 2" xfId="51869"/>
    <cellStyle name="Separador de milhares 3 2 7 2 7 2 4" xfId="19722"/>
    <cellStyle name="Separador de milhares 3 2 7 2 7 2 4 2" xfId="45961"/>
    <cellStyle name="Separador de milhares 3 2 7 2 7 2 5" xfId="13624"/>
    <cellStyle name="Separador de milhares 3 2 7 2 7 2 5 2" xfId="39866"/>
    <cellStyle name="Separador de milhares 3 2 7 2 7 2 6" xfId="33480"/>
    <cellStyle name="Separador de milhares 3 2 7 2 7 3" xfId="8911"/>
    <cellStyle name="Separador de milhares 3 2 7 2 7 3 2" xfId="27125"/>
    <cellStyle name="Separador de milhares 3 2 7 2 7 3 2 2" xfId="53355"/>
    <cellStyle name="Separador de milhares 3 2 7 2 7 3 3" xfId="21211"/>
    <cellStyle name="Separador de milhares 3 2 7 2 7 3 3 2" xfId="47447"/>
    <cellStyle name="Separador de milhares 3 2 7 2 7 3 4" xfId="15297"/>
    <cellStyle name="Separador de milhares 3 2 7 2 7 3 4 2" xfId="41539"/>
    <cellStyle name="Separador de milhares 3 2 7 2 7 3 5" xfId="35153"/>
    <cellStyle name="Separador de milhares 3 2 7 2 7 4" xfId="5536"/>
    <cellStyle name="Separador de milhares 3 2 7 2 7 4 2" xfId="24168"/>
    <cellStyle name="Separador de milhares 3 2 7 2 7 4 2 2" xfId="50401"/>
    <cellStyle name="Separador de milhares 3 2 7 2 7 4 3" xfId="31781"/>
    <cellStyle name="Separador de milhares 3 2 7 2 7 5" xfId="18254"/>
    <cellStyle name="Separador de milhares 3 2 7 2 7 5 2" xfId="44493"/>
    <cellStyle name="Separador de milhares 3 2 7 2 7 6" xfId="11923"/>
    <cellStyle name="Separador de milhares 3 2 7 2 7 6 2" xfId="38165"/>
    <cellStyle name="Separador de milhares 3 2 7 2 7 7" xfId="30083"/>
    <cellStyle name="Separador de milhares 3 2 7 2 8" xfId="3294"/>
    <cellStyle name="Separador de milhares 3 2 7 2 8 2" xfId="7382"/>
    <cellStyle name="Separador de milhares 3 2 7 2 8 2 2" xfId="10526"/>
    <cellStyle name="Separador de milhares 3 2 7 2 8 2 2 2" xfId="28740"/>
    <cellStyle name="Separador de milhares 3 2 7 2 8 2 2 2 2" xfId="54970"/>
    <cellStyle name="Separador de milhares 3 2 7 2 8 2 2 3" xfId="22826"/>
    <cellStyle name="Separador de milhares 3 2 7 2 8 2 2 3 2" xfId="49062"/>
    <cellStyle name="Separador de milhares 3 2 7 2 8 2 2 4" xfId="16912"/>
    <cellStyle name="Separador de milhares 3 2 7 2 8 2 2 4 2" xfId="43154"/>
    <cellStyle name="Separador de milhares 3 2 7 2 8 2 2 5" xfId="36768"/>
    <cellStyle name="Separador de milhares 3 2 7 2 8 2 3" xfId="25783"/>
    <cellStyle name="Separador de milhares 3 2 7 2 8 2 3 2" xfId="52016"/>
    <cellStyle name="Separador de milhares 3 2 7 2 8 2 4" xfId="19869"/>
    <cellStyle name="Separador de milhares 3 2 7 2 8 2 4 2" xfId="46108"/>
    <cellStyle name="Separador de milhares 3 2 7 2 8 2 5" xfId="13771"/>
    <cellStyle name="Separador de milhares 3 2 7 2 8 2 5 2" xfId="40013"/>
    <cellStyle name="Separador de milhares 3 2 7 2 8 2 6" xfId="33627"/>
    <cellStyle name="Separador de milhares 3 2 7 2 8 3" xfId="9058"/>
    <cellStyle name="Separador de milhares 3 2 7 2 8 3 2" xfId="27272"/>
    <cellStyle name="Separador de milhares 3 2 7 2 8 3 2 2" xfId="53502"/>
    <cellStyle name="Separador de milhares 3 2 7 2 8 3 3" xfId="21358"/>
    <cellStyle name="Separador de milhares 3 2 7 2 8 3 3 2" xfId="47594"/>
    <cellStyle name="Separador de milhares 3 2 7 2 8 3 4" xfId="15444"/>
    <cellStyle name="Separador de milhares 3 2 7 2 8 3 4 2" xfId="41686"/>
    <cellStyle name="Separador de milhares 3 2 7 2 8 3 5" xfId="35300"/>
    <cellStyle name="Separador de milhares 3 2 7 2 8 4" xfId="5683"/>
    <cellStyle name="Separador de milhares 3 2 7 2 8 4 2" xfId="24315"/>
    <cellStyle name="Separador de milhares 3 2 7 2 8 4 2 2" xfId="50548"/>
    <cellStyle name="Separador de milhares 3 2 7 2 8 4 3" xfId="31928"/>
    <cellStyle name="Separador de milhares 3 2 7 2 8 5" xfId="18401"/>
    <cellStyle name="Separador de milhares 3 2 7 2 8 5 2" xfId="44640"/>
    <cellStyle name="Separador de milhares 3 2 7 2 8 6" xfId="12070"/>
    <cellStyle name="Separador de milhares 3 2 7 2 8 6 2" xfId="38312"/>
    <cellStyle name="Separador de milhares 3 2 7 2 8 7" xfId="30230"/>
    <cellStyle name="Separador de milhares 3 2 7 2 9" xfId="3821"/>
    <cellStyle name="Separador de milhares 3 2 7 2 9 2" xfId="7529"/>
    <cellStyle name="Separador de milhares 3 2 7 2 9 2 2" xfId="10673"/>
    <cellStyle name="Separador de milhares 3 2 7 2 9 2 2 2" xfId="28887"/>
    <cellStyle name="Separador de milhares 3 2 7 2 9 2 2 2 2" xfId="55117"/>
    <cellStyle name="Separador de milhares 3 2 7 2 9 2 2 3" xfId="22973"/>
    <cellStyle name="Separador de milhares 3 2 7 2 9 2 2 3 2" xfId="49209"/>
    <cellStyle name="Separador de milhares 3 2 7 2 9 2 2 4" xfId="17059"/>
    <cellStyle name="Separador de milhares 3 2 7 2 9 2 2 4 2" xfId="43301"/>
    <cellStyle name="Separador de milhares 3 2 7 2 9 2 2 5" xfId="36915"/>
    <cellStyle name="Separador de milhares 3 2 7 2 9 2 3" xfId="25930"/>
    <cellStyle name="Separador de milhares 3 2 7 2 9 2 3 2" xfId="52163"/>
    <cellStyle name="Separador de milhares 3 2 7 2 9 2 4" xfId="20016"/>
    <cellStyle name="Separador de milhares 3 2 7 2 9 2 4 2" xfId="46255"/>
    <cellStyle name="Separador de milhares 3 2 7 2 9 2 5" xfId="13918"/>
    <cellStyle name="Separador de milhares 3 2 7 2 9 2 5 2" xfId="40160"/>
    <cellStyle name="Separador de milhares 3 2 7 2 9 2 6" xfId="33774"/>
    <cellStyle name="Separador de milhares 3 2 7 2 9 3" xfId="9205"/>
    <cellStyle name="Separador de milhares 3 2 7 2 9 3 2" xfId="27419"/>
    <cellStyle name="Separador de milhares 3 2 7 2 9 3 2 2" xfId="53649"/>
    <cellStyle name="Separador de milhares 3 2 7 2 9 3 3" xfId="21505"/>
    <cellStyle name="Separador de milhares 3 2 7 2 9 3 3 2" xfId="47741"/>
    <cellStyle name="Separador de milhares 3 2 7 2 9 3 4" xfId="15591"/>
    <cellStyle name="Separador de milhares 3 2 7 2 9 3 4 2" xfId="41833"/>
    <cellStyle name="Separador de milhares 3 2 7 2 9 3 5" xfId="35447"/>
    <cellStyle name="Separador de milhares 3 2 7 2 9 4" xfId="5830"/>
    <cellStyle name="Separador de milhares 3 2 7 2 9 4 2" xfId="24462"/>
    <cellStyle name="Separador de milhares 3 2 7 2 9 4 2 2" xfId="50695"/>
    <cellStyle name="Separador de milhares 3 2 7 2 9 4 3" xfId="32075"/>
    <cellStyle name="Separador de milhares 3 2 7 2 9 5" xfId="18548"/>
    <cellStyle name="Separador de milhares 3 2 7 2 9 5 2" xfId="44787"/>
    <cellStyle name="Separador de milhares 3 2 7 2 9 6" xfId="12217"/>
    <cellStyle name="Separador de milhares 3 2 7 2 9 6 2" xfId="38459"/>
    <cellStyle name="Separador de milhares 3 2 7 2 9 7" xfId="30377"/>
    <cellStyle name="Separador de milhares 3 2 7 3" xfId="273"/>
    <cellStyle name="Separador de milhares 3 2 7 3 10" xfId="6520"/>
    <cellStyle name="Separador de milhares 3 2 7 3 10 2" xfId="9671"/>
    <cellStyle name="Separador de milhares 3 2 7 3 10 2 2" xfId="27885"/>
    <cellStyle name="Separador de milhares 3 2 7 3 10 2 2 2" xfId="54115"/>
    <cellStyle name="Separador de milhares 3 2 7 3 10 2 3" xfId="21971"/>
    <cellStyle name="Separador de milhares 3 2 7 3 10 2 3 2" xfId="48207"/>
    <cellStyle name="Separador de milhares 3 2 7 3 10 2 4" xfId="16057"/>
    <cellStyle name="Separador de milhares 3 2 7 3 10 2 4 2" xfId="42299"/>
    <cellStyle name="Separador de milhares 3 2 7 3 10 2 5" xfId="35913"/>
    <cellStyle name="Separador de milhares 3 2 7 3 10 3" xfId="24928"/>
    <cellStyle name="Separador de milhares 3 2 7 3 10 3 2" xfId="51161"/>
    <cellStyle name="Separador de milhares 3 2 7 3 10 4" xfId="19014"/>
    <cellStyle name="Separador de milhares 3 2 7 3 10 4 2" xfId="45253"/>
    <cellStyle name="Separador de milhares 3 2 7 3 10 5" xfId="12909"/>
    <cellStyle name="Separador de milhares 3 2 7 3 10 5 2" xfId="39151"/>
    <cellStyle name="Separador de milhares 3 2 7 3 10 6" xfId="32765"/>
    <cellStyle name="Separador de milhares 3 2 7 3 11" xfId="8200"/>
    <cellStyle name="Separador de milhares 3 2 7 3 11 2" xfId="26414"/>
    <cellStyle name="Separador de milhares 3 2 7 3 11 2 2" xfId="52647"/>
    <cellStyle name="Separador de milhares 3 2 7 3 11 3" xfId="20500"/>
    <cellStyle name="Separador de milhares 3 2 7 3 11 3 2" xfId="46739"/>
    <cellStyle name="Separador de milhares 3 2 7 3 11 4" xfId="14589"/>
    <cellStyle name="Separador de milhares 3 2 7 3 11 4 2" xfId="40831"/>
    <cellStyle name="Separador de milhares 3 2 7 3 11 5" xfId="34445"/>
    <cellStyle name="Separador de milhares 3 2 7 3 12" xfId="4819"/>
    <cellStyle name="Separador de milhares 3 2 7 3 12 2" xfId="23457"/>
    <cellStyle name="Separador de milhares 3 2 7 3 12 2 2" xfId="49693"/>
    <cellStyle name="Separador de milhares 3 2 7 3 12 3" xfId="31066"/>
    <cellStyle name="Separador de milhares 3 2 7 3 13" xfId="17543"/>
    <cellStyle name="Separador de milhares 3 2 7 3 13 2" xfId="43785"/>
    <cellStyle name="Separador de milhares 3 2 7 3 14" xfId="11208"/>
    <cellStyle name="Separador de milhares 3 2 7 3 14 2" xfId="37450"/>
    <cellStyle name="Separador de milhares 3 2 7 3 15" xfId="29368"/>
    <cellStyle name="Separador de milhares 3 2 7 3 2" xfId="536"/>
    <cellStyle name="Separador de milhares 3 2 7 3 2 2" xfId="6591"/>
    <cellStyle name="Separador de milhares 3 2 7 3 2 2 2" xfId="9738"/>
    <cellStyle name="Separador de milhares 3 2 7 3 2 2 2 2" xfId="27952"/>
    <cellStyle name="Separador de milhares 3 2 7 3 2 2 2 2 2" xfId="54182"/>
    <cellStyle name="Separador de milhares 3 2 7 3 2 2 2 3" xfId="22038"/>
    <cellStyle name="Separador de milhares 3 2 7 3 2 2 2 3 2" xfId="48274"/>
    <cellStyle name="Separador de milhares 3 2 7 3 2 2 2 4" xfId="16124"/>
    <cellStyle name="Separador de milhares 3 2 7 3 2 2 2 4 2" xfId="42366"/>
    <cellStyle name="Separador de milhares 3 2 7 3 2 2 2 5" xfId="35980"/>
    <cellStyle name="Separador de milhares 3 2 7 3 2 2 3" xfId="24995"/>
    <cellStyle name="Separador de milhares 3 2 7 3 2 2 3 2" xfId="51228"/>
    <cellStyle name="Separador de milhares 3 2 7 3 2 2 4" xfId="19081"/>
    <cellStyle name="Separador de milhares 3 2 7 3 2 2 4 2" xfId="45320"/>
    <cellStyle name="Separador de milhares 3 2 7 3 2 2 5" xfId="12980"/>
    <cellStyle name="Separador de milhares 3 2 7 3 2 2 5 2" xfId="39222"/>
    <cellStyle name="Separador de milhares 3 2 7 3 2 2 6" xfId="32836"/>
    <cellStyle name="Separador de milhares 3 2 7 3 2 3" xfId="8267"/>
    <cellStyle name="Separador de milhares 3 2 7 3 2 3 2" xfId="26481"/>
    <cellStyle name="Separador de milhares 3 2 7 3 2 3 2 2" xfId="52714"/>
    <cellStyle name="Separador de milhares 3 2 7 3 2 3 3" xfId="20567"/>
    <cellStyle name="Separador de milhares 3 2 7 3 2 3 3 2" xfId="46806"/>
    <cellStyle name="Separador de milhares 3 2 7 3 2 3 4" xfId="14656"/>
    <cellStyle name="Separador de milhares 3 2 7 3 2 3 4 2" xfId="40898"/>
    <cellStyle name="Separador de milhares 3 2 7 3 2 3 5" xfId="34512"/>
    <cellStyle name="Separador de milhares 3 2 7 3 2 4" xfId="4890"/>
    <cellStyle name="Separador de milhares 3 2 7 3 2 4 2" xfId="23524"/>
    <cellStyle name="Separador de milhares 3 2 7 3 2 4 2 2" xfId="49760"/>
    <cellStyle name="Separador de milhares 3 2 7 3 2 4 3" xfId="31137"/>
    <cellStyle name="Separador de milhares 3 2 7 3 2 5" xfId="17610"/>
    <cellStyle name="Separador de milhares 3 2 7 3 2 5 2" xfId="43852"/>
    <cellStyle name="Separador de milhares 3 2 7 3 2 6" xfId="11279"/>
    <cellStyle name="Separador de milhares 3 2 7 3 2 6 2" xfId="37521"/>
    <cellStyle name="Separador de milhares 3 2 7 3 2 7" xfId="29439"/>
    <cellStyle name="Separador de milhares 3 2 7 3 3" xfId="833"/>
    <cellStyle name="Separador de milhares 3 2 7 3 3 2" xfId="6693"/>
    <cellStyle name="Separador de milhares 3 2 7 3 3 2 2" xfId="9840"/>
    <cellStyle name="Separador de milhares 3 2 7 3 3 2 2 2" xfId="28054"/>
    <cellStyle name="Separador de milhares 3 2 7 3 3 2 2 2 2" xfId="54284"/>
    <cellStyle name="Separador de milhares 3 2 7 3 3 2 2 3" xfId="22140"/>
    <cellStyle name="Separador de milhares 3 2 7 3 3 2 2 3 2" xfId="48376"/>
    <cellStyle name="Separador de milhares 3 2 7 3 3 2 2 4" xfId="16226"/>
    <cellStyle name="Separador de milhares 3 2 7 3 3 2 2 4 2" xfId="42468"/>
    <cellStyle name="Separador de milhares 3 2 7 3 3 2 2 5" xfId="36082"/>
    <cellStyle name="Separador de milhares 3 2 7 3 3 2 3" xfId="25097"/>
    <cellStyle name="Separador de milhares 3 2 7 3 3 2 3 2" xfId="51330"/>
    <cellStyle name="Separador de milhares 3 2 7 3 3 2 4" xfId="19183"/>
    <cellStyle name="Separador de milhares 3 2 7 3 3 2 4 2" xfId="45422"/>
    <cellStyle name="Separador de milhares 3 2 7 3 3 2 5" xfId="13082"/>
    <cellStyle name="Separador de milhares 3 2 7 3 3 2 5 2" xfId="39324"/>
    <cellStyle name="Separador de milhares 3 2 7 3 3 2 6" xfId="32938"/>
    <cellStyle name="Separador de milhares 3 2 7 3 3 3" xfId="8372"/>
    <cellStyle name="Separador de milhares 3 2 7 3 3 3 2" xfId="26586"/>
    <cellStyle name="Separador de milhares 3 2 7 3 3 3 2 2" xfId="52816"/>
    <cellStyle name="Separador de milhares 3 2 7 3 3 3 3" xfId="20672"/>
    <cellStyle name="Separador de milhares 3 2 7 3 3 3 3 2" xfId="46908"/>
    <cellStyle name="Separador de milhares 3 2 7 3 3 3 4" xfId="14758"/>
    <cellStyle name="Separador de milhares 3 2 7 3 3 3 4 2" xfId="41000"/>
    <cellStyle name="Separador de milhares 3 2 7 3 3 3 5" xfId="34614"/>
    <cellStyle name="Separador de milhares 3 2 7 3 3 4" xfId="4994"/>
    <cellStyle name="Separador de milhares 3 2 7 3 3 4 2" xfId="23629"/>
    <cellStyle name="Separador de milhares 3 2 7 3 3 4 2 2" xfId="49862"/>
    <cellStyle name="Separador de milhares 3 2 7 3 3 4 3" xfId="31239"/>
    <cellStyle name="Separador de milhares 3 2 7 3 3 5" xfId="17715"/>
    <cellStyle name="Separador de milhares 3 2 7 3 3 5 2" xfId="43954"/>
    <cellStyle name="Separador de milhares 3 2 7 3 3 6" xfId="11381"/>
    <cellStyle name="Separador de milhares 3 2 7 3 3 6 2" xfId="37623"/>
    <cellStyle name="Separador de milhares 3 2 7 3 3 7" xfId="29541"/>
    <cellStyle name="Separador de milhares 3 2 7 3 4" xfId="1184"/>
    <cellStyle name="Separador de milhares 3 2 7 3 4 2" xfId="6791"/>
    <cellStyle name="Separador de milhares 3 2 7 3 4 2 2" xfId="9938"/>
    <cellStyle name="Separador de milhares 3 2 7 3 4 2 2 2" xfId="28152"/>
    <cellStyle name="Separador de milhares 3 2 7 3 4 2 2 2 2" xfId="54382"/>
    <cellStyle name="Separador de milhares 3 2 7 3 4 2 2 3" xfId="22238"/>
    <cellStyle name="Separador de milhares 3 2 7 3 4 2 2 3 2" xfId="48474"/>
    <cellStyle name="Separador de milhares 3 2 7 3 4 2 2 4" xfId="16324"/>
    <cellStyle name="Separador de milhares 3 2 7 3 4 2 2 4 2" xfId="42566"/>
    <cellStyle name="Separador de milhares 3 2 7 3 4 2 2 5" xfId="36180"/>
    <cellStyle name="Separador de milhares 3 2 7 3 4 2 3" xfId="25195"/>
    <cellStyle name="Separador de milhares 3 2 7 3 4 2 3 2" xfId="51428"/>
    <cellStyle name="Separador de milhares 3 2 7 3 4 2 4" xfId="19281"/>
    <cellStyle name="Separador de milhares 3 2 7 3 4 2 4 2" xfId="45520"/>
    <cellStyle name="Separador de milhares 3 2 7 3 4 2 5" xfId="13180"/>
    <cellStyle name="Separador de milhares 3 2 7 3 4 2 5 2" xfId="39422"/>
    <cellStyle name="Separador de milhares 3 2 7 3 4 2 6" xfId="33036"/>
    <cellStyle name="Separador de milhares 3 2 7 3 4 3" xfId="8470"/>
    <cellStyle name="Separador de milhares 3 2 7 3 4 3 2" xfId="26684"/>
    <cellStyle name="Separador de milhares 3 2 7 3 4 3 2 2" xfId="52914"/>
    <cellStyle name="Separador de milhares 3 2 7 3 4 3 3" xfId="20770"/>
    <cellStyle name="Separador de milhares 3 2 7 3 4 3 3 2" xfId="47006"/>
    <cellStyle name="Separador de milhares 3 2 7 3 4 3 4" xfId="14856"/>
    <cellStyle name="Separador de milhares 3 2 7 3 4 3 4 2" xfId="41098"/>
    <cellStyle name="Separador de milhares 3 2 7 3 4 3 5" xfId="34712"/>
    <cellStyle name="Separador de milhares 3 2 7 3 4 4" xfId="5092"/>
    <cellStyle name="Separador de milhares 3 2 7 3 4 4 2" xfId="23727"/>
    <cellStyle name="Separador de milhares 3 2 7 3 4 4 2 2" xfId="49960"/>
    <cellStyle name="Separador de milhares 3 2 7 3 4 4 3" xfId="31337"/>
    <cellStyle name="Separador de milhares 3 2 7 3 4 5" xfId="17813"/>
    <cellStyle name="Separador de milhares 3 2 7 3 4 5 2" xfId="44052"/>
    <cellStyle name="Separador de milhares 3 2 7 3 4 6" xfId="11479"/>
    <cellStyle name="Separador de milhares 3 2 7 3 4 6 2" xfId="37721"/>
    <cellStyle name="Separador de milhares 3 2 7 3 4 7" xfId="29639"/>
    <cellStyle name="Separador de milhares 3 2 7 3 5" xfId="1619"/>
    <cellStyle name="Separador de milhares 3 2 7 3 5 2" xfId="6910"/>
    <cellStyle name="Separador de milhares 3 2 7 3 5 2 2" xfId="10057"/>
    <cellStyle name="Separador de milhares 3 2 7 3 5 2 2 2" xfId="28271"/>
    <cellStyle name="Separador de milhares 3 2 7 3 5 2 2 2 2" xfId="54501"/>
    <cellStyle name="Separador de milhares 3 2 7 3 5 2 2 3" xfId="22357"/>
    <cellStyle name="Separador de milhares 3 2 7 3 5 2 2 3 2" xfId="48593"/>
    <cellStyle name="Separador de milhares 3 2 7 3 5 2 2 4" xfId="16443"/>
    <cellStyle name="Separador de milhares 3 2 7 3 5 2 2 4 2" xfId="42685"/>
    <cellStyle name="Separador de milhares 3 2 7 3 5 2 2 5" xfId="36299"/>
    <cellStyle name="Separador de milhares 3 2 7 3 5 2 3" xfId="25314"/>
    <cellStyle name="Separador de milhares 3 2 7 3 5 2 3 2" xfId="51547"/>
    <cellStyle name="Separador de milhares 3 2 7 3 5 2 4" xfId="19400"/>
    <cellStyle name="Separador de milhares 3 2 7 3 5 2 4 2" xfId="45639"/>
    <cellStyle name="Separador de milhares 3 2 7 3 5 2 5" xfId="13299"/>
    <cellStyle name="Separador de milhares 3 2 7 3 5 2 5 2" xfId="39541"/>
    <cellStyle name="Separador de milhares 3 2 7 3 5 2 6" xfId="33155"/>
    <cellStyle name="Separador de milhares 3 2 7 3 5 3" xfId="8589"/>
    <cellStyle name="Separador de milhares 3 2 7 3 5 3 2" xfId="26803"/>
    <cellStyle name="Separador de milhares 3 2 7 3 5 3 2 2" xfId="53033"/>
    <cellStyle name="Separador de milhares 3 2 7 3 5 3 3" xfId="20889"/>
    <cellStyle name="Separador de milhares 3 2 7 3 5 3 3 2" xfId="47125"/>
    <cellStyle name="Separador de milhares 3 2 7 3 5 3 4" xfId="14975"/>
    <cellStyle name="Separador de milhares 3 2 7 3 5 3 4 2" xfId="41217"/>
    <cellStyle name="Separador de milhares 3 2 7 3 5 3 5" xfId="34831"/>
    <cellStyle name="Separador de milhares 3 2 7 3 5 4" xfId="5211"/>
    <cellStyle name="Separador de milhares 3 2 7 3 5 4 2" xfId="23846"/>
    <cellStyle name="Separador de milhares 3 2 7 3 5 4 2 2" xfId="50079"/>
    <cellStyle name="Separador de milhares 3 2 7 3 5 4 3" xfId="31456"/>
    <cellStyle name="Separador de milhares 3 2 7 3 5 5" xfId="17932"/>
    <cellStyle name="Separador de milhares 3 2 7 3 5 5 2" xfId="44171"/>
    <cellStyle name="Separador de milhares 3 2 7 3 5 6" xfId="11598"/>
    <cellStyle name="Separador de milhares 3 2 7 3 5 6 2" xfId="37840"/>
    <cellStyle name="Separador de milhares 3 2 7 3 5 7" xfId="29758"/>
    <cellStyle name="Separador de milhares 3 2 7 3 6" xfId="2149"/>
    <cellStyle name="Separador de milhares 3 2 7 3 6 2" xfId="7060"/>
    <cellStyle name="Separador de milhares 3 2 7 3 6 2 2" xfId="10204"/>
    <cellStyle name="Separador de milhares 3 2 7 3 6 2 2 2" xfId="28418"/>
    <cellStyle name="Separador de milhares 3 2 7 3 6 2 2 2 2" xfId="54648"/>
    <cellStyle name="Separador de milhares 3 2 7 3 6 2 2 3" xfId="22504"/>
    <cellStyle name="Separador de milhares 3 2 7 3 6 2 2 3 2" xfId="48740"/>
    <cellStyle name="Separador de milhares 3 2 7 3 6 2 2 4" xfId="16590"/>
    <cellStyle name="Separador de milhares 3 2 7 3 6 2 2 4 2" xfId="42832"/>
    <cellStyle name="Separador de milhares 3 2 7 3 6 2 2 5" xfId="36446"/>
    <cellStyle name="Separador de milhares 3 2 7 3 6 2 3" xfId="25461"/>
    <cellStyle name="Separador de milhares 3 2 7 3 6 2 3 2" xfId="51694"/>
    <cellStyle name="Separador de milhares 3 2 7 3 6 2 4" xfId="19547"/>
    <cellStyle name="Separador de milhares 3 2 7 3 6 2 4 2" xfId="45786"/>
    <cellStyle name="Separador de milhares 3 2 7 3 6 2 5" xfId="13449"/>
    <cellStyle name="Separador de milhares 3 2 7 3 6 2 5 2" xfId="39691"/>
    <cellStyle name="Separador de milhares 3 2 7 3 6 2 6" xfId="33305"/>
    <cellStyle name="Separador de milhares 3 2 7 3 6 3" xfId="8736"/>
    <cellStyle name="Separador de milhares 3 2 7 3 6 3 2" xfId="26950"/>
    <cellStyle name="Separador de milhares 3 2 7 3 6 3 2 2" xfId="53180"/>
    <cellStyle name="Separador de milhares 3 2 7 3 6 3 3" xfId="21036"/>
    <cellStyle name="Separador de milhares 3 2 7 3 6 3 3 2" xfId="47272"/>
    <cellStyle name="Separador de milhares 3 2 7 3 6 3 4" xfId="15122"/>
    <cellStyle name="Separador de milhares 3 2 7 3 6 3 4 2" xfId="41364"/>
    <cellStyle name="Separador de milhares 3 2 7 3 6 3 5" xfId="34978"/>
    <cellStyle name="Separador de milhares 3 2 7 3 6 4" xfId="5361"/>
    <cellStyle name="Separador de milhares 3 2 7 3 6 4 2" xfId="23993"/>
    <cellStyle name="Separador de milhares 3 2 7 3 6 4 2 2" xfId="50226"/>
    <cellStyle name="Separador de milhares 3 2 7 3 6 4 3" xfId="31606"/>
    <cellStyle name="Separador de milhares 3 2 7 3 6 5" xfId="18079"/>
    <cellStyle name="Separador de milhares 3 2 7 3 6 5 2" xfId="44318"/>
    <cellStyle name="Separador de milhares 3 2 7 3 6 6" xfId="11748"/>
    <cellStyle name="Separador de milhares 3 2 7 3 6 6 2" xfId="37990"/>
    <cellStyle name="Separador de milhares 3 2 7 3 6 7" xfId="29908"/>
    <cellStyle name="Separador de milhares 3 2 7 3 7" xfId="2676"/>
    <cellStyle name="Separador de milhares 3 2 7 3 7 2" xfId="7207"/>
    <cellStyle name="Separador de milhares 3 2 7 3 7 2 2" xfId="10351"/>
    <cellStyle name="Separador de milhares 3 2 7 3 7 2 2 2" xfId="28565"/>
    <cellStyle name="Separador de milhares 3 2 7 3 7 2 2 2 2" xfId="54795"/>
    <cellStyle name="Separador de milhares 3 2 7 3 7 2 2 3" xfId="22651"/>
    <cellStyle name="Separador de milhares 3 2 7 3 7 2 2 3 2" xfId="48887"/>
    <cellStyle name="Separador de milhares 3 2 7 3 7 2 2 4" xfId="16737"/>
    <cellStyle name="Separador de milhares 3 2 7 3 7 2 2 4 2" xfId="42979"/>
    <cellStyle name="Separador de milhares 3 2 7 3 7 2 2 5" xfId="36593"/>
    <cellStyle name="Separador de milhares 3 2 7 3 7 2 3" xfId="25608"/>
    <cellStyle name="Separador de milhares 3 2 7 3 7 2 3 2" xfId="51841"/>
    <cellStyle name="Separador de milhares 3 2 7 3 7 2 4" xfId="19694"/>
    <cellStyle name="Separador de milhares 3 2 7 3 7 2 4 2" xfId="45933"/>
    <cellStyle name="Separador de milhares 3 2 7 3 7 2 5" xfId="13596"/>
    <cellStyle name="Separador de milhares 3 2 7 3 7 2 5 2" xfId="39838"/>
    <cellStyle name="Separador de milhares 3 2 7 3 7 2 6" xfId="33452"/>
    <cellStyle name="Separador de milhares 3 2 7 3 7 3" xfId="8883"/>
    <cellStyle name="Separador de milhares 3 2 7 3 7 3 2" xfId="27097"/>
    <cellStyle name="Separador de milhares 3 2 7 3 7 3 2 2" xfId="53327"/>
    <cellStyle name="Separador de milhares 3 2 7 3 7 3 3" xfId="21183"/>
    <cellStyle name="Separador de milhares 3 2 7 3 7 3 3 2" xfId="47419"/>
    <cellStyle name="Separador de milhares 3 2 7 3 7 3 4" xfId="15269"/>
    <cellStyle name="Separador de milhares 3 2 7 3 7 3 4 2" xfId="41511"/>
    <cellStyle name="Separador de milhares 3 2 7 3 7 3 5" xfId="35125"/>
    <cellStyle name="Separador de milhares 3 2 7 3 7 4" xfId="5508"/>
    <cellStyle name="Separador de milhares 3 2 7 3 7 4 2" xfId="24140"/>
    <cellStyle name="Separador de milhares 3 2 7 3 7 4 2 2" xfId="50373"/>
    <cellStyle name="Separador de milhares 3 2 7 3 7 4 3" xfId="31753"/>
    <cellStyle name="Separador de milhares 3 2 7 3 7 5" xfId="18226"/>
    <cellStyle name="Separador de milhares 3 2 7 3 7 5 2" xfId="44465"/>
    <cellStyle name="Separador de milhares 3 2 7 3 7 6" xfId="11895"/>
    <cellStyle name="Separador de milhares 3 2 7 3 7 6 2" xfId="38137"/>
    <cellStyle name="Separador de milhares 3 2 7 3 7 7" xfId="30055"/>
    <cellStyle name="Separador de milhares 3 2 7 3 8" xfId="3203"/>
    <cellStyle name="Separador de milhares 3 2 7 3 8 2" xfId="7354"/>
    <cellStyle name="Separador de milhares 3 2 7 3 8 2 2" xfId="10498"/>
    <cellStyle name="Separador de milhares 3 2 7 3 8 2 2 2" xfId="28712"/>
    <cellStyle name="Separador de milhares 3 2 7 3 8 2 2 2 2" xfId="54942"/>
    <cellStyle name="Separador de milhares 3 2 7 3 8 2 2 3" xfId="22798"/>
    <cellStyle name="Separador de milhares 3 2 7 3 8 2 2 3 2" xfId="49034"/>
    <cellStyle name="Separador de milhares 3 2 7 3 8 2 2 4" xfId="16884"/>
    <cellStyle name="Separador de milhares 3 2 7 3 8 2 2 4 2" xfId="43126"/>
    <cellStyle name="Separador de milhares 3 2 7 3 8 2 2 5" xfId="36740"/>
    <cellStyle name="Separador de milhares 3 2 7 3 8 2 3" xfId="25755"/>
    <cellStyle name="Separador de milhares 3 2 7 3 8 2 3 2" xfId="51988"/>
    <cellStyle name="Separador de milhares 3 2 7 3 8 2 4" xfId="19841"/>
    <cellStyle name="Separador de milhares 3 2 7 3 8 2 4 2" xfId="46080"/>
    <cellStyle name="Separador de milhares 3 2 7 3 8 2 5" xfId="13743"/>
    <cellStyle name="Separador de milhares 3 2 7 3 8 2 5 2" xfId="39985"/>
    <cellStyle name="Separador de milhares 3 2 7 3 8 2 6" xfId="33599"/>
    <cellStyle name="Separador de milhares 3 2 7 3 8 3" xfId="9030"/>
    <cellStyle name="Separador de milhares 3 2 7 3 8 3 2" xfId="27244"/>
    <cellStyle name="Separador de milhares 3 2 7 3 8 3 2 2" xfId="53474"/>
    <cellStyle name="Separador de milhares 3 2 7 3 8 3 3" xfId="21330"/>
    <cellStyle name="Separador de milhares 3 2 7 3 8 3 3 2" xfId="47566"/>
    <cellStyle name="Separador de milhares 3 2 7 3 8 3 4" xfId="15416"/>
    <cellStyle name="Separador de milhares 3 2 7 3 8 3 4 2" xfId="41658"/>
    <cellStyle name="Separador de milhares 3 2 7 3 8 3 5" xfId="35272"/>
    <cellStyle name="Separador de milhares 3 2 7 3 8 4" xfId="5655"/>
    <cellStyle name="Separador de milhares 3 2 7 3 8 4 2" xfId="24287"/>
    <cellStyle name="Separador de milhares 3 2 7 3 8 4 2 2" xfId="50520"/>
    <cellStyle name="Separador de milhares 3 2 7 3 8 4 3" xfId="31900"/>
    <cellStyle name="Separador de milhares 3 2 7 3 8 5" xfId="18373"/>
    <cellStyle name="Separador de milhares 3 2 7 3 8 5 2" xfId="44612"/>
    <cellStyle name="Separador de milhares 3 2 7 3 8 6" xfId="12042"/>
    <cellStyle name="Separador de milhares 3 2 7 3 8 6 2" xfId="38284"/>
    <cellStyle name="Separador de milhares 3 2 7 3 8 7" xfId="30202"/>
    <cellStyle name="Separador de milhares 3 2 7 3 9" xfId="3730"/>
    <cellStyle name="Separador de milhares 3 2 7 3 9 2" xfId="7501"/>
    <cellStyle name="Separador de milhares 3 2 7 3 9 2 2" xfId="10645"/>
    <cellStyle name="Separador de milhares 3 2 7 3 9 2 2 2" xfId="28859"/>
    <cellStyle name="Separador de milhares 3 2 7 3 9 2 2 2 2" xfId="55089"/>
    <cellStyle name="Separador de milhares 3 2 7 3 9 2 2 3" xfId="22945"/>
    <cellStyle name="Separador de milhares 3 2 7 3 9 2 2 3 2" xfId="49181"/>
    <cellStyle name="Separador de milhares 3 2 7 3 9 2 2 4" xfId="17031"/>
    <cellStyle name="Separador de milhares 3 2 7 3 9 2 2 4 2" xfId="43273"/>
    <cellStyle name="Separador de milhares 3 2 7 3 9 2 2 5" xfId="36887"/>
    <cellStyle name="Separador de milhares 3 2 7 3 9 2 3" xfId="25902"/>
    <cellStyle name="Separador de milhares 3 2 7 3 9 2 3 2" xfId="52135"/>
    <cellStyle name="Separador de milhares 3 2 7 3 9 2 4" xfId="19988"/>
    <cellStyle name="Separador de milhares 3 2 7 3 9 2 4 2" xfId="46227"/>
    <cellStyle name="Separador de milhares 3 2 7 3 9 2 5" xfId="13890"/>
    <cellStyle name="Separador de milhares 3 2 7 3 9 2 5 2" xfId="40132"/>
    <cellStyle name="Separador de milhares 3 2 7 3 9 2 6" xfId="33746"/>
    <cellStyle name="Separador de milhares 3 2 7 3 9 3" xfId="9177"/>
    <cellStyle name="Separador de milhares 3 2 7 3 9 3 2" xfId="27391"/>
    <cellStyle name="Separador de milhares 3 2 7 3 9 3 2 2" xfId="53621"/>
    <cellStyle name="Separador de milhares 3 2 7 3 9 3 3" xfId="21477"/>
    <cellStyle name="Separador de milhares 3 2 7 3 9 3 3 2" xfId="47713"/>
    <cellStyle name="Separador de milhares 3 2 7 3 9 3 4" xfId="15563"/>
    <cellStyle name="Separador de milhares 3 2 7 3 9 3 4 2" xfId="41805"/>
    <cellStyle name="Separador de milhares 3 2 7 3 9 3 5" xfId="35419"/>
    <cellStyle name="Separador de milhares 3 2 7 3 9 4" xfId="5802"/>
    <cellStyle name="Separador de milhares 3 2 7 3 9 4 2" xfId="24434"/>
    <cellStyle name="Separador de milhares 3 2 7 3 9 4 2 2" xfId="50667"/>
    <cellStyle name="Separador de milhares 3 2 7 3 9 4 3" xfId="32047"/>
    <cellStyle name="Separador de milhares 3 2 7 3 9 5" xfId="18520"/>
    <cellStyle name="Separador de milhares 3 2 7 3 9 5 2" xfId="44759"/>
    <cellStyle name="Separador de milhares 3 2 7 3 9 6" xfId="12189"/>
    <cellStyle name="Separador de milhares 3 2 7 3 9 6 2" xfId="38431"/>
    <cellStyle name="Separador de milhares 3 2 7 3 9 7" xfId="30349"/>
    <cellStyle name="Separador de milhares 3 2 7 4" xfId="366"/>
    <cellStyle name="Separador de milhares 3 2 7 4 10" xfId="6548"/>
    <cellStyle name="Separador de milhares 3 2 7 4 10 2" xfId="9696"/>
    <cellStyle name="Separador de milhares 3 2 7 4 10 2 2" xfId="27910"/>
    <cellStyle name="Separador de milhares 3 2 7 4 10 2 2 2" xfId="54140"/>
    <cellStyle name="Separador de milhares 3 2 7 4 10 2 3" xfId="21996"/>
    <cellStyle name="Separador de milhares 3 2 7 4 10 2 3 2" xfId="48232"/>
    <cellStyle name="Separador de milhares 3 2 7 4 10 2 4" xfId="16082"/>
    <cellStyle name="Separador de milhares 3 2 7 4 10 2 4 2" xfId="42324"/>
    <cellStyle name="Separador de milhares 3 2 7 4 10 2 5" xfId="35938"/>
    <cellStyle name="Separador de milhares 3 2 7 4 10 3" xfId="24953"/>
    <cellStyle name="Separador de milhares 3 2 7 4 10 3 2" xfId="51186"/>
    <cellStyle name="Separador de milhares 3 2 7 4 10 4" xfId="19039"/>
    <cellStyle name="Separador de milhares 3 2 7 4 10 4 2" xfId="45278"/>
    <cellStyle name="Separador de milhares 3 2 7 4 10 5" xfId="12937"/>
    <cellStyle name="Separador de milhares 3 2 7 4 10 5 2" xfId="39179"/>
    <cellStyle name="Separador de milhares 3 2 7 4 10 6" xfId="32793"/>
    <cellStyle name="Separador de milhares 3 2 7 4 11" xfId="8225"/>
    <cellStyle name="Separador de milhares 3 2 7 4 11 2" xfId="26439"/>
    <cellStyle name="Separador de milhares 3 2 7 4 11 2 2" xfId="52672"/>
    <cellStyle name="Separador de milhares 3 2 7 4 11 3" xfId="20525"/>
    <cellStyle name="Separador de milhares 3 2 7 4 11 3 2" xfId="46764"/>
    <cellStyle name="Separador de milhares 3 2 7 4 11 4" xfId="14614"/>
    <cellStyle name="Separador de milhares 3 2 7 4 11 4 2" xfId="40856"/>
    <cellStyle name="Separador de milhares 3 2 7 4 11 5" xfId="34470"/>
    <cellStyle name="Separador de milhares 3 2 7 4 12" xfId="4847"/>
    <cellStyle name="Separador de milhares 3 2 7 4 12 2" xfId="23482"/>
    <cellStyle name="Separador de milhares 3 2 7 4 12 2 2" xfId="49718"/>
    <cellStyle name="Separador de milhares 3 2 7 4 12 3" xfId="31094"/>
    <cellStyle name="Separador de milhares 3 2 7 4 13" xfId="17568"/>
    <cellStyle name="Separador de milhares 3 2 7 4 13 2" xfId="43810"/>
    <cellStyle name="Separador de milhares 3 2 7 4 14" xfId="11236"/>
    <cellStyle name="Separador de milhares 3 2 7 4 14 2" xfId="37478"/>
    <cellStyle name="Separador de milhares 3 2 7 4 15" xfId="29396"/>
    <cellStyle name="Separador de milhares 3 2 7 4 2" xfId="1011"/>
    <cellStyle name="Separador de milhares 3 2 7 4 2 2" xfId="6745"/>
    <cellStyle name="Separador de milhares 3 2 7 4 2 2 2" xfId="9892"/>
    <cellStyle name="Separador de milhares 3 2 7 4 2 2 2 2" xfId="28106"/>
    <cellStyle name="Separador de milhares 3 2 7 4 2 2 2 2 2" xfId="54336"/>
    <cellStyle name="Separador de milhares 3 2 7 4 2 2 2 3" xfId="22192"/>
    <cellStyle name="Separador de milhares 3 2 7 4 2 2 2 3 2" xfId="48428"/>
    <cellStyle name="Separador de milhares 3 2 7 4 2 2 2 4" xfId="16278"/>
    <cellStyle name="Separador de milhares 3 2 7 4 2 2 2 4 2" xfId="42520"/>
    <cellStyle name="Separador de milhares 3 2 7 4 2 2 2 5" xfId="36134"/>
    <cellStyle name="Separador de milhares 3 2 7 4 2 2 3" xfId="25149"/>
    <cellStyle name="Separador de milhares 3 2 7 4 2 2 3 2" xfId="51382"/>
    <cellStyle name="Separador de milhares 3 2 7 4 2 2 4" xfId="19235"/>
    <cellStyle name="Separador de milhares 3 2 7 4 2 2 4 2" xfId="45474"/>
    <cellStyle name="Separador de milhares 3 2 7 4 2 2 5" xfId="13134"/>
    <cellStyle name="Separador de milhares 3 2 7 4 2 2 5 2" xfId="39376"/>
    <cellStyle name="Separador de milhares 3 2 7 4 2 2 6" xfId="32990"/>
    <cellStyle name="Separador de milhares 3 2 7 4 2 3" xfId="8424"/>
    <cellStyle name="Separador de milhares 3 2 7 4 2 3 2" xfId="26638"/>
    <cellStyle name="Separador de milhares 3 2 7 4 2 3 2 2" xfId="52868"/>
    <cellStyle name="Separador de milhares 3 2 7 4 2 3 3" xfId="20724"/>
    <cellStyle name="Separador de milhares 3 2 7 4 2 3 3 2" xfId="46960"/>
    <cellStyle name="Separador de milhares 3 2 7 4 2 3 4" xfId="14810"/>
    <cellStyle name="Separador de milhares 3 2 7 4 2 3 4 2" xfId="41052"/>
    <cellStyle name="Separador de milhares 3 2 7 4 2 3 5" xfId="34666"/>
    <cellStyle name="Separador de milhares 3 2 7 4 2 4" xfId="5046"/>
    <cellStyle name="Separador de milhares 3 2 7 4 2 4 2" xfId="23681"/>
    <cellStyle name="Separador de milhares 3 2 7 4 2 4 2 2" xfId="49914"/>
    <cellStyle name="Separador de milhares 3 2 7 4 2 4 3" xfId="31291"/>
    <cellStyle name="Separador de milhares 3 2 7 4 2 5" xfId="17767"/>
    <cellStyle name="Separador de milhares 3 2 7 4 2 5 2" xfId="44006"/>
    <cellStyle name="Separador de milhares 3 2 7 4 2 6" xfId="11433"/>
    <cellStyle name="Separador de milhares 3 2 7 4 2 6 2" xfId="37675"/>
    <cellStyle name="Separador de milhares 3 2 7 4 2 7" xfId="29593"/>
    <cellStyle name="Separador de milhares 3 2 7 4 3" xfId="1362"/>
    <cellStyle name="Separador de milhares 3 2 7 4 3 2" xfId="6843"/>
    <cellStyle name="Separador de milhares 3 2 7 4 3 2 2" xfId="9990"/>
    <cellStyle name="Separador de milhares 3 2 7 4 3 2 2 2" xfId="28204"/>
    <cellStyle name="Separador de milhares 3 2 7 4 3 2 2 2 2" xfId="54434"/>
    <cellStyle name="Separador de milhares 3 2 7 4 3 2 2 3" xfId="22290"/>
    <cellStyle name="Separador de milhares 3 2 7 4 3 2 2 3 2" xfId="48526"/>
    <cellStyle name="Separador de milhares 3 2 7 4 3 2 2 4" xfId="16376"/>
    <cellStyle name="Separador de milhares 3 2 7 4 3 2 2 4 2" xfId="42618"/>
    <cellStyle name="Separador de milhares 3 2 7 4 3 2 2 5" xfId="36232"/>
    <cellStyle name="Separador de milhares 3 2 7 4 3 2 3" xfId="25247"/>
    <cellStyle name="Separador de milhares 3 2 7 4 3 2 3 2" xfId="51480"/>
    <cellStyle name="Separador de milhares 3 2 7 4 3 2 4" xfId="19333"/>
    <cellStyle name="Separador de milhares 3 2 7 4 3 2 4 2" xfId="45572"/>
    <cellStyle name="Separador de milhares 3 2 7 4 3 2 5" xfId="13232"/>
    <cellStyle name="Separador de milhares 3 2 7 4 3 2 5 2" xfId="39474"/>
    <cellStyle name="Separador de milhares 3 2 7 4 3 2 6" xfId="33088"/>
    <cellStyle name="Separador de milhares 3 2 7 4 3 3" xfId="8522"/>
    <cellStyle name="Separador de milhares 3 2 7 4 3 3 2" xfId="26736"/>
    <cellStyle name="Separador de milhares 3 2 7 4 3 3 2 2" xfId="52966"/>
    <cellStyle name="Separador de milhares 3 2 7 4 3 3 3" xfId="20822"/>
    <cellStyle name="Separador de milhares 3 2 7 4 3 3 3 2" xfId="47058"/>
    <cellStyle name="Separador de milhares 3 2 7 4 3 3 4" xfId="14908"/>
    <cellStyle name="Separador de milhares 3 2 7 4 3 3 4 2" xfId="41150"/>
    <cellStyle name="Separador de milhares 3 2 7 4 3 3 5" xfId="34764"/>
    <cellStyle name="Separador de milhares 3 2 7 4 3 4" xfId="5144"/>
    <cellStyle name="Separador de milhares 3 2 7 4 3 4 2" xfId="23779"/>
    <cellStyle name="Separador de milhares 3 2 7 4 3 4 2 2" xfId="50012"/>
    <cellStyle name="Separador de milhares 3 2 7 4 3 4 3" xfId="31389"/>
    <cellStyle name="Separador de milhares 3 2 7 4 3 5" xfId="17865"/>
    <cellStyle name="Separador de milhares 3 2 7 4 3 5 2" xfId="44104"/>
    <cellStyle name="Separador de milhares 3 2 7 4 3 6" xfId="11531"/>
    <cellStyle name="Separador de milhares 3 2 7 4 3 6 2" xfId="37773"/>
    <cellStyle name="Separador de milhares 3 2 7 4 3 7" xfId="29691"/>
    <cellStyle name="Separador de milhares 3 2 7 4 4" xfId="1797"/>
    <cellStyle name="Separador de milhares 3 2 7 4 4 2" xfId="6962"/>
    <cellStyle name="Separador de milhares 3 2 7 4 4 2 2" xfId="10109"/>
    <cellStyle name="Separador de milhares 3 2 7 4 4 2 2 2" xfId="28323"/>
    <cellStyle name="Separador de milhares 3 2 7 4 4 2 2 2 2" xfId="54553"/>
    <cellStyle name="Separador de milhares 3 2 7 4 4 2 2 3" xfId="22409"/>
    <cellStyle name="Separador de milhares 3 2 7 4 4 2 2 3 2" xfId="48645"/>
    <cellStyle name="Separador de milhares 3 2 7 4 4 2 2 4" xfId="16495"/>
    <cellStyle name="Separador de milhares 3 2 7 4 4 2 2 4 2" xfId="42737"/>
    <cellStyle name="Separador de milhares 3 2 7 4 4 2 2 5" xfId="36351"/>
    <cellStyle name="Separador de milhares 3 2 7 4 4 2 3" xfId="25366"/>
    <cellStyle name="Separador de milhares 3 2 7 4 4 2 3 2" xfId="51599"/>
    <cellStyle name="Separador de milhares 3 2 7 4 4 2 4" xfId="19452"/>
    <cellStyle name="Separador de milhares 3 2 7 4 4 2 4 2" xfId="45691"/>
    <cellStyle name="Separador de milhares 3 2 7 4 4 2 5" xfId="13351"/>
    <cellStyle name="Separador de milhares 3 2 7 4 4 2 5 2" xfId="39593"/>
    <cellStyle name="Separador de milhares 3 2 7 4 4 2 6" xfId="33207"/>
    <cellStyle name="Separador de milhares 3 2 7 4 4 3" xfId="8641"/>
    <cellStyle name="Separador de milhares 3 2 7 4 4 3 2" xfId="26855"/>
    <cellStyle name="Separador de milhares 3 2 7 4 4 3 2 2" xfId="53085"/>
    <cellStyle name="Separador de milhares 3 2 7 4 4 3 3" xfId="20941"/>
    <cellStyle name="Separador de milhares 3 2 7 4 4 3 3 2" xfId="47177"/>
    <cellStyle name="Separador de milhares 3 2 7 4 4 3 4" xfId="15027"/>
    <cellStyle name="Separador de milhares 3 2 7 4 4 3 4 2" xfId="41269"/>
    <cellStyle name="Separador de milhares 3 2 7 4 4 3 5" xfId="34883"/>
    <cellStyle name="Separador de milhares 3 2 7 4 4 4" xfId="5263"/>
    <cellStyle name="Separador de milhares 3 2 7 4 4 4 2" xfId="23898"/>
    <cellStyle name="Separador de milhares 3 2 7 4 4 4 2 2" xfId="50131"/>
    <cellStyle name="Separador de milhares 3 2 7 4 4 4 3" xfId="31508"/>
    <cellStyle name="Separador de milhares 3 2 7 4 4 5" xfId="17984"/>
    <cellStyle name="Separador de milhares 3 2 7 4 4 5 2" xfId="44223"/>
    <cellStyle name="Separador de milhares 3 2 7 4 4 6" xfId="11650"/>
    <cellStyle name="Separador de milhares 3 2 7 4 4 6 2" xfId="37892"/>
    <cellStyle name="Separador de milhares 3 2 7 4 4 7" xfId="29810"/>
    <cellStyle name="Separador de milhares 3 2 7 4 5" xfId="2327"/>
    <cellStyle name="Separador de milhares 3 2 7 4 5 2" xfId="7112"/>
    <cellStyle name="Separador de milhares 3 2 7 4 5 2 2" xfId="10256"/>
    <cellStyle name="Separador de milhares 3 2 7 4 5 2 2 2" xfId="28470"/>
    <cellStyle name="Separador de milhares 3 2 7 4 5 2 2 2 2" xfId="54700"/>
    <cellStyle name="Separador de milhares 3 2 7 4 5 2 2 3" xfId="22556"/>
    <cellStyle name="Separador de milhares 3 2 7 4 5 2 2 3 2" xfId="48792"/>
    <cellStyle name="Separador de milhares 3 2 7 4 5 2 2 4" xfId="16642"/>
    <cellStyle name="Separador de milhares 3 2 7 4 5 2 2 4 2" xfId="42884"/>
    <cellStyle name="Separador de milhares 3 2 7 4 5 2 2 5" xfId="36498"/>
    <cellStyle name="Separador de milhares 3 2 7 4 5 2 3" xfId="25513"/>
    <cellStyle name="Separador de milhares 3 2 7 4 5 2 3 2" xfId="51746"/>
    <cellStyle name="Separador de milhares 3 2 7 4 5 2 4" xfId="19599"/>
    <cellStyle name="Separador de milhares 3 2 7 4 5 2 4 2" xfId="45838"/>
    <cellStyle name="Separador de milhares 3 2 7 4 5 2 5" xfId="13501"/>
    <cellStyle name="Separador de milhares 3 2 7 4 5 2 5 2" xfId="39743"/>
    <cellStyle name="Separador de milhares 3 2 7 4 5 2 6" xfId="33357"/>
    <cellStyle name="Separador de milhares 3 2 7 4 5 3" xfId="8788"/>
    <cellStyle name="Separador de milhares 3 2 7 4 5 3 2" xfId="27002"/>
    <cellStyle name="Separador de milhares 3 2 7 4 5 3 2 2" xfId="53232"/>
    <cellStyle name="Separador de milhares 3 2 7 4 5 3 3" xfId="21088"/>
    <cellStyle name="Separador de milhares 3 2 7 4 5 3 3 2" xfId="47324"/>
    <cellStyle name="Separador de milhares 3 2 7 4 5 3 4" xfId="15174"/>
    <cellStyle name="Separador de milhares 3 2 7 4 5 3 4 2" xfId="41416"/>
    <cellStyle name="Separador de milhares 3 2 7 4 5 3 5" xfId="35030"/>
    <cellStyle name="Separador de milhares 3 2 7 4 5 4" xfId="5413"/>
    <cellStyle name="Separador de milhares 3 2 7 4 5 4 2" xfId="24045"/>
    <cellStyle name="Separador de milhares 3 2 7 4 5 4 2 2" xfId="50278"/>
    <cellStyle name="Separador de milhares 3 2 7 4 5 4 3" xfId="31658"/>
    <cellStyle name="Separador de milhares 3 2 7 4 5 5" xfId="18131"/>
    <cellStyle name="Separador de milhares 3 2 7 4 5 5 2" xfId="44370"/>
    <cellStyle name="Separador de milhares 3 2 7 4 5 6" xfId="11800"/>
    <cellStyle name="Separador de milhares 3 2 7 4 5 6 2" xfId="38042"/>
    <cellStyle name="Separador de milhares 3 2 7 4 5 7" xfId="29960"/>
    <cellStyle name="Separador de milhares 3 2 7 4 6" xfId="2854"/>
    <cellStyle name="Separador de milhares 3 2 7 4 6 2" xfId="7259"/>
    <cellStyle name="Separador de milhares 3 2 7 4 6 2 2" xfId="10403"/>
    <cellStyle name="Separador de milhares 3 2 7 4 6 2 2 2" xfId="28617"/>
    <cellStyle name="Separador de milhares 3 2 7 4 6 2 2 2 2" xfId="54847"/>
    <cellStyle name="Separador de milhares 3 2 7 4 6 2 2 3" xfId="22703"/>
    <cellStyle name="Separador de milhares 3 2 7 4 6 2 2 3 2" xfId="48939"/>
    <cellStyle name="Separador de milhares 3 2 7 4 6 2 2 4" xfId="16789"/>
    <cellStyle name="Separador de milhares 3 2 7 4 6 2 2 4 2" xfId="43031"/>
    <cellStyle name="Separador de milhares 3 2 7 4 6 2 2 5" xfId="36645"/>
    <cellStyle name="Separador de milhares 3 2 7 4 6 2 3" xfId="25660"/>
    <cellStyle name="Separador de milhares 3 2 7 4 6 2 3 2" xfId="51893"/>
    <cellStyle name="Separador de milhares 3 2 7 4 6 2 4" xfId="19746"/>
    <cellStyle name="Separador de milhares 3 2 7 4 6 2 4 2" xfId="45985"/>
    <cellStyle name="Separador de milhares 3 2 7 4 6 2 5" xfId="13648"/>
    <cellStyle name="Separador de milhares 3 2 7 4 6 2 5 2" xfId="39890"/>
    <cellStyle name="Separador de milhares 3 2 7 4 6 2 6" xfId="33504"/>
    <cellStyle name="Separador de milhares 3 2 7 4 6 3" xfId="8935"/>
    <cellStyle name="Separador de milhares 3 2 7 4 6 3 2" xfId="27149"/>
    <cellStyle name="Separador de milhares 3 2 7 4 6 3 2 2" xfId="53379"/>
    <cellStyle name="Separador de milhares 3 2 7 4 6 3 3" xfId="21235"/>
    <cellStyle name="Separador de milhares 3 2 7 4 6 3 3 2" xfId="47471"/>
    <cellStyle name="Separador de milhares 3 2 7 4 6 3 4" xfId="15321"/>
    <cellStyle name="Separador de milhares 3 2 7 4 6 3 4 2" xfId="41563"/>
    <cellStyle name="Separador de milhares 3 2 7 4 6 3 5" xfId="35177"/>
    <cellStyle name="Separador de milhares 3 2 7 4 6 4" xfId="5560"/>
    <cellStyle name="Separador de milhares 3 2 7 4 6 4 2" xfId="24192"/>
    <cellStyle name="Separador de milhares 3 2 7 4 6 4 2 2" xfId="50425"/>
    <cellStyle name="Separador de milhares 3 2 7 4 6 4 3" xfId="31805"/>
    <cellStyle name="Separador de milhares 3 2 7 4 6 5" xfId="18278"/>
    <cellStyle name="Separador de milhares 3 2 7 4 6 5 2" xfId="44517"/>
    <cellStyle name="Separador de milhares 3 2 7 4 6 6" xfId="11947"/>
    <cellStyle name="Separador de milhares 3 2 7 4 6 6 2" xfId="38189"/>
    <cellStyle name="Separador de milhares 3 2 7 4 6 7" xfId="30107"/>
    <cellStyle name="Separador de milhares 3 2 7 4 7" xfId="3381"/>
    <cellStyle name="Separador de milhares 3 2 7 4 7 2" xfId="7406"/>
    <cellStyle name="Separador de milhares 3 2 7 4 7 2 2" xfId="10550"/>
    <cellStyle name="Separador de milhares 3 2 7 4 7 2 2 2" xfId="28764"/>
    <cellStyle name="Separador de milhares 3 2 7 4 7 2 2 2 2" xfId="54994"/>
    <cellStyle name="Separador de milhares 3 2 7 4 7 2 2 3" xfId="22850"/>
    <cellStyle name="Separador de milhares 3 2 7 4 7 2 2 3 2" xfId="49086"/>
    <cellStyle name="Separador de milhares 3 2 7 4 7 2 2 4" xfId="16936"/>
    <cellStyle name="Separador de milhares 3 2 7 4 7 2 2 4 2" xfId="43178"/>
    <cellStyle name="Separador de milhares 3 2 7 4 7 2 2 5" xfId="36792"/>
    <cellStyle name="Separador de milhares 3 2 7 4 7 2 3" xfId="25807"/>
    <cellStyle name="Separador de milhares 3 2 7 4 7 2 3 2" xfId="52040"/>
    <cellStyle name="Separador de milhares 3 2 7 4 7 2 4" xfId="19893"/>
    <cellStyle name="Separador de milhares 3 2 7 4 7 2 4 2" xfId="46132"/>
    <cellStyle name="Separador de milhares 3 2 7 4 7 2 5" xfId="13795"/>
    <cellStyle name="Separador de milhares 3 2 7 4 7 2 5 2" xfId="40037"/>
    <cellStyle name="Separador de milhares 3 2 7 4 7 2 6" xfId="33651"/>
    <cellStyle name="Separador de milhares 3 2 7 4 7 3" xfId="9082"/>
    <cellStyle name="Separador de milhares 3 2 7 4 7 3 2" xfId="27296"/>
    <cellStyle name="Separador de milhares 3 2 7 4 7 3 2 2" xfId="53526"/>
    <cellStyle name="Separador de milhares 3 2 7 4 7 3 3" xfId="21382"/>
    <cellStyle name="Separador de milhares 3 2 7 4 7 3 3 2" xfId="47618"/>
    <cellStyle name="Separador de milhares 3 2 7 4 7 3 4" xfId="15468"/>
    <cellStyle name="Separador de milhares 3 2 7 4 7 3 4 2" xfId="41710"/>
    <cellStyle name="Separador de milhares 3 2 7 4 7 3 5" xfId="35324"/>
    <cellStyle name="Separador de milhares 3 2 7 4 7 4" xfId="5707"/>
    <cellStyle name="Separador de milhares 3 2 7 4 7 4 2" xfId="24339"/>
    <cellStyle name="Separador de milhares 3 2 7 4 7 4 2 2" xfId="50572"/>
    <cellStyle name="Separador de milhares 3 2 7 4 7 4 3" xfId="31952"/>
    <cellStyle name="Separador de milhares 3 2 7 4 7 5" xfId="18425"/>
    <cellStyle name="Separador de milhares 3 2 7 4 7 5 2" xfId="44664"/>
    <cellStyle name="Separador de milhares 3 2 7 4 7 6" xfId="12094"/>
    <cellStyle name="Separador de milhares 3 2 7 4 7 6 2" xfId="38336"/>
    <cellStyle name="Separador de milhares 3 2 7 4 7 7" xfId="30254"/>
    <cellStyle name="Separador de milhares 3 2 7 4 8" xfId="3908"/>
    <cellStyle name="Separador de milhares 3 2 7 4 8 2" xfId="7553"/>
    <cellStyle name="Separador de milhares 3 2 7 4 8 2 2" xfId="10697"/>
    <cellStyle name="Separador de milhares 3 2 7 4 8 2 2 2" xfId="28911"/>
    <cellStyle name="Separador de milhares 3 2 7 4 8 2 2 2 2" xfId="55141"/>
    <cellStyle name="Separador de milhares 3 2 7 4 8 2 2 3" xfId="22997"/>
    <cellStyle name="Separador de milhares 3 2 7 4 8 2 2 3 2" xfId="49233"/>
    <cellStyle name="Separador de milhares 3 2 7 4 8 2 2 4" xfId="17083"/>
    <cellStyle name="Separador de milhares 3 2 7 4 8 2 2 4 2" xfId="43325"/>
    <cellStyle name="Separador de milhares 3 2 7 4 8 2 2 5" xfId="36939"/>
    <cellStyle name="Separador de milhares 3 2 7 4 8 2 3" xfId="25954"/>
    <cellStyle name="Separador de milhares 3 2 7 4 8 2 3 2" xfId="52187"/>
    <cellStyle name="Separador de milhares 3 2 7 4 8 2 4" xfId="20040"/>
    <cellStyle name="Separador de milhares 3 2 7 4 8 2 4 2" xfId="46279"/>
    <cellStyle name="Separador de milhares 3 2 7 4 8 2 5" xfId="13942"/>
    <cellStyle name="Separador de milhares 3 2 7 4 8 2 5 2" xfId="40184"/>
    <cellStyle name="Separador de milhares 3 2 7 4 8 2 6" xfId="33798"/>
    <cellStyle name="Separador de milhares 3 2 7 4 8 3" xfId="9229"/>
    <cellStyle name="Separador de milhares 3 2 7 4 8 3 2" xfId="27443"/>
    <cellStyle name="Separador de milhares 3 2 7 4 8 3 2 2" xfId="53673"/>
    <cellStyle name="Separador de milhares 3 2 7 4 8 3 3" xfId="21529"/>
    <cellStyle name="Separador de milhares 3 2 7 4 8 3 3 2" xfId="47765"/>
    <cellStyle name="Separador de milhares 3 2 7 4 8 3 4" xfId="15615"/>
    <cellStyle name="Separador de milhares 3 2 7 4 8 3 4 2" xfId="41857"/>
    <cellStyle name="Separador de milhares 3 2 7 4 8 3 5" xfId="35471"/>
    <cellStyle name="Separador de milhares 3 2 7 4 8 4" xfId="5854"/>
    <cellStyle name="Separador de milhares 3 2 7 4 8 4 2" xfId="24486"/>
    <cellStyle name="Separador de milhares 3 2 7 4 8 4 2 2" xfId="50719"/>
    <cellStyle name="Separador de milhares 3 2 7 4 8 4 3" xfId="32099"/>
    <cellStyle name="Separador de milhares 3 2 7 4 8 5" xfId="18572"/>
    <cellStyle name="Separador de milhares 3 2 7 4 8 5 2" xfId="44811"/>
    <cellStyle name="Separador de milhares 3 2 7 4 8 6" xfId="12241"/>
    <cellStyle name="Separador de milhares 3 2 7 4 8 6 2" xfId="38483"/>
    <cellStyle name="Separador de milhares 3 2 7 4 8 7" xfId="30401"/>
    <cellStyle name="Separador de milhares 3 2 7 4 9" xfId="712"/>
    <cellStyle name="Separador de milhares 3 2 7 4 9 2" xfId="6647"/>
    <cellStyle name="Separador de milhares 3 2 7 4 9 2 2" xfId="9794"/>
    <cellStyle name="Separador de milhares 3 2 7 4 9 2 2 2" xfId="28008"/>
    <cellStyle name="Separador de milhares 3 2 7 4 9 2 2 2 2" xfId="54238"/>
    <cellStyle name="Separador de milhares 3 2 7 4 9 2 2 3" xfId="22094"/>
    <cellStyle name="Separador de milhares 3 2 7 4 9 2 2 3 2" xfId="48330"/>
    <cellStyle name="Separador de milhares 3 2 7 4 9 2 2 4" xfId="16180"/>
    <cellStyle name="Separador de milhares 3 2 7 4 9 2 2 4 2" xfId="42422"/>
    <cellStyle name="Separador de milhares 3 2 7 4 9 2 2 5" xfId="36036"/>
    <cellStyle name="Separador de milhares 3 2 7 4 9 2 3" xfId="25051"/>
    <cellStyle name="Separador de milhares 3 2 7 4 9 2 3 2" xfId="51284"/>
    <cellStyle name="Separador de milhares 3 2 7 4 9 2 4" xfId="19137"/>
    <cellStyle name="Separador de milhares 3 2 7 4 9 2 4 2" xfId="45376"/>
    <cellStyle name="Separador de milhares 3 2 7 4 9 2 5" xfId="13036"/>
    <cellStyle name="Separador de milhares 3 2 7 4 9 2 5 2" xfId="39278"/>
    <cellStyle name="Separador de milhares 3 2 7 4 9 2 6" xfId="32892"/>
    <cellStyle name="Separador de milhares 3 2 7 4 9 3" xfId="8326"/>
    <cellStyle name="Separador de milhares 3 2 7 4 9 3 2" xfId="26540"/>
    <cellStyle name="Separador de milhares 3 2 7 4 9 3 2 2" xfId="52770"/>
    <cellStyle name="Separador de milhares 3 2 7 4 9 3 3" xfId="20626"/>
    <cellStyle name="Separador de milhares 3 2 7 4 9 3 3 2" xfId="46862"/>
    <cellStyle name="Separador de milhares 3 2 7 4 9 3 4" xfId="14712"/>
    <cellStyle name="Separador de milhares 3 2 7 4 9 3 4 2" xfId="40954"/>
    <cellStyle name="Separador de milhares 3 2 7 4 9 3 5" xfId="34568"/>
    <cellStyle name="Separador de milhares 3 2 7 4 9 4" xfId="4948"/>
    <cellStyle name="Separador de milhares 3 2 7 4 9 4 2" xfId="23583"/>
    <cellStyle name="Separador de milhares 3 2 7 4 9 4 2 2" xfId="49816"/>
    <cellStyle name="Separador de milhares 3 2 7 4 9 4 3" xfId="31193"/>
    <cellStyle name="Separador de milhares 3 2 7 4 9 5" xfId="17669"/>
    <cellStyle name="Separador de milhares 3 2 7 4 9 5 2" xfId="43908"/>
    <cellStyle name="Separador de milhares 3 2 7 4 9 6" xfId="11335"/>
    <cellStyle name="Separador de milhares 3 2 7 4 9 6 2" xfId="37577"/>
    <cellStyle name="Separador de milhares 3 2 7 4 9 7" xfId="29495"/>
    <cellStyle name="Separador de milhares 3 2 7 5" xfId="623"/>
    <cellStyle name="Separador de milhares 3 2 7 5 10" xfId="4912"/>
    <cellStyle name="Separador de milhares 3 2 7 5 10 2" xfId="23546"/>
    <cellStyle name="Separador de milhares 3 2 7 5 10 2 2" xfId="49782"/>
    <cellStyle name="Separador de milhares 3 2 7 5 10 3" xfId="31159"/>
    <cellStyle name="Separador de milhares 3 2 7 5 11" xfId="17632"/>
    <cellStyle name="Separador de milhares 3 2 7 5 11 2" xfId="43874"/>
    <cellStyle name="Separador de milhares 3 2 7 5 12" xfId="11301"/>
    <cellStyle name="Separador de milhares 3 2 7 5 12 2" xfId="37543"/>
    <cellStyle name="Separador de milhares 3 2 7 5 13" xfId="29461"/>
    <cellStyle name="Separador de milhares 3 2 7 5 2" xfId="1446"/>
    <cellStyle name="Separador de milhares 3 2 7 5 2 2" xfId="6864"/>
    <cellStyle name="Separador de milhares 3 2 7 5 2 2 2" xfId="10011"/>
    <cellStyle name="Separador de milhares 3 2 7 5 2 2 2 2" xfId="28225"/>
    <cellStyle name="Separador de milhares 3 2 7 5 2 2 2 2 2" xfId="54455"/>
    <cellStyle name="Separador de milhares 3 2 7 5 2 2 2 3" xfId="22311"/>
    <cellStyle name="Separador de milhares 3 2 7 5 2 2 2 3 2" xfId="48547"/>
    <cellStyle name="Separador de milhares 3 2 7 5 2 2 2 4" xfId="16397"/>
    <cellStyle name="Separador de milhares 3 2 7 5 2 2 2 4 2" xfId="42639"/>
    <cellStyle name="Separador de milhares 3 2 7 5 2 2 2 5" xfId="36253"/>
    <cellStyle name="Separador de milhares 3 2 7 5 2 2 3" xfId="25268"/>
    <cellStyle name="Separador de milhares 3 2 7 5 2 2 3 2" xfId="51501"/>
    <cellStyle name="Separador de milhares 3 2 7 5 2 2 4" xfId="19354"/>
    <cellStyle name="Separador de milhares 3 2 7 5 2 2 4 2" xfId="45593"/>
    <cellStyle name="Separador de milhares 3 2 7 5 2 2 5" xfId="13253"/>
    <cellStyle name="Separador de milhares 3 2 7 5 2 2 5 2" xfId="39495"/>
    <cellStyle name="Separador de milhares 3 2 7 5 2 2 6" xfId="33109"/>
    <cellStyle name="Separador de milhares 3 2 7 5 2 3" xfId="8543"/>
    <cellStyle name="Separador de milhares 3 2 7 5 2 3 2" xfId="26757"/>
    <cellStyle name="Separador de milhares 3 2 7 5 2 3 2 2" xfId="52987"/>
    <cellStyle name="Separador de milhares 3 2 7 5 2 3 3" xfId="20843"/>
    <cellStyle name="Separador de milhares 3 2 7 5 2 3 3 2" xfId="47079"/>
    <cellStyle name="Separador de milhares 3 2 7 5 2 3 4" xfId="14929"/>
    <cellStyle name="Separador de milhares 3 2 7 5 2 3 4 2" xfId="41171"/>
    <cellStyle name="Separador de milhares 3 2 7 5 2 3 5" xfId="34785"/>
    <cellStyle name="Separador de milhares 3 2 7 5 2 4" xfId="5165"/>
    <cellStyle name="Separador de milhares 3 2 7 5 2 4 2" xfId="23800"/>
    <cellStyle name="Separador de milhares 3 2 7 5 2 4 2 2" xfId="50033"/>
    <cellStyle name="Separador de milhares 3 2 7 5 2 4 3" xfId="31410"/>
    <cellStyle name="Separador de milhares 3 2 7 5 2 5" xfId="17886"/>
    <cellStyle name="Separador de milhares 3 2 7 5 2 5 2" xfId="44125"/>
    <cellStyle name="Separador de milhares 3 2 7 5 2 6" xfId="11552"/>
    <cellStyle name="Separador de milhares 3 2 7 5 2 6 2" xfId="37794"/>
    <cellStyle name="Separador de milhares 3 2 7 5 2 7" xfId="29712"/>
    <cellStyle name="Separador de milhares 3 2 7 5 3" xfId="1881"/>
    <cellStyle name="Separador de milhares 3 2 7 5 3 2" xfId="6983"/>
    <cellStyle name="Separador de milhares 3 2 7 5 3 2 2" xfId="10130"/>
    <cellStyle name="Separador de milhares 3 2 7 5 3 2 2 2" xfId="28344"/>
    <cellStyle name="Separador de milhares 3 2 7 5 3 2 2 2 2" xfId="54574"/>
    <cellStyle name="Separador de milhares 3 2 7 5 3 2 2 3" xfId="22430"/>
    <cellStyle name="Separador de milhares 3 2 7 5 3 2 2 3 2" xfId="48666"/>
    <cellStyle name="Separador de milhares 3 2 7 5 3 2 2 4" xfId="16516"/>
    <cellStyle name="Separador de milhares 3 2 7 5 3 2 2 4 2" xfId="42758"/>
    <cellStyle name="Separador de milhares 3 2 7 5 3 2 2 5" xfId="36372"/>
    <cellStyle name="Separador de milhares 3 2 7 5 3 2 3" xfId="25387"/>
    <cellStyle name="Separador de milhares 3 2 7 5 3 2 3 2" xfId="51620"/>
    <cellStyle name="Separador de milhares 3 2 7 5 3 2 4" xfId="19473"/>
    <cellStyle name="Separador de milhares 3 2 7 5 3 2 4 2" xfId="45712"/>
    <cellStyle name="Separador de milhares 3 2 7 5 3 2 5" xfId="13372"/>
    <cellStyle name="Separador de milhares 3 2 7 5 3 2 5 2" xfId="39614"/>
    <cellStyle name="Separador de milhares 3 2 7 5 3 2 6" xfId="33228"/>
    <cellStyle name="Separador de milhares 3 2 7 5 3 3" xfId="8662"/>
    <cellStyle name="Separador de milhares 3 2 7 5 3 3 2" xfId="26876"/>
    <cellStyle name="Separador de milhares 3 2 7 5 3 3 2 2" xfId="53106"/>
    <cellStyle name="Separador de milhares 3 2 7 5 3 3 3" xfId="20962"/>
    <cellStyle name="Separador de milhares 3 2 7 5 3 3 3 2" xfId="47198"/>
    <cellStyle name="Separador de milhares 3 2 7 5 3 3 4" xfId="15048"/>
    <cellStyle name="Separador de milhares 3 2 7 5 3 3 4 2" xfId="41290"/>
    <cellStyle name="Separador de milhares 3 2 7 5 3 3 5" xfId="34904"/>
    <cellStyle name="Separador de milhares 3 2 7 5 3 4" xfId="5284"/>
    <cellStyle name="Separador de milhares 3 2 7 5 3 4 2" xfId="23919"/>
    <cellStyle name="Separador de milhares 3 2 7 5 3 4 2 2" xfId="50152"/>
    <cellStyle name="Separador de milhares 3 2 7 5 3 4 3" xfId="31529"/>
    <cellStyle name="Separador de milhares 3 2 7 5 3 5" xfId="18005"/>
    <cellStyle name="Separador de milhares 3 2 7 5 3 5 2" xfId="44244"/>
    <cellStyle name="Separador de milhares 3 2 7 5 3 6" xfId="11671"/>
    <cellStyle name="Separador de milhares 3 2 7 5 3 6 2" xfId="37913"/>
    <cellStyle name="Separador de milhares 3 2 7 5 3 7" xfId="29831"/>
    <cellStyle name="Separador de milhares 3 2 7 5 4" xfId="2411"/>
    <cellStyle name="Separador de milhares 3 2 7 5 4 2" xfId="7133"/>
    <cellStyle name="Separador de milhares 3 2 7 5 4 2 2" xfId="10277"/>
    <cellStyle name="Separador de milhares 3 2 7 5 4 2 2 2" xfId="28491"/>
    <cellStyle name="Separador de milhares 3 2 7 5 4 2 2 2 2" xfId="54721"/>
    <cellStyle name="Separador de milhares 3 2 7 5 4 2 2 3" xfId="22577"/>
    <cellStyle name="Separador de milhares 3 2 7 5 4 2 2 3 2" xfId="48813"/>
    <cellStyle name="Separador de milhares 3 2 7 5 4 2 2 4" xfId="16663"/>
    <cellStyle name="Separador de milhares 3 2 7 5 4 2 2 4 2" xfId="42905"/>
    <cellStyle name="Separador de milhares 3 2 7 5 4 2 2 5" xfId="36519"/>
    <cellStyle name="Separador de milhares 3 2 7 5 4 2 3" xfId="25534"/>
    <cellStyle name="Separador de milhares 3 2 7 5 4 2 3 2" xfId="51767"/>
    <cellStyle name="Separador de milhares 3 2 7 5 4 2 4" xfId="19620"/>
    <cellStyle name="Separador de milhares 3 2 7 5 4 2 4 2" xfId="45859"/>
    <cellStyle name="Separador de milhares 3 2 7 5 4 2 5" xfId="13522"/>
    <cellStyle name="Separador de milhares 3 2 7 5 4 2 5 2" xfId="39764"/>
    <cellStyle name="Separador de milhares 3 2 7 5 4 2 6" xfId="33378"/>
    <cellStyle name="Separador de milhares 3 2 7 5 4 3" xfId="8809"/>
    <cellStyle name="Separador de milhares 3 2 7 5 4 3 2" xfId="27023"/>
    <cellStyle name="Separador de milhares 3 2 7 5 4 3 2 2" xfId="53253"/>
    <cellStyle name="Separador de milhares 3 2 7 5 4 3 3" xfId="21109"/>
    <cellStyle name="Separador de milhares 3 2 7 5 4 3 3 2" xfId="47345"/>
    <cellStyle name="Separador de milhares 3 2 7 5 4 3 4" xfId="15195"/>
    <cellStyle name="Separador de milhares 3 2 7 5 4 3 4 2" xfId="41437"/>
    <cellStyle name="Separador de milhares 3 2 7 5 4 3 5" xfId="35051"/>
    <cellStyle name="Separador de milhares 3 2 7 5 4 4" xfId="5434"/>
    <cellStyle name="Separador de milhares 3 2 7 5 4 4 2" xfId="24066"/>
    <cellStyle name="Separador de milhares 3 2 7 5 4 4 2 2" xfId="50299"/>
    <cellStyle name="Separador de milhares 3 2 7 5 4 4 3" xfId="31679"/>
    <cellStyle name="Separador de milhares 3 2 7 5 4 5" xfId="18152"/>
    <cellStyle name="Separador de milhares 3 2 7 5 4 5 2" xfId="44391"/>
    <cellStyle name="Separador de milhares 3 2 7 5 4 6" xfId="11821"/>
    <cellStyle name="Separador de milhares 3 2 7 5 4 6 2" xfId="38063"/>
    <cellStyle name="Separador de milhares 3 2 7 5 4 7" xfId="29981"/>
    <cellStyle name="Separador de milhares 3 2 7 5 5" xfId="2938"/>
    <cellStyle name="Separador de milhares 3 2 7 5 5 2" xfId="7280"/>
    <cellStyle name="Separador de milhares 3 2 7 5 5 2 2" xfId="10424"/>
    <cellStyle name="Separador de milhares 3 2 7 5 5 2 2 2" xfId="28638"/>
    <cellStyle name="Separador de milhares 3 2 7 5 5 2 2 2 2" xfId="54868"/>
    <cellStyle name="Separador de milhares 3 2 7 5 5 2 2 3" xfId="22724"/>
    <cellStyle name="Separador de milhares 3 2 7 5 5 2 2 3 2" xfId="48960"/>
    <cellStyle name="Separador de milhares 3 2 7 5 5 2 2 4" xfId="16810"/>
    <cellStyle name="Separador de milhares 3 2 7 5 5 2 2 4 2" xfId="43052"/>
    <cellStyle name="Separador de milhares 3 2 7 5 5 2 2 5" xfId="36666"/>
    <cellStyle name="Separador de milhares 3 2 7 5 5 2 3" xfId="25681"/>
    <cellStyle name="Separador de milhares 3 2 7 5 5 2 3 2" xfId="51914"/>
    <cellStyle name="Separador de milhares 3 2 7 5 5 2 4" xfId="19767"/>
    <cellStyle name="Separador de milhares 3 2 7 5 5 2 4 2" xfId="46006"/>
    <cellStyle name="Separador de milhares 3 2 7 5 5 2 5" xfId="13669"/>
    <cellStyle name="Separador de milhares 3 2 7 5 5 2 5 2" xfId="39911"/>
    <cellStyle name="Separador de milhares 3 2 7 5 5 2 6" xfId="33525"/>
    <cellStyle name="Separador de milhares 3 2 7 5 5 3" xfId="8956"/>
    <cellStyle name="Separador de milhares 3 2 7 5 5 3 2" xfId="27170"/>
    <cellStyle name="Separador de milhares 3 2 7 5 5 3 2 2" xfId="53400"/>
    <cellStyle name="Separador de milhares 3 2 7 5 5 3 3" xfId="21256"/>
    <cellStyle name="Separador de milhares 3 2 7 5 5 3 3 2" xfId="47492"/>
    <cellStyle name="Separador de milhares 3 2 7 5 5 3 4" xfId="15342"/>
    <cellStyle name="Separador de milhares 3 2 7 5 5 3 4 2" xfId="41584"/>
    <cellStyle name="Separador de milhares 3 2 7 5 5 3 5" xfId="35198"/>
    <cellStyle name="Separador de milhares 3 2 7 5 5 4" xfId="5581"/>
    <cellStyle name="Separador de milhares 3 2 7 5 5 4 2" xfId="24213"/>
    <cellStyle name="Separador de milhares 3 2 7 5 5 4 2 2" xfId="50446"/>
    <cellStyle name="Separador de milhares 3 2 7 5 5 4 3" xfId="31826"/>
    <cellStyle name="Separador de milhares 3 2 7 5 5 5" xfId="18299"/>
    <cellStyle name="Separador de milhares 3 2 7 5 5 5 2" xfId="44538"/>
    <cellStyle name="Separador de milhares 3 2 7 5 5 6" xfId="11968"/>
    <cellStyle name="Separador de milhares 3 2 7 5 5 6 2" xfId="38210"/>
    <cellStyle name="Separador de milhares 3 2 7 5 5 7" xfId="30128"/>
    <cellStyle name="Separador de milhares 3 2 7 5 6" xfId="3465"/>
    <cellStyle name="Separador de milhares 3 2 7 5 6 2" xfId="7427"/>
    <cellStyle name="Separador de milhares 3 2 7 5 6 2 2" xfId="10571"/>
    <cellStyle name="Separador de milhares 3 2 7 5 6 2 2 2" xfId="28785"/>
    <cellStyle name="Separador de milhares 3 2 7 5 6 2 2 2 2" xfId="55015"/>
    <cellStyle name="Separador de milhares 3 2 7 5 6 2 2 3" xfId="22871"/>
    <cellStyle name="Separador de milhares 3 2 7 5 6 2 2 3 2" xfId="49107"/>
    <cellStyle name="Separador de milhares 3 2 7 5 6 2 2 4" xfId="16957"/>
    <cellStyle name="Separador de milhares 3 2 7 5 6 2 2 4 2" xfId="43199"/>
    <cellStyle name="Separador de milhares 3 2 7 5 6 2 2 5" xfId="36813"/>
    <cellStyle name="Separador de milhares 3 2 7 5 6 2 3" xfId="25828"/>
    <cellStyle name="Separador de milhares 3 2 7 5 6 2 3 2" xfId="52061"/>
    <cellStyle name="Separador de milhares 3 2 7 5 6 2 4" xfId="19914"/>
    <cellStyle name="Separador de milhares 3 2 7 5 6 2 4 2" xfId="46153"/>
    <cellStyle name="Separador de milhares 3 2 7 5 6 2 5" xfId="13816"/>
    <cellStyle name="Separador de milhares 3 2 7 5 6 2 5 2" xfId="40058"/>
    <cellStyle name="Separador de milhares 3 2 7 5 6 2 6" xfId="33672"/>
    <cellStyle name="Separador de milhares 3 2 7 5 6 3" xfId="9103"/>
    <cellStyle name="Separador de milhares 3 2 7 5 6 3 2" xfId="27317"/>
    <cellStyle name="Separador de milhares 3 2 7 5 6 3 2 2" xfId="53547"/>
    <cellStyle name="Separador de milhares 3 2 7 5 6 3 3" xfId="21403"/>
    <cellStyle name="Separador de milhares 3 2 7 5 6 3 3 2" xfId="47639"/>
    <cellStyle name="Separador de milhares 3 2 7 5 6 3 4" xfId="15489"/>
    <cellStyle name="Separador de milhares 3 2 7 5 6 3 4 2" xfId="41731"/>
    <cellStyle name="Separador de milhares 3 2 7 5 6 3 5" xfId="35345"/>
    <cellStyle name="Separador de milhares 3 2 7 5 6 4" xfId="5728"/>
    <cellStyle name="Separador de milhares 3 2 7 5 6 4 2" xfId="24360"/>
    <cellStyle name="Separador de milhares 3 2 7 5 6 4 2 2" xfId="50593"/>
    <cellStyle name="Separador de milhares 3 2 7 5 6 4 3" xfId="31973"/>
    <cellStyle name="Separador de milhares 3 2 7 5 6 5" xfId="18446"/>
    <cellStyle name="Separador de milhares 3 2 7 5 6 5 2" xfId="44685"/>
    <cellStyle name="Separador de milhares 3 2 7 5 6 6" xfId="12115"/>
    <cellStyle name="Separador de milhares 3 2 7 5 6 6 2" xfId="38357"/>
    <cellStyle name="Separador de milhares 3 2 7 5 6 7" xfId="30275"/>
    <cellStyle name="Separador de milhares 3 2 7 5 7" xfId="3992"/>
    <cellStyle name="Separador de milhares 3 2 7 5 7 2" xfId="7574"/>
    <cellStyle name="Separador de milhares 3 2 7 5 7 2 2" xfId="10718"/>
    <cellStyle name="Separador de milhares 3 2 7 5 7 2 2 2" xfId="28932"/>
    <cellStyle name="Separador de milhares 3 2 7 5 7 2 2 2 2" xfId="55162"/>
    <cellStyle name="Separador de milhares 3 2 7 5 7 2 2 3" xfId="23018"/>
    <cellStyle name="Separador de milhares 3 2 7 5 7 2 2 3 2" xfId="49254"/>
    <cellStyle name="Separador de milhares 3 2 7 5 7 2 2 4" xfId="17104"/>
    <cellStyle name="Separador de milhares 3 2 7 5 7 2 2 4 2" xfId="43346"/>
    <cellStyle name="Separador de milhares 3 2 7 5 7 2 2 5" xfId="36960"/>
    <cellStyle name="Separador de milhares 3 2 7 5 7 2 3" xfId="25975"/>
    <cellStyle name="Separador de milhares 3 2 7 5 7 2 3 2" xfId="52208"/>
    <cellStyle name="Separador de milhares 3 2 7 5 7 2 4" xfId="20061"/>
    <cellStyle name="Separador de milhares 3 2 7 5 7 2 4 2" xfId="46300"/>
    <cellStyle name="Separador de milhares 3 2 7 5 7 2 5" xfId="13963"/>
    <cellStyle name="Separador de milhares 3 2 7 5 7 2 5 2" xfId="40205"/>
    <cellStyle name="Separador de milhares 3 2 7 5 7 2 6" xfId="33819"/>
    <cellStyle name="Separador de milhares 3 2 7 5 7 3" xfId="9250"/>
    <cellStyle name="Separador de milhares 3 2 7 5 7 3 2" xfId="27464"/>
    <cellStyle name="Separador de milhares 3 2 7 5 7 3 2 2" xfId="53694"/>
    <cellStyle name="Separador de milhares 3 2 7 5 7 3 3" xfId="21550"/>
    <cellStyle name="Separador de milhares 3 2 7 5 7 3 3 2" xfId="47786"/>
    <cellStyle name="Separador de milhares 3 2 7 5 7 3 4" xfId="15636"/>
    <cellStyle name="Separador de milhares 3 2 7 5 7 3 4 2" xfId="41878"/>
    <cellStyle name="Separador de milhares 3 2 7 5 7 3 5" xfId="35492"/>
    <cellStyle name="Separador de milhares 3 2 7 5 7 4" xfId="5875"/>
    <cellStyle name="Separador de milhares 3 2 7 5 7 4 2" xfId="24507"/>
    <cellStyle name="Separador de milhares 3 2 7 5 7 4 2 2" xfId="50740"/>
    <cellStyle name="Separador de milhares 3 2 7 5 7 4 3" xfId="32120"/>
    <cellStyle name="Separador de milhares 3 2 7 5 7 5" xfId="18593"/>
    <cellStyle name="Separador de milhares 3 2 7 5 7 5 2" xfId="44832"/>
    <cellStyle name="Separador de milhares 3 2 7 5 7 6" xfId="12262"/>
    <cellStyle name="Separador de milhares 3 2 7 5 7 6 2" xfId="38504"/>
    <cellStyle name="Separador de milhares 3 2 7 5 7 7" xfId="30422"/>
    <cellStyle name="Separador de milhares 3 2 7 5 8" xfId="6613"/>
    <cellStyle name="Separador de milhares 3 2 7 5 8 2" xfId="9760"/>
    <cellStyle name="Separador de milhares 3 2 7 5 8 2 2" xfId="27974"/>
    <cellStyle name="Separador de milhares 3 2 7 5 8 2 2 2" xfId="54204"/>
    <cellStyle name="Separador de milhares 3 2 7 5 8 2 3" xfId="22060"/>
    <cellStyle name="Separador de milhares 3 2 7 5 8 2 3 2" xfId="48296"/>
    <cellStyle name="Separador de milhares 3 2 7 5 8 2 4" xfId="16146"/>
    <cellStyle name="Separador de milhares 3 2 7 5 8 2 4 2" xfId="42388"/>
    <cellStyle name="Separador de milhares 3 2 7 5 8 2 5" xfId="36002"/>
    <cellStyle name="Separador de milhares 3 2 7 5 8 3" xfId="25017"/>
    <cellStyle name="Separador de milhares 3 2 7 5 8 3 2" xfId="51250"/>
    <cellStyle name="Separador de milhares 3 2 7 5 8 4" xfId="19103"/>
    <cellStyle name="Separador de milhares 3 2 7 5 8 4 2" xfId="45342"/>
    <cellStyle name="Separador de milhares 3 2 7 5 8 5" xfId="13002"/>
    <cellStyle name="Separador de milhares 3 2 7 5 8 5 2" xfId="39244"/>
    <cellStyle name="Separador de milhares 3 2 7 5 8 6" xfId="32858"/>
    <cellStyle name="Separador de milhares 3 2 7 5 9" xfId="8289"/>
    <cellStyle name="Separador de milhares 3 2 7 5 9 2" xfId="26503"/>
    <cellStyle name="Separador de milhares 3 2 7 5 9 2 2" xfId="52736"/>
    <cellStyle name="Separador de milhares 3 2 7 5 9 3" xfId="20589"/>
    <cellStyle name="Separador de milhares 3 2 7 5 9 3 2" xfId="46828"/>
    <cellStyle name="Separador de milhares 3 2 7 5 9 4" xfId="14678"/>
    <cellStyle name="Separador de milhares 3 2 7 5 9 4 2" xfId="40920"/>
    <cellStyle name="Separador de milhares 3 2 7 5 9 5" xfId="34534"/>
    <cellStyle name="Separador de milhares 3 2 7 6" xfId="744"/>
    <cellStyle name="Separador de milhares 3 2 7 6 2" xfId="4168"/>
    <cellStyle name="Separador de milhares 3 2 7 6 2 2" xfId="7623"/>
    <cellStyle name="Separador de milhares 3 2 7 6 2 2 2" xfId="10767"/>
    <cellStyle name="Separador de milhares 3 2 7 6 2 2 2 2" xfId="28981"/>
    <cellStyle name="Separador de milhares 3 2 7 6 2 2 2 2 2" xfId="55211"/>
    <cellStyle name="Separador de milhares 3 2 7 6 2 2 2 3" xfId="23067"/>
    <cellStyle name="Separador de milhares 3 2 7 6 2 2 2 3 2" xfId="49303"/>
    <cellStyle name="Separador de milhares 3 2 7 6 2 2 2 4" xfId="17153"/>
    <cellStyle name="Separador de milhares 3 2 7 6 2 2 2 4 2" xfId="43395"/>
    <cellStyle name="Separador de milhares 3 2 7 6 2 2 2 5" xfId="37009"/>
    <cellStyle name="Separador de milhares 3 2 7 6 2 2 3" xfId="26024"/>
    <cellStyle name="Separador de milhares 3 2 7 6 2 2 3 2" xfId="52257"/>
    <cellStyle name="Separador de milhares 3 2 7 6 2 2 4" xfId="20110"/>
    <cellStyle name="Separador de milhares 3 2 7 6 2 2 4 2" xfId="46349"/>
    <cellStyle name="Separador de milhares 3 2 7 6 2 2 5" xfId="14012"/>
    <cellStyle name="Separador de milhares 3 2 7 6 2 2 5 2" xfId="40254"/>
    <cellStyle name="Separador de milhares 3 2 7 6 2 2 6" xfId="33868"/>
    <cellStyle name="Separador de milhares 3 2 7 6 2 3" xfId="9299"/>
    <cellStyle name="Separador de milhares 3 2 7 6 2 3 2" xfId="27513"/>
    <cellStyle name="Separador de milhares 3 2 7 6 2 3 2 2" xfId="53743"/>
    <cellStyle name="Separador de milhares 3 2 7 6 2 3 3" xfId="21599"/>
    <cellStyle name="Separador de milhares 3 2 7 6 2 3 3 2" xfId="47835"/>
    <cellStyle name="Separador de milhares 3 2 7 6 2 3 4" xfId="15685"/>
    <cellStyle name="Separador de milhares 3 2 7 6 2 3 4 2" xfId="41927"/>
    <cellStyle name="Separador de milhares 3 2 7 6 2 3 5" xfId="35541"/>
    <cellStyle name="Separador de milhares 3 2 7 6 2 4" xfId="5924"/>
    <cellStyle name="Separador de milhares 3 2 7 6 2 4 2" xfId="24556"/>
    <cellStyle name="Separador de milhares 3 2 7 6 2 4 2 2" xfId="50789"/>
    <cellStyle name="Separador de milhares 3 2 7 6 2 4 3" xfId="32169"/>
    <cellStyle name="Separador de milhares 3 2 7 6 2 5" xfId="18642"/>
    <cellStyle name="Separador de milhares 3 2 7 6 2 5 2" xfId="44881"/>
    <cellStyle name="Separador de milhares 3 2 7 6 2 6" xfId="12311"/>
    <cellStyle name="Separador de milhares 3 2 7 6 2 6 2" xfId="38553"/>
    <cellStyle name="Separador de milhares 3 2 7 6 2 7" xfId="30471"/>
    <cellStyle name="Separador de milhares 3 2 7 6 3" xfId="6668"/>
    <cellStyle name="Separador de milhares 3 2 7 6 3 2" xfId="9815"/>
    <cellStyle name="Separador de milhares 3 2 7 6 3 2 2" xfId="28029"/>
    <cellStyle name="Separador de milhares 3 2 7 6 3 2 2 2" xfId="54259"/>
    <cellStyle name="Separador de milhares 3 2 7 6 3 2 3" xfId="22115"/>
    <cellStyle name="Separador de milhares 3 2 7 6 3 2 3 2" xfId="48351"/>
    <cellStyle name="Separador de milhares 3 2 7 6 3 2 4" xfId="16201"/>
    <cellStyle name="Separador de milhares 3 2 7 6 3 2 4 2" xfId="42443"/>
    <cellStyle name="Separador de milhares 3 2 7 6 3 2 5" xfId="36057"/>
    <cellStyle name="Separador de milhares 3 2 7 6 3 3" xfId="25072"/>
    <cellStyle name="Separador de milhares 3 2 7 6 3 3 2" xfId="51305"/>
    <cellStyle name="Separador de milhares 3 2 7 6 3 4" xfId="19158"/>
    <cellStyle name="Separador de milhares 3 2 7 6 3 4 2" xfId="45397"/>
    <cellStyle name="Separador de milhares 3 2 7 6 3 5" xfId="13057"/>
    <cellStyle name="Separador de milhares 3 2 7 6 3 5 2" xfId="39299"/>
    <cellStyle name="Separador de milhares 3 2 7 6 3 6" xfId="32913"/>
    <cellStyle name="Separador de milhares 3 2 7 6 4" xfId="8347"/>
    <cellStyle name="Separador de milhares 3 2 7 6 4 2" xfId="26561"/>
    <cellStyle name="Separador de milhares 3 2 7 6 4 2 2" xfId="52791"/>
    <cellStyle name="Separador de milhares 3 2 7 6 4 3" xfId="20647"/>
    <cellStyle name="Separador de milhares 3 2 7 6 4 3 2" xfId="46883"/>
    <cellStyle name="Separador de milhares 3 2 7 6 4 4" xfId="14733"/>
    <cellStyle name="Separador de milhares 3 2 7 6 4 4 2" xfId="40975"/>
    <cellStyle name="Separador de milhares 3 2 7 6 4 5" xfId="34589"/>
    <cellStyle name="Separador de milhares 3 2 7 6 5" xfId="4969"/>
    <cellStyle name="Separador de milhares 3 2 7 6 5 2" xfId="23604"/>
    <cellStyle name="Separador de milhares 3 2 7 6 5 2 2" xfId="49837"/>
    <cellStyle name="Separador de milhares 3 2 7 6 5 3" xfId="31214"/>
    <cellStyle name="Separador de milhares 3 2 7 6 6" xfId="17690"/>
    <cellStyle name="Separador de milhares 3 2 7 6 6 2" xfId="43929"/>
    <cellStyle name="Separador de milhares 3 2 7 6 7" xfId="11356"/>
    <cellStyle name="Separador de milhares 3 2 7 6 7 2" xfId="37598"/>
    <cellStyle name="Separador de milhares 3 2 7 6 8" xfId="29516"/>
    <cellStyle name="Separador de milhares 3 2 7 7" xfId="1095"/>
    <cellStyle name="Separador de milhares 3 2 7 7 2" xfId="6766"/>
    <cellStyle name="Separador de milhares 3 2 7 7 2 2" xfId="9913"/>
    <cellStyle name="Separador de milhares 3 2 7 7 2 2 2" xfId="28127"/>
    <cellStyle name="Separador de milhares 3 2 7 7 2 2 2 2" xfId="54357"/>
    <cellStyle name="Separador de milhares 3 2 7 7 2 2 3" xfId="22213"/>
    <cellStyle name="Separador de milhares 3 2 7 7 2 2 3 2" xfId="48449"/>
    <cellStyle name="Separador de milhares 3 2 7 7 2 2 4" xfId="16299"/>
    <cellStyle name="Separador de milhares 3 2 7 7 2 2 4 2" xfId="42541"/>
    <cellStyle name="Separador de milhares 3 2 7 7 2 2 5" xfId="36155"/>
    <cellStyle name="Separador de milhares 3 2 7 7 2 3" xfId="25170"/>
    <cellStyle name="Separador de milhares 3 2 7 7 2 3 2" xfId="51403"/>
    <cellStyle name="Separador de milhares 3 2 7 7 2 4" xfId="19256"/>
    <cellStyle name="Separador de milhares 3 2 7 7 2 4 2" xfId="45495"/>
    <cellStyle name="Separador de milhares 3 2 7 7 2 5" xfId="13155"/>
    <cellStyle name="Separador de milhares 3 2 7 7 2 5 2" xfId="39397"/>
    <cellStyle name="Separador de milhares 3 2 7 7 2 6" xfId="33011"/>
    <cellStyle name="Separador de milhares 3 2 7 7 3" xfId="8445"/>
    <cellStyle name="Separador de milhares 3 2 7 7 3 2" xfId="26659"/>
    <cellStyle name="Separador de milhares 3 2 7 7 3 2 2" xfId="52889"/>
    <cellStyle name="Separador de milhares 3 2 7 7 3 3" xfId="20745"/>
    <cellStyle name="Separador de milhares 3 2 7 7 3 3 2" xfId="46981"/>
    <cellStyle name="Separador de milhares 3 2 7 7 3 4" xfId="14831"/>
    <cellStyle name="Separador de milhares 3 2 7 7 3 4 2" xfId="41073"/>
    <cellStyle name="Separador de milhares 3 2 7 7 3 5" xfId="34687"/>
    <cellStyle name="Separador de milhares 3 2 7 7 4" xfId="5067"/>
    <cellStyle name="Separador de milhares 3 2 7 7 4 2" xfId="23702"/>
    <cellStyle name="Separador de milhares 3 2 7 7 4 2 2" xfId="49935"/>
    <cellStyle name="Separador de milhares 3 2 7 7 4 3" xfId="31312"/>
    <cellStyle name="Separador de milhares 3 2 7 7 5" xfId="17788"/>
    <cellStyle name="Separador de milhares 3 2 7 7 5 2" xfId="44027"/>
    <cellStyle name="Separador de milhares 3 2 7 7 6" xfId="11454"/>
    <cellStyle name="Separador de milhares 3 2 7 7 6 2" xfId="37696"/>
    <cellStyle name="Separador de milhares 3 2 7 7 7" xfId="29614"/>
    <cellStyle name="Separador de milhares 3 2 7 8" xfId="1530"/>
    <cellStyle name="Separador de milhares 3 2 7 8 2" xfId="6885"/>
    <cellStyle name="Separador de milhares 3 2 7 8 2 2" xfId="10032"/>
    <cellStyle name="Separador de milhares 3 2 7 8 2 2 2" xfId="28246"/>
    <cellStyle name="Separador de milhares 3 2 7 8 2 2 2 2" xfId="54476"/>
    <cellStyle name="Separador de milhares 3 2 7 8 2 2 3" xfId="22332"/>
    <cellStyle name="Separador de milhares 3 2 7 8 2 2 3 2" xfId="48568"/>
    <cellStyle name="Separador de milhares 3 2 7 8 2 2 4" xfId="16418"/>
    <cellStyle name="Separador de milhares 3 2 7 8 2 2 4 2" xfId="42660"/>
    <cellStyle name="Separador de milhares 3 2 7 8 2 2 5" xfId="36274"/>
    <cellStyle name="Separador de milhares 3 2 7 8 2 3" xfId="25289"/>
    <cellStyle name="Separador de milhares 3 2 7 8 2 3 2" xfId="51522"/>
    <cellStyle name="Separador de milhares 3 2 7 8 2 4" xfId="19375"/>
    <cellStyle name="Separador de milhares 3 2 7 8 2 4 2" xfId="45614"/>
    <cellStyle name="Separador de milhares 3 2 7 8 2 5" xfId="13274"/>
    <cellStyle name="Separador de milhares 3 2 7 8 2 5 2" xfId="39516"/>
    <cellStyle name="Separador de milhares 3 2 7 8 2 6" xfId="33130"/>
    <cellStyle name="Separador de milhares 3 2 7 8 3" xfId="8564"/>
    <cellStyle name="Separador de milhares 3 2 7 8 3 2" xfId="26778"/>
    <cellStyle name="Separador de milhares 3 2 7 8 3 2 2" xfId="53008"/>
    <cellStyle name="Separador de milhares 3 2 7 8 3 3" xfId="20864"/>
    <cellStyle name="Separador de milhares 3 2 7 8 3 3 2" xfId="47100"/>
    <cellStyle name="Separador de milhares 3 2 7 8 3 4" xfId="14950"/>
    <cellStyle name="Separador de milhares 3 2 7 8 3 4 2" xfId="41192"/>
    <cellStyle name="Separador de milhares 3 2 7 8 3 5" xfId="34806"/>
    <cellStyle name="Separador de milhares 3 2 7 8 4" xfId="5186"/>
    <cellStyle name="Separador de milhares 3 2 7 8 4 2" xfId="23821"/>
    <cellStyle name="Separador de milhares 3 2 7 8 4 2 2" xfId="50054"/>
    <cellStyle name="Separador de milhares 3 2 7 8 4 3" xfId="31431"/>
    <cellStyle name="Separador de milhares 3 2 7 8 5" xfId="17907"/>
    <cellStyle name="Separador de milhares 3 2 7 8 5 2" xfId="44146"/>
    <cellStyle name="Separador de milhares 3 2 7 8 6" xfId="11573"/>
    <cellStyle name="Separador de milhares 3 2 7 8 6 2" xfId="37815"/>
    <cellStyle name="Separador de milhares 3 2 7 8 7" xfId="29733"/>
    <cellStyle name="Separador de milhares 3 2 7 9" xfId="2060"/>
    <cellStyle name="Separador de milhares 3 2 7 9 2" xfId="7035"/>
    <cellStyle name="Separador de milhares 3 2 7 9 2 2" xfId="10179"/>
    <cellStyle name="Separador de milhares 3 2 7 9 2 2 2" xfId="28393"/>
    <cellStyle name="Separador de milhares 3 2 7 9 2 2 2 2" xfId="54623"/>
    <cellStyle name="Separador de milhares 3 2 7 9 2 2 3" xfId="22479"/>
    <cellStyle name="Separador de milhares 3 2 7 9 2 2 3 2" xfId="48715"/>
    <cellStyle name="Separador de milhares 3 2 7 9 2 2 4" xfId="16565"/>
    <cellStyle name="Separador de milhares 3 2 7 9 2 2 4 2" xfId="42807"/>
    <cellStyle name="Separador de milhares 3 2 7 9 2 2 5" xfId="36421"/>
    <cellStyle name="Separador de milhares 3 2 7 9 2 3" xfId="25436"/>
    <cellStyle name="Separador de milhares 3 2 7 9 2 3 2" xfId="51669"/>
    <cellStyle name="Separador de milhares 3 2 7 9 2 4" xfId="19522"/>
    <cellStyle name="Separador de milhares 3 2 7 9 2 4 2" xfId="45761"/>
    <cellStyle name="Separador de milhares 3 2 7 9 2 5" xfId="13424"/>
    <cellStyle name="Separador de milhares 3 2 7 9 2 5 2" xfId="39666"/>
    <cellStyle name="Separador de milhares 3 2 7 9 2 6" xfId="33280"/>
    <cellStyle name="Separador de milhares 3 2 7 9 3" xfId="8711"/>
    <cellStyle name="Separador de milhares 3 2 7 9 3 2" xfId="26925"/>
    <cellStyle name="Separador de milhares 3 2 7 9 3 2 2" xfId="53155"/>
    <cellStyle name="Separador de milhares 3 2 7 9 3 3" xfId="21011"/>
    <cellStyle name="Separador de milhares 3 2 7 9 3 3 2" xfId="47247"/>
    <cellStyle name="Separador de milhares 3 2 7 9 3 4" xfId="15097"/>
    <cellStyle name="Separador de milhares 3 2 7 9 3 4 2" xfId="41339"/>
    <cellStyle name="Separador de milhares 3 2 7 9 3 5" xfId="34953"/>
    <cellStyle name="Separador de milhares 3 2 7 9 4" xfId="5336"/>
    <cellStyle name="Separador de milhares 3 2 7 9 4 2" xfId="23968"/>
    <cellStyle name="Separador de milhares 3 2 7 9 4 2 2" xfId="50201"/>
    <cellStyle name="Separador de milhares 3 2 7 9 4 3" xfId="31581"/>
    <cellStyle name="Separador de milhares 3 2 7 9 5" xfId="18054"/>
    <cellStyle name="Separador de milhares 3 2 7 9 5 2" xfId="44293"/>
    <cellStyle name="Separador de milhares 3 2 7 9 6" xfId="11723"/>
    <cellStyle name="Separador de milhares 3 2 7 9 6 2" xfId="37965"/>
    <cellStyle name="Separador de milhares 3 2 7 9 7" xfId="29883"/>
    <cellStyle name="Separador de milhares 3 2 8" xfId="170"/>
    <cellStyle name="Separador de milhares 3 2 8 10" xfId="6487"/>
    <cellStyle name="Separador de milhares 3 2 8 10 2" xfId="9641"/>
    <cellStyle name="Separador de milhares 3 2 8 10 2 2" xfId="27855"/>
    <cellStyle name="Separador de milhares 3 2 8 10 2 2 2" xfId="54085"/>
    <cellStyle name="Separador de milhares 3 2 8 10 2 3" xfId="21941"/>
    <cellStyle name="Separador de milhares 3 2 8 10 2 3 2" xfId="48177"/>
    <cellStyle name="Separador de milhares 3 2 8 10 2 4" xfId="16027"/>
    <cellStyle name="Separador de milhares 3 2 8 10 2 4 2" xfId="42269"/>
    <cellStyle name="Separador de milhares 3 2 8 10 2 5" xfId="35883"/>
    <cellStyle name="Separador de milhares 3 2 8 10 3" xfId="24898"/>
    <cellStyle name="Separador de milhares 3 2 8 10 3 2" xfId="51131"/>
    <cellStyle name="Separador de milhares 3 2 8 10 4" xfId="18984"/>
    <cellStyle name="Separador de milhares 3 2 8 10 4 2" xfId="45223"/>
    <cellStyle name="Separador de milhares 3 2 8 10 5" xfId="12876"/>
    <cellStyle name="Separador de milhares 3 2 8 10 5 2" xfId="39118"/>
    <cellStyle name="Separador de milhares 3 2 8 10 6" xfId="32732"/>
    <cellStyle name="Separador de milhares 3 2 8 11" xfId="8170"/>
    <cellStyle name="Separador de milhares 3 2 8 11 2" xfId="26384"/>
    <cellStyle name="Separador de milhares 3 2 8 11 2 2" xfId="52617"/>
    <cellStyle name="Separador de milhares 3 2 8 11 3" xfId="20470"/>
    <cellStyle name="Separador de milhares 3 2 8 11 3 2" xfId="46709"/>
    <cellStyle name="Separador de milhares 3 2 8 11 4" xfId="14559"/>
    <cellStyle name="Separador de milhares 3 2 8 11 4 2" xfId="40801"/>
    <cellStyle name="Separador de milhares 3 2 8 11 5" xfId="34415"/>
    <cellStyle name="Separador de milhares 3 2 8 12" xfId="4786"/>
    <cellStyle name="Separador de milhares 3 2 8 12 2" xfId="23427"/>
    <cellStyle name="Separador de milhares 3 2 8 12 2 2" xfId="49663"/>
    <cellStyle name="Separador de milhares 3 2 8 12 3" xfId="31033"/>
    <cellStyle name="Separador de milhares 3 2 8 13" xfId="17513"/>
    <cellStyle name="Separador de milhares 3 2 8 13 2" xfId="43755"/>
    <cellStyle name="Separador de milhares 3 2 8 14" xfId="11175"/>
    <cellStyle name="Separador de milhares 3 2 8 14 2" xfId="37417"/>
    <cellStyle name="Separador de milhares 3 2 8 15" xfId="29336"/>
    <cellStyle name="Separador de milhares 3 2 8 2" xfId="443"/>
    <cellStyle name="Separador de milhares 3 2 8 2 10" xfId="17587"/>
    <cellStyle name="Separador de milhares 3 2 8 2 10 2" xfId="43829"/>
    <cellStyle name="Separador de milhares 3 2 8 2 11" xfId="11256"/>
    <cellStyle name="Separador de milhares 3 2 8 2 11 2" xfId="37498"/>
    <cellStyle name="Separador de milhares 3 2 8 2 12" xfId="29416"/>
    <cellStyle name="Separador de milhares 3 2 8 2 2" xfId="1962"/>
    <cellStyle name="Separador de milhares 3 2 8 2 2 2" xfId="7006"/>
    <cellStyle name="Separador de milhares 3 2 8 2 2 2 2" xfId="10153"/>
    <cellStyle name="Separador de milhares 3 2 8 2 2 2 2 2" xfId="28367"/>
    <cellStyle name="Separador de milhares 3 2 8 2 2 2 2 2 2" xfId="54597"/>
    <cellStyle name="Separador de milhares 3 2 8 2 2 2 2 3" xfId="22453"/>
    <cellStyle name="Separador de milhares 3 2 8 2 2 2 2 3 2" xfId="48689"/>
    <cellStyle name="Separador de milhares 3 2 8 2 2 2 2 4" xfId="16539"/>
    <cellStyle name="Separador de milhares 3 2 8 2 2 2 2 4 2" xfId="42781"/>
    <cellStyle name="Separador de milhares 3 2 8 2 2 2 2 5" xfId="36395"/>
    <cellStyle name="Separador de milhares 3 2 8 2 2 2 3" xfId="25410"/>
    <cellStyle name="Separador de milhares 3 2 8 2 2 2 3 2" xfId="51643"/>
    <cellStyle name="Separador de milhares 3 2 8 2 2 2 4" xfId="19496"/>
    <cellStyle name="Separador de milhares 3 2 8 2 2 2 4 2" xfId="45735"/>
    <cellStyle name="Separador de milhares 3 2 8 2 2 2 5" xfId="13395"/>
    <cellStyle name="Separador de milhares 3 2 8 2 2 2 5 2" xfId="39637"/>
    <cellStyle name="Separador de milhares 3 2 8 2 2 2 6" xfId="33251"/>
    <cellStyle name="Separador de milhares 3 2 8 2 2 3" xfId="8685"/>
    <cellStyle name="Separador de milhares 3 2 8 2 2 3 2" xfId="26899"/>
    <cellStyle name="Separador de milhares 3 2 8 2 2 3 2 2" xfId="53129"/>
    <cellStyle name="Separador de milhares 3 2 8 2 2 3 3" xfId="20985"/>
    <cellStyle name="Separador de milhares 3 2 8 2 2 3 3 2" xfId="47221"/>
    <cellStyle name="Separador de milhares 3 2 8 2 2 3 4" xfId="15071"/>
    <cellStyle name="Separador de milhares 3 2 8 2 2 3 4 2" xfId="41313"/>
    <cellStyle name="Separador de milhares 3 2 8 2 2 3 5" xfId="34927"/>
    <cellStyle name="Separador de milhares 3 2 8 2 2 4" xfId="5307"/>
    <cellStyle name="Separador de milhares 3 2 8 2 2 4 2" xfId="23942"/>
    <cellStyle name="Separador de milhares 3 2 8 2 2 4 2 2" xfId="50175"/>
    <cellStyle name="Separador de milhares 3 2 8 2 2 4 3" xfId="31552"/>
    <cellStyle name="Separador de milhares 3 2 8 2 2 5" xfId="18028"/>
    <cellStyle name="Separador de milhares 3 2 8 2 2 5 2" xfId="44267"/>
    <cellStyle name="Separador de milhares 3 2 8 2 2 6" xfId="11694"/>
    <cellStyle name="Separador de milhares 3 2 8 2 2 6 2" xfId="37936"/>
    <cellStyle name="Separador de milhares 3 2 8 2 2 7" xfId="29854"/>
    <cellStyle name="Separador de milhares 3 2 8 2 3" xfId="2492"/>
    <cellStyle name="Separador de milhares 3 2 8 2 3 2" xfId="7156"/>
    <cellStyle name="Separador de milhares 3 2 8 2 3 2 2" xfId="10300"/>
    <cellStyle name="Separador de milhares 3 2 8 2 3 2 2 2" xfId="28514"/>
    <cellStyle name="Separador de milhares 3 2 8 2 3 2 2 2 2" xfId="54744"/>
    <cellStyle name="Separador de milhares 3 2 8 2 3 2 2 3" xfId="22600"/>
    <cellStyle name="Separador de milhares 3 2 8 2 3 2 2 3 2" xfId="48836"/>
    <cellStyle name="Separador de milhares 3 2 8 2 3 2 2 4" xfId="16686"/>
    <cellStyle name="Separador de milhares 3 2 8 2 3 2 2 4 2" xfId="42928"/>
    <cellStyle name="Separador de milhares 3 2 8 2 3 2 2 5" xfId="36542"/>
    <cellStyle name="Separador de milhares 3 2 8 2 3 2 3" xfId="25557"/>
    <cellStyle name="Separador de milhares 3 2 8 2 3 2 3 2" xfId="51790"/>
    <cellStyle name="Separador de milhares 3 2 8 2 3 2 4" xfId="19643"/>
    <cellStyle name="Separador de milhares 3 2 8 2 3 2 4 2" xfId="45882"/>
    <cellStyle name="Separador de milhares 3 2 8 2 3 2 5" xfId="13545"/>
    <cellStyle name="Separador de milhares 3 2 8 2 3 2 5 2" xfId="39787"/>
    <cellStyle name="Separador de milhares 3 2 8 2 3 2 6" xfId="33401"/>
    <cellStyle name="Separador de milhares 3 2 8 2 3 3" xfId="8832"/>
    <cellStyle name="Separador de milhares 3 2 8 2 3 3 2" xfId="27046"/>
    <cellStyle name="Separador de milhares 3 2 8 2 3 3 2 2" xfId="53276"/>
    <cellStyle name="Separador de milhares 3 2 8 2 3 3 3" xfId="21132"/>
    <cellStyle name="Separador de milhares 3 2 8 2 3 3 3 2" xfId="47368"/>
    <cellStyle name="Separador de milhares 3 2 8 2 3 3 4" xfId="15218"/>
    <cellStyle name="Separador de milhares 3 2 8 2 3 3 4 2" xfId="41460"/>
    <cellStyle name="Separador de milhares 3 2 8 2 3 3 5" xfId="35074"/>
    <cellStyle name="Separador de milhares 3 2 8 2 3 4" xfId="5457"/>
    <cellStyle name="Separador de milhares 3 2 8 2 3 4 2" xfId="24089"/>
    <cellStyle name="Separador de milhares 3 2 8 2 3 4 2 2" xfId="50322"/>
    <cellStyle name="Separador de milhares 3 2 8 2 3 4 3" xfId="31702"/>
    <cellStyle name="Separador de milhares 3 2 8 2 3 5" xfId="18175"/>
    <cellStyle name="Separador de milhares 3 2 8 2 3 5 2" xfId="44414"/>
    <cellStyle name="Separador de milhares 3 2 8 2 3 6" xfId="11844"/>
    <cellStyle name="Separador de milhares 3 2 8 2 3 6 2" xfId="38086"/>
    <cellStyle name="Separador de milhares 3 2 8 2 3 7" xfId="30004"/>
    <cellStyle name="Separador de milhares 3 2 8 2 4" xfId="3019"/>
    <cellStyle name="Separador de milhares 3 2 8 2 4 2" xfId="7303"/>
    <cellStyle name="Separador de milhares 3 2 8 2 4 2 2" xfId="10447"/>
    <cellStyle name="Separador de milhares 3 2 8 2 4 2 2 2" xfId="28661"/>
    <cellStyle name="Separador de milhares 3 2 8 2 4 2 2 2 2" xfId="54891"/>
    <cellStyle name="Separador de milhares 3 2 8 2 4 2 2 3" xfId="22747"/>
    <cellStyle name="Separador de milhares 3 2 8 2 4 2 2 3 2" xfId="48983"/>
    <cellStyle name="Separador de milhares 3 2 8 2 4 2 2 4" xfId="16833"/>
    <cellStyle name="Separador de milhares 3 2 8 2 4 2 2 4 2" xfId="43075"/>
    <cellStyle name="Separador de milhares 3 2 8 2 4 2 2 5" xfId="36689"/>
    <cellStyle name="Separador de milhares 3 2 8 2 4 2 3" xfId="25704"/>
    <cellStyle name="Separador de milhares 3 2 8 2 4 2 3 2" xfId="51937"/>
    <cellStyle name="Separador de milhares 3 2 8 2 4 2 4" xfId="19790"/>
    <cellStyle name="Separador de milhares 3 2 8 2 4 2 4 2" xfId="46029"/>
    <cellStyle name="Separador de milhares 3 2 8 2 4 2 5" xfId="13692"/>
    <cellStyle name="Separador de milhares 3 2 8 2 4 2 5 2" xfId="39934"/>
    <cellStyle name="Separador de milhares 3 2 8 2 4 2 6" xfId="33548"/>
    <cellStyle name="Separador de milhares 3 2 8 2 4 3" xfId="8979"/>
    <cellStyle name="Separador de milhares 3 2 8 2 4 3 2" xfId="27193"/>
    <cellStyle name="Separador de milhares 3 2 8 2 4 3 2 2" xfId="53423"/>
    <cellStyle name="Separador de milhares 3 2 8 2 4 3 3" xfId="21279"/>
    <cellStyle name="Separador de milhares 3 2 8 2 4 3 3 2" xfId="47515"/>
    <cellStyle name="Separador de milhares 3 2 8 2 4 3 4" xfId="15365"/>
    <cellStyle name="Separador de milhares 3 2 8 2 4 3 4 2" xfId="41607"/>
    <cellStyle name="Separador de milhares 3 2 8 2 4 3 5" xfId="35221"/>
    <cellStyle name="Separador de milhares 3 2 8 2 4 4" xfId="5604"/>
    <cellStyle name="Separador de milhares 3 2 8 2 4 4 2" xfId="24236"/>
    <cellStyle name="Separador de milhares 3 2 8 2 4 4 2 2" xfId="50469"/>
    <cellStyle name="Separador de milhares 3 2 8 2 4 4 3" xfId="31849"/>
    <cellStyle name="Separador de milhares 3 2 8 2 4 5" xfId="18322"/>
    <cellStyle name="Separador de milhares 3 2 8 2 4 5 2" xfId="44561"/>
    <cellStyle name="Separador de milhares 3 2 8 2 4 6" xfId="11991"/>
    <cellStyle name="Separador de milhares 3 2 8 2 4 6 2" xfId="38233"/>
    <cellStyle name="Separador de milhares 3 2 8 2 4 7" xfId="30151"/>
    <cellStyle name="Separador de milhares 3 2 8 2 5" xfId="3546"/>
    <cellStyle name="Separador de milhares 3 2 8 2 5 2" xfId="7450"/>
    <cellStyle name="Separador de milhares 3 2 8 2 5 2 2" xfId="10594"/>
    <cellStyle name="Separador de milhares 3 2 8 2 5 2 2 2" xfId="28808"/>
    <cellStyle name="Separador de milhares 3 2 8 2 5 2 2 2 2" xfId="55038"/>
    <cellStyle name="Separador de milhares 3 2 8 2 5 2 2 3" xfId="22894"/>
    <cellStyle name="Separador de milhares 3 2 8 2 5 2 2 3 2" xfId="49130"/>
    <cellStyle name="Separador de milhares 3 2 8 2 5 2 2 4" xfId="16980"/>
    <cellStyle name="Separador de milhares 3 2 8 2 5 2 2 4 2" xfId="43222"/>
    <cellStyle name="Separador de milhares 3 2 8 2 5 2 2 5" xfId="36836"/>
    <cellStyle name="Separador de milhares 3 2 8 2 5 2 3" xfId="25851"/>
    <cellStyle name="Separador de milhares 3 2 8 2 5 2 3 2" xfId="52084"/>
    <cellStyle name="Separador de milhares 3 2 8 2 5 2 4" xfId="19937"/>
    <cellStyle name="Separador de milhares 3 2 8 2 5 2 4 2" xfId="46176"/>
    <cellStyle name="Separador de milhares 3 2 8 2 5 2 5" xfId="13839"/>
    <cellStyle name="Separador de milhares 3 2 8 2 5 2 5 2" xfId="40081"/>
    <cellStyle name="Separador de milhares 3 2 8 2 5 2 6" xfId="33695"/>
    <cellStyle name="Separador de milhares 3 2 8 2 5 3" xfId="9126"/>
    <cellStyle name="Separador de milhares 3 2 8 2 5 3 2" xfId="27340"/>
    <cellStyle name="Separador de milhares 3 2 8 2 5 3 2 2" xfId="53570"/>
    <cellStyle name="Separador de milhares 3 2 8 2 5 3 3" xfId="21426"/>
    <cellStyle name="Separador de milhares 3 2 8 2 5 3 3 2" xfId="47662"/>
    <cellStyle name="Separador de milhares 3 2 8 2 5 3 4" xfId="15512"/>
    <cellStyle name="Separador de milhares 3 2 8 2 5 3 4 2" xfId="41754"/>
    <cellStyle name="Separador de milhares 3 2 8 2 5 3 5" xfId="35368"/>
    <cellStyle name="Separador de milhares 3 2 8 2 5 4" xfId="5751"/>
    <cellStyle name="Separador de milhares 3 2 8 2 5 4 2" xfId="24383"/>
    <cellStyle name="Separador de milhares 3 2 8 2 5 4 2 2" xfId="50616"/>
    <cellStyle name="Separador de milhares 3 2 8 2 5 4 3" xfId="31996"/>
    <cellStyle name="Separador de milhares 3 2 8 2 5 5" xfId="18469"/>
    <cellStyle name="Separador de milhares 3 2 8 2 5 5 2" xfId="44708"/>
    <cellStyle name="Separador de milhares 3 2 8 2 5 6" xfId="12138"/>
    <cellStyle name="Separador de milhares 3 2 8 2 5 6 2" xfId="38380"/>
    <cellStyle name="Separador de milhares 3 2 8 2 5 7" xfId="30298"/>
    <cellStyle name="Separador de milhares 3 2 8 2 6" xfId="4073"/>
    <cellStyle name="Separador de milhares 3 2 8 2 6 2" xfId="7597"/>
    <cellStyle name="Separador de milhares 3 2 8 2 6 2 2" xfId="10741"/>
    <cellStyle name="Separador de milhares 3 2 8 2 6 2 2 2" xfId="28955"/>
    <cellStyle name="Separador de milhares 3 2 8 2 6 2 2 2 2" xfId="55185"/>
    <cellStyle name="Separador de milhares 3 2 8 2 6 2 2 3" xfId="23041"/>
    <cellStyle name="Separador de milhares 3 2 8 2 6 2 2 3 2" xfId="49277"/>
    <cellStyle name="Separador de milhares 3 2 8 2 6 2 2 4" xfId="17127"/>
    <cellStyle name="Separador de milhares 3 2 8 2 6 2 2 4 2" xfId="43369"/>
    <cellStyle name="Separador de milhares 3 2 8 2 6 2 2 5" xfId="36983"/>
    <cellStyle name="Separador de milhares 3 2 8 2 6 2 3" xfId="25998"/>
    <cellStyle name="Separador de milhares 3 2 8 2 6 2 3 2" xfId="52231"/>
    <cellStyle name="Separador de milhares 3 2 8 2 6 2 4" xfId="20084"/>
    <cellStyle name="Separador de milhares 3 2 8 2 6 2 4 2" xfId="46323"/>
    <cellStyle name="Separador de milhares 3 2 8 2 6 2 5" xfId="13986"/>
    <cellStyle name="Separador de milhares 3 2 8 2 6 2 5 2" xfId="40228"/>
    <cellStyle name="Separador de milhares 3 2 8 2 6 2 6" xfId="33842"/>
    <cellStyle name="Separador de milhares 3 2 8 2 6 3" xfId="9273"/>
    <cellStyle name="Separador de milhares 3 2 8 2 6 3 2" xfId="27487"/>
    <cellStyle name="Separador de milhares 3 2 8 2 6 3 2 2" xfId="53717"/>
    <cellStyle name="Separador de milhares 3 2 8 2 6 3 3" xfId="21573"/>
    <cellStyle name="Separador de milhares 3 2 8 2 6 3 3 2" xfId="47809"/>
    <cellStyle name="Separador de milhares 3 2 8 2 6 3 4" xfId="15659"/>
    <cellStyle name="Separador de milhares 3 2 8 2 6 3 4 2" xfId="41901"/>
    <cellStyle name="Separador de milhares 3 2 8 2 6 3 5" xfId="35515"/>
    <cellStyle name="Separador de milhares 3 2 8 2 6 4" xfId="5898"/>
    <cellStyle name="Separador de milhares 3 2 8 2 6 4 2" xfId="24530"/>
    <cellStyle name="Separador de milhares 3 2 8 2 6 4 2 2" xfId="50763"/>
    <cellStyle name="Separador de milhares 3 2 8 2 6 4 3" xfId="32143"/>
    <cellStyle name="Separador de milhares 3 2 8 2 6 5" xfId="18616"/>
    <cellStyle name="Separador de milhares 3 2 8 2 6 5 2" xfId="44855"/>
    <cellStyle name="Separador de milhares 3 2 8 2 6 6" xfId="12285"/>
    <cellStyle name="Separador de milhares 3 2 8 2 6 6 2" xfId="38527"/>
    <cellStyle name="Separador de milhares 3 2 8 2 6 7" xfId="30445"/>
    <cellStyle name="Separador de milhares 3 2 8 2 7" xfId="6568"/>
    <cellStyle name="Separador de milhares 3 2 8 2 7 2" xfId="9715"/>
    <cellStyle name="Separador de milhares 3 2 8 2 7 2 2" xfId="27929"/>
    <cellStyle name="Separador de milhares 3 2 8 2 7 2 2 2" xfId="54159"/>
    <cellStyle name="Separador de milhares 3 2 8 2 7 2 3" xfId="22015"/>
    <cellStyle name="Separador de milhares 3 2 8 2 7 2 3 2" xfId="48251"/>
    <cellStyle name="Separador de milhares 3 2 8 2 7 2 4" xfId="16101"/>
    <cellStyle name="Separador de milhares 3 2 8 2 7 2 4 2" xfId="42343"/>
    <cellStyle name="Separador de milhares 3 2 8 2 7 2 5" xfId="35957"/>
    <cellStyle name="Separador de milhares 3 2 8 2 7 3" xfId="24972"/>
    <cellStyle name="Separador de milhares 3 2 8 2 7 3 2" xfId="51205"/>
    <cellStyle name="Separador de milhares 3 2 8 2 7 4" xfId="19058"/>
    <cellStyle name="Separador de milhares 3 2 8 2 7 4 2" xfId="45297"/>
    <cellStyle name="Separador de milhares 3 2 8 2 7 5" xfId="12957"/>
    <cellStyle name="Separador de milhares 3 2 8 2 7 5 2" xfId="39199"/>
    <cellStyle name="Separador de milhares 3 2 8 2 7 6" xfId="32813"/>
    <cellStyle name="Separador de milhares 3 2 8 2 8" xfId="8244"/>
    <cellStyle name="Separador de milhares 3 2 8 2 8 2" xfId="26458"/>
    <cellStyle name="Separador de milhares 3 2 8 2 8 2 2" xfId="52691"/>
    <cellStyle name="Separador de milhares 3 2 8 2 8 3" xfId="20544"/>
    <cellStyle name="Separador de milhares 3 2 8 2 8 3 2" xfId="46783"/>
    <cellStyle name="Separador de milhares 3 2 8 2 8 4" xfId="14633"/>
    <cellStyle name="Separador de milhares 3 2 8 2 8 4 2" xfId="40875"/>
    <cellStyle name="Separador de milhares 3 2 8 2 8 5" xfId="34489"/>
    <cellStyle name="Separador de milhares 3 2 8 2 9" xfId="4867"/>
    <cellStyle name="Separador de milhares 3 2 8 2 9 2" xfId="23501"/>
    <cellStyle name="Separador de milhares 3 2 8 2 9 2 2" xfId="49737"/>
    <cellStyle name="Separador de milhares 3 2 8 2 9 3" xfId="31114"/>
    <cellStyle name="Separador de milhares 3 2 8 3" xfId="916"/>
    <cellStyle name="Separador de milhares 3 2 8 3 2" xfId="6719"/>
    <cellStyle name="Separador de milhares 3 2 8 3 2 2" xfId="9866"/>
    <cellStyle name="Separador de milhares 3 2 8 3 2 2 2" xfId="28080"/>
    <cellStyle name="Separador de milhares 3 2 8 3 2 2 2 2" xfId="54310"/>
    <cellStyle name="Separador de milhares 3 2 8 3 2 2 3" xfId="22166"/>
    <cellStyle name="Separador de milhares 3 2 8 3 2 2 3 2" xfId="48402"/>
    <cellStyle name="Separador de milhares 3 2 8 3 2 2 4" xfId="16252"/>
    <cellStyle name="Separador de milhares 3 2 8 3 2 2 4 2" xfId="42494"/>
    <cellStyle name="Separador de milhares 3 2 8 3 2 2 5" xfId="36108"/>
    <cellStyle name="Separador de milhares 3 2 8 3 2 3" xfId="25123"/>
    <cellStyle name="Separador de milhares 3 2 8 3 2 3 2" xfId="51356"/>
    <cellStyle name="Separador de milhares 3 2 8 3 2 4" xfId="19209"/>
    <cellStyle name="Separador de milhares 3 2 8 3 2 4 2" xfId="45448"/>
    <cellStyle name="Separador de milhares 3 2 8 3 2 5" xfId="13108"/>
    <cellStyle name="Separador de milhares 3 2 8 3 2 5 2" xfId="39350"/>
    <cellStyle name="Separador de milhares 3 2 8 3 2 6" xfId="32964"/>
    <cellStyle name="Separador de milhares 3 2 8 3 3" xfId="8398"/>
    <cellStyle name="Separador de milhares 3 2 8 3 3 2" xfId="26612"/>
    <cellStyle name="Separador de milhares 3 2 8 3 3 2 2" xfId="52842"/>
    <cellStyle name="Separador de milhares 3 2 8 3 3 3" xfId="20698"/>
    <cellStyle name="Separador de milhares 3 2 8 3 3 3 2" xfId="46934"/>
    <cellStyle name="Separador de milhares 3 2 8 3 3 4" xfId="14784"/>
    <cellStyle name="Separador de milhares 3 2 8 3 3 4 2" xfId="41026"/>
    <cellStyle name="Separador de milhares 3 2 8 3 3 5" xfId="34640"/>
    <cellStyle name="Separador de milhares 3 2 8 3 4" xfId="5020"/>
    <cellStyle name="Separador de milhares 3 2 8 3 4 2" xfId="23655"/>
    <cellStyle name="Separador de milhares 3 2 8 3 4 2 2" xfId="49888"/>
    <cellStyle name="Separador de milhares 3 2 8 3 4 3" xfId="31265"/>
    <cellStyle name="Separador de milhares 3 2 8 3 5" xfId="17741"/>
    <cellStyle name="Separador de milhares 3 2 8 3 5 2" xfId="43980"/>
    <cellStyle name="Separador de milhares 3 2 8 3 6" xfId="11407"/>
    <cellStyle name="Separador de milhares 3 2 8 3 6 2" xfId="37649"/>
    <cellStyle name="Separador de milhares 3 2 8 3 7" xfId="29567"/>
    <cellStyle name="Separador de milhares 3 2 8 4" xfId="1267"/>
    <cellStyle name="Separador de milhares 3 2 8 4 2" xfId="6817"/>
    <cellStyle name="Separador de milhares 3 2 8 4 2 2" xfId="9964"/>
    <cellStyle name="Separador de milhares 3 2 8 4 2 2 2" xfId="28178"/>
    <cellStyle name="Separador de milhares 3 2 8 4 2 2 2 2" xfId="54408"/>
    <cellStyle name="Separador de milhares 3 2 8 4 2 2 3" xfId="22264"/>
    <cellStyle name="Separador de milhares 3 2 8 4 2 2 3 2" xfId="48500"/>
    <cellStyle name="Separador de milhares 3 2 8 4 2 2 4" xfId="16350"/>
    <cellStyle name="Separador de milhares 3 2 8 4 2 2 4 2" xfId="42592"/>
    <cellStyle name="Separador de milhares 3 2 8 4 2 2 5" xfId="36206"/>
    <cellStyle name="Separador de milhares 3 2 8 4 2 3" xfId="25221"/>
    <cellStyle name="Separador de milhares 3 2 8 4 2 3 2" xfId="51454"/>
    <cellStyle name="Separador de milhares 3 2 8 4 2 4" xfId="19307"/>
    <cellStyle name="Separador de milhares 3 2 8 4 2 4 2" xfId="45546"/>
    <cellStyle name="Separador de milhares 3 2 8 4 2 5" xfId="13206"/>
    <cellStyle name="Separador de milhares 3 2 8 4 2 5 2" xfId="39448"/>
    <cellStyle name="Separador de milhares 3 2 8 4 2 6" xfId="33062"/>
    <cellStyle name="Separador de milhares 3 2 8 4 3" xfId="8496"/>
    <cellStyle name="Separador de milhares 3 2 8 4 3 2" xfId="26710"/>
    <cellStyle name="Separador de milhares 3 2 8 4 3 2 2" xfId="52940"/>
    <cellStyle name="Separador de milhares 3 2 8 4 3 3" xfId="20796"/>
    <cellStyle name="Separador de milhares 3 2 8 4 3 3 2" xfId="47032"/>
    <cellStyle name="Separador de milhares 3 2 8 4 3 4" xfId="14882"/>
    <cellStyle name="Separador de milhares 3 2 8 4 3 4 2" xfId="41124"/>
    <cellStyle name="Separador de milhares 3 2 8 4 3 5" xfId="34738"/>
    <cellStyle name="Separador de milhares 3 2 8 4 4" xfId="5118"/>
    <cellStyle name="Separador de milhares 3 2 8 4 4 2" xfId="23753"/>
    <cellStyle name="Separador de milhares 3 2 8 4 4 2 2" xfId="49986"/>
    <cellStyle name="Separador de milhares 3 2 8 4 4 3" xfId="31363"/>
    <cellStyle name="Separador de milhares 3 2 8 4 5" xfId="17839"/>
    <cellStyle name="Separador de milhares 3 2 8 4 5 2" xfId="44078"/>
    <cellStyle name="Separador de milhares 3 2 8 4 6" xfId="11505"/>
    <cellStyle name="Separador de milhares 3 2 8 4 6 2" xfId="37747"/>
    <cellStyle name="Separador de milhares 3 2 8 4 7" xfId="29665"/>
    <cellStyle name="Separador de milhares 3 2 8 5" xfId="1702"/>
    <cellStyle name="Separador de milhares 3 2 8 5 2" xfId="6936"/>
    <cellStyle name="Separador de milhares 3 2 8 5 2 2" xfId="10083"/>
    <cellStyle name="Separador de milhares 3 2 8 5 2 2 2" xfId="28297"/>
    <cellStyle name="Separador de milhares 3 2 8 5 2 2 2 2" xfId="54527"/>
    <cellStyle name="Separador de milhares 3 2 8 5 2 2 3" xfId="22383"/>
    <cellStyle name="Separador de milhares 3 2 8 5 2 2 3 2" xfId="48619"/>
    <cellStyle name="Separador de milhares 3 2 8 5 2 2 4" xfId="16469"/>
    <cellStyle name="Separador de milhares 3 2 8 5 2 2 4 2" xfId="42711"/>
    <cellStyle name="Separador de milhares 3 2 8 5 2 2 5" xfId="36325"/>
    <cellStyle name="Separador de milhares 3 2 8 5 2 3" xfId="25340"/>
    <cellStyle name="Separador de milhares 3 2 8 5 2 3 2" xfId="51573"/>
    <cellStyle name="Separador de milhares 3 2 8 5 2 4" xfId="19426"/>
    <cellStyle name="Separador de milhares 3 2 8 5 2 4 2" xfId="45665"/>
    <cellStyle name="Separador de milhares 3 2 8 5 2 5" xfId="13325"/>
    <cellStyle name="Separador de milhares 3 2 8 5 2 5 2" xfId="39567"/>
    <cellStyle name="Separador de milhares 3 2 8 5 2 6" xfId="33181"/>
    <cellStyle name="Separador de milhares 3 2 8 5 3" xfId="8615"/>
    <cellStyle name="Separador de milhares 3 2 8 5 3 2" xfId="26829"/>
    <cellStyle name="Separador de milhares 3 2 8 5 3 2 2" xfId="53059"/>
    <cellStyle name="Separador de milhares 3 2 8 5 3 3" xfId="20915"/>
    <cellStyle name="Separador de milhares 3 2 8 5 3 3 2" xfId="47151"/>
    <cellStyle name="Separador de milhares 3 2 8 5 3 4" xfId="15001"/>
    <cellStyle name="Separador de milhares 3 2 8 5 3 4 2" xfId="41243"/>
    <cellStyle name="Separador de milhares 3 2 8 5 3 5" xfId="34857"/>
    <cellStyle name="Separador de milhares 3 2 8 5 4" xfId="5237"/>
    <cellStyle name="Separador de milhares 3 2 8 5 4 2" xfId="23872"/>
    <cellStyle name="Separador de milhares 3 2 8 5 4 2 2" xfId="50105"/>
    <cellStyle name="Separador de milhares 3 2 8 5 4 3" xfId="31482"/>
    <cellStyle name="Separador de milhares 3 2 8 5 5" xfId="17958"/>
    <cellStyle name="Separador de milhares 3 2 8 5 5 2" xfId="44197"/>
    <cellStyle name="Separador de milhares 3 2 8 5 6" xfId="11624"/>
    <cellStyle name="Separador de milhares 3 2 8 5 6 2" xfId="37866"/>
    <cellStyle name="Separador de milhares 3 2 8 5 7" xfId="29784"/>
    <cellStyle name="Separador de milhares 3 2 8 6" xfId="2232"/>
    <cellStyle name="Separador de milhares 3 2 8 6 2" xfId="7086"/>
    <cellStyle name="Separador de milhares 3 2 8 6 2 2" xfId="10230"/>
    <cellStyle name="Separador de milhares 3 2 8 6 2 2 2" xfId="28444"/>
    <cellStyle name="Separador de milhares 3 2 8 6 2 2 2 2" xfId="54674"/>
    <cellStyle name="Separador de milhares 3 2 8 6 2 2 3" xfId="22530"/>
    <cellStyle name="Separador de milhares 3 2 8 6 2 2 3 2" xfId="48766"/>
    <cellStyle name="Separador de milhares 3 2 8 6 2 2 4" xfId="16616"/>
    <cellStyle name="Separador de milhares 3 2 8 6 2 2 4 2" xfId="42858"/>
    <cellStyle name="Separador de milhares 3 2 8 6 2 2 5" xfId="36472"/>
    <cellStyle name="Separador de milhares 3 2 8 6 2 3" xfId="25487"/>
    <cellStyle name="Separador de milhares 3 2 8 6 2 3 2" xfId="51720"/>
    <cellStyle name="Separador de milhares 3 2 8 6 2 4" xfId="19573"/>
    <cellStyle name="Separador de milhares 3 2 8 6 2 4 2" xfId="45812"/>
    <cellStyle name="Separador de milhares 3 2 8 6 2 5" xfId="13475"/>
    <cellStyle name="Separador de milhares 3 2 8 6 2 5 2" xfId="39717"/>
    <cellStyle name="Separador de milhares 3 2 8 6 2 6" xfId="33331"/>
    <cellStyle name="Separador de milhares 3 2 8 6 3" xfId="8762"/>
    <cellStyle name="Separador de milhares 3 2 8 6 3 2" xfId="26976"/>
    <cellStyle name="Separador de milhares 3 2 8 6 3 2 2" xfId="53206"/>
    <cellStyle name="Separador de milhares 3 2 8 6 3 3" xfId="21062"/>
    <cellStyle name="Separador de milhares 3 2 8 6 3 3 2" xfId="47298"/>
    <cellStyle name="Separador de milhares 3 2 8 6 3 4" xfId="15148"/>
    <cellStyle name="Separador de milhares 3 2 8 6 3 4 2" xfId="41390"/>
    <cellStyle name="Separador de milhares 3 2 8 6 3 5" xfId="35004"/>
    <cellStyle name="Separador de milhares 3 2 8 6 4" xfId="5387"/>
    <cellStyle name="Separador de milhares 3 2 8 6 4 2" xfId="24019"/>
    <cellStyle name="Separador de milhares 3 2 8 6 4 2 2" xfId="50252"/>
    <cellStyle name="Separador de milhares 3 2 8 6 4 3" xfId="31632"/>
    <cellStyle name="Separador de milhares 3 2 8 6 5" xfId="18105"/>
    <cellStyle name="Separador de milhares 3 2 8 6 5 2" xfId="44344"/>
    <cellStyle name="Separador de milhares 3 2 8 6 6" xfId="11774"/>
    <cellStyle name="Separador de milhares 3 2 8 6 6 2" xfId="38016"/>
    <cellStyle name="Separador de milhares 3 2 8 6 7" xfId="29934"/>
    <cellStyle name="Separador de milhares 3 2 8 7" xfId="2759"/>
    <cellStyle name="Separador de milhares 3 2 8 7 2" xfId="7233"/>
    <cellStyle name="Separador de milhares 3 2 8 7 2 2" xfId="10377"/>
    <cellStyle name="Separador de milhares 3 2 8 7 2 2 2" xfId="28591"/>
    <cellStyle name="Separador de milhares 3 2 8 7 2 2 2 2" xfId="54821"/>
    <cellStyle name="Separador de milhares 3 2 8 7 2 2 3" xfId="22677"/>
    <cellStyle name="Separador de milhares 3 2 8 7 2 2 3 2" xfId="48913"/>
    <cellStyle name="Separador de milhares 3 2 8 7 2 2 4" xfId="16763"/>
    <cellStyle name="Separador de milhares 3 2 8 7 2 2 4 2" xfId="43005"/>
    <cellStyle name="Separador de milhares 3 2 8 7 2 2 5" xfId="36619"/>
    <cellStyle name="Separador de milhares 3 2 8 7 2 3" xfId="25634"/>
    <cellStyle name="Separador de milhares 3 2 8 7 2 3 2" xfId="51867"/>
    <cellStyle name="Separador de milhares 3 2 8 7 2 4" xfId="19720"/>
    <cellStyle name="Separador de milhares 3 2 8 7 2 4 2" xfId="45959"/>
    <cellStyle name="Separador de milhares 3 2 8 7 2 5" xfId="13622"/>
    <cellStyle name="Separador de milhares 3 2 8 7 2 5 2" xfId="39864"/>
    <cellStyle name="Separador de milhares 3 2 8 7 2 6" xfId="33478"/>
    <cellStyle name="Separador de milhares 3 2 8 7 3" xfId="8909"/>
    <cellStyle name="Separador de milhares 3 2 8 7 3 2" xfId="27123"/>
    <cellStyle name="Separador de milhares 3 2 8 7 3 2 2" xfId="53353"/>
    <cellStyle name="Separador de milhares 3 2 8 7 3 3" xfId="21209"/>
    <cellStyle name="Separador de milhares 3 2 8 7 3 3 2" xfId="47445"/>
    <cellStyle name="Separador de milhares 3 2 8 7 3 4" xfId="15295"/>
    <cellStyle name="Separador de milhares 3 2 8 7 3 4 2" xfId="41537"/>
    <cellStyle name="Separador de milhares 3 2 8 7 3 5" xfId="35151"/>
    <cellStyle name="Separador de milhares 3 2 8 7 4" xfId="5534"/>
    <cellStyle name="Separador de milhares 3 2 8 7 4 2" xfId="24166"/>
    <cellStyle name="Separador de milhares 3 2 8 7 4 2 2" xfId="50399"/>
    <cellStyle name="Separador de milhares 3 2 8 7 4 3" xfId="31779"/>
    <cellStyle name="Separador de milhares 3 2 8 7 5" xfId="18252"/>
    <cellStyle name="Separador de milhares 3 2 8 7 5 2" xfId="44491"/>
    <cellStyle name="Separador de milhares 3 2 8 7 6" xfId="11921"/>
    <cellStyle name="Separador de milhares 3 2 8 7 6 2" xfId="38163"/>
    <cellStyle name="Separador de milhares 3 2 8 7 7" xfId="30081"/>
    <cellStyle name="Separador de milhares 3 2 8 8" xfId="3286"/>
    <cellStyle name="Separador de milhares 3 2 8 8 2" xfId="7380"/>
    <cellStyle name="Separador de milhares 3 2 8 8 2 2" xfId="10524"/>
    <cellStyle name="Separador de milhares 3 2 8 8 2 2 2" xfId="28738"/>
    <cellStyle name="Separador de milhares 3 2 8 8 2 2 2 2" xfId="54968"/>
    <cellStyle name="Separador de milhares 3 2 8 8 2 2 3" xfId="22824"/>
    <cellStyle name="Separador de milhares 3 2 8 8 2 2 3 2" xfId="49060"/>
    <cellStyle name="Separador de milhares 3 2 8 8 2 2 4" xfId="16910"/>
    <cellStyle name="Separador de milhares 3 2 8 8 2 2 4 2" xfId="43152"/>
    <cellStyle name="Separador de milhares 3 2 8 8 2 2 5" xfId="36766"/>
    <cellStyle name="Separador de milhares 3 2 8 8 2 3" xfId="25781"/>
    <cellStyle name="Separador de milhares 3 2 8 8 2 3 2" xfId="52014"/>
    <cellStyle name="Separador de milhares 3 2 8 8 2 4" xfId="19867"/>
    <cellStyle name="Separador de milhares 3 2 8 8 2 4 2" xfId="46106"/>
    <cellStyle name="Separador de milhares 3 2 8 8 2 5" xfId="13769"/>
    <cellStyle name="Separador de milhares 3 2 8 8 2 5 2" xfId="40011"/>
    <cellStyle name="Separador de milhares 3 2 8 8 2 6" xfId="33625"/>
    <cellStyle name="Separador de milhares 3 2 8 8 3" xfId="9056"/>
    <cellStyle name="Separador de milhares 3 2 8 8 3 2" xfId="27270"/>
    <cellStyle name="Separador de milhares 3 2 8 8 3 2 2" xfId="53500"/>
    <cellStyle name="Separador de milhares 3 2 8 8 3 3" xfId="21356"/>
    <cellStyle name="Separador de milhares 3 2 8 8 3 3 2" xfId="47592"/>
    <cellStyle name="Separador de milhares 3 2 8 8 3 4" xfId="15442"/>
    <cellStyle name="Separador de milhares 3 2 8 8 3 4 2" xfId="41684"/>
    <cellStyle name="Separador de milhares 3 2 8 8 3 5" xfId="35298"/>
    <cellStyle name="Separador de milhares 3 2 8 8 4" xfId="5681"/>
    <cellStyle name="Separador de milhares 3 2 8 8 4 2" xfId="24313"/>
    <cellStyle name="Separador de milhares 3 2 8 8 4 2 2" xfId="50546"/>
    <cellStyle name="Separador de milhares 3 2 8 8 4 3" xfId="31926"/>
    <cellStyle name="Separador de milhares 3 2 8 8 5" xfId="18399"/>
    <cellStyle name="Separador de milhares 3 2 8 8 5 2" xfId="44638"/>
    <cellStyle name="Separador de milhares 3 2 8 8 6" xfId="12068"/>
    <cellStyle name="Separador de milhares 3 2 8 8 6 2" xfId="38310"/>
    <cellStyle name="Separador de milhares 3 2 8 8 7" xfId="30228"/>
    <cellStyle name="Separador de milhares 3 2 8 9" xfId="3813"/>
    <cellStyle name="Separador de milhares 3 2 8 9 2" xfId="7527"/>
    <cellStyle name="Separador de milhares 3 2 8 9 2 2" xfId="10671"/>
    <cellStyle name="Separador de milhares 3 2 8 9 2 2 2" xfId="28885"/>
    <cellStyle name="Separador de milhares 3 2 8 9 2 2 2 2" xfId="55115"/>
    <cellStyle name="Separador de milhares 3 2 8 9 2 2 3" xfId="22971"/>
    <cellStyle name="Separador de milhares 3 2 8 9 2 2 3 2" xfId="49207"/>
    <cellStyle name="Separador de milhares 3 2 8 9 2 2 4" xfId="17057"/>
    <cellStyle name="Separador de milhares 3 2 8 9 2 2 4 2" xfId="43299"/>
    <cellStyle name="Separador de milhares 3 2 8 9 2 2 5" xfId="36913"/>
    <cellStyle name="Separador de milhares 3 2 8 9 2 3" xfId="25928"/>
    <cellStyle name="Separador de milhares 3 2 8 9 2 3 2" xfId="52161"/>
    <cellStyle name="Separador de milhares 3 2 8 9 2 4" xfId="20014"/>
    <cellStyle name="Separador de milhares 3 2 8 9 2 4 2" xfId="46253"/>
    <cellStyle name="Separador de milhares 3 2 8 9 2 5" xfId="13916"/>
    <cellStyle name="Separador de milhares 3 2 8 9 2 5 2" xfId="40158"/>
    <cellStyle name="Separador de milhares 3 2 8 9 2 6" xfId="33772"/>
    <cellStyle name="Separador de milhares 3 2 8 9 3" xfId="9203"/>
    <cellStyle name="Separador de milhares 3 2 8 9 3 2" xfId="27417"/>
    <cellStyle name="Separador de milhares 3 2 8 9 3 2 2" xfId="53647"/>
    <cellStyle name="Separador de milhares 3 2 8 9 3 3" xfId="21503"/>
    <cellStyle name="Separador de milhares 3 2 8 9 3 3 2" xfId="47739"/>
    <cellStyle name="Separador de milhares 3 2 8 9 3 4" xfId="15589"/>
    <cellStyle name="Separador de milhares 3 2 8 9 3 4 2" xfId="41831"/>
    <cellStyle name="Separador de milhares 3 2 8 9 3 5" xfId="35445"/>
    <cellStyle name="Separador de milhares 3 2 8 9 4" xfId="5828"/>
    <cellStyle name="Separador de milhares 3 2 8 9 4 2" xfId="24460"/>
    <cellStyle name="Separador de milhares 3 2 8 9 4 2 2" xfId="50693"/>
    <cellStyle name="Separador de milhares 3 2 8 9 4 3" xfId="32073"/>
    <cellStyle name="Separador de milhares 3 2 8 9 5" xfId="18546"/>
    <cellStyle name="Separador de milhares 3 2 8 9 5 2" xfId="44785"/>
    <cellStyle name="Separador de milhares 3 2 8 9 6" xfId="12215"/>
    <cellStyle name="Separador de milhares 3 2 8 9 6 2" xfId="38457"/>
    <cellStyle name="Separador de milhares 3 2 8 9 7" xfId="30375"/>
    <cellStyle name="Separador de milhares 3 2 9" xfId="265"/>
    <cellStyle name="Separador de milhares 3 2 9 10" xfId="6518"/>
    <cellStyle name="Separador de milhares 3 2 9 10 2" xfId="9669"/>
    <cellStyle name="Separador de milhares 3 2 9 10 2 2" xfId="27883"/>
    <cellStyle name="Separador de milhares 3 2 9 10 2 2 2" xfId="54113"/>
    <cellStyle name="Separador de milhares 3 2 9 10 2 3" xfId="21969"/>
    <cellStyle name="Separador de milhares 3 2 9 10 2 3 2" xfId="48205"/>
    <cellStyle name="Separador de milhares 3 2 9 10 2 4" xfId="16055"/>
    <cellStyle name="Separador de milhares 3 2 9 10 2 4 2" xfId="42297"/>
    <cellStyle name="Separador de milhares 3 2 9 10 2 5" xfId="35911"/>
    <cellStyle name="Separador de milhares 3 2 9 10 3" xfId="24926"/>
    <cellStyle name="Separador de milhares 3 2 9 10 3 2" xfId="51159"/>
    <cellStyle name="Separador de milhares 3 2 9 10 4" xfId="19012"/>
    <cellStyle name="Separador de milhares 3 2 9 10 4 2" xfId="45251"/>
    <cellStyle name="Separador de milhares 3 2 9 10 5" xfId="12907"/>
    <cellStyle name="Separador de milhares 3 2 9 10 5 2" xfId="39149"/>
    <cellStyle name="Separador de milhares 3 2 9 10 6" xfId="32763"/>
    <cellStyle name="Separador de milhares 3 2 9 11" xfId="8198"/>
    <cellStyle name="Separador de milhares 3 2 9 11 2" xfId="26412"/>
    <cellStyle name="Separador de milhares 3 2 9 11 2 2" xfId="52645"/>
    <cellStyle name="Separador de milhares 3 2 9 11 3" xfId="20498"/>
    <cellStyle name="Separador de milhares 3 2 9 11 3 2" xfId="46737"/>
    <cellStyle name="Separador de milhares 3 2 9 11 4" xfId="14587"/>
    <cellStyle name="Separador de milhares 3 2 9 11 4 2" xfId="40829"/>
    <cellStyle name="Separador de milhares 3 2 9 11 5" xfId="34443"/>
    <cellStyle name="Separador de milhares 3 2 9 12" xfId="4817"/>
    <cellStyle name="Separador de milhares 3 2 9 12 2" xfId="23455"/>
    <cellStyle name="Separador de milhares 3 2 9 12 2 2" xfId="49691"/>
    <cellStyle name="Separador de milhares 3 2 9 12 3" xfId="31064"/>
    <cellStyle name="Separador de milhares 3 2 9 13" xfId="17541"/>
    <cellStyle name="Separador de milhares 3 2 9 13 2" xfId="43783"/>
    <cellStyle name="Separador de milhares 3 2 9 14" xfId="11206"/>
    <cellStyle name="Separador de milhares 3 2 9 14 2" xfId="37448"/>
    <cellStyle name="Separador de milhares 3 2 9 15" xfId="29366"/>
    <cellStyle name="Separador de milhares 3 2 9 2" xfId="528"/>
    <cellStyle name="Separador de milhares 3 2 9 2 2" xfId="6589"/>
    <cellStyle name="Separador de milhares 3 2 9 2 2 2" xfId="9736"/>
    <cellStyle name="Separador de milhares 3 2 9 2 2 2 2" xfId="27950"/>
    <cellStyle name="Separador de milhares 3 2 9 2 2 2 2 2" xfId="54180"/>
    <cellStyle name="Separador de milhares 3 2 9 2 2 2 3" xfId="22036"/>
    <cellStyle name="Separador de milhares 3 2 9 2 2 2 3 2" xfId="48272"/>
    <cellStyle name="Separador de milhares 3 2 9 2 2 2 4" xfId="16122"/>
    <cellStyle name="Separador de milhares 3 2 9 2 2 2 4 2" xfId="42364"/>
    <cellStyle name="Separador de milhares 3 2 9 2 2 2 5" xfId="35978"/>
    <cellStyle name="Separador de milhares 3 2 9 2 2 3" xfId="24993"/>
    <cellStyle name="Separador de milhares 3 2 9 2 2 3 2" xfId="51226"/>
    <cellStyle name="Separador de milhares 3 2 9 2 2 4" xfId="19079"/>
    <cellStyle name="Separador de milhares 3 2 9 2 2 4 2" xfId="45318"/>
    <cellStyle name="Separador de milhares 3 2 9 2 2 5" xfId="12978"/>
    <cellStyle name="Separador de milhares 3 2 9 2 2 5 2" xfId="39220"/>
    <cellStyle name="Separador de milhares 3 2 9 2 2 6" xfId="32834"/>
    <cellStyle name="Separador de milhares 3 2 9 2 3" xfId="8265"/>
    <cellStyle name="Separador de milhares 3 2 9 2 3 2" xfId="26479"/>
    <cellStyle name="Separador de milhares 3 2 9 2 3 2 2" xfId="52712"/>
    <cellStyle name="Separador de milhares 3 2 9 2 3 3" xfId="20565"/>
    <cellStyle name="Separador de milhares 3 2 9 2 3 3 2" xfId="46804"/>
    <cellStyle name="Separador de milhares 3 2 9 2 3 4" xfId="14654"/>
    <cellStyle name="Separador de milhares 3 2 9 2 3 4 2" xfId="40896"/>
    <cellStyle name="Separador de milhares 3 2 9 2 3 5" xfId="34510"/>
    <cellStyle name="Separador de milhares 3 2 9 2 4" xfId="4888"/>
    <cellStyle name="Separador de milhares 3 2 9 2 4 2" xfId="23522"/>
    <cellStyle name="Separador de milhares 3 2 9 2 4 2 2" xfId="49758"/>
    <cellStyle name="Separador de milhares 3 2 9 2 4 3" xfId="31135"/>
    <cellStyle name="Separador de milhares 3 2 9 2 5" xfId="17608"/>
    <cellStyle name="Separador de milhares 3 2 9 2 5 2" xfId="43850"/>
    <cellStyle name="Separador de milhares 3 2 9 2 6" xfId="11277"/>
    <cellStyle name="Separador de milhares 3 2 9 2 6 2" xfId="37519"/>
    <cellStyle name="Separador de milhares 3 2 9 2 7" xfId="29437"/>
    <cellStyle name="Separador de milhares 3 2 9 3" xfId="825"/>
    <cellStyle name="Separador de milhares 3 2 9 3 2" xfId="6691"/>
    <cellStyle name="Separador de milhares 3 2 9 3 2 2" xfId="9838"/>
    <cellStyle name="Separador de milhares 3 2 9 3 2 2 2" xfId="28052"/>
    <cellStyle name="Separador de milhares 3 2 9 3 2 2 2 2" xfId="54282"/>
    <cellStyle name="Separador de milhares 3 2 9 3 2 2 3" xfId="22138"/>
    <cellStyle name="Separador de milhares 3 2 9 3 2 2 3 2" xfId="48374"/>
    <cellStyle name="Separador de milhares 3 2 9 3 2 2 4" xfId="16224"/>
    <cellStyle name="Separador de milhares 3 2 9 3 2 2 4 2" xfId="42466"/>
    <cellStyle name="Separador de milhares 3 2 9 3 2 2 5" xfId="36080"/>
    <cellStyle name="Separador de milhares 3 2 9 3 2 3" xfId="25095"/>
    <cellStyle name="Separador de milhares 3 2 9 3 2 3 2" xfId="51328"/>
    <cellStyle name="Separador de milhares 3 2 9 3 2 4" xfId="19181"/>
    <cellStyle name="Separador de milhares 3 2 9 3 2 4 2" xfId="45420"/>
    <cellStyle name="Separador de milhares 3 2 9 3 2 5" xfId="13080"/>
    <cellStyle name="Separador de milhares 3 2 9 3 2 5 2" xfId="39322"/>
    <cellStyle name="Separador de milhares 3 2 9 3 2 6" xfId="32936"/>
    <cellStyle name="Separador de milhares 3 2 9 3 3" xfId="8370"/>
    <cellStyle name="Separador de milhares 3 2 9 3 3 2" xfId="26584"/>
    <cellStyle name="Separador de milhares 3 2 9 3 3 2 2" xfId="52814"/>
    <cellStyle name="Separador de milhares 3 2 9 3 3 3" xfId="20670"/>
    <cellStyle name="Separador de milhares 3 2 9 3 3 3 2" xfId="46906"/>
    <cellStyle name="Separador de milhares 3 2 9 3 3 4" xfId="14756"/>
    <cellStyle name="Separador de milhares 3 2 9 3 3 4 2" xfId="40998"/>
    <cellStyle name="Separador de milhares 3 2 9 3 3 5" xfId="34612"/>
    <cellStyle name="Separador de milhares 3 2 9 3 4" xfId="4992"/>
    <cellStyle name="Separador de milhares 3 2 9 3 4 2" xfId="23627"/>
    <cellStyle name="Separador de milhares 3 2 9 3 4 2 2" xfId="49860"/>
    <cellStyle name="Separador de milhares 3 2 9 3 4 3" xfId="31237"/>
    <cellStyle name="Separador de milhares 3 2 9 3 5" xfId="17713"/>
    <cellStyle name="Separador de milhares 3 2 9 3 5 2" xfId="43952"/>
    <cellStyle name="Separador de milhares 3 2 9 3 6" xfId="11379"/>
    <cellStyle name="Separador de milhares 3 2 9 3 6 2" xfId="37621"/>
    <cellStyle name="Separador de milhares 3 2 9 3 7" xfId="29539"/>
    <cellStyle name="Separador de milhares 3 2 9 4" xfId="1176"/>
    <cellStyle name="Separador de milhares 3 2 9 4 2" xfId="6789"/>
    <cellStyle name="Separador de milhares 3 2 9 4 2 2" xfId="9936"/>
    <cellStyle name="Separador de milhares 3 2 9 4 2 2 2" xfId="28150"/>
    <cellStyle name="Separador de milhares 3 2 9 4 2 2 2 2" xfId="54380"/>
    <cellStyle name="Separador de milhares 3 2 9 4 2 2 3" xfId="22236"/>
    <cellStyle name="Separador de milhares 3 2 9 4 2 2 3 2" xfId="48472"/>
    <cellStyle name="Separador de milhares 3 2 9 4 2 2 4" xfId="16322"/>
    <cellStyle name="Separador de milhares 3 2 9 4 2 2 4 2" xfId="42564"/>
    <cellStyle name="Separador de milhares 3 2 9 4 2 2 5" xfId="36178"/>
    <cellStyle name="Separador de milhares 3 2 9 4 2 3" xfId="25193"/>
    <cellStyle name="Separador de milhares 3 2 9 4 2 3 2" xfId="51426"/>
    <cellStyle name="Separador de milhares 3 2 9 4 2 4" xfId="19279"/>
    <cellStyle name="Separador de milhares 3 2 9 4 2 4 2" xfId="45518"/>
    <cellStyle name="Separador de milhares 3 2 9 4 2 5" xfId="13178"/>
    <cellStyle name="Separador de milhares 3 2 9 4 2 5 2" xfId="39420"/>
    <cellStyle name="Separador de milhares 3 2 9 4 2 6" xfId="33034"/>
    <cellStyle name="Separador de milhares 3 2 9 4 3" xfId="8468"/>
    <cellStyle name="Separador de milhares 3 2 9 4 3 2" xfId="26682"/>
    <cellStyle name="Separador de milhares 3 2 9 4 3 2 2" xfId="52912"/>
    <cellStyle name="Separador de milhares 3 2 9 4 3 3" xfId="20768"/>
    <cellStyle name="Separador de milhares 3 2 9 4 3 3 2" xfId="47004"/>
    <cellStyle name="Separador de milhares 3 2 9 4 3 4" xfId="14854"/>
    <cellStyle name="Separador de milhares 3 2 9 4 3 4 2" xfId="41096"/>
    <cellStyle name="Separador de milhares 3 2 9 4 3 5" xfId="34710"/>
    <cellStyle name="Separador de milhares 3 2 9 4 4" xfId="5090"/>
    <cellStyle name="Separador de milhares 3 2 9 4 4 2" xfId="23725"/>
    <cellStyle name="Separador de milhares 3 2 9 4 4 2 2" xfId="49958"/>
    <cellStyle name="Separador de milhares 3 2 9 4 4 3" xfId="31335"/>
    <cellStyle name="Separador de milhares 3 2 9 4 5" xfId="17811"/>
    <cellStyle name="Separador de milhares 3 2 9 4 5 2" xfId="44050"/>
    <cellStyle name="Separador de milhares 3 2 9 4 6" xfId="11477"/>
    <cellStyle name="Separador de milhares 3 2 9 4 6 2" xfId="37719"/>
    <cellStyle name="Separador de milhares 3 2 9 4 7" xfId="29637"/>
    <cellStyle name="Separador de milhares 3 2 9 5" xfId="1611"/>
    <cellStyle name="Separador de milhares 3 2 9 5 2" xfId="6908"/>
    <cellStyle name="Separador de milhares 3 2 9 5 2 2" xfId="10055"/>
    <cellStyle name="Separador de milhares 3 2 9 5 2 2 2" xfId="28269"/>
    <cellStyle name="Separador de milhares 3 2 9 5 2 2 2 2" xfId="54499"/>
    <cellStyle name="Separador de milhares 3 2 9 5 2 2 3" xfId="22355"/>
    <cellStyle name="Separador de milhares 3 2 9 5 2 2 3 2" xfId="48591"/>
    <cellStyle name="Separador de milhares 3 2 9 5 2 2 4" xfId="16441"/>
    <cellStyle name="Separador de milhares 3 2 9 5 2 2 4 2" xfId="42683"/>
    <cellStyle name="Separador de milhares 3 2 9 5 2 2 5" xfId="36297"/>
    <cellStyle name="Separador de milhares 3 2 9 5 2 3" xfId="25312"/>
    <cellStyle name="Separador de milhares 3 2 9 5 2 3 2" xfId="51545"/>
    <cellStyle name="Separador de milhares 3 2 9 5 2 4" xfId="19398"/>
    <cellStyle name="Separador de milhares 3 2 9 5 2 4 2" xfId="45637"/>
    <cellStyle name="Separador de milhares 3 2 9 5 2 5" xfId="13297"/>
    <cellStyle name="Separador de milhares 3 2 9 5 2 5 2" xfId="39539"/>
    <cellStyle name="Separador de milhares 3 2 9 5 2 6" xfId="33153"/>
    <cellStyle name="Separador de milhares 3 2 9 5 3" xfId="8587"/>
    <cellStyle name="Separador de milhares 3 2 9 5 3 2" xfId="26801"/>
    <cellStyle name="Separador de milhares 3 2 9 5 3 2 2" xfId="53031"/>
    <cellStyle name="Separador de milhares 3 2 9 5 3 3" xfId="20887"/>
    <cellStyle name="Separador de milhares 3 2 9 5 3 3 2" xfId="47123"/>
    <cellStyle name="Separador de milhares 3 2 9 5 3 4" xfId="14973"/>
    <cellStyle name="Separador de milhares 3 2 9 5 3 4 2" xfId="41215"/>
    <cellStyle name="Separador de milhares 3 2 9 5 3 5" xfId="34829"/>
    <cellStyle name="Separador de milhares 3 2 9 5 4" xfId="5209"/>
    <cellStyle name="Separador de milhares 3 2 9 5 4 2" xfId="23844"/>
    <cellStyle name="Separador de milhares 3 2 9 5 4 2 2" xfId="50077"/>
    <cellStyle name="Separador de milhares 3 2 9 5 4 3" xfId="31454"/>
    <cellStyle name="Separador de milhares 3 2 9 5 5" xfId="17930"/>
    <cellStyle name="Separador de milhares 3 2 9 5 5 2" xfId="44169"/>
    <cellStyle name="Separador de milhares 3 2 9 5 6" xfId="11596"/>
    <cellStyle name="Separador de milhares 3 2 9 5 6 2" xfId="37838"/>
    <cellStyle name="Separador de milhares 3 2 9 5 7" xfId="29756"/>
    <cellStyle name="Separador de milhares 3 2 9 6" xfId="2141"/>
    <cellStyle name="Separador de milhares 3 2 9 6 2" xfId="7058"/>
    <cellStyle name="Separador de milhares 3 2 9 6 2 2" xfId="10202"/>
    <cellStyle name="Separador de milhares 3 2 9 6 2 2 2" xfId="28416"/>
    <cellStyle name="Separador de milhares 3 2 9 6 2 2 2 2" xfId="54646"/>
    <cellStyle name="Separador de milhares 3 2 9 6 2 2 3" xfId="22502"/>
    <cellStyle name="Separador de milhares 3 2 9 6 2 2 3 2" xfId="48738"/>
    <cellStyle name="Separador de milhares 3 2 9 6 2 2 4" xfId="16588"/>
    <cellStyle name="Separador de milhares 3 2 9 6 2 2 4 2" xfId="42830"/>
    <cellStyle name="Separador de milhares 3 2 9 6 2 2 5" xfId="36444"/>
    <cellStyle name="Separador de milhares 3 2 9 6 2 3" xfId="25459"/>
    <cellStyle name="Separador de milhares 3 2 9 6 2 3 2" xfId="51692"/>
    <cellStyle name="Separador de milhares 3 2 9 6 2 4" xfId="19545"/>
    <cellStyle name="Separador de milhares 3 2 9 6 2 4 2" xfId="45784"/>
    <cellStyle name="Separador de milhares 3 2 9 6 2 5" xfId="13447"/>
    <cellStyle name="Separador de milhares 3 2 9 6 2 5 2" xfId="39689"/>
    <cellStyle name="Separador de milhares 3 2 9 6 2 6" xfId="33303"/>
    <cellStyle name="Separador de milhares 3 2 9 6 3" xfId="8734"/>
    <cellStyle name="Separador de milhares 3 2 9 6 3 2" xfId="26948"/>
    <cellStyle name="Separador de milhares 3 2 9 6 3 2 2" xfId="53178"/>
    <cellStyle name="Separador de milhares 3 2 9 6 3 3" xfId="21034"/>
    <cellStyle name="Separador de milhares 3 2 9 6 3 3 2" xfId="47270"/>
    <cellStyle name="Separador de milhares 3 2 9 6 3 4" xfId="15120"/>
    <cellStyle name="Separador de milhares 3 2 9 6 3 4 2" xfId="41362"/>
    <cellStyle name="Separador de milhares 3 2 9 6 3 5" xfId="34976"/>
    <cellStyle name="Separador de milhares 3 2 9 6 4" xfId="5359"/>
    <cellStyle name="Separador de milhares 3 2 9 6 4 2" xfId="23991"/>
    <cellStyle name="Separador de milhares 3 2 9 6 4 2 2" xfId="50224"/>
    <cellStyle name="Separador de milhares 3 2 9 6 4 3" xfId="31604"/>
    <cellStyle name="Separador de milhares 3 2 9 6 5" xfId="18077"/>
    <cellStyle name="Separador de milhares 3 2 9 6 5 2" xfId="44316"/>
    <cellStyle name="Separador de milhares 3 2 9 6 6" xfId="11746"/>
    <cellStyle name="Separador de milhares 3 2 9 6 6 2" xfId="37988"/>
    <cellStyle name="Separador de milhares 3 2 9 6 7" xfId="29906"/>
    <cellStyle name="Separador de milhares 3 2 9 7" xfId="2668"/>
    <cellStyle name="Separador de milhares 3 2 9 7 2" xfId="7205"/>
    <cellStyle name="Separador de milhares 3 2 9 7 2 2" xfId="10349"/>
    <cellStyle name="Separador de milhares 3 2 9 7 2 2 2" xfId="28563"/>
    <cellStyle name="Separador de milhares 3 2 9 7 2 2 2 2" xfId="54793"/>
    <cellStyle name="Separador de milhares 3 2 9 7 2 2 3" xfId="22649"/>
    <cellStyle name="Separador de milhares 3 2 9 7 2 2 3 2" xfId="48885"/>
    <cellStyle name="Separador de milhares 3 2 9 7 2 2 4" xfId="16735"/>
    <cellStyle name="Separador de milhares 3 2 9 7 2 2 4 2" xfId="42977"/>
    <cellStyle name="Separador de milhares 3 2 9 7 2 2 5" xfId="36591"/>
    <cellStyle name="Separador de milhares 3 2 9 7 2 3" xfId="25606"/>
    <cellStyle name="Separador de milhares 3 2 9 7 2 3 2" xfId="51839"/>
    <cellStyle name="Separador de milhares 3 2 9 7 2 4" xfId="19692"/>
    <cellStyle name="Separador de milhares 3 2 9 7 2 4 2" xfId="45931"/>
    <cellStyle name="Separador de milhares 3 2 9 7 2 5" xfId="13594"/>
    <cellStyle name="Separador de milhares 3 2 9 7 2 5 2" xfId="39836"/>
    <cellStyle name="Separador de milhares 3 2 9 7 2 6" xfId="33450"/>
    <cellStyle name="Separador de milhares 3 2 9 7 3" xfId="8881"/>
    <cellStyle name="Separador de milhares 3 2 9 7 3 2" xfId="27095"/>
    <cellStyle name="Separador de milhares 3 2 9 7 3 2 2" xfId="53325"/>
    <cellStyle name="Separador de milhares 3 2 9 7 3 3" xfId="21181"/>
    <cellStyle name="Separador de milhares 3 2 9 7 3 3 2" xfId="47417"/>
    <cellStyle name="Separador de milhares 3 2 9 7 3 4" xfId="15267"/>
    <cellStyle name="Separador de milhares 3 2 9 7 3 4 2" xfId="41509"/>
    <cellStyle name="Separador de milhares 3 2 9 7 3 5" xfId="35123"/>
    <cellStyle name="Separador de milhares 3 2 9 7 4" xfId="5506"/>
    <cellStyle name="Separador de milhares 3 2 9 7 4 2" xfId="24138"/>
    <cellStyle name="Separador de milhares 3 2 9 7 4 2 2" xfId="50371"/>
    <cellStyle name="Separador de milhares 3 2 9 7 4 3" xfId="31751"/>
    <cellStyle name="Separador de milhares 3 2 9 7 5" xfId="18224"/>
    <cellStyle name="Separador de milhares 3 2 9 7 5 2" xfId="44463"/>
    <cellStyle name="Separador de milhares 3 2 9 7 6" xfId="11893"/>
    <cellStyle name="Separador de milhares 3 2 9 7 6 2" xfId="38135"/>
    <cellStyle name="Separador de milhares 3 2 9 7 7" xfId="30053"/>
    <cellStyle name="Separador de milhares 3 2 9 8" xfId="3195"/>
    <cellStyle name="Separador de milhares 3 2 9 8 2" xfId="7352"/>
    <cellStyle name="Separador de milhares 3 2 9 8 2 2" xfId="10496"/>
    <cellStyle name="Separador de milhares 3 2 9 8 2 2 2" xfId="28710"/>
    <cellStyle name="Separador de milhares 3 2 9 8 2 2 2 2" xfId="54940"/>
    <cellStyle name="Separador de milhares 3 2 9 8 2 2 3" xfId="22796"/>
    <cellStyle name="Separador de milhares 3 2 9 8 2 2 3 2" xfId="49032"/>
    <cellStyle name="Separador de milhares 3 2 9 8 2 2 4" xfId="16882"/>
    <cellStyle name="Separador de milhares 3 2 9 8 2 2 4 2" xfId="43124"/>
    <cellStyle name="Separador de milhares 3 2 9 8 2 2 5" xfId="36738"/>
    <cellStyle name="Separador de milhares 3 2 9 8 2 3" xfId="25753"/>
    <cellStyle name="Separador de milhares 3 2 9 8 2 3 2" xfId="51986"/>
    <cellStyle name="Separador de milhares 3 2 9 8 2 4" xfId="19839"/>
    <cellStyle name="Separador de milhares 3 2 9 8 2 4 2" xfId="46078"/>
    <cellStyle name="Separador de milhares 3 2 9 8 2 5" xfId="13741"/>
    <cellStyle name="Separador de milhares 3 2 9 8 2 5 2" xfId="39983"/>
    <cellStyle name="Separador de milhares 3 2 9 8 2 6" xfId="33597"/>
    <cellStyle name="Separador de milhares 3 2 9 8 3" xfId="9028"/>
    <cellStyle name="Separador de milhares 3 2 9 8 3 2" xfId="27242"/>
    <cellStyle name="Separador de milhares 3 2 9 8 3 2 2" xfId="53472"/>
    <cellStyle name="Separador de milhares 3 2 9 8 3 3" xfId="21328"/>
    <cellStyle name="Separador de milhares 3 2 9 8 3 3 2" xfId="47564"/>
    <cellStyle name="Separador de milhares 3 2 9 8 3 4" xfId="15414"/>
    <cellStyle name="Separador de milhares 3 2 9 8 3 4 2" xfId="41656"/>
    <cellStyle name="Separador de milhares 3 2 9 8 3 5" xfId="35270"/>
    <cellStyle name="Separador de milhares 3 2 9 8 4" xfId="5653"/>
    <cellStyle name="Separador de milhares 3 2 9 8 4 2" xfId="24285"/>
    <cellStyle name="Separador de milhares 3 2 9 8 4 2 2" xfId="50518"/>
    <cellStyle name="Separador de milhares 3 2 9 8 4 3" xfId="31898"/>
    <cellStyle name="Separador de milhares 3 2 9 8 5" xfId="18371"/>
    <cellStyle name="Separador de milhares 3 2 9 8 5 2" xfId="44610"/>
    <cellStyle name="Separador de milhares 3 2 9 8 6" xfId="12040"/>
    <cellStyle name="Separador de milhares 3 2 9 8 6 2" xfId="38282"/>
    <cellStyle name="Separador de milhares 3 2 9 8 7" xfId="30200"/>
    <cellStyle name="Separador de milhares 3 2 9 9" xfId="3722"/>
    <cellStyle name="Separador de milhares 3 2 9 9 2" xfId="7499"/>
    <cellStyle name="Separador de milhares 3 2 9 9 2 2" xfId="10643"/>
    <cellStyle name="Separador de milhares 3 2 9 9 2 2 2" xfId="28857"/>
    <cellStyle name="Separador de milhares 3 2 9 9 2 2 2 2" xfId="55087"/>
    <cellStyle name="Separador de milhares 3 2 9 9 2 2 3" xfId="22943"/>
    <cellStyle name="Separador de milhares 3 2 9 9 2 2 3 2" xfId="49179"/>
    <cellStyle name="Separador de milhares 3 2 9 9 2 2 4" xfId="17029"/>
    <cellStyle name="Separador de milhares 3 2 9 9 2 2 4 2" xfId="43271"/>
    <cellStyle name="Separador de milhares 3 2 9 9 2 2 5" xfId="36885"/>
    <cellStyle name="Separador de milhares 3 2 9 9 2 3" xfId="25900"/>
    <cellStyle name="Separador de milhares 3 2 9 9 2 3 2" xfId="52133"/>
    <cellStyle name="Separador de milhares 3 2 9 9 2 4" xfId="19986"/>
    <cellStyle name="Separador de milhares 3 2 9 9 2 4 2" xfId="46225"/>
    <cellStyle name="Separador de milhares 3 2 9 9 2 5" xfId="13888"/>
    <cellStyle name="Separador de milhares 3 2 9 9 2 5 2" xfId="40130"/>
    <cellStyle name="Separador de milhares 3 2 9 9 2 6" xfId="33744"/>
    <cellStyle name="Separador de milhares 3 2 9 9 3" xfId="9175"/>
    <cellStyle name="Separador de milhares 3 2 9 9 3 2" xfId="27389"/>
    <cellStyle name="Separador de milhares 3 2 9 9 3 2 2" xfId="53619"/>
    <cellStyle name="Separador de milhares 3 2 9 9 3 3" xfId="21475"/>
    <cellStyle name="Separador de milhares 3 2 9 9 3 3 2" xfId="47711"/>
    <cellStyle name="Separador de milhares 3 2 9 9 3 4" xfId="15561"/>
    <cellStyle name="Separador de milhares 3 2 9 9 3 4 2" xfId="41803"/>
    <cellStyle name="Separador de milhares 3 2 9 9 3 5" xfId="35417"/>
    <cellStyle name="Separador de milhares 3 2 9 9 4" xfId="5800"/>
    <cellStyle name="Separador de milhares 3 2 9 9 4 2" xfId="24432"/>
    <cellStyle name="Separador de milhares 3 2 9 9 4 2 2" xfId="50665"/>
    <cellStyle name="Separador de milhares 3 2 9 9 4 3" xfId="32045"/>
    <cellStyle name="Separador de milhares 3 2 9 9 5" xfId="18518"/>
    <cellStyle name="Separador de milhares 3 2 9 9 5 2" xfId="44757"/>
    <cellStyle name="Separador de milhares 3 2 9 9 6" xfId="12187"/>
    <cellStyle name="Separador de milhares 3 2 9 9 6 2" xfId="38429"/>
    <cellStyle name="Separador de milhares 3 2 9 9 7" xfId="30347"/>
    <cellStyle name="Separador de milhares 3 20" xfId="732"/>
    <cellStyle name="Separador de milhares 3 20 2" xfId="4156"/>
    <cellStyle name="Separador de milhares 3 20 2 2" xfId="7620"/>
    <cellStyle name="Separador de milhares 3 20 2 2 2" xfId="10764"/>
    <cellStyle name="Separador de milhares 3 20 2 2 2 2" xfId="28978"/>
    <cellStyle name="Separador de milhares 3 20 2 2 2 2 2" xfId="55208"/>
    <cellStyle name="Separador de milhares 3 20 2 2 2 3" xfId="23064"/>
    <cellStyle name="Separador de milhares 3 20 2 2 2 3 2" xfId="49300"/>
    <cellStyle name="Separador de milhares 3 20 2 2 2 4" xfId="17150"/>
    <cellStyle name="Separador de milhares 3 20 2 2 2 4 2" xfId="43392"/>
    <cellStyle name="Separador de milhares 3 20 2 2 2 5" xfId="37006"/>
    <cellStyle name="Separador de milhares 3 20 2 2 3" xfId="26021"/>
    <cellStyle name="Separador de milhares 3 20 2 2 3 2" xfId="52254"/>
    <cellStyle name="Separador de milhares 3 20 2 2 4" xfId="20107"/>
    <cellStyle name="Separador de milhares 3 20 2 2 4 2" xfId="46346"/>
    <cellStyle name="Separador de milhares 3 20 2 2 5" xfId="14009"/>
    <cellStyle name="Separador de milhares 3 20 2 2 5 2" xfId="40251"/>
    <cellStyle name="Separador de milhares 3 20 2 2 6" xfId="33865"/>
    <cellStyle name="Separador de milhares 3 20 2 3" xfId="9296"/>
    <cellStyle name="Separador de milhares 3 20 2 3 2" xfId="27510"/>
    <cellStyle name="Separador de milhares 3 20 2 3 2 2" xfId="53740"/>
    <cellStyle name="Separador de milhares 3 20 2 3 3" xfId="21596"/>
    <cellStyle name="Separador de milhares 3 20 2 3 3 2" xfId="47832"/>
    <cellStyle name="Separador de milhares 3 20 2 3 4" xfId="15682"/>
    <cellStyle name="Separador de milhares 3 20 2 3 4 2" xfId="41924"/>
    <cellStyle name="Separador de milhares 3 20 2 3 5" xfId="35538"/>
    <cellStyle name="Separador de milhares 3 20 2 4" xfId="5921"/>
    <cellStyle name="Separador de milhares 3 20 2 4 2" xfId="24553"/>
    <cellStyle name="Separador de milhares 3 20 2 4 2 2" xfId="50786"/>
    <cellStyle name="Separador de milhares 3 20 2 4 3" xfId="32166"/>
    <cellStyle name="Separador de milhares 3 20 2 5" xfId="18639"/>
    <cellStyle name="Separador de milhares 3 20 2 5 2" xfId="44878"/>
    <cellStyle name="Separador de milhares 3 20 2 6" xfId="12308"/>
    <cellStyle name="Separador de milhares 3 20 2 6 2" xfId="38550"/>
    <cellStyle name="Separador de milhares 3 20 2 7" xfId="30468"/>
    <cellStyle name="Separador de milhares 3 20 3" xfId="6665"/>
    <cellStyle name="Separador de milhares 3 20 3 2" xfId="9812"/>
    <cellStyle name="Separador de milhares 3 20 3 2 2" xfId="28026"/>
    <cellStyle name="Separador de milhares 3 20 3 2 2 2" xfId="54256"/>
    <cellStyle name="Separador de milhares 3 20 3 2 3" xfId="22112"/>
    <cellStyle name="Separador de milhares 3 20 3 2 3 2" xfId="48348"/>
    <cellStyle name="Separador de milhares 3 20 3 2 4" xfId="16198"/>
    <cellStyle name="Separador de milhares 3 20 3 2 4 2" xfId="42440"/>
    <cellStyle name="Separador de milhares 3 20 3 2 5" xfId="36054"/>
    <cellStyle name="Separador de milhares 3 20 3 3" xfId="25069"/>
    <cellStyle name="Separador de milhares 3 20 3 3 2" xfId="51302"/>
    <cellStyle name="Separador de milhares 3 20 3 4" xfId="19155"/>
    <cellStyle name="Separador de milhares 3 20 3 4 2" xfId="45394"/>
    <cellStyle name="Separador de milhares 3 20 3 5" xfId="13054"/>
    <cellStyle name="Separador de milhares 3 20 3 5 2" xfId="39296"/>
    <cellStyle name="Separador de milhares 3 20 3 6" xfId="32910"/>
    <cellStyle name="Separador de milhares 3 20 4" xfId="8344"/>
    <cellStyle name="Separador de milhares 3 20 4 2" xfId="26558"/>
    <cellStyle name="Separador de milhares 3 20 4 2 2" xfId="52788"/>
    <cellStyle name="Separador de milhares 3 20 4 3" xfId="20644"/>
    <cellStyle name="Separador de milhares 3 20 4 3 2" xfId="46880"/>
    <cellStyle name="Separador de milhares 3 20 4 4" xfId="14730"/>
    <cellStyle name="Separador de milhares 3 20 4 4 2" xfId="40972"/>
    <cellStyle name="Separador de milhares 3 20 4 5" xfId="34586"/>
    <cellStyle name="Separador de milhares 3 20 5" xfId="4966"/>
    <cellStyle name="Separador de milhares 3 20 5 2" xfId="23601"/>
    <cellStyle name="Separador de milhares 3 20 5 2 2" xfId="49834"/>
    <cellStyle name="Separador de milhares 3 20 5 3" xfId="31211"/>
    <cellStyle name="Separador de milhares 3 20 6" xfId="17687"/>
    <cellStyle name="Separador de milhares 3 20 6 2" xfId="43926"/>
    <cellStyle name="Separador de milhares 3 20 7" xfId="11353"/>
    <cellStyle name="Separador de milhares 3 20 7 2" xfId="37595"/>
    <cellStyle name="Separador de milhares 3 20 8" xfId="29513"/>
    <cellStyle name="Separador de milhares 3 21" xfId="1083"/>
    <cellStyle name="Separador de milhares 3 21 2" xfId="6763"/>
    <cellStyle name="Separador de milhares 3 21 2 2" xfId="9910"/>
    <cellStyle name="Separador de milhares 3 21 2 2 2" xfId="28124"/>
    <cellStyle name="Separador de milhares 3 21 2 2 2 2" xfId="54354"/>
    <cellStyle name="Separador de milhares 3 21 2 2 3" xfId="22210"/>
    <cellStyle name="Separador de milhares 3 21 2 2 3 2" xfId="48446"/>
    <cellStyle name="Separador de milhares 3 21 2 2 4" xfId="16296"/>
    <cellStyle name="Separador de milhares 3 21 2 2 4 2" xfId="42538"/>
    <cellStyle name="Separador de milhares 3 21 2 2 5" xfId="36152"/>
    <cellStyle name="Separador de milhares 3 21 2 3" xfId="25167"/>
    <cellStyle name="Separador de milhares 3 21 2 3 2" xfId="51400"/>
    <cellStyle name="Separador de milhares 3 21 2 4" xfId="19253"/>
    <cellStyle name="Separador de milhares 3 21 2 4 2" xfId="45492"/>
    <cellStyle name="Separador de milhares 3 21 2 5" xfId="13152"/>
    <cellStyle name="Separador de milhares 3 21 2 5 2" xfId="39394"/>
    <cellStyle name="Separador de milhares 3 21 2 6" xfId="33008"/>
    <cellStyle name="Separador de milhares 3 21 3" xfId="8442"/>
    <cellStyle name="Separador de milhares 3 21 3 2" xfId="26656"/>
    <cellStyle name="Separador de milhares 3 21 3 2 2" xfId="52886"/>
    <cellStyle name="Separador de milhares 3 21 3 3" xfId="20742"/>
    <cellStyle name="Separador de milhares 3 21 3 3 2" xfId="46978"/>
    <cellStyle name="Separador de milhares 3 21 3 4" xfId="14828"/>
    <cellStyle name="Separador de milhares 3 21 3 4 2" xfId="41070"/>
    <cellStyle name="Separador de milhares 3 21 3 5" xfId="34684"/>
    <cellStyle name="Separador de milhares 3 21 4" xfId="5064"/>
    <cellStyle name="Separador de milhares 3 21 4 2" xfId="23699"/>
    <cellStyle name="Separador de milhares 3 21 4 2 2" xfId="49932"/>
    <cellStyle name="Separador de milhares 3 21 4 3" xfId="31309"/>
    <cellStyle name="Separador de milhares 3 21 5" xfId="17785"/>
    <cellStyle name="Separador de milhares 3 21 5 2" xfId="44024"/>
    <cellStyle name="Separador de milhares 3 21 6" xfId="11451"/>
    <cellStyle name="Separador de milhares 3 21 6 2" xfId="37693"/>
    <cellStyle name="Separador de milhares 3 21 7" xfId="29611"/>
    <cellStyle name="Separador de milhares 3 22" xfId="1518"/>
    <cellStyle name="Separador de milhares 3 22 2" xfId="6882"/>
    <cellStyle name="Separador de milhares 3 22 2 2" xfId="10029"/>
    <cellStyle name="Separador de milhares 3 22 2 2 2" xfId="28243"/>
    <cellStyle name="Separador de milhares 3 22 2 2 2 2" xfId="54473"/>
    <cellStyle name="Separador de milhares 3 22 2 2 3" xfId="22329"/>
    <cellStyle name="Separador de milhares 3 22 2 2 3 2" xfId="48565"/>
    <cellStyle name="Separador de milhares 3 22 2 2 4" xfId="16415"/>
    <cellStyle name="Separador de milhares 3 22 2 2 4 2" xfId="42657"/>
    <cellStyle name="Separador de milhares 3 22 2 2 5" xfId="36271"/>
    <cellStyle name="Separador de milhares 3 22 2 3" xfId="25286"/>
    <cellStyle name="Separador de milhares 3 22 2 3 2" xfId="51519"/>
    <cellStyle name="Separador de milhares 3 22 2 4" xfId="19372"/>
    <cellStyle name="Separador de milhares 3 22 2 4 2" xfId="45611"/>
    <cellStyle name="Separador de milhares 3 22 2 5" xfId="13271"/>
    <cellStyle name="Separador de milhares 3 22 2 5 2" xfId="39513"/>
    <cellStyle name="Separador de milhares 3 22 2 6" xfId="33127"/>
    <cellStyle name="Separador de milhares 3 22 3" xfId="8561"/>
    <cellStyle name="Separador de milhares 3 22 3 2" xfId="26775"/>
    <cellStyle name="Separador de milhares 3 22 3 2 2" xfId="53005"/>
    <cellStyle name="Separador de milhares 3 22 3 3" xfId="20861"/>
    <cellStyle name="Separador de milhares 3 22 3 3 2" xfId="47097"/>
    <cellStyle name="Separador de milhares 3 22 3 4" xfId="14947"/>
    <cellStyle name="Separador de milhares 3 22 3 4 2" xfId="41189"/>
    <cellStyle name="Separador de milhares 3 22 3 5" xfId="34803"/>
    <cellStyle name="Separador de milhares 3 22 4" xfId="5183"/>
    <cellStyle name="Separador de milhares 3 22 4 2" xfId="23818"/>
    <cellStyle name="Separador de milhares 3 22 4 2 2" xfId="50051"/>
    <cellStyle name="Separador de milhares 3 22 4 3" xfId="31428"/>
    <cellStyle name="Separador de milhares 3 22 5" xfId="17904"/>
    <cellStyle name="Separador de milhares 3 22 5 2" xfId="44143"/>
    <cellStyle name="Separador de milhares 3 22 6" xfId="11570"/>
    <cellStyle name="Separador de milhares 3 22 6 2" xfId="37812"/>
    <cellStyle name="Separador de milhares 3 22 7" xfId="29730"/>
    <cellStyle name="Separador de milhares 3 23" xfId="2048"/>
    <cellStyle name="Separador de milhares 3 23 2" xfId="7032"/>
    <cellStyle name="Separador de milhares 3 23 2 2" xfId="10176"/>
    <cellStyle name="Separador de milhares 3 23 2 2 2" xfId="28390"/>
    <cellStyle name="Separador de milhares 3 23 2 2 2 2" xfId="54620"/>
    <cellStyle name="Separador de milhares 3 23 2 2 3" xfId="22476"/>
    <cellStyle name="Separador de milhares 3 23 2 2 3 2" xfId="48712"/>
    <cellStyle name="Separador de milhares 3 23 2 2 4" xfId="16562"/>
    <cellStyle name="Separador de milhares 3 23 2 2 4 2" xfId="42804"/>
    <cellStyle name="Separador de milhares 3 23 2 2 5" xfId="36418"/>
    <cellStyle name="Separador de milhares 3 23 2 3" xfId="25433"/>
    <cellStyle name="Separador de milhares 3 23 2 3 2" xfId="51666"/>
    <cellStyle name="Separador de milhares 3 23 2 4" xfId="19519"/>
    <cellStyle name="Separador de milhares 3 23 2 4 2" xfId="45758"/>
    <cellStyle name="Separador de milhares 3 23 2 5" xfId="13421"/>
    <cellStyle name="Separador de milhares 3 23 2 5 2" xfId="39663"/>
    <cellStyle name="Separador de milhares 3 23 2 6" xfId="33277"/>
    <cellStyle name="Separador de milhares 3 23 3" xfId="8708"/>
    <cellStyle name="Separador de milhares 3 23 3 2" xfId="26922"/>
    <cellStyle name="Separador de milhares 3 23 3 2 2" xfId="53152"/>
    <cellStyle name="Separador de milhares 3 23 3 3" xfId="21008"/>
    <cellStyle name="Separador de milhares 3 23 3 3 2" xfId="47244"/>
    <cellStyle name="Separador de milhares 3 23 3 4" xfId="15094"/>
    <cellStyle name="Separador de milhares 3 23 3 4 2" xfId="41336"/>
    <cellStyle name="Separador de milhares 3 23 3 5" xfId="34950"/>
    <cellStyle name="Separador de milhares 3 23 4" xfId="5333"/>
    <cellStyle name="Separador de milhares 3 23 4 2" xfId="23965"/>
    <cellStyle name="Separador de milhares 3 23 4 2 2" xfId="50198"/>
    <cellStyle name="Separador de milhares 3 23 4 3" xfId="31578"/>
    <cellStyle name="Separador de milhares 3 23 5" xfId="18051"/>
    <cellStyle name="Separador de milhares 3 23 5 2" xfId="44290"/>
    <cellStyle name="Separador de milhares 3 23 6" xfId="11720"/>
    <cellStyle name="Separador de milhares 3 23 6 2" xfId="37962"/>
    <cellStyle name="Separador de milhares 3 23 7" xfId="29880"/>
    <cellStyle name="Separador de milhares 3 24" xfId="2575"/>
    <cellStyle name="Separador de milhares 3 24 2" xfId="7179"/>
    <cellStyle name="Separador de milhares 3 24 2 2" xfId="10323"/>
    <cellStyle name="Separador de milhares 3 24 2 2 2" xfId="28537"/>
    <cellStyle name="Separador de milhares 3 24 2 2 2 2" xfId="54767"/>
    <cellStyle name="Separador de milhares 3 24 2 2 3" xfId="22623"/>
    <cellStyle name="Separador de milhares 3 24 2 2 3 2" xfId="48859"/>
    <cellStyle name="Separador de milhares 3 24 2 2 4" xfId="16709"/>
    <cellStyle name="Separador de milhares 3 24 2 2 4 2" xfId="42951"/>
    <cellStyle name="Separador de milhares 3 24 2 2 5" xfId="36565"/>
    <cellStyle name="Separador de milhares 3 24 2 3" xfId="25580"/>
    <cellStyle name="Separador de milhares 3 24 2 3 2" xfId="51813"/>
    <cellStyle name="Separador de milhares 3 24 2 4" xfId="19666"/>
    <cellStyle name="Separador de milhares 3 24 2 4 2" xfId="45905"/>
    <cellStyle name="Separador de milhares 3 24 2 5" xfId="13568"/>
    <cellStyle name="Separador de milhares 3 24 2 5 2" xfId="39810"/>
    <cellStyle name="Separador de milhares 3 24 2 6" xfId="33424"/>
    <cellStyle name="Separador de milhares 3 24 3" xfId="8855"/>
    <cellStyle name="Separador de milhares 3 24 3 2" xfId="27069"/>
    <cellStyle name="Separador de milhares 3 24 3 2 2" xfId="53299"/>
    <cellStyle name="Separador de milhares 3 24 3 3" xfId="21155"/>
    <cellStyle name="Separador de milhares 3 24 3 3 2" xfId="47391"/>
    <cellStyle name="Separador de milhares 3 24 3 4" xfId="15241"/>
    <cellStyle name="Separador de milhares 3 24 3 4 2" xfId="41483"/>
    <cellStyle name="Separador de milhares 3 24 3 5" xfId="35097"/>
    <cellStyle name="Separador de milhares 3 24 4" xfId="5480"/>
    <cellStyle name="Separador de milhares 3 24 4 2" xfId="24112"/>
    <cellStyle name="Separador de milhares 3 24 4 2 2" xfId="50345"/>
    <cellStyle name="Separador de milhares 3 24 4 3" xfId="31725"/>
    <cellStyle name="Separador de milhares 3 24 5" xfId="18198"/>
    <cellStyle name="Separador de milhares 3 24 5 2" xfId="44437"/>
    <cellStyle name="Separador de milhares 3 24 6" xfId="11867"/>
    <cellStyle name="Separador de milhares 3 24 6 2" xfId="38109"/>
    <cellStyle name="Separador de milhares 3 24 7" xfId="30027"/>
    <cellStyle name="Separador de milhares 3 25" xfId="3102"/>
    <cellStyle name="Separador de milhares 3 25 2" xfId="7326"/>
    <cellStyle name="Separador de milhares 3 25 2 2" xfId="10470"/>
    <cellStyle name="Separador de milhares 3 25 2 2 2" xfId="28684"/>
    <cellStyle name="Separador de milhares 3 25 2 2 2 2" xfId="54914"/>
    <cellStyle name="Separador de milhares 3 25 2 2 3" xfId="22770"/>
    <cellStyle name="Separador de milhares 3 25 2 2 3 2" xfId="49006"/>
    <cellStyle name="Separador de milhares 3 25 2 2 4" xfId="16856"/>
    <cellStyle name="Separador de milhares 3 25 2 2 4 2" xfId="43098"/>
    <cellStyle name="Separador de milhares 3 25 2 2 5" xfId="36712"/>
    <cellStyle name="Separador de milhares 3 25 2 3" xfId="25727"/>
    <cellStyle name="Separador de milhares 3 25 2 3 2" xfId="51960"/>
    <cellStyle name="Separador de milhares 3 25 2 4" xfId="19813"/>
    <cellStyle name="Separador de milhares 3 25 2 4 2" xfId="46052"/>
    <cellStyle name="Separador de milhares 3 25 2 5" xfId="13715"/>
    <cellStyle name="Separador de milhares 3 25 2 5 2" xfId="39957"/>
    <cellStyle name="Separador de milhares 3 25 2 6" xfId="33571"/>
    <cellStyle name="Separador de milhares 3 25 3" xfId="9002"/>
    <cellStyle name="Separador de milhares 3 25 3 2" xfId="27216"/>
    <cellStyle name="Separador de milhares 3 25 3 2 2" xfId="53446"/>
    <cellStyle name="Separador de milhares 3 25 3 3" xfId="21302"/>
    <cellStyle name="Separador de milhares 3 25 3 3 2" xfId="47538"/>
    <cellStyle name="Separador de milhares 3 25 3 4" xfId="15388"/>
    <cellStyle name="Separador de milhares 3 25 3 4 2" xfId="41630"/>
    <cellStyle name="Separador de milhares 3 25 3 5" xfId="35244"/>
    <cellStyle name="Separador de milhares 3 25 4" xfId="5627"/>
    <cellStyle name="Separador de milhares 3 25 4 2" xfId="24259"/>
    <cellStyle name="Separador de milhares 3 25 4 2 2" xfId="50492"/>
    <cellStyle name="Separador de milhares 3 25 4 3" xfId="31872"/>
    <cellStyle name="Separador de milhares 3 25 5" xfId="18345"/>
    <cellStyle name="Separador de milhares 3 25 5 2" xfId="44584"/>
    <cellStyle name="Separador de milhares 3 25 6" xfId="12014"/>
    <cellStyle name="Separador de milhares 3 25 6 2" xfId="38256"/>
    <cellStyle name="Separador de milhares 3 25 7" xfId="30174"/>
    <cellStyle name="Separador de milhares 3 26" xfId="3629"/>
    <cellStyle name="Separador de milhares 3 26 2" xfId="7473"/>
    <cellStyle name="Separador de milhares 3 26 2 2" xfId="10617"/>
    <cellStyle name="Separador de milhares 3 26 2 2 2" xfId="28831"/>
    <cellStyle name="Separador de milhares 3 26 2 2 2 2" xfId="55061"/>
    <cellStyle name="Separador de milhares 3 26 2 2 3" xfId="22917"/>
    <cellStyle name="Separador de milhares 3 26 2 2 3 2" xfId="49153"/>
    <cellStyle name="Separador de milhares 3 26 2 2 4" xfId="17003"/>
    <cellStyle name="Separador de milhares 3 26 2 2 4 2" xfId="43245"/>
    <cellStyle name="Separador de milhares 3 26 2 2 5" xfId="36859"/>
    <cellStyle name="Separador de milhares 3 26 2 3" xfId="25874"/>
    <cellStyle name="Separador de milhares 3 26 2 3 2" xfId="52107"/>
    <cellStyle name="Separador de milhares 3 26 2 4" xfId="19960"/>
    <cellStyle name="Separador de milhares 3 26 2 4 2" xfId="46199"/>
    <cellStyle name="Separador de milhares 3 26 2 5" xfId="13862"/>
    <cellStyle name="Separador de milhares 3 26 2 5 2" xfId="40104"/>
    <cellStyle name="Separador de milhares 3 26 2 6" xfId="33718"/>
    <cellStyle name="Separador de milhares 3 26 3" xfId="9149"/>
    <cellStyle name="Separador de milhares 3 26 3 2" xfId="27363"/>
    <cellStyle name="Separador de milhares 3 26 3 2 2" xfId="53593"/>
    <cellStyle name="Separador de milhares 3 26 3 3" xfId="21449"/>
    <cellStyle name="Separador de milhares 3 26 3 3 2" xfId="47685"/>
    <cellStyle name="Separador de milhares 3 26 3 4" xfId="15535"/>
    <cellStyle name="Separador de milhares 3 26 3 4 2" xfId="41777"/>
    <cellStyle name="Separador de milhares 3 26 3 5" xfId="35391"/>
    <cellStyle name="Separador de milhares 3 26 4" xfId="5774"/>
    <cellStyle name="Separador de milhares 3 26 4 2" xfId="24406"/>
    <cellStyle name="Separador de milhares 3 26 4 2 2" xfId="50639"/>
    <cellStyle name="Separador de milhares 3 26 4 3" xfId="32019"/>
    <cellStyle name="Separador de milhares 3 26 5" xfId="18492"/>
    <cellStyle name="Separador de milhares 3 26 5 2" xfId="44731"/>
    <cellStyle name="Separador de milhares 3 26 6" xfId="12161"/>
    <cellStyle name="Separador de milhares 3 26 6 2" xfId="38403"/>
    <cellStyle name="Separador de milhares 3 26 7" xfId="30321"/>
    <cellStyle name="Separador de milhares 3 27" xfId="6457"/>
    <cellStyle name="Separador de milhares 3 27 2" xfId="9613"/>
    <cellStyle name="Separador de milhares 3 27 2 2" xfId="27827"/>
    <cellStyle name="Separador de milhares 3 27 2 2 2" xfId="54057"/>
    <cellStyle name="Separador de milhares 3 27 2 3" xfId="21913"/>
    <cellStyle name="Separador de milhares 3 27 2 3 2" xfId="48149"/>
    <cellStyle name="Separador de milhares 3 27 2 4" xfId="15999"/>
    <cellStyle name="Separador de milhares 3 27 2 4 2" xfId="42241"/>
    <cellStyle name="Separador de milhares 3 27 2 5" xfId="35855"/>
    <cellStyle name="Separador de milhares 3 27 3" xfId="24870"/>
    <cellStyle name="Separador de milhares 3 27 3 2" xfId="51103"/>
    <cellStyle name="Separador de milhares 3 27 4" xfId="18956"/>
    <cellStyle name="Separador de milhares 3 27 4 2" xfId="45195"/>
    <cellStyle name="Separador de milhares 3 27 5" xfId="12846"/>
    <cellStyle name="Separador de milhares 3 27 5 2" xfId="39088"/>
    <cellStyle name="Separador de milhares 3 27 6" xfId="32702"/>
    <cellStyle name="Separador de milhares 3 28" xfId="8142"/>
    <cellStyle name="Separador de milhares 3 28 2" xfId="26356"/>
    <cellStyle name="Separador de milhares 3 28 2 2" xfId="52589"/>
    <cellStyle name="Separador de milhares 3 28 3" xfId="20442"/>
    <cellStyle name="Separador de milhares 3 28 3 2" xfId="46681"/>
    <cellStyle name="Separador de milhares 3 28 4" xfId="14531"/>
    <cellStyle name="Separador de milhares 3 28 4 2" xfId="40773"/>
    <cellStyle name="Separador de milhares 3 28 5" xfId="34387"/>
    <cellStyle name="Separador de milhares 3 29" xfId="4755"/>
    <cellStyle name="Separador de milhares 3 29 2" xfId="23399"/>
    <cellStyle name="Separador de milhares 3 29 2 2" xfId="49635"/>
    <cellStyle name="Separador de milhares 3 29 3" xfId="31003"/>
    <cellStyle name="Separador de milhares 3 3" xfId="88"/>
    <cellStyle name="Separador de milhares 3 3 10" xfId="2591"/>
    <cellStyle name="Separador de milhares 3 3 10 2" xfId="7183"/>
    <cellStyle name="Separador de milhares 3 3 10 2 2" xfId="10327"/>
    <cellStyle name="Separador de milhares 3 3 10 2 2 2" xfId="28541"/>
    <cellStyle name="Separador de milhares 3 3 10 2 2 2 2" xfId="54771"/>
    <cellStyle name="Separador de milhares 3 3 10 2 2 3" xfId="22627"/>
    <cellStyle name="Separador de milhares 3 3 10 2 2 3 2" xfId="48863"/>
    <cellStyle name="Separador de milhares 3 3 10 2 2 4" xfId="16713"/>
    <cellStyle name="Separador de milhares 3 3 10 2 2 4 2" xfId="42955"/>
    <cellStyle name="Separador de milhares 3 3 10 2 2 5" xfId="36569"/>
    <cellStyle name="Separador de milhares 3 3 10 2 3" xfId="25584"/>
    <cellStyle name="Separador de milhares 3 3 10 2 3 2" xfId="51817"/>
    <cellStyle name="Separador de milhares 3 3 10 2 4" xfId="19670"/>
    <cellStyle name="Separador de milhares 3 3 10 2 4 2" xfId="45909"/>
    <cellStyle name="Separador de milhares 3 3 10 2 5" xfId="13572"/>
    <cellStyle name="Separador de milhares 3 3 10 2 5 2" xfId="39814"/>
    <cellStyle name="Separador de milhares 3 3 10 2 6" xfId="33428"/>
    <cellStyle name="Separador de milhares 3 3 10 3" xfId="8859"/>
    <cellStyle name="Separador de milhares 3 3 10 3 2" xfId="27073"/>
    <cellStyle name="Separador de milhares 3 3 10 3 2 2" xfId="53303"/>
    <cellStyle name="Separador de milhares 3 3 10 3 3" xfId="21159"/>
    <cellStyle name="Separador de milhares 3 3 10 3 3 2" xfId="47395"/>
    <cellStyle name="Separador de milhares 3 3 10 3 4" xfId="15245"/>
    <cellStyle name="Separador de milhares 3 3 10 3 4 2" xfId="41487"/>
    <cellStyle name="Separador de milhares 3 3 10 3 5" xfId="35101"/>
    <cellStyle name="Separador de milhares 3 3 10 4" xfId="5484"/>
    <cellStyle name="Separador de milhares 3 3 10 4 2" xfId="24116"/>
    <cellStyle name="Separador de milhares 3 3 10 4 2 2" xfId="50349"/>
    <cellStyle name="Separador de milhares 3 3 10 4 3" xfId="31729"/>
    <cellStyle name="Separador de milhares 3 3 10 5" xfId="18202"/>
    <cellStyle name="Separador de milhares 3 3 10 5 2" xfId="44441"/>
    <cellStyle name="Separador de milhares 3 3 10 6" xfId="11871"/>
    <cellStyle name="Separador de milhares 3 3 10 6 2" xfId="38113"/>
    <cellStyle name="Separador de milhares 3 3 10 7" xfId="30031"/>
    <cellStyle name="Separador de milhares 3 3 11" xfId="3118"/>
    <cellStyle name="Separador de milhares 3 3 11 2" xfId="7330"/>
    <cellStyle name="Separador de milhares 3 3 11 2 2" xfId="10474"/>
    <cellStyle name="Separador de milhares 3 3 11 2 2 2" xfId="28688"/>
    <cellStyle name="Separador de milhares 3 3 11 2 2 2 2" xfId="54918"/>
    <cellStyle name="Separador de milhares 3 3 11 2 2 3" xfId="22774"/>
    <cellStyle name="Separador de milhares 3 3 11 2 2 3 2" xfId="49010"/>
    <cellStyle name="Separador de milhares 3 3 11 2 2 4" xfId="16860"/>
    <cellStyle name="Separador de milhares 3 3 11 2 2 4 2" xfId="43102"/>
    <cellStyle name="Separador de milhares 3 3 11 2 2 5" xfId="36716"/>
    <cellStyle name="Separador de milhares 3 3 11 2 3" xfId="25731"/>
    <cellStyle name="Separador de milhares 3 3 11 2 3 2" xfId="51964"/>
    <cellStyle name="Separador de milhares 3 3 11 2 4" xfId="19817"/>
    <cellStyle name="Separador de milhares 3 3 11 2 4 2" xfId="46056"/>
    <cellStyle name="Separador de milhares 3 3 11 2 5" xfId="13719"/>
    <cellStyle name="Separador de milhares 3 3 11 2 5 2" xfId="39961"/>
    <cellStyle name="Separador de milhares 3 3 11 2 6" xfId="33575"/>
    <cellStyle name="Separador de milhares 3 3 11 3" xfId="9006"/>
    <cellStyle name="Separador de milhares 3 3 11 3 2" xfId="27220"/>
    <cellStyle name="Separador de milhares 3 3 11 3 2 2" xfId="53450"/>
    <cellStyle name="Separador de milhares 3 3 11 3 3" xfId="21306"/>
    <cellStyle name="Separador de milhares 3 3 11 3 3 2" xfId="47542"/>
    <cellStyle name="Separador de milhares 3 3 11 3 4" xfId="15392"/>
    <cellStyle name="Separador de milhares 3 3 11 3 4 2" xfId="41634"/>
    <cellStyle name="Separador de milhares 3 3 11 3 5" xfId="35248"/>
    <cellStyle name="Separador de milhares 3 3 11 4" xfId="5631"/>
    <cellStyle name="Separador de milhares 3 3 11 4 2" xfId="24263"/>
    <cellStyle name="Separador de milhares 3 3 11 4 2 2" xfId="50496"/>
    <cellStyle name="Separador de milhares 3 3 11 4 3" xfId="31876"/>
    <cellStyle name="Separador de milhares 3 3 11 5" xfId="18349"/>
    <cellStyle name="Separador de milhares 3 3 11 5 2" xfId="44588"/>
    <cellStyle name="Separador de milhares 3 3 11 6" xfId="12018"/>
    <cellStyle name="Separador de milhares 3 3 11 6 2" xfId="38260"/>
    <cellStyle name="Separador de milhares 3 3 11 7" xfId="30178"/>
    <cellStyle name="Separador de milhares 3 3 12" xfId="3645"/>
    <cellStyle name="Separador de milhares 3 3 12 2" xfId="7477"/>
    <cellStyle name="Separador de milhares 3 3 12 2 2" xfId="10621"/>
    <cellStyle name="Separador de milhares 3 3 12 2 2 2" xfId="28835"/>
    <cellStyle name="Separador de milhares 3 3 12 2 2 2 2" xfId="55065"/>
    <cellStyle name="Separador de milhares 3 3 12 2 2 3" xfId="22921"/>
    <cellStyle name="Separador de milhares 3 3 12 2 2 3 2" xfId="49157"/>
    <cellStyle name="Separador de milhares 3 3 12 2 2 4" xfId="17007"/>
    <cellStyle name="Separador de milhares 3 3 12 2 2 4 2" xfId="43249"/>
    <cellStyle name="Separador de milhares 3 3 12 2 2 5" xfId="36863"/>
    <cellStyle name="Separador de milhares 3 3 12 2 3" xfId="25878"/>
    <cellStyle name="Separador de milhares 3 3 12 2 3 2" xfId="52111"/>
    <cellStyle name="Separador de milhares 3 3 12 2 4" xfId="19964"/>
    <cellStyle name="Separador de milhares 3 3 12 2 4 2" xfId="46203"/>
    <cellStyle name="Separador de milhares 3 3 12 2 5" xfId="13866"/>
    <cellStyle name="Separador de milhares 3 3 12 2 5 2" xfId="40108"/>
    <cellStyle name="Separador de milhares 3 3 12 2 6" xfId="33722"/>
    <cellStyle name="Separador de milhares 3 3 12 3" xfId="9153"/>
    <cellStyle name="Separador de milhares 3 3 12 3 2" xfId="27367"/>
    <cellStyle name="Separador de milhares 3 3 12 3 2 2" xfId="53597"/>
    <cellStyle name="Separador de milhares 3 3 12 3 3" xfId="21453"/>
    <cellStyle name="Separador de milhares 3 3 12 3 3 2" xfId="47689"/>
    <cellStyle name="Separador de milhares 3 3 12 3 4" xfId="15539"/>
    <cellStyle name="Separador de milhares 3 3 12 3 4 2" xfId="41781"/>
    <cellStyle name="Separador de milhares 3 3 12 3 5" xfId="35395"/>
    <cellStyle name="Separador de milhares 3 3 12 4" xfId="5778"/>
    <cellStyle name="Separador de milhares 3 3 12 4 2" xfId="24410"/>
    <cellStyle name="Separador de milhares 3 3 12 4 2 2" xfId="50643"/>
    <cellStyle name="Separador de milhares 3 3 12 4 3" xfId="32023"/>
    <cellStyle name="Separador de milhares 3 3 12 5" xfId="18496"/>
    <cellStyle name="Separador de milhares 3 3 12 5 2" xfId="44735"/>
    <cellStyle name="Separador de milhares 3 3 12 6" xfId="12165"/>
    <cellStyle name="Separador de milhares 3 3 12 6 2" xfId="38407"/>
    <cellStyle name="Separador de milhares 3 3 12 7" xfId="30325"/>
    <cellStyle name="Separador de milhares 3 3 13" xfId="6461"/>
    <cellStyle name="Separador de milhares 3 3 13 2" xfId="9617"/>
    <cellStyle name="Separador de milhares 3 3 13 2 2" xfId="27831"/>
    <cellStyle name="Separador de milhares 3 3 13 2 2 2" xfId="54061"/>
    <cellStyle name="Separador de milhares 3 3 13 2 3" xfId="21917"/>
    <cellStyle name="Separador de milhares 3 3 13 2 3 2" xfId="48153"/>
    <cellStyle name="Separador de milhares 3 3 13 2 4" xfId="16003"/>
    <cellStyle name="Separador de milhares 3 3 13 2 4 2" xfId="42245"/>
    <cellStyle name="Separador de milhares 3 3 13 2 5" xfId="35859"/>
    <cellStyle name="Separador de milhares 3 3 13 3" xfId="24874"/>
    <cellStyle name="Separador de milhares 3 3 13 3 2" xfId="51107"/>
    <cellStyle name="Separador de milhares 3 3 13 4" xfId="18960"/>
    <cellStyle name="Separador de milhares 3 3 13 4 2" xfId="45199"/>
    <cellStyle name="Separador de milhares 3 3 13 5" xfId="12850"/>
    <cellStyle name="Separador de milhares 3 3 13 5 2" xfId="39092"/>
    <cellStyle name="Separador de milhares 3 3 13 6" xfId="32706"/>
    <cellStyle name="Separador de milhares 3 3 14" xfId="8146"/>
    <cellStyle name="Separador de milhares 3 3 14 2" xfId="26360"/>
    <cellStyle name="Separador de milhares 3 3 14 2 2" xfId="52593"/>
    <cellStyle name="Separador de milhares 3 3 14 3" xfId="20446"/>
    <cellStyle name="Separador de milhares 3 3 14 3 2" xfId="46685"/>
    <cellStyle name="Separador de milhares 3 3 14 4" xfId="14535"/>
    <cellStyle name="Separador de milhares 3 3 14 4 2" xfId="40777"/>
    <cellStyle name="Separador de milhares 3 3 14 5" xfId="34391"/>
    <cellStyle name="Separador de milhares 3 3 15" xfId="4759"/>
    <cellStyle name="Separador de milhares 3 3 15 2" xfId="23403"/>
    <cellStyle name="Separador de milhares 3 3 15 2 2" xfId="49639"/>
    <cellStyle name="Separador de milhares 3 3 15 3" xfId="31007"/>
    <cellStyle name="Separador de milhares 3 3 16" xfId="17489"/>
    <cellStyle name="Separador de milhares 3 3 16 2" xfId="43731"/>
    <cellStyle name="Separador de milhares 3 3 17" xfId="11149"/>
    <cellStyle name="Separador de milhares 3 3 17 2" xfId="37391"/>
    <cellStyle name="Separador de milhares 3 3 18" xfId="29309"/>
    <cellStyle name="Separador de milhares 3 3 2" xfId="182"/>
    <cellStyle name="Separador de milhares 3 3 2 10" xfId="6490"/>
    <cellStyle name="Separador de milhares 3 3 2 10 2" xfId="9644"/>
    <cellStyle name="Separador de milhares 3 3 2 10 2 2" xfId="27858"/>
    <cellStyle name="Separador de milhares 3 3 2 10 2 2 2" xfId="54088"/>
    <cellStyle name="Separador de milhares 3 3 2 10 2 3" xfId="21944"/>
    <cellStyle name="Separador de milhares 3 3 2 10 2 3 2" xfId="48180"/>
    <cellStyle name="Separador de milhares 3 3 2 10 2 4" xfId="16030"/>
    <cellStyle name="Separador de milhares 3 3 2 10 2 4 2" xfId="42272"/>
    <cellStyle name="Separador de milhares 3 3 2 10 2 5" xfId="35886"/>
    <cellStyle name="Separador de milhares 3 3 2 10 3" xfId="24901"/>
    <cellStyle name="Separador de milhares 3 3 2 10 3 2" xfId="51134"/>
    <cellStyle name="Separador de milhares 3 3 2 10 4" xfId="18987"/>
    <cellStyle name="Separador de milhares 3 3 2 10 4 2" xfId="45226"/>
    <cellStyle name="Separador de milhares 3 3 2 10 5" xfId="12879"/>
    <cellStyle name="Separador de milhares 3 3 2 10 5 2" xfId="39121"/>
    <cellStyle name="Separador de milhares 3 3 2 10 6" xfId="32735"/>
    <cellStyle name="Separador de milhares 3 3 2 11" xfId="8173"/>
    <cellStyle name="Separador de milhares 3 3 2 11 2" xfId="26387"/>
    <cellStyle name="Separador de milhares 3 3 2 11 2 2" xfId="52620"/>
    <cellStyle name="Separador de milhares 3 3 2 11 3" xfId="20473"/>
    <cellStyle name="Separador de milhares 3 3 2 11 3 2" xfId="46712"/>
    <cellStyle name="Separador de milhares 3 3 2 11 4" xfId="14562"/>
    <cellStyle name="Separador de milhares 3 3 2 11 4 2" xfId="40804"/>
    <cellStyle name="Separador de milhares 3 3 2 11 5" xfId="34418"/>
    <cellStyle name="Separador de milhares 3 3 2 12" xfId="4789"/>
    <cellStyle name="Separador de milhares 3 3 2 12 2" xfId="23430"/>
    <cellStyle name="Separador de milhares 3 3 2 12 2 2" xfId="49666"/>
    <cellStyle name="Separador de milhares 3 3 2 12 3" xfId="31036"/>
    <cellStyle name="Separador de milhares 3 3 2 13" xfId="17516"/>
    <cellStyle name="Separador de milhares 3 3 2 13 2" xfId="43758"/>
    <cellStyle name="Separador de milhares 3 3 2 14" xfId="11178"/>
    <cellStyle name="Separador de milhares 3 3 2 14 2" xfId="37420"/>
    <cellStyle name="Separador de milhares 3 3 2 15" xfId="29339"/>
    <cellStyle name="Separador de milhares 3 3 2 2" xfId="455"/>
    <cellStyle name="Separador de milhares 3 3 2 2 10" xfId="17590"/>
    <cellStyle name="Separador de milhares 3 3 2 2 10 2" xfId="43832"/>
    <cellStyle name="Separador de milhares 3 3 2 2 11" xfId="11259"/>
    <cellStyle name="Separador de milhares 3 3 2 2 11 2" xfId="37501"/>
    <cellStyle name="Separador de milhares 3 3 2 2 12" xfId="29419"/>
    <cellStyle name="Separador de milhares 3 3 2 2 2" xfId="1974"/>
    <cellStyle name="Separador de milhares 3 3 2 2 2 2" xfId="7009"/>
    <cellStyle name="Separador de milhares 3 3 2 2 2 2 2" xfId="10156"/>
    <cellStyle name="Separador de milhares 3 3 2 2 2 2 2 2" xfId="28370"/>
    <cellStyle name="Separador de milhares 3 3 2 2 2 2 2 2 2" xfId="54600"/>
    <cellStyle name="Separador de milhares 3 3 2 2 2 2 2 3" xfId="22456"/>
    <cellStyle name="Separador de milhares 3 3 2 2 2 2 2 3 2" xfId="48692"/>
    <cellStyle name="Separador de milhares 3 3 2 2 2 2 2 4" xfId="16542"/>
    <cellStyle name="Separador de milhares 3 3 2 2 2 2 2 4 2" xfId="42784"/>
    <cellStyle name="Separador de milhares 3 3 2 2 2 2 2 5" xfId="36398"/>
    <cellStyle name="Separador de milhares 3 3 2 2 2 2 3" xfId="25413"/>
    <cellStyle name="Separador de milhares 3 3 2 2 2 2 3 2" xfId="51646"/>
    <cellStyle name="Separador de milhares 3 3 2 2 2 2 4" xfId="19499"/>
    <cellStyle name="Separador de milhares 3 3 2 2 2 2 4 2" xfId="45738"/>
    <cellStyle name="Separador de milhares 3 3 2 2 2 2 5" xfId="13398"/>
    <cellStyle name="Separador de milhares 3 3 2 2 2 2 5 2" xfId="39640"/>
    <cellStyle name="Separador de milhares 3 3 2 2 2 2 6" xfId="33254"/>
    <cellStyle name="Separador de milhares 3 3 2 2 2 3" xfId="8688"/>
    <cellStyle name="Separador de milhares 3 3 2 2 2 3 2" xfId="26902"/>
    <cellStyle name="Separador de milhares 3 3 2 2 2 3 2 2" xfId="53132"/>
    <cellStyle name="Separador de milhares 3 3 2 2 2 3 3" xfId="20988"/>
    <cellStyle name="Separador de milhares 3 3 2 2 2 3 3 2" xfId="47224"/>
    <cellStyle name="Separador de milhares 3 3 2 2 2 3 4" xfId="15074"/>
    <cellStyle name="Separador de milhares 3 3 2 2 2 3 4 2" xfId="41316"/>
    <cellStyle name="Separador de milhares 3 3 2 2 2 3 5" xfId="34930"/>
    <cellStyle name="Separador de milhares 3 3 2 2 2 4" xfId="5310"/>
    <cellStyle name="Separador de milhares 3 3 2 2 2 4 2" xfId="23945"/>
    <cellStyle name="Separador de milhares 3 3 2 2 2 4 2 2" xfId="50178"/>
    <cellStyle name="Separador de milhares 3 3 2 2 2 4 3" xfId="31555"/>
    <cellStyle name="Separador de milhares 3 3 2 2 2 5" xfId="18031"/>
    <cellStyle name="Separador de milhares 3 3 2 2 2 5 2" xfId="44270"/>
    <cellStyle name="Separador de milhares 3 3 2 2 2 6" xfId="11697"/>
    <cellStyle name="Separador de milhares 3 3 2 2 2 6 2" xfId="37939"/>
    <cellStyle name="Separador de milhares 3 3 2 2 2 7" xfId="29857"/>
    <cellStyle name="Separador de milhares 3 3 2 2 3" xfId="2504"/>
    <cellStyle name="Separador de milhares 3 3 2 2 3 2" xfId="7159"/>
    <cellStyle name="Separador de milhares 3 3 2 2 3 2 2" xfId="10303"/>
    <cellStyle name="Separador de milhares 3 3 2 2 3 2 2 2" xfId="28517"/>
    <cellStyle name="Separador de milhares 3 3 2 2 3 2 2 2 2" xfId="54747"/>
    <cellStyle name="Separador de milhares 3 3 2 2 3 2 2 3" xfId="22603"/>
    <cellStyle name="Separador de milhares 3 3 2 2 3 2 2 3 2" xfId="48839"/>
    <cellStyle name="Separador de milhares 3 3 2 2 3 2 2 4" xfId="16689"/>
    <cellStyle name="Separador de milhares 3 3 2 2 3 2 2 4 2" xfId="42931"/>
    <cellStyle name="Separador de milhares 3 3 2 2 3 2 2 5" xfId="36545"/>
    <cellStyle name="Separador de milhares 3 3 2 2 3 2 3" xfId="25560"/>
    <cellStyle name="Separador de milhares 3 3 2 2 3 2 3 2" xfId="51793"/>
    <cellStyle name="Separador de milhares 3 3 2 2 3 2 4" xfId="19646"/>
    <cellStyle name="Separador de milhares 3 3 2 2 3 2 4 2" xfId="45885"/>
    <cellStyle name="Separador de milhares 3 3 2 2 3 2 5" xfId="13548"/>
    <cellStyle name="Separador de milhares 3 3 2 2 3 2 5 2" xfId="39790"/>
    <cellStyle name="Separador de milhares 3 3 2 2 3 2 6" xfId="33404"/>
    <cellStyle name="Separador de milhares 3 3 2 2 3 3" xfId="8835"/>
    <cellStyle name="Separador de milhares 3 3 2 2 3 3 2" xfId="27049"/>
    <cellStyle name="Separador de milhares 3 3 2 2 3 3 2 2" xfId="53279"/>
    <cellStyle name="Separador de milhares 3 3 2 2 3 3 3" xfId="21135"/>
    <cellStyle name="Separador de milhares 3 3 2 2 3 3 3 2" xfId="47371"/>
    <cellStyle name="Separador de milhares 3 3 2 2 3 3 4" xfId="15221"/>
    <cellStyle name="Separador de milhares 3 3 2 2 3 3 4 2" xfId="41463"/>
    <cellStyle name="Separador de milhares 3 3 2 2 3 3 5" xfId="35077"/>
    <cellStyle name="Separador de milhares 3 3 2 2 3 4" xfId="5460"/>
    <cellStyle name="Separador de milhares 3 3 2 2 3 4 2" xfId="24092"/>
    <cellStyle name="Separador de milhares 3 3 2 2 3 4 2 2" xfId="50325"/>
    <cellStyle name="Separador de milhares 3 3 2 2 3 4 3" xfId="31705"/>
    <cellStyle name="Separador de milhares 3 3 2 2 3 5" xfId="18178"/>
    <cellStyle name="Separador de milhares 3 3 2 2 3 5 2" xfId="44417"/>
    <cellStyle name="Separador de milhares 3 3 2 2 3 6" xfId="11847"/>
    <cellStyle name="Separador de milhares 3 3 2 2 3 6 2" xfId="38089"/>
    <cellStyle name="Separador de milhares 3 3 2 2 3 7" xfId="30007"/>
    <cellStyle name="Separador de milhares 3 3 2 2 4" xfId="3031"/>
    <cellStyle name="Separador de milhares 3 3 2 2 4 2" xfId="7306"/>
    <cellStyle name="Separador de milhares 3 3 2 2 4 2 2" xfId="10450"/>
    <cellStyle name="Separador de milhares 3 3 2 2 4 2 2 2" xfId="28664"/>
    <cellStyle name="Separador de milhares 3 3 2 2 4 2 2 2 2" xfId="54894"/>
    <cellStyle name="Separador de milhares 3 3 2 2 4 2 2 3" xfId="22750"/>
    <cellStyle name="Separador de milhares 3 3 2 2 4 2 2 3 2" xfId="48986"/>
    <cellStyle name="Separador de milhares 3 3 2 2 4 2 2 4" xfId="16836"/>
    <cellStyle name="Separador de milhares 3 3 2 2 4 2 2 4 2" xfId="43078"/>
    <cellStyle name="Separador de milhares 3 3 2 2 4 2 2 5" xfId="36692"/>
    <cellStyle name="Separador de milhares 3 3 2 2 4 2 3" xfId="25707"/>
    <cellStyle name="Separador de milhares 3 3 2 2 4 2 3 2" xfId="51940"/>
    <cellStyle name="Separador de milhares 3 3 2 2 4 2 4" xfId="19793"/>
    <cellStyle name="Separador de milhares 3 3 2 2 4 2 4 2" xfId="46032"/>
    <cellStyle name="Separador de milhares 3 3 2 2 4 2 5" xfId="13695"/>
    <cellStyle name="Separador de milhares 3 3 2 2 4 2 5 2" xfId="39937"/>
    <cellStyle name="Separador de milhares 3 3 2 2 4 2 6" xfId="33551"/>
    <cellStyle name="Separador de milhares 3 3 2 2 4 3" xfId="8982"/>
    <cellStyle name="Separador de milhares 3 3 2 2 4 3 2" xfId="27196"/>
    <cellStyle name="Separador de milhares 3 3 2 2 4 3 2 2" xfId="53426"/>
    <cellStyle name="Separador de milhares 3 3 2 2 4 3 3" xfId="21282"/>
    <cellStyle name="Separador de milhares 3 3 2 2 4 3 3 2" xfId="47518"/>
    <cellStyle name="Separador de milhares 3 3 2 2 4 3 4" xfId="15368"/>
    <cellStyle name="Separador de milhares 3 3 2 2 4 3 4 2" xfId="41610"/>
    <cellStyle name="Separador de milhares 3 3 2 2 4 3 5" xfId="35224"/>
    <cellStyle name="Separador de milhares 3 3 2 2 4 4" xfId="5607"/>
    <cellStyle name="Separador de milhares 3 3 2 2 4 4 2" xfId="24239"/>
    <cellStyle name="Separador de milhares 3 3 2 2 4 4 2 2" xfId="50472"/>
    <cellStyle name="Separador de milhares 3 3 2 2 4 4 3" xfId="31852"/>
    <cellStyle name="Separador de milhares 3 3 2 2 4 5" xfId="18325"/>
    <cellStyle name="Separador de milhares 3 3 2 2 4 5 2" xfId="44564"/>
    <cellStyle name="Separador de milhares 3 3 2 2 4 6" xfId="11994"/>
    <cellStyle name="Separador de milhares 3 3 2 2 4 6 2" xfId="38236"/>
    <cellStyle name="Separador de milhares 3 3 2 2 4 7" xfId="30154"/>
    <cellStyle name="Separador de milhares 3 3 2 2 5" xfId="3558"/>
    <cellStyle name="Separador de milhares 3 3 2 2 5 2" xfId="7453"/>
    <cellStyle name="Separador de milhares 3 3 2 2 5 2 2" xfId="10597"/>
    <cellStyle name="Separador de milhares 3 3 2 2 5 2 2 2" xfId="28811"/>
    <cellStyle name="Separador de milhares 3 3 2 2 5 2 2 2 2" xfId="55041"/>
    <cellStyle name="Separador de milhares 3 3 2 2 5 2 2 3" xfId="22897"/>
    <cellStyle name="Separador de milhares 3 3 2 2 5 2 2 3 2" xfId="49133"/>
    <cellStyle name="Separador de milhares 3 3 2 2 5 2 2 4" xfId="16983"/>
    <cellStyle name="Separador de milhares 3 3 2 2 5 2 2 4 2" xfId="43225"/>
    <cellStyle name="Separador de milhares 3 3 2 2 5 2 2 5" xfId="36839"/>
    <cellStyle name="Separador de milhares 3 3 2 2 5 2 3" xfId="25854"/>
    <cellStyle name="Separador de milhares 3 3 2 2 5 2 3 2" xfId="52087"/>
    <cellStyle name="Separador de milhares 3 3 2 2 5 2 4" xfId="19940"/>
    <cellStyle name="Separador de milhares 3 3 2 2 5 2 4 2" xfId="46179"/>
    <cellStyle name="Separador de milhares 3 3 2 2 5 2 5" xfId="13842"/>
    <cellStyle name="Separador de milhares 3 3 2 2 5 2 5 2" xfId="40084"/>
    <cellStyle name="Separador de milhares 3 3 2 2 5 2 6" xfId="33698"/>
    <cellStyle name="Separador de milhares 3 3 2 2 5 3" xfId="9129"/>
    <cellStyle name="Separador de milhares 3 3 2 2 5 3 2" xfId="27343"/>
    <cellStyle name="Separador de milhares 3 3 2 2 5 3 2 2" xfId="53573"/>
    <cellStyle name="Separador de milhares 3 3 2 2 5 3 3" xfId="21429"/>
    <cellStyle name="Separador de milhares 3 3 2 2 5 3 3 2" xfId="47665"/>
    <cellStyle name="Separador de milhares 3 3 2 2 5 3 4" xfId="15515"/>
    <cellStyle name="Separador de milhares 3 3 2 2 5 3 4 2" xfId="41757"/>
    <cellStyle name="Separador de milhares 3 3 2 2 5 3 5" xfId="35371"/>
    <cellStyle name="Separador de milhares 3 3 2 2 5 4" xfId="5754"/>
    <cellStyle name="Separador de milhares 3 3 2 2 5 4 2" xfId="24386"/>
    <cellStyle name="Separador de milhares 3 3 2 2 5 4 2 2" xfId="50619"/>
    <cellStyle name="Separador de milhares 3 3 2 2 5 4 3" xfId="31999"/>
    <cellStyle name="Separador de milhares 3 3 2 2 5 5" xfId="18472"/>
    <cellStyle name="Separador de milhares 3 3 2 2 5 5 2" xfId="44711"/>
    <cellStyle name="Separador de milhares 3 3 2 2 5 6" xfId="12141"/>
    <cellStyle name="Separador de milhares 3 3 2 2 5 6 2" xfId="38383"/>
    <cellStyle name="Separador de milhares 3 3 2 2 5 7" xfId="30301"/>
    <cellStyle name="Separador de milhares 3 3 2 2 6" xfId="4085"/>
    <cellStyle name="Separador de milhares 3 3 2 2 6 2" xfId="7600"/>
    <cellStyle name="Separador de milhares 3 3 2 2 6 2 2" xfId="10744"/>
    <cellStyle name="Separador de milhares 3 3 2 2 6 2 2 2" xfId="28958"/>
    <cellStyle name="Separador de milhares 3 3 2 2 6 2 2 2 2" xfId="55188"/>
    <cellStyle name="Separador de milhares 3 3 2 2 6 2 2 3" xfId="23044"/>
    <cellStyle name="Separador de milhares 3 3 2 2 6 2 2 3 2" xfId="49280"/>
    <cellStyle name="Separador de milhares 3 3 2 2 6 2 2 4" xfId="17130"/>
    <cellStyle name="Separador de milhares 3 3 2 2 6 2 2 4 2" xfId="43372"/>
    <cellStyle name="Separador de milhares 3 3 2 2 6 2 2 5" xfId="36986"/>
    <cellStyle name="Separador de milhares 3 3 2 2 6 2 3" xfId="26001"/>
    <cellStyle name="Separador de milhares 3 3 2 2 6 2 3 2" xfId="52234"/>
    <cellStyle name="Separador de milhares 3 3 2 2 6 2 4" xfId="20087"/>
    <cellStyle name="Separador de milhares 3 3 2 2 6 2 4 2" xfId="46326"/>
    <cellStyle name="Separador de milhares 3 3 2 2 6 2 5" xfId="13989"/>
    <cellStyle name="Separador de milhares 3 3 2 2 6 2 5 2" xfId="40231"/>
    <cellStyle name="Separador de milhares 3 3 2 2 6 2 6" xfId="33845"/>
    <cellStyle name="Separador de milhares 3 3 2 2 6 3" xfId="9276"/>
    <cellStyle name="Separador de milhares 3 3 2 2 6 3 2" xfId="27490"/>
    <cellStyle name="Separador de milhares 3 3 2 2 6 3 2 2" xfId="53720"/>
    <cellStyle name="Separador de milhares 3 3 2 2 6 3 3" xfId="21576"/>
    <cellStyle name="Separador de milhares 3 3 2 2 6 3 3 2" xfId="47812"/>
    <cellStyle name="Separador de milhares 3 3 2 2 6 3 4" xfId="15662"/>
    <cellStyle name="Separador de milhares 3 3 2 2 6 3 4 2" xfId="41904"/>
    <cellStyle name="Separador de milhares 3 3 2 2 6 3 5" xfId="35518"/>
    <cellStyle name="Separador de milhares 3 3 2 2 6 4" xfId="5901"/>
    <cellStyle name="Separador de milhares 3 3 2 2 6 4 2" xfId="24533"/>
    <cellStyle name="Separador de milhares 3 3 2 2 6 4 2 2" xfId="50766"/>
    <cellStyle name="Separador de milhares 3 3 2 2 6 4 3" xfId="32146"/>
    <cellStyle name="Separador de milhares 3 3 2 2 6 5" xfId="18619"/>
    <cellStyle name="Separador de milhares 3 3 2 2 6 5 2" xfId="44858"/>
    <cellStyle name="Separador de milhares 3 3 2 2 6 6" xfId="12288"/>
    <cellStyle name="Separador de milhares 3 3 2 2 6 6 2" xfId="38530"/>
    <cellStyle name="Separador de milhares 3 3 2 2 6 7" xfId="30448"/>
    <cellStyle name="Separador de milhares 3 3 2 2 7" xfId="6571"/>
    <cellStyle name="Separador de milhares 3 3 2 2 7 2" xfId="9718"/>
    <cellStyle name="Separador de milhares 3 3 2 2 7 2 2" xfId="27932"/>
    <cellStyle name="Separador de milhares 3 3 2 2 7 2 2 2" xfId="54162"/>
    <cellStyle name="Separador de milhares 3 3 2 2 7 2 3" xfId="22018"/>
    <cellStyle name="Separador de milhares 3 3 2 2 7 2 3 2" xfId="48254"/>
    <cellStyle name="Separador de milhares 3 3 2 2 7 2 4" xfId="16104"/>
    <cellStyle name="Separador de milhares 3 3 2 2 7 2 4 2" xfId="42346"/>
    <cellStyle name="Separador de milhares 3 3 2 2 7 2 5" xfId="35960"/>
    <cellStyle name="Separador de milhares 3 3 2 2 7 3" xfId="24975"/>
    <cellStyle name="Separador de milhares 3 3 2 2 7 3 2" xfId="51208"/>
    <cellStyle name="Separador de milhares 3 3 2 2 7 4" xfId="19061"/>
    <cellStyle name="Separador de milhares 3 3 2 2 7 4 2" xfId="45300"/>
    <cellStyle name="Separador de milhares 3 3 2 2 7 5" xfId="12960"/>
    <cellStyle name="Separador de milhares 3 3 2 2 7 5 2" xfId="39202"/>
    <cellStyle name="Separador de milhares 3 3 2 2 7 6" xfId="32816"/>
    <cellStyle name="Separador de milhares 3 3 2 2 8" xfId="8247"/>
    <cellStyle name="Separador de milhares 3 3 2 2 8 2" xfId="26461"/>
    <cellStyle name="Separador de milhares 3 3 2 2 8 2 2" xfId="52694"/>
    <cellStyle name="Separador de milhares 3 3 2 2 8 3" xfId="20547"/>
    <cellStyle name="Separador de milhares 3 3 2 2 8 3 2" xfId="46786"/>
    <cellStyle name="Separador de milhares 3 3 2 2 8 4" xfId="14636"/>
    <cellStyle name="Separador de milhares 3 3 2 2 8 4 2" xfId="40878"/>
    <cellStyle name="Separador de milhares 3 3 2 2 8 5" xfId="34492"/>
    <cellStyle name="Separador de milhares 3 3 2 2 9" xfId="4870"/>
    <cellStyle name="Separador de milhares 3 3 2 2 9 2" xfId="23504"/>
    <cellStyle name="Separador de milhares 3 3 2 2 9 2 2" xfId="49740"/>
    <cellStyle name="Separador de milhares 3 3 2 2 9 3" xfId="31117"/>
    <cellStyle name="Separador de milhares 3 3 2 3" xfId="928"/>
    <cellStyle name="Separador de milhares 3 3 2 3 2" xfId="6722"/>
    <cellStyle name="Separador de milhares 3 3 2 3 2 2" xfId="9869"/>
    <cellStyle name="Separador de milhares 3 3 2 3 2 2 2" xfId="28083"/>
    <cellStyle name="Separador de milhares 3 3 2 3 2 2 2 2" xfId="54313"/>
    <cellStyle name="Separador de milhares 3 3 2 3 2 2 3" xfId="22169"/>
    <cellStyle name="Separador de milhares 3 3 2 3 2 2 3 2" xfId="48405"/>
    <cellStyle name="Separador de milhares 3 3 2 3 2 2 4" xfId="16255"/>
    <cellStyle name="Separador de milhares 3 3 2 3 2 2 4 2" xfId="42497"/>
    <cellStyle name="Separador de milhares 3 3 2 3 2 2 5" xfId="36111"/>
    <cellStyle name="Separador de milhares 3 3 2 3 2 3" xfId="25126"/>
    <cellStyle name="Separador de milhares 3 3 2 3 2 3 2" xfId="51359"/>
    <cellStyle name="Separador de milhares 3 3 2 3 2 4" xfId="19212"/>
    <cellStyle name="Separador de milhares 3 3 2 3 2 4 2" xfId="45451"/>
    <cellStyle name="Separador de milhares 3 3 2 3 2 5" xfId="13111"/>
    <cellStyle name="Separador de milhares 3 3 2 3 2 5 2" xfId="39353"/>
    <cellStyle name="Separador de milhares 3 3 2 3 2 6" xfId="32967"/>
    <cellStyle name="Separador de milhares 3 3 2 3 3" xfId="8401"/>
    <cellStyle name="Separador de milhares 3 3 2 3 3 2" xfId="26615"/>
    <cellStyle name="Separador de milhares 3 3 2 3 3 2 2" xfId="52845"/>
    <cellStyle name="Separador de milhares 3 3 2 3 3 3" xfId="20701"/>
    <cellStyle name="Separador de milhares 3 3 2 3 3 3 2" xfId="46937"/>
    <cellStyle name="Separador de milhares 3 3 2 3 3 4" xfId="14787"/>
    <cellStyle name="Separador de milhares 3 3 2 3 3 4 2" xfId="41029"/>
    <cellStyle name="Separador de milhares 3 3 2 3 3 5" xfId="34643"/>
    <cellStyle name="Separador de milhares 3 3 2 3 4" xfId="5023"/>
    <cellStyle name="Separador de milhares 3 3 2 3 4 2" xfId="23658"/>
    <cellStyle name="Separador de milhares 3 3 2 3 4 2 2" xfId="49891"/>
    <cellStyle name="Separador de milhares 3 3 2 3 4 3" xfId="31268"/>
    <cellStyle name="Separador de milhares 3 3 2 3 5" xfId="17744"/>
    <cellStyle name="Separador de milhares 3 3 2 3 5 2" xfId="43983"/>
    <cellStyle name="Separador de milhares 3 3 2 3 6" xfId="11410"/>
    <cellStyle name="Separador de milhares 3 3 2 3 6 2" xfId="37652"/>
    <cellStyle name="Separador de milhares 3 3 2 3 7" xfId="29570"/>
    <cellStyle name="Separador de milhares 3 3 2 4" xfId="1279"/>
    <cellStyle name="Separador de milhares 3 3 2 4 2" xfId="6820"/>
    <cellStyle name="Separador de milhares 3 3 2 4 2 2" xfId="9967"/>
    <cellStyle name="Separador de milhares 3 3 2 4 2 2 2" xfId="28181"/>
    <cellStyle name="Separador de milhares 3 3 2 4 2 2 2 2" xfId="54411"/>
    <cellStyle name="Separador de milhares 3 3 2 4 2 2 3" xfId="22267"/>
    <cellStyle name="Separador de milhares 3 3 2 4 2 2 3 2" xfId="48503"/>
    <cellStyle name="Separador de milhares 3 3 2 4 2 2 4" xfId="16353"/>
    <cellStyle name="Separador de milhares 3 3 2 4 2 2 4 2" xfId="42595"/>
    <cellStyle name="Separador de milhares 3 3 2 4 2 2 5" xfId="36209"/>
    <cellStyle name="Separador de milhares 3 3 2 4 2 3" xfId="25224"/>
    <cellStyle name="Separador de milhares 3 3 2 4 2 3 2" xfId="51457"/>
    <cellStyle name="Separador de milhares 3 3 2 4 2 4" xfId="19310"/>
    <cellStyle name="Separador de milhares 3 3 2 4 2 4 2" xfId="45549"/>
    <cellStyle name="Separador de milhares 3 3 2 4 2 5" xfId="13209"/>
    <cellStyle name="Separador de milhares 3 3 2 4 2 5 2" xfId="39451"/>
    <cellStyle name="Separador de milhares 3 3 2 4 2 6" xfId="33065"/>
    <cellStyle name="Separador de milhares 3 3 2 4 3" xfId="8499"/>
    <cellStyle name="Separador de milhares 3 3 2 4 3 2" xfId="26713"/>
    <cellStyle name="Separador de milhares 3 3 2 4 3 2 2" xfId="52943"/>
    <cellStyle name="Separador de milhares 3 3 2 4 3 3" xfId="20799"/>
    <cellStyle name="Separador de milhares 3 3 2 4 3 3 2" xfId="47035"/>
    <cellStyle name="Separador de milhares 3 3 2 4 3 4" xfId="14885"/>
    <cellStyle name="Separador de milhares 3 3 2 4 3 4 2" xfId="41127"/>
    <cellStyle name="Separador de milhares 3 3 2 4 3 5" xfId="34741"/>
    <cellStyle name="Separador de milhares 3 3 2 4 4" xfId="5121"/>
    <cellStyle name="Separador de milhares 3 3 2 4 4 2" xfId="23756"/>
    <cellStyle name="Separador de milhares 3 3 2 4 4 2 2" xfId="49989"/>
    <cellStyle name="Separador de milhares 3 3 2 4 4 3" xfId="31366"/>
    <cellStyle name="Separador de milhares 3 3 2 4 5" xfId="17842"/>
    <cellStyle name="Separador de milhares 3 3 2 4 5 2" xfId="44081"/>
    <cellStyle name="Separador de milhares 3 3 2 4 6" xfId="11508"/>
    <cellStyle name="Separador de milhares 3 3 2 4 6 2" xfId="37750"/>
    <cellStyle name="Separador de milhares 3 3 2 4 7" xfId="29668"/>
    <cellStyle name="Separador de milhares 3 3 2 5" xfId="1714"/>
    <cellStyle name="Separador de milhares 3 3 2 5 2" xfId="6939"/>
    <cellStyle name="Separador de milhares 3 3 2 5 2 2" xfId="10086"/>
    <cellStyle name="Separador de milhares 3 3 2 5 2 2 2" xfId="28300"/>
    <cellStyle name="Separador de milhares 3 3 2 5 2 2 2 2" xfId="54530"/>
    <cellStyle name="Separador de milhares 3 3 2 5 2 2 3" xfId="22386"/>
    <cellStyle name="Separador de milhares 3 3 2 5 2 2 3 2" xfId="48622"/>
    <cellStyle name="Separador de milhares 3 3 2 5 2 2 4" xfId="16472"/>
    <cellStyle name="Separador de milhares 3 3 2 5 2 2 4 2" xfId="42714"/>
    <cellStyle name="Separador de milhares 3 3 2 5 2 2 5" xfId="36328"/>
    <cellStyle name="Separador de milhares 3 3 2 5 2 3" xfId="25343"/>
    <cellStyle name="Separador de milhares 3 3 2 5 2 3 2" xfId="51576"/>
    <cellStyle name="Separador de milhares 3 3 2 5 2 4" xfId="19429"/>
    <cellStyle name="Separador de milhares 3 3 2 5 2 4 2" xfId="45668"/>
    <cellStyle name="Separador de milhares 3 3 2 5 2 5" xfId="13328"/>
    <cellStyle name="Separador de milhares 3 3 2 5 2 5 2" xfId="39570"/>
    <cellStyle name="Separador de milhares 3 3 2 5 2 6" xfId="33184"/>
    <cellStyle name="Separador de milhares 3 3 2 5 3" xfId="8618"/>
    <cellStyle name="Separador de milhares 3 3 2 5 3 2" xfId="26832"/>
    <cellStyle name="Separador de milhares 3 3 2 5 3 2 2" xfId="53062"/>
    <cellStyle name="Separador de milhares 3 3 2 5 3 3" xfId="20918"/>
    <cellStyle name="Separador de milhares 3 3 2 5 3 3 2" xfId="47154"/>
    <cellStyle name="Separador de milhares 3 3 2 5 3 4" xfId="15004"/>
    <cellStyle name="Separador de milhares 3 3 2 5 3 4 2" xfId="41246"/>
    <cellStyle name="Separador de milhares 3 3 2 5 3 5" xfId="34860"/>
    <cellStyle name="Separador de milhares 3 3 2 5 4" xfId="5240"/>
    <cellStyle name="Separador de milhares 3 3 2 5 4 2" xfId="23875"/>
    <cellStyle name="Separador de milhares 3 3 2 5 4 2 2" xfId="50108"/>
    <cellStyle name="Separador de milhares 3 3 2 5 4 3" xfId="31485"/>
    <cellStyle name="Separador de milhares 3 3 2 5 5" xfId="17961"/>
    <cellStyle name="Separador de milhares 3 3 2 5 5 2" xfId="44200"/>
    <cellStyle name="Separador de milhares 3 3 2 5 6" xfId="11627"/>
    <cellStyle name="Separador de milhares 3 3 2 5 6 2" xfId="37869"/>
    <cellStyle name="Separador de milhares 3 3 2 5 7" xfId="29787"/>
    <cellStyle name="Separador de milhares 3 3 2 6" xfId="2244"/>
    <cellStyle name="Separador de milhares 3 3 2 6 2" xfId="7089"/>
    <cellStyle name="Separador de milhares 3 3 2 6 2 2" xfId="10233"/>
    <cellStyle name="Separador de milhares 3 3 2 6 2 2 2" xfId="28447"/>
    <cellStyle name="Separador de milhares 3 3 2 6 2 2 2 2" xfId="54677"/>
    <cellStyle name="Separador de milhares 3 3 2 6 2 2 3" xfId="22533"/>
    <cellStyle name="Separador de milhares 3 3 2 6 2 2 3 2" xfId="48769"/>
    <cellStyle name="Separador de milhares 3 3 2 6 2 2 4" xfId="16619"/>
    <cellStyle name="Separador de milhares 3 3 2 6 2 2 4 2" xfId="42861"/>
    <cellStyle name="Separador de milhares 3 3 2 6 2 2 5" xfId="36475"/>
    <cellStyle name="Separador de milhares 3 3 2 6 2 3" xfId="25490"/>
    <cellStyle name="Separador de milhares 3 3 2 6 2 3 2" xfId="51723"/>
    <cellStyle name="Separador de milhares 3 3 2 6 2 4" xfId="19576"/>
    <cellStyle name="Separador de milhares 3 3 2 6 2 4 2" xfId="45815"/>
    <cellStyle name="Separador de milhares 3 3 2 6 2 5" xfId="13478"/>
    <cellStyle name="Separador de milhares 3 3 2 6 2 5 2" xfId="39720"/>
    <cellStyle name="Separador de milhares 3 3 2 6 2 6" xfId="33334"/>
    <cellStyle name="Separador de milhares 3 3 2 6 3" xfId="8765"/>
    <cellStyle name="Separador de milhares 3 3 2 6 3 2" xfId="26979"/>
    <cellStyle name="Separador de milhares 3 3 2 6 3 2 2" xfId="53209"/>
    <cellStyle name="Separador de milhares 3 3 2 6 3 3" xfId="21065"/>
    <cellStyle name="Separador de milhares 3 3 2 6 3 3 2" xfId="47301"/>
    <cellStyle name="Separador de milhares 3 3 2 6 3 4" xfId="15151"/>
    <cellStyle name="Separador de milhares 3 3 2 6 3 4 2" xfId="41393"/>
    <cellStyle name="Separador de milhares 3 3 2 6 3 5" xfId="35007"/>
    <cellStyle name="Separador de milhares 3 3 2 6 4" xfId="5390"/>
    <cellStyle name="Separador de milhares 3 3 2 6 4 2" xfId="24022"/>
    <cellStyle name="Separador de milhares 3 3 2 6 4 2 2" xfId="50255"/>
    <cellStyle name="Separador de milhares 3 3 2 6 4 3" xfId="31635"/>
    <cellStyle name="Separador de milhares 3 3 2 6 5" xfId="18108"/>
    <cellStyle name="Separador de milhares 3 3 2 6 5 2" xfId="44347"/>
    <cellStyle name="Separador de milhares 3 3 2 6 6" xfId="11777"/>
    <cellStyle name="Separador de milhares 3 3 2 6 6 2" xfId="38019"/>
    <cellStyle name="Separador de milhares 3 3 2 6 7" xfId="29937"/>
    <cellStyle name="Separador de milhares 3 3 2 7" xfId="2771"/>
    <cellStyle name="Separador de milhares 3 3 2 7 2" xfId="7236"/>
    <cellStyle name="Separador de milhares 3 3 2 7 2 2" xfId="10380"/>
    <cellStyle name="Separador de milhares 3 3 2 7 2 2 2" xfId="28594"/>
    <cellStyle name="Separador de milhares 3 3 2 7 2 2 2 2" xfId="54824"/>
    <cellStyle name="Separador de milhares 3 3 2 7 2 2 3" xfId="22680"/>
    <cellStyle name="Separador de milhares 3 3 2 7 2 2 3 2" xfId="48916"/>
    <cellStyle name="Separador de milhares 3 3 2 7 2 2 4" xfId="16766"/>
    <cellStyle name="Separador de milhares 3 3 2 7 2 2 4 2" xfId="43008"/>
    <cellStyle name="Separador de milhares 3 3 2 7 2 2 5" xfId="36622"/>
    <cellStyle name="Separador de milhares 3 3 2 7 2 3" xfId="25637"/>
    <cellStyle name="Separador de milhares 3 3 2 7 2 3 2" xfId="51870"/>
    <cellStyle name="Separador de milhares 3 3 2 7 2 4" xfId="19723"/>
    <cellStyle name="Separador de milhares 3 3 2 7 2 4 2" xfId="45962"/>
    <cellStyle name="Separador de milhares 3 3 2 7 2 5" xfId="13625"/>
    <cellStyle name="Separador de milhares 3 3 2 7 2 5 2" xfId="39867"/>
    <cellStyle name="Separador de milhares 3 3 2 7 2 6" xfId="33481"/>
    <cellStyle name="Separador de milhares 3 3 2 7 3" xfId="8912"/>
    <cellStyle name="Separador de milhares 3 3 2 7 3 2" xfId="27126"/>
    <cellStyle name="Separador de milhares 3 3 2 7 3 2 2" xfId="53356"/>
    <cellStyle name="Separador de milhares 3 3 2 7 3 3" xfId="21212"/>
    <cellStyle name="Separador de milhares 3 3 2 7 3 3 2" xfId="47448"/>
    <cellStyle name="Separador de milhares 3 3 2 7 3 4" xfId="15298"/>
    <cellStyle name="Separador de milhares 3 3 2 7 3 4 2" xfId="41540"/>
    <cellStyle name="Separador de milhares 3 3 2 7 3 5" xfId="35154"/>
    <cellStyle name="Separador de milhares 3 3 2 7 4" xfId="5537"/>
    <cellStyle name="Separador de milhares 3 3 2 7 4 2" xfId="24169"/>
    <cellStyle name="Separador de milhares 3 3 2 7 4 2 2" xfId="50402"/>
    <cellStyle name="Separador de milhares 3 3 2 7 4 3" xfId="31782"/>
    <cellStyle name="Separador de milhares 3 3 2 7 5" xfId="18255"/>
    <cellStyle name="Separador de milhares 3 3 2 7 5 2" xfId="44494"/>
    <cellStyle name="Separador de milhares 3 3 2 7 6" xfId="11924"/>
    <cellStyle name="Separador de milhares 3 3 2 7 6 2" xfId="38166"/>
    <cellStyle name="Separador de milhares 3 3 2 7 7" xfId="30084"/>
    <cellStyle name="Separador de milhares 3 3 2 8" xfId="3298"/>
    <cellStyle name="Separador de milhares 3 3 2 8 2" xfId="7383"/>
    <cellStyle name="Separador de milhares 3 3 2 8 2 2" xfId="10527"/>
    <cellStyle name="Separador de milhares 3 3 2 8 2 2 2" xfId="28741"/>
    <cellStyle name="Separador de milhares 3 3 2 8 2 2 2 2" xfId="54971"/>
    <cellStyle name="Separador de milhares 3 3 2 8 2 2 3" xfId="22827"/>
    <cellStyle name="Separador de milhares 3 3 2 8 2 2 3 2" xfId="49063"/>
    <cellStyle name="Separador de milhares 3 3 2 8 2 2 4" xfId="16913"/>
    <cellStyle name="Separador de milhares 3 3 2 8 2 2 4 2" xfId="43155"/>
    <cellStyle name="Separador de milhares 3 3 2 8 2 2 5" xfId="36769"/>
    <cellStyle name="Separador de milhares 3 3 2 8 2 3" xfId="25784"/>
    <cellStyle name="Separador de milhares 3 3 2 8 2 3 2" xfId="52017"/>
    <cellStyle name="Separador de milhares 3 3 2 8 2 4" xfId="19870"/>
    <cellStyle name="Separador de milhares 3 3 2 8 2 4 2" xfId="46109"/>
    <cellStyle name="Separador de milhares 3 3 2 8 2 5" xfId="13772"/>
    <cellStyle name="Separador de milhares 3 3 2 8 2 5 2" xfId="40014"/>
    <cellStyle name="Separador de milhares 3 3 2 8 2 6" xfId="33628"/>
    <cellStyle name="Separador de milhares 3 3 2 8 3" xfId="9059"/>
    <cellStyle name="Separador de milhares 3 3 2 8 3 2" xfId="27273"/>
    <cellStyle name="Separador de milhares 3 3 2 8 3 2 2" xfId="53503"/>
    <cellStyle name="Separador de milhares 3 3 2 8 3 3" xfId="21359"/>
    <cellStyle name="Separador de milhares 3 3 2 8 3 3 2" xfId="47595"/>
    <cellStyle name="Separador de milhares 3 3 2 8 3 4" xfId="15445"/>
    <cellStyle name="Separador de milhares 3 3 2 8 3 4 2" xfId="41687"/>
    <cellStyle name="Separador de milhares 3 3 2 8 3 5" xfId="35301"/>
    <cellStyle name="Separador de milhares 3 3 2 8 4" xfId="5684"/>
    <cellStyle name="Separador de milhares 3 3 2 8 4 2" xfId="24316"/>
    <cellStyle name="Separador de milhares 3 3 2 8 4 2 2" xfId="50549"/>
    <cellStyle name="Separador de milhares 3 3 2 8 4 3" xfId="31929"/>
    <cellStyle name="Separador de milhares 3 3 2 8 5" xfId="18402"/>
    <cellStyle name="Separador de milhares 3 3 2 8 5 2" xfId="44641"/>
    <cellStyle name="Separador de milhares 3 3 2 8 6" xfId="12071"/>
    <cellStyle name="Separador de milhares 3 3 2 8 6 2" xfId="38313"/>
    <cellStyle name="Separador de milhares 3 3 2 8 7" xfId="30231"/>
    <cellStyle name="Separador de milhares 3 3 2 9" xfId="3825"/>
    <cellStyle name="Separador de milhares 3 3 2 9 2" xfId="7530"/>
    <cellStyle name="Separador de milhares 3 3 2 9 2 2" xfId="10674"/>
    <cellStyle name="Separador de milhares 3 3 2 9 2 2 2" xfId="28888"/>
    <cellStyle name="Separador de milhares 3 3 2 9 2 2 2 2" xfId="55118"/>
    <cellStyle name="Separador de milhares 3 3 2 9 2 2 3" xfId="22974"/>
    <cellStyle name="Separador de milhares 3 3 2 9 2 2 3 2" xfId="49210"/>
    <cellStyle name="Separador de milhares 3 3 2 9 2 2 4" xfId="17060"/>
    <cellStyle name="Separador de milhares 3 3 2 9 2 2 4 2" xfId="43302"/>
    <cellStyle name="Separador de milhares 3 3 2 9 2 2 5" xfId="36916"/>
    <cellStyle name="Separador de milhares 3 3 2 9 2 3" xfId="25931"/>
    <cellStyle name="Separador de milhares 3 3 2 9 2 3 2" xfId="52164"/>
    <cellStyle name="Separador de milhares 3 3 2 9 2 4" xfId="20017"/>
    <cellStyle name="Separador de milhares 3 3 2 9 2 4 2" xfId="46256"/>
    <cellStyle name="Separador de milhares 3 3 2 9 2 5" xfId="13919"/>
    <cellStyle name="Separador de milhares 3 3 2 9 2 5 2" xfId="40161"/>
    <cellStyle name="Separador de milhares 3 3 2 9 2 6" xfId="33775"/>
    <cellStyle name="Separador de milhares 3 3 2 9 3" xfId="9206"/>
    <cellStyle name="Separador de milhares 3 3 2 9 3 2" xfId="27420"/>
    <cellStyle name="Separador de milhares 3 3 2 9 3 2 2" xfId="53650"/>
    <cellStyle name="Separador de milhares 3 3 2 9 3 3" xfId="21506"/>
    <cellStyle name="Separador de milhares 3 3 2 9 3 3 2" xfId="47742"/>
    <cellStyle name="Separador de milhares 3 3 2 9 3 4" xfId="15592"/>
    <cellStyle name="Separador de milhares 3 3 2 9 3 4 2" xfId="41834"/>
    <cellStyle name="Separador de milhares 3 3 2 9 3 5" xfId="35448"/>
    <cellStyle name="Separador de milhares 3 3 2 9 4" xfId="5831"/>
    <cellStyle name="Separador de milhares 3 3 2 9 4 2" xfId="24463"/>
    <cellStyle name="Separador de milhares 3 3 2 9 4 2 2" xfId="50696"/>
    <cellStyle name="Separador de milhares 3 3 2 9 4 3" xfId="32076"/>
    <cellStyle name="Separador de milhares 3 3 2 9 5" xfId="18549"/>
    <cellStyle name="Separador de milhares 3 3 2 9 5 2" xfId="44788"/>
    <cellStyle name="Separador de milhares 3 3 2 9 6" xfId="12218"/>
    <cellStyle name="Separador de milhares 3 3 2 9 6 2" xfId="38460"/>
    <cellStyle name="Separador de milhares 3 3 2 9 7" xfId="30378"/>
    <cellStyle name="Separador de milhares 3 3 3" xfId="277"/>
    <cellStyle name="Separador de milhares 3 3 3 10" xfId="6521"/>
    <cellStyle name="Separador de milhares 3 3 3 10 2" xfId="9672"/>
    <cellStyle name="Separador de milhares 3 3 3 10 2 2" xfId="27886"/>
    <cellStyle name="Separador de milhares 3 3 3 10 2 2 2" xfId="54116"/>
    <cellStyle name="Separador de milhares 3 3 3 10 2 3" xfId="21972"/>
    <cellStyle name="Separador de milhares 3 3 3 10 2 3 2" xfId="48208"/>
    <cellStyle name="Separador de milhares 3 3 3 10 2 4" xfId="16058"/>
    <cellStyle name="Separador de milhares 3 3 3 10 2 4 2" xfId="42300"/>
    <cellStyle name="Separador de milhares 3 3 3 10 2 5" xfId="35914"/>
    <cellStyle name="Separador de milhares 3 3 3 10 3" xfId="24929"/>
    <cellStyle name="Separador de milhares 3 3 3 10 3 2" xfId="51162"/>
    <cellStyle name="Separador de milhares 3 3 3 10 4" xfId="19015"/>
    <cellStyle name="Separador de milhares 3 3 3 10 4 2" xfId="45254"/>
    <cellStyle name="Separador de milhares 3 3 3 10 5" xfId="12910"/>
    <cellStyle name="Separador de milhares 3 3 3 10 5 2" xfId="39152"/>
    <cellStyle name="Separador de milhares 3 3 3 10 6" xfId="32766"/>
    <cellStyle name="Separador de milhares 3 3 3 11" xfId="8201"/>
    <cellStyle name="Separador de milhares 3 3 3 11 2" xfId="26415"/>
    <cellStyle name="Separador de milhares 3 3 3 11 2 2" xfId="52648"/>
    <cellStyle name="Separador de milhares 3 3 3 11 3" xfId="20501"/>
    <cellStyle name="Separador de milhares 3 3 3 11 3 2" xfId="46740"/>
    <cellStyle name="Separador de milhares 3 3 3 11 4" xfId="14590"/>
    <cellStyle name="Separador de milhares 3 3 3 11 4 2" xfId="40832"/>
    <cellStyle name="Separador de milhares 3 3 3 11 5" xfId="34446"/>
    <cellStyle name="Separador de milhares 3 3 3 12" xfId="4820"/>
    <cellStyle name="Separador de milhares 3 3 3 12 2" xfId="23458"/>
    <cellStyle name="Separador de milhares 3 3 3 12 2 2" xfId="49694"/>
    <cellStyle name="Separador de milhares 3 3 3 12 3" xfId="31067"/>
    <cellStyle name="Separador de milhares 3 3 3 13" xfId="17544"/>
    <cellStyle name="Separador de milhares 3 3 3 13 2" xfId="43786"/>
    <cellStyle name="Separador de milhares 3 3 3 14" xfId="11209"/>
    <cellStyle name="Separador de milhares 3 3 3 14 2" xfId="37451"/>
    <cellStyle name="Separador de milhares 3 3 3 15" xfId="29369"/>
    <cellStyle name="Separador de milhares 3 3 3 2" xfId="540"/>
    <cellStyle name="Separador de milhares 3 3 3 2 2" xfId="6592"/>
    <cellStyle name="Separador de milhares 3 3 3 2 2 2" xfId="9739"/>
    <cellStyle name="Separador de milhares 3 3 3 2 2 2 2" xfId="27953"/>
    <cellStyle name="Separador de milhares 3 3 3 2 2 2 2 2" xfId="54183"/>
    <cellStyle name="Separador de milhares 3 3 3 2 2 2 3" xfId="22039"/>
    <cellStyle name="Separador de milhares 3 3 3 2 2 2 3 2" xfId="48275"/>
    <cellStyle name="Separador de milhares 3 3 3 2 2 2 4" xfId="16125"/>
    <cellStyle name="Separador de milhares 3 3 3 2 2 2 4 2" xfId="42367"/>
    <cellStyle name="Separador de milhares 3 3 3 2 2 2 5" xfId="35981"/>
    <cellStyle name="Separador de milhares 3 3 3 2 2 3" xfId="24996"/>
    <cellStyle name="Separador de milhares 3 3 3 2 2 3 2" xfId="51229"/>
    <cellStyle name="Separador de milhares 3 3 3 2 2 4" xfId="19082"/>
    <cellStyle name="Separador de milhares 3 3 3 2 2 4 2" xfId="45321"/>
    <cellStyle name="Separador de milhares 3 3 3 2 2 5" xfId="12981"/>
    <cellStyle name="Separador de milhares 3 3 3 2 2 5 2" xfId="39223"/>
    <cellStyle name="Separador de milhares 3 3 3 2 2 6" xfId="32837"/>
    <cellStyle name="Separador de milhares 3 3 3 2 3" xfId="8268"/>
    <cellStyle name="Separador de milhares 3 3 3 2 3 2" xfId="26482"/>
    <cellStyle name="Separador de milhares 3 3 3 2 3 2 2" xfId="52715"/>
    <cellStyle name="Separador de milhares 3 3 3 2 3 3" xfId="20568"/>
    <cellStyle name="Separador de milhares 3 3 3 2 3 3 2" xfId="46807"/>
    <cellStyle name="Separador de milhares 3 3 3 2 3 4" xfId="14657"/>
    <cellStyle name="Separador de milhares 3 3 3 2 3 4 2" xfId="40899"/>
    <cellStyle name="Separador de milhares 3 3 3 2 3 5" xfId="34513"/>
    <cellStyle name="Separador de milhares 3 3 3 2 4" xfId="4891"/>
    <cellStyle name="Separador de milhares 3 3 3 2 4 2" xfId="23525"/>
    <cellStyle name="Separador de milhares 3 3 3 2 4 2 2" xfId="49761"/>
    <cellStyle name="Separador de milhares 3 3 3 2 4 3" xfId="31138"/>
    <cellStyle name="Separador de milhares 3 3 3 2 5" xfId="17611"/>
    <cellStyle name="Separador de milhares 3 3 3 2 5 2" xfId="43853"/>
    <cellStyle name="Separador de milhares 3 3 3 2 6" xfId="11280"/>
    <cellStyle name="Separador de milhares 3 3 3 2 6 2" xfId="37522"/>
    <cellStyle name="Separador de milhares 3 3 3 2 7" xfId="29440"/>
    <cellStyle name="Separador de milhares 3 3 3 3" xfId="837"/>
    <cellStyle name="Separador de milhares 3 3 3 3 2" xfId="6694"/>
    <cellStyle name="Separador de milhares 3 3 3 3 2 2" xfId="9841"/>
    <cellStyle name="Separador de milhares 3 3 3 3 2 2 2" xfId="28055"/>
    <cellStyle name="Separador de milhares 3 3 3 3 2 2 2 2" xfId="54285"/>
    <cellStyle name="Separador de milhares 3 3 3 3 2 2 3" xfId="22141"/>
    <cellStyle name="Separador de milhares 3 3 3 3 2 2 3 2" xfId="48377"/>
    <cellStyle name="Separador de milhares 3 3 3 3 2 2 4" xfId="16227"/>
    <cellStyle name="Separador de milhares 3 3 3 3 2 2 4 2" xfId="42469"/>
    <cellStyle name="Separador de milhares 3 3 3 3 2 2 5" xfId="36083"/>
    <cellStyle name="Separador de milhares 3 3 3 3 2 3" xfId="25098"/>
    <cellStyle name="Separador de milhares 3 3 3 3 2 3 2" xfId="51331"/>
    <cellStyle name="Separador de milhares 3 3 3 3 2 4" xfId="19184"/>
    <cellStyle name="Separador de milhares 3 3 3 3 2 4 2" xfId="45423"/>
    <cellStyle name="Separador de milhares 3 3 3 3 2 5" xfId="13083"/>
    <cellStyle name="Separador de milhares 3 3 3 3 2 5 2" xfId="39325"/>
    <cellStyle name="Separador de milhares 3 3 3 3 2 6" xfId="32939"/>
    <cellStyle name="Separador de milhares 3 3 3 3 3" xfId="8373"/>
    <cellStyle name="Separador de milhares 3 3 3 3 3 2" xfId="26587"/>
    <cellStyle name="Separador de milhares 3 3 3 3 3 2 2" xfId="52817"/>
    <cellStyle name="Separador de milhares 3 3 3 3 3 3" xfId="20673"/>
    <cellStyle name="Separador de milhares 3 3 3 3 3 3 2" xfId="46909"/>
    <cellStyle name="Separador de milhares 3 3 3 3 3 4" xfId="14759"/>
    <cellStyle name="Separador de milhares 3 3 3 3 3 4 2" xfId="41001"/>
    <cellStyle name="Separador de milhares 3 3 3 3 3 5" xfId="34615"/>
    <cellStyle name="Separador de milhares 3 3 3 3 4" xfId="4995"/>
    <cellStyle name="Separador de milhares 3 3 3 3 4 2" xfId="23630"/>
    <cellStyle name="Separador de milhares 3 3 3 3 4 2 2" xfId="49863"/>
    <cellStyle name="Separador de milhares 3 3 3 3 4 3" xfId="31240"/>
    <cellStyle name="Separador de milhares 3 3 3 3 5" xfId="17716"/>
    <cellStyle name="Separador de milhares 3 3 3 3 5 2" xfId="43955"/>
    <cellStyle name="Separador de milhares 3 3 3 3 6" xfId="11382"/>
    <cellStyle name="Separador de milhares 3 3 3 3 6 2" xfId="37624"/>
    <cellStyle name="Separador de milhares 3 3 3 3 7" xfId="29542"/>
    <cellStyle name="Separador de milhares 3 3 3 4" xfId="1188"/>
    <cellStyle name="Separador de milhares 3 3 3 4 2" xfId="6792"/>
    <cellStyle name="Separador de milhares 3 3 3 4 2 2" xfId="9939"/>
    <cellStyle name="Separador de milhares 3 3 3 4 2 2 2" xfId="28153"/>
    <cellStyle name="Separador de milhares 3 3 3 4 2 2 2 2" xfId="54383"/>
    <cellStyle name="Separador de milhares 3 3 3 4 2 2 3" xfId="22239"/>
    <cellStyle name="Separador de milhares 3 3 3 4 2 2 3 2" xfId="48475"/>
    <cellStyle name="Separador de milhares 3 3 3 4 2 2 4" xfId="16325"/>
    <cellStyle name="Separador de milhares 3 3 3 4 2 2 4 2" xfId="42567"/>
    <cellStyle name="Separador de milhares 3 3 3 4 2 2 5" xfId="36181"/>
    <cellStyle name="Separador de milhares 3 3 3 4 2 3" xfId="25196"/>
    <cellStyle name="Separador de milhares 3 3 3 4 2 3 2" xfId="51429"/>
    <cellStyle name="Separador de milhares 3 3 3 4 2 4" xfId="19282"/>
    <cellStyle name="Separador de milhares 3 3 3 4 2 4 2" xfId="45521"/>
    <cellStyle name="Separador de milhares 3 3 3 4 2 5" xfId="13181"/>
    <cellStyle name="Separador de milhares 3 3 3 4 2 5 2" xfId="39423"/>
    <cellStyle name="Separador de milhares 3 3 3 4 2 6" xfId="33037"/>
    <cellStyle name="Separador de milhares 3 3 3 4 3" xfId="8471"/>
    <cellStyle name="Separador de milhares 3 3 3 4 3 2" xfId="26685"/>
    <cellStyle name="Separador de milhares 3 3 3 4 3 2 2" xfId="52915"/>
    <cellStyle name="Separador de milhares 3 3 3 4 3 3" xfId="20771"/>
    <cellStyle name="Separador de milhares 3 3 3 4 3 3 2" xfId="47007"/>
    <cellStyle name="Separador de milhares 3 3 3 4 3 4" xfId="14857"/>
    <cellStyle name="Separador de milhares 3 3 3 4 3 4 2" xfId="41099"/>
    <cellStyle name="Separador de milhares 3 3 3 4 3 5" xfId="34713"/>
    <cellStyle name="Separador de milhares 3 3 3 4 4" xfId="5093"/>
    <cellStyle name="Separador de milhares 3 3 3 4 4 2" xfId="23728"/>
    <cellStyle name="Separador de milhares 3 3 3 4 4 2 2" xfId="49961"/>
    <cellStyle name="Separador de milhares 3 3 3 4 4 3" xfId="31338"/>
    <cellStyle name="Separador de milhares 3 3 3 4 5" xfId="17814"/>
    <cellStyle name="Separador de milhares 3 3 3 4 5 2" xfId="44053"/>
    <cellStyle name="Separador de milhares 3 3 3 4 6" xfId="11480"/>
    <cellStyle name="Separador de milhares 3 3 3 4 6 2" xfId="37722"/>
    <cellStyle name="Separador de milhares 3 3 3 4 7" xfId="29640"/>
    <cellStyle name="Separador de milhares 3 3 3 5" xfId="1623"/>
    <cellStyle name="Separador de milhares 3 3 3 5 2" xfId="6911"/>
    <cellStyle name="Separador de milhares 3 3 3 5 2 2" xfId="10058"/>
    <cellStyle name="Separador de milhares 3 3 3 5 2 2 2" xfId="28272"/>
    <cellStyle name="Separador de milhares 3 3 3 5 2 2 2 2" xfId="54502"/>
    <cellStyle name="Separador de milhares 3 3 3 5 2 2 3" xfId="22358"/>
    <cellStyle name="Separador de milhares 3 3 3 5 2 2 3 2" xfId="48594"/>
    <cellStyle name="Separador de milhares 3 3 3 5 2 2 4" xfId="16444"/>
    <cellStyle name="Separador de milhares 3 3 3 5 2 2 4 2" xfId="42686"/>
    <cellStyle name="Separador de milhares 3 3 3 5 2 2 5" xfId="36300"/>
    <cellStyle name="Separador de milhares 3 3 3 5 2 3" xfId="25315"/>
    <cellStyle name="Separador de milhares 3 3 3 5 2 3 2" xfId="51548"/>
    <cellStyle name="Separador de milhares 3 3 3 5 2 4" xfId="19401"/>
    <cellStyle name="Separador de milhares 3 3 3 5 2 4 2" xfId="45640"/>
    <cellStyle name="Separador de milhares 3 3 3 5 2 5" xfId="13300"/>
    <cellStyle name="Separador de milhares 3 3 3 5 2 5 2" xfId="39542"/>
    <cellStyle name="Separador de milhares 3 3 3 5 2 6" xfId="33156"/>
    <cellStyle name="Separador de milhares 3 3 3 5 3" xfId="8590"/>
    <cellStyle name="Separador de milhares 3 3 3 5 3 2" xfId="26804"/>
    <cellStyle name="Separador de milhares 3 3 3 5 3 2 2" xfId="53034"/>
    <cellStyle name="Separador de milhares 3 3 3 5 3 3" xfId="20890"/>
    <cellStyle name="Separador de milhares 3 3 3 5 3 3 2" xfId="47126"/>
    <cellStyle name="Separador de milhares 3 3 3 5 3 4" xfId="14976"/>
    <cellStyle name="Separador de milhares 3 3 3 5 3 4 2" xfId="41218"/>
    <cellStyle name="Separador de milhares 3 3 3 5 3 5" xfId="34832"/>
    <cellStyle name="Separador de milhares 3 3 3 5 4" xfId="5212"/>
    <cellStyle name="Separador de milhares 3 3 3 5 4 2" xfId="23847"/>
    <cellStyle name="Separador de milhares 3 3 3 5 4 2 2" xfId="50080"/>
    <cellStyle name="Separador de milhares 3 3 3 5 4 3" xfId="31457"/>
    <cellStyle name="Separador de milhares 3 3 3 5 5" xfId="17933"/>
    <cellStyle name="Separador de milhares 3 3 3 5 5 2" xfId="44172"/>
    <cellStyle name="Separador de milhares 3 3 3 5 6" xfId="11599"/>
    <cellStyle name="Separador de milhares 3 3 3 5 6 2" xfId="37841"/>
    <cellStyle name="Separador de milhares 3 3 3 5 7" xfId="29759"/>
    <cellStyle name="Separador de milhares 3 3 3 6" xfId="2153"/>
    <cellStyle name="Separador de milhares 3 3 3 6 2" xfId="7061"/>
    <cellStyle name="Separador de milhares 3 3 3 6 2 2" xfId="10205"/>
    <cellStyle name="Separador de milhares 3 3 3 6 2 2 2" xfId="28419"/>
    <cellStyle name="Separador de milhares 3 3 3 6 2 2 2 2" xfId="54649"/>
    <cellStyle name="Separador de milhares 3 3 3 6 2 2 3" xfId="22505"/>
    <cellStyle name="Separador de milhares 3 3 3 6 2 2 3 2" xfId="48741"/>
    <cellStyle name="Separador de milhares 3 3 3 6 2 2 4" xfId="16591"/>
    <cellStyle name="Separador de milhares 3 3 3 6 2 2 4 2" xfId="42833"/>
    <cellStyle name="Separador de milhares 3 3 3 6 2 2 5" xfId="36447"/>
    <cellStyle name="Separador de milhares 3 3 3 6 2 3" xfId="25462"/>
    <cellStyle name="Separador de milhares 3 3 3 6 2 3 2" xfId="51695"/>
    <cellStyle name="Separador de milhares 3 3 3 6 2 4" xfId="19548"/>
    <cellStyle name="Separador de milhares 3 3 3 6 2 4 2" xfId="45787"/>
    <cellStyle name="Separador de milhares 3 3 3 6 2 5" xfId="13450"/>
    <cellStyle name="Separador de milhares 3 3 3 6 2 5 2" xfId="39692"/>
    <cellStyle name="Separador de milhares 3 3 3 6 2 6" xfId="33306"/>
    <cellStyle name="Separador de milhares 3 3 3 6 3" xfId="8737"/>
    <cellStyle name="Separador de milhares 3 3 3 6 3 2" xfId="26951"/>
    <cellStyle name="Separador de milhares 3 3 3 6 3 2 2" xfId="53181"/>
    <cellStyle name="Separador de milhares 3 3 3 6 3 3" xfId="21037"/>
    <cellStyle name="Separador de milhares 3 3 3 6 3 3 2" xfId="47273"/>
    <cellStyle name="Separador de milhares 3 3 3 6 3 4" xfId="15123"/>
    <cellStyle name="Separador de milhares 3 3 3 6 3 4 2" xfId="41365"/>
    <cellStyle name="Separador de milhares 3 3 3 6 3 5" xfId="34979"/>
    <cellStyle name="Separador de milhares 3 3 3 6 4" xfId="5362"/>
    <cellStyle name="Separador de milhares 3 3 3 6 4 2" xfId="23994"/>
    <cellStyle name="Separador de milhares 3 3 3 6 4 2 2" xfId="50227"/>
    <cellStyle name="Separador de milhares 3 3 3 6 4 3" xfId="31607"/>
    <cellStyle name="Separador de milhares 3 3 3 6 5" xfId="18080"/>
    <cellStyle name="Separador de milhares 3 3 3 6 5 2" xfId="44319"/>
    <cellStyle name="Separador de milhares 3 3 3 6 6" xfId="11749"/>
    <cellStyle name="Separador de milhares 3 3 3 6 6 2" xfId="37991"/>
    <cellStyle name="Separador de milhares 3 3 3 6 7" xfId="29909"/>
    <cellStyle name="Separador de milhares 3 3 3 7" xfId="2680"/>
    <cellStyle name="Separador de milhares 3 3 3 7 2" xfId="7208"/>
    <cellStyle name="Separador de milhares 3 3 3 7 2 2" xfId="10352"/>
    <cellStyle name="Separador de milhares 3 3 3 7 2 2 2" xfId="28566"/>
    <cellStyle name="Separador de milhares 3 3 3 7 2 2 2 2" xfId="54796"/>
    <cellStyle name="Separador de milhares 3 3 3 7 2 2 3" xfId="22652"/>
    <cellStyle name="Separador de milhares 3 3 3 7 2 2 3 2" xfId="48888"/>
    <cellStyle name="Separador de milhares 3 3 3 7 2 2 4" xfId="16738"/>
    <cellStyle name="Separador de milhares 3 3 3 7 2 2 4 2" xfId="42980"/>
    <cellStyle name="Separador de milhares 3 3 3 7 2 2 5" xfId="36594"/>
    <cellStyle name="Separador de milhares 3 3 3 7 2 3" xfId="25609"/>
    <cellStyle name="Separador de milhares 3 3 3 7 2 3 2" xfId="51842"/>
    <cellStyle name="Separador de milhares 3 3 3 7 2 4" xfId="19695"/>
    <cellStyle name="Separador de milhares 3 3 3 7 2 4 2" xfId="45934"/>
    <cellStyle name="Separador de milhares 3 3 3 7 2 5" xfId="13597"/>
    <cellStyle name="Separador de milhares 3 3 3 7 2 5 2" xfId="39839"/>
    <cellStyle name="Separador de milhares 3 3 3 7 2 6" xfId="33453"/>
    <cellStyle name="Separador de milhares 3 3 3 7 3" xfId="8884"/>
    <cellStyle name="Separador de milhares 3 3 3 7 3 2" xfId="27098"/>
    <cellStyle name="Separador de milhares 3 3 3 7 3 2 2" xfId="53328"/>
    <cellStyle name="Separador de milhares 3 3 3 7 3 3" xfId="21184"/>
    <cellStyle name="Separador de milhares 3 3 3 7 3 3 2" xfId="47420"/>
    <cellStyle name="Separador de milhares 3 3 3 7 3 4" xfId="15270"/>
    <cellStyle name="Separador de milhares 3 3 3 7 3 4 2" xfId="41512"/>
    <cellStyle name="Separador de milhares 3 3 3 7 3 5" xfId="35126"/>
    <cellStyle name="Separador de milhares 3 3 3 7 4" xfId="5509"/>
    <cellStyle name="Separador de milhares 3 3 3 7 4 2" xfId="24141"/>
    <cellStyle name="Separador de milhares 3 3 3 7 4 2 2" xfId="50374"/>
    <cellStyle name="Separador de milhares 3 3 3 7 4 3" xfId="31754"/>
    <cellStyle name="Separador de milhares 3 3 3 7 5" xfId="18227"/>
    <cellStyle name="Separador de milhares 3 3 3 7 5 2" xfId="44466"/>
    <cellStyle name="Separador de milhares 3 3 3 7 6" xfId="11896"/>
    <cellStyle name="Separador de milhares 3 3 3 7 6 2" xfId="38138"/>
    <cellStyle name="Separador de milhares 3 3 3 7 7" xfId="30056"/>
    <cellStyle name="Separador de milhares 3 3 3 8" xfId="3207"/>
    <cellStyle name="Separador de milhares 3 3 3 8 2" xfId="7355"/>
    <cellStyle name="Separador de milhares 3 3 3 8 2 2" xfId="10499"/>
    <cellStyle name="Separador de milhares 3 3 3 8 2 2 2" xfId="28713"/>
    <cellStyle name="Separador de milhares 3 3 3 8 2 2 2 2" xfId="54943"/>
    <cellStyle name="Separador de milhares 3 3 3 8 2 2 3" xfId="22799"/>
    <cellStyle name="Separador de milhares 3 3 3 8 2 2 3 2" xfId="49035"/>
    <cellStyle name="Separador de milhares 3 3 3 8 2 2 4" xfId="16885"/>
    <cellStyle name="Separador de milhares 3 3 3 8 2 2 4 2" xfId="43127"/>
    <cellStyle name="Separador de milhares 3 3 3 8 2 2 5" xfId="36741"/>
    <cellStyle name="Separador de milhares 3 3 3 8 2 3" xfId="25756"/>
    <cellStyle name="Separador de milhares 3 3 3 8 2 3 2" xfId="51989"/>
    <cellStyle name="Separador de milhares 3 3 3 8 2 4" xfId="19842"/>
    <cellStyle name="Separador de milhares 3 3 3 8 2 4 2" xfId="46081"/>
    <cellStyle name="Separador de milhares 3 3 3 8 2 5" xfId="13744"/>
    <cellStyle name="Separador de milhares 3 3 3 8 2 5 2" xfId="39986"/>
    <cellStyle name="Separador de milhares 3 3 3 8 2 6" xfId="33600"/>
    <cellStyle name="Separador de milhares 3 3 3 8 3" xfId="9031"/>
    <cellStyle name="Separador de milhares 3 3 3 8 3 2" xfId="27245"/>
    <cellStyle name="Separador de milhares 3 3 3 8 3 2 2" xfId="53475"/>
    <cellStyle name="Separador de milhares 3 3 3 8 3 3" xfId="21331"/>
    <cellStyle name="Separador de milhares 3 3 3 8 3 3 2" xfId="47567"/>
    <cellStyle name="Separador de milhares 3 3 3 8 3 4" xfId="15417"/>
    <cellStyle name="Separador de milhares 3 3 3 8 3 4 2" xfId="41659"/>
    <cellStyle name="Separador de milhares 3 3 3 8 3 5" xfId="35273"/>
    <cellStyle name="Separador de milhares 3 3 3 8 4" xfId="5656"/>
    <cellStyle name="Separador de milhares 3 3 3 8 4 2" xfId="24288"/>
    <cellStyle name="Separador de milhares 3 3 3 8 4 2 2" xfId="50521"/>
    <cellStyle name="Separador de milhares 3 3 3 8 4 3" xfId="31901"/>
    <cellStyle name="Separador de milhares 3 3 3 8 5" xfId="18374"/>
    <cellStyle name="Separador de milhares 3 3 3 8 5 2" xfId="44613"/>
    <cellStyle name="Separador de milhares 3 3 3 8 6" xfId="12043"/>
    <cellStyle name="Separador de milhares 3 3 3 8 6 2" xfId="38285"/>
    <cellStyle name="Separador de milhares 3 3 3 8 7" xfId="30203"/>
    <cellStyle name="Separador de milhares 3 3 3 9" xfId="3734"/>
    <cellStyle name="Separador de milhares 3 3 3 9 2" xfId="7502"/>
    <cellStyle name="Separador de milhares 3 3 3 9 2 2" xfId="10646"/>
    <cellStyle name="Separador de milhares 3 3 3 9 2 2 2" xfId="28860"/>
    <cellStyle name="Separador de milhares 3 3 3 9 2 2 2 2" xfId="55090"/>
    <cellStyle name="Separador de milhares 3 3 3 9 2 2 3" xfId="22946"/>
    <cellStyle name="Separador de milhares 3 3 3 9 2 2 3 2" xfId="49182"/>
    <cellStyle name="Separador de milhares 3 3 3 9 2 2 4" xfId="17032"/>
    <cellStyle name="Separador de milhares 3 3 3 9 2 2 4 2" xfId="43274"/>
    <cellStyle name="Separador de milhares 3 3 3 9 2 2 5" xfId="36888"/>
    <cellStyle name="Separador de milhares 3 3 3 9 2 3" xfId="25903"/>
    <cellStyle name="Separador de milhares 3 3 3 9 2 3 2" xfId="52136"/>
    <cellStyle name="Separador de milhares 3 3 3 9 2 4" xfId="19989"/>
    <cellStyle name="Separador de milhares 3 3 3 9 2 4 2" xfId="46228"/>
    <cellStyle name="Separador de milhares 3 3 3 9 2 5" xfId="13891"/>
    <cellStyle name="Separador de milhares 3 3 3 9 2 5 2" xfId="40133"/>
    <cellStyle name="Separador de milhares 3 3 3 9 2 6" xfId="33747"/>
    <cellStyle name="Separador de milhares 3 3 3 9 3" xfId="9178"/>
    <cellStyle name="Separador de milhares 3 3 3 9 3 2" xfId="27392"/>
    <cellStyle name="Separador de milhares 3 3 3 9 3 2 2" xfId="53622"/>
    <cellStyle name="Separador de milhares 3 3 3 9 3 3" xfId="21478"/>
    <cellStyle name="Separador de milhares 3 3 3 9 3 3 2" xfId="47714"/>
    <cellStyle name="Separador de milhares 3 3 3 9 3 4" xfId="15564"/>
    <cellStyle name="Separador de milhares 3 3 3 9 3 4 2" xfId="41806"/>
    <cellStyle name="Separador de milhares 3 3 3 9 3 5" xfId="35420"/>
    <cellStyle name="Separador de milhares 3 3 3 9 4" xfId="5803"/>
    <cellStyle name="Separador de milhares 3 3 3 9 4 2" xfId="24435"/>
    <cellStyle name="Separador de milhares 3 3 3 9 4 2 2" xfId="50668"/>
    <cellStyle name="Separador de milhares 3 3 3 9 4 3" xfId="32048"/>
    <cellStyle name="Separador de milhares 3 3 3 9 5" xfId="18521"/>
    <cellStyle name="Separador de milhares 3 3 3 9 5 2" xfId="44760"/>
    <cellStyle name="Separador de milhares 3 3 3 9 6" xfId="12190"/>
    <cellStyle name="Separador de milhares 3 3 3 9 6 2" xfId="38432"/>
    <cellStyle name="Separador de milhares 3 3 3 9 7" xfId="30350"/>
    <cellStyle name="Separador de milhares 3 3 4" xfId="370"/>
    <cellStyle name="Separador de milhares 3 3 4 10" xfId="6549"/>
    <cellStyle name="Separador de milhares 3 3 4 10 2" xfId="9697"/>
    <cellStyle name="Separador de milhares 3 3 4 10 2 2" xfId="27911"/>
    <cellStyle name="Separador de milhares 3 3 4 10 2 2 2" xfId="54141"/>
    <cellStyle name="Separador de milhares 3 3 4 10 2 3" xfId="21997"/>
    <cellStyle name="Separador de milhares 3 3 4 10 2 3 2" xfId="48233"/>
    <cellStyle name="Separador de milhares 3 3 4 10 2 4" xfId="16083"/>
    <cellStyle name="Separador de milhares 3 3 4 10 2 4 2" xfId="42325"/>
    <cellStyle name="Separador de milhares 3 3 4 10 2 5" xfId="35939"/>
    <cellStyle name="Separador de milhares 3 3 4 10 3" xfId="24954"/>
    <cellStyle name="Separador de milhares 3 3 4 10 3 2" xfId="51187"/>
    <cellStyle name="Separador de milhares 3 3 4 10 4" xfId="19040"/>
    <cellStyle name="Separador de milhares 3 3 4 10 4 2" xfId="45279"/>
    <cellStyle name="Separador de milhares 3 3 4 10 5" xfId="12938"/>
    <cellStyle name="Separador de milhares 3 3 4 10 5 2" xfId="39180"/>
    <cellStyle name="Separador de milhares 3 3 4 10 6" xfId="32794"/>
    <cellStyle name="Separador de milhares 3 3 4 11" xfId="8226"/>
    <cellStyle name="Separador de milhares 3 3 4 11 2" xfId="26440"/>
    <cellStyle name="Separador de milhares 3 3 4 11 2 2" xfId="52673"/>
    <cellStyle name="Separador de milhares 3 3 4 11 3" xfId="20526"/>
    <cellStyle name="Separador de milhares 3 3 4 11 3 2" xfId="46765"/>
    <cellStyle name="Separador de milhares 3 3 4 11 4" xfId="14615"/>
    <cellStyle name="Separador de milhares 3 3 4 11 4 2" xfId="40857"/>
    <cellStyle name="Separador de milhares 3 3 4 11 5" xfId="34471"/>
    <cellStyle name="Separador de milhares 3 3 4 12" xfId="4848"/>
    <cellStyle name="Separador de milhares 3 3 4 12 2" xfId="23483"/>
    <cellStyle name="Separador de milhares 3 3 4 12 2 2" xfId="49719"/>
    <cellStyle name="Separador de milhares 3 3 4 12 3" xfId="31095"/>
    <cellStyle name="Separador de milhares 3 3 4 13" xfId="17569"/>
    <cellStyle name="Separador de milhares 3 3 4 13 2" xfId="43811"/>
    <cellStyle name="Separador de milhares 3 3 4 14" xfId="11237"/>
    <cellStyle name="Separador de milhares 3 3 4 14 2" xfId="37479"/>
    <cellStyle name="Separador de milhares 3 3 4 15" xfId="29397"/>
    <cellStyle name="Separador de milhares 3 3 4 2" xfId="1015"/>
    <cellStyle name="Separador de milhares 3 3 4 2 2" xfId="6746"/>
    <cellStyle name="Separador de milhares 3 3 4 2 2 2" xfId="9893"/>
    <cellStyle name="Separador de milhares 3 3 4 2 2 2 2" xfId="28107"/>
    <cellStyle name="Separador de milhares 3 3 4 2 2 2 2 2" xfId="54337"/>
    <cellStyle name="Separador de milhares 3 3 4 2 2 2 3" xfId="22193"/>
    <cellStyle name="Separador de milhares 3 3 4 2 2 2 3 2" xfId="48429"/>
    <cellStyle name="Separador de milhares 3 3 4 2 2 2 4" xfId="16279"/>
    <cellStyle name="Separador de milhares 3 3 4 2 2 2 4 2" xfId="42521"/>
    <cellStyle name="Separador de milhares 3 3 4 2 2 2 5" xfId="36135"/>
    <cellStyle name="Separador de milhares 3 3 4 2 2 3" xfId="25150"/>
    <cellStyle name="Separador de milhares 3 3 4 2 2 3 2" xfId="51383"/>
    <cellStyle name="Separador de milhares 3 3 4 2 2 4" xfId="19236"/>
    <cellStyle name="Separador de milhares 3 3 4 2 2 4 2" xfId="45475"/>
    <cellStyle name="Separador de milhares 3 3 4 2 2 5" xfId="13135"/>
    <cellStyle name="Separador de milhares 3 3 4 2 2 5 2" xfId="39377"/>
    <cellStyle name="Separador de milhares 3 3 4 2 2 6" xfId="32991"/>
    <cellStyle name="Separador de milhares 3 3 4 2 3" xfId="8425"/>
    <cellStyle name="Separador de milhares 3 3 4 2 3 2" xfId="26639"/>
    <cellStyle name="Separador de milhares 3 3 4 2 3 2 2" xfId="52869"/>
    <cellStyle name="Separador de milhares 3 3 4 2 3 3" xfId="20725"/>
    <cellStyle name="Separador de milhares 3 3 4 2 3 3 2" xfId="46961"/>
    <cellStyle name="Separador de milhares 3 3 4 2 3 4" xfId="14811"/>
    <cellStyle name="Separador de milhares 3 3 4 2 3 4 2" xfId="41053"/>
    <cellStyle name="Separador de milhares 3 3 4 2 3 5" xfId="34667"/>
    <cellStyle name="Separador de milhares 3 3 4 2 4" xfId="5047"/>
    <cellStyle name="Separador de milhares 3 3 4 2 4 2" xfId="23682"/>
    <cellStyle name="Separador de milhares 3 3 4 2 4 2 2" xfId="49915"/>
    <cellStyle name="Separador de milhares 3 3 4 2 4 3" xfId="31292"/>
    <cellStyle name="Separador de milhares 3 3 4 2 5" xfId="17768"/>
    <cellStyle name="Separador de milhares 3 3 4 2 5 2" xfId="44007"/>
    <cellStyle name="Separador de milhares 3 3 4 2 6" xfId="11434"/>
    <cellStyle name="Separador de milhares 3 3 4 2 6 2" xfId="37676"/>
    <cellStyle name="Separador de milhares 3 3 4 2 7" xfId="29594"/>
    <cellStyle name="Separador de milhares 3 3 4 3" xfId="1366"/>
    <cellStyle name="Separador de milhares 3 3 4 3 2" xfId="6844"/>
    <cellStyle name="Separador de milhares 3 3 4 3 2 2" xfId="9991"/>
    <cellStyle name="Separador de milhares 3 3 4 3 2 2 2" xfId="28205"/>
    <cellStyle name="Separador de milhares 3 3 4 3 2 2 2 2" xfId="54435"/>
    <cellStyle name="Separador de milhares 3 3 4 3 2 2 3" xfId="22291"/>
    <cellStyle name="Separador de milhares 3 3 4 3 2 2 3 2" xfId="48527"/>
    <cellStyle name="Separador de milhares 3 3 4 3 2 2 4" xfId="16377"/>
    <cellStyle name="Separador de milhares 3 3 4 3 2 2 4 2" xfId="42619"/>
    <cellStyle name="Separador de milhares 3 3 4 3 2 2 5" xfId="36233"/>
    <cellStyle name="Separador de milhares 3 3 4 3 2 3" xfId="25248"/>
    <cellStyle name="Separador de milhares 3 3 4 3 2 3 2" xfId="51481"/>
    <cellStyle name="Separador de milhares 3 3 4 3 2 4" xfId="19334"/>
    <cellStyle name="Separador de milhares 3 3 4 3 2 4 2" xfId="45573"/>
    <cellStyle name="Separador de milhares 3 3 4 3 2 5" xfId="13233"/>
    <cellStyle name="Separador de milhares 3 3 4 3 2 5 2" xfId="39475"/>
    <cellStyle name="Separador de milhares 3 3 4 3 2 6" xfId="33089"/>
    <cellStyle name="Separador de milhares 3 3 4 3 3" xfId="8523"/>
    <cellStyle name="Separador de milhares 3 3 4 3 3 2" xfId="26737"/>
    <cellStyle name="Separador de milhares 3 3 4 3 3 2 2" xfId="52967"/>
    <cellStyle name="Separador de milhares 3 3 4 3 3 3" xfId="20823"/>
    <cellStyle name="Separador de milhares 3 3 4 3 3 3 2" xfId="47059"/>
    <cellStyle name="Separador de milhares 3 3 4 3 3 4" xfId="14909"/>
    <cellStyle name="Separador de milhares 3 3 4 3 3 4 2" xfId="41151"/>
    <cellStyle name="Separador de milhares 3 3 4 3 3 5" xfId="34765"/>
    <cellStyle name="Separador de milhares 3 3 4 3 4" xfId="5145"/>
    <cellStyle name="Separador de milhares 3 3 4 3 4 2" xfId="23780"/>
    <cellStyle name="Separador de milhares 3 3 4 3 4 2 2" xfId="50013"/>
    <cellStyle name="Separador de milhares 3 3 4 3 4 3" xfId="31390"/>
    <cellStyle name="Separador de milhares 3 3 4 3 5" xfId="17866"/>
    <cellStyle name="Separador de milhares 3 3 4 3 5 2" xfId="44105"/>
    <cellStyle name="Separador de milhares 3 3 4 3 6" xfId="11532"/>
    <cellStyle name="Separador de milhares 3 3 4 3 6 2" xfId="37774"/>
    <cellStyle name="Separador de milhares 3 3 4 3 7" xfId="29692"/>
    <cellStyle name="Separador de milhares 3 3 4 4" xfId="1801"/>
    <cellStyle name="Separador de milhares 3 3 4 4 2" xfId="6963"/>
    <cellStyle name="Separador de milhares 3 3 4 4 2 2" xfId="10110"/>
    <cellStyle name="Separador de milhares 3 3 4 4 2 2 2" xfId="28324"/>
    <cellStyle name="Separador de milhares 3 3 4 4 2 2 2 2" xfId="54554"/>
    <cellStyle name="Separador de milhares 3 3 4 4 2 2 3" xfId="22410"/>
    <cellStyle name="Separador de milhares 3 3 4 4 2 2 3 2" xfId="48646"/>
    <cellStyle name="Separador de milhares 3 3 4 4 2 2 4" xfId="16496"/>
    <cellStyle name="Separador de milhares 3 3 4 4 2 2 4 2" xfId="42738"/>
    <cellStyle name="Separador de milhares 3 3 4 4 2 2 5" xfId="36352"/>
    <cellStyle name="Separador de milhares 3 3 4 4 2 3" xfId="25367"/>
    <cellStyle name="Separador de milhares 3 3 4 4 2 3 2" xfId="51600"/>
    <cellStyle name="Separador de milhares 3 3 4 4 2 4" xfId="19453"/>
    <cellStyle name="Separador de milhares 3 3 4 4 2 4 2" xfId="45692"/>
    <cellStyle name="Separador de milhares 3 3 4 4 2 5" xfId="13352"/>
    <cellStyle name="Separador de milhares 3 3 4 4 2 5 2" xfId="39594"/>
    <cellStyle name="Separador de milhares 3 3 4 4 2 6" xfId="33208"/>
    <cellStyle name="Separador de milhares 3 3 4 4 3" xfId="8642"/>
    <cellStyle name="Separador de milhares 3 3 4 4 3 2" xfId="26856"/>
    <cellStyle name="Separador de milhares 3 3 4 4 3 2 2" xfId="53086"/>
    <cellStyle name="Separador de milhares 3 3 4 4 3 3" xfId="20942"/>
    <cellStyle name="Separador de milhares 3 3 4 4 3 3 2" xfId="47178"/>
    <cellStyle name="Separador de milhares 3 3 4 4 3 4" xfId="15028"/>
    <cellStyle name="Separador de milhares 3 3 4 4 3 4 2" xfId="41270"/>
    <cellStyle name="Separador de milhares 3 3 4 4 3 5" xfId="34884"/>
    <cellStyle name="Separador de milhares 3 3 4 4 4" xfId="5264"/>
    <cellStyle name="Separador de milhares 3 3 4 4 4 2" xfId="23899"/>
    <cellStyle name="Separador de milhares 3 3 4 4 4 2 2" xfId="50132"/>
    <cellStyle name="Separador de milhares 3 3 4 4 4 3" xfId="31509"/>
    <cellStyle name="Separador de milhares 3 3 4 4 5" xfId="17985"/>
    <cellStyle name="Separador de milhares 3 3 4 4 5 2" xfId="44224"/>
    <cellStyle name="Separador de milhares 3 3 4 4 6" xfId="11651"/>
    <cellStyle name="Separador de milhares 3 3 4 4 6 2" xfId="37893"/>
    <cellStyle name="Separador de milhares 3 3 4 4 7" xfId="29811"/>
    <cellStyle name="Separador de milhares 3 3 4 5" xfId="2331"/>
    <cellStyle name="Separador de milhares 3 3 4 5 2" xfId="7113"/>
    <cellStyle name="Separador de milhares 3 3 4 5 2 2" xfId="10257"/>
    <cellStyle name="Separador de milhares 3 3 4 5 2 2 2" xfId="28471"/>
    <cellStyle name="Separador de milhares 3 3 4 5 2 2 2 2" xfId="54701"/>
    <cellStyle name="Separador de milhares 3 3 4 5 2 2 3" xfId="22557"/>
    <cellStyle name="Separador de milhares 3 3 4 5 2 2 3 2" xfId="48793"/>
    <cellStyle name="Separador de milhares 3 3 4 5 2 2 4" xfId="16643"/>
    <cellStyle name="Separador de milhares 3 3 4 5 2 2 4 2" xfId="42885"/>
    <cellStyle name="Separador de milhares 3 3 4 5 2 2 5" xfId="36499"/>
    <cellStyle name="Separador de milhares 3 3 4 5 2 3" xfId="25514"/>
    <cellStyle name="Separador de milhares 3 3 4 5 2 3 2" xfId="51747"/>
    <cellStyle name="Separador de milhares 3 3 4 5 2 4" xfId="19600"/>
    <cellStyle name="Separador de milhares 3 3 4 5 2 4 2" xfId="45839"/>
    <cellStyle name="Separador de milhares 3 3 4 5 2 5" xfId="13502"/>
    <cellStyle name="Separador de milhares 3 3 4 5 2 5 2" xfId="39744"/>
    <cellStyle name="Separador de milhares 3 3 4 5 2 6" xfId="33358"/>
    <cellStyle name="Separador de milhares 3 3 4 5 3" xfId="8789"/>
    <cellStyle name="Separador de milhares 3 3 4 5 3 2" xfId="27003"/>
    <cellStyle name="Separador de milhares 3 3 4 5 3 2 2" xfId="53233"/>
    <cellStyle name="Separador de milhares 3 3 4 5 3 3" xfId="21089"/>
    <cellStyle name="Separador de milhares 3 3 4 5 3 3 2" xfId="47325"/>
    <cellStyle name="Separador de milhares 3 3 4 5 3 4" xfId="15175"/>
    <cellStyle name="Separador de milhares 3 3 4 5 3 4 2" xfId="41417"/>
    <cellStyle name="Separador de milhares 3 3 4 5 3 5" xfId="35031"/>
    <cellStyle name="Separador de milhares 3 3 4 5 4" xfId="5414"/>
    <cellStyle name="Separador de milhares 3 3 4 5 4 2" xfId="24046"/>
    <cellStyle name="Separador de milhares 3 3 4 5 4 2 2" xfId="50279"/>
    <cellStyle name="Separador de milhares 3 3 4 5 4 3" xfId="31659"/>
    <cellStyle name="Separador de milhares 3 3 4 5 5" xfId="18132"/>
    <cellStyle name="Separador de milhares 3 3 4 5 5 2" xfId="44371"/>
    <cellStyle name="Separador de milhares 3 3 4 5 6" xfId="11801"/>
    <cellStyle name="Separador de milhares 3 3 4 5 6 2" xfId="38043"/>
    <cellStyle name="Separador de milhares 3 3 4 5 7" xfId="29961"/>
    <cellStyle name="Separador de milhares 3 3 4 6" xfId="2858"/>
    <cellStyle name="Separador de milhares 3 3 4 6 2" xfId="7260"/>
    <cellStyle name="Separador de milhares 3 3 4 6 2 2" xfId="10404"/>
    <cellStyle name="Separador de milhares 3 3 4 6 2 2 2" xfId="28618"/>
    <cellStyle name="Separador de milhares 3 3 4 6 2 2 2 2" xfId="54848"/>
    <cellStyle name="Separador de milhares 3 3 4 6 2 2 3" xfId="22704"/>
    <cellStyle name="Separador de milhares 3 3 4 6 2 2 3 2" xfId="48940"/>
    <cellStyle name="Separador de milhares 3 3 4 6 2 2 4" xfId="16790"/>
    <cellStyle name="Separador de milhares 3 3 4 6 2 2 4 2" xfId="43032"/>
    <cellStyle name="Separador de milhares 3 3 4 6 2 2 5" xfId="36646"/>
    <cellStyle name="Separador de milhares 3 3 4 6 2 3" xfId="25661"/>
    <cellStyle name="Separador de milhares 3 3 4 6 2 3 2" xfId="51894"/>
    <cellStyle name="Separador de milhares 3 3 4 6 2 4" xfId="19747"/>
    <cellStyle name="Separador de milhares 3 3 4 6 2 4 2" xfId="45986"/>
    <cellStyle name="Separador de milhares 3 3 4 6 2 5" xfId="13649"/>
    <cellStyle name="Separador de milhares 3 3 4 6 2 5 2" xfId="39891"/>
    <cellStyle name="Separador de milhares 3 3 4 6 2 6" xfId="33505"/>
    <cellStyle name="Separador de milhares 3 3 4 6 3" xfId="8936"/>
    <cellStyle name="Separador de milhares 3 3 4 6 3 2" xfId="27150"/>
    <cellStyle name="Separador de milhares 3 3 4 6 3 2 2" xfId="53380"/>
    <cellStyle name="Separador de milhares 3 3 4 6 3 3" xfId="21236"/>
    <cellStyle name="Separador de milhares 3 3 4 6 3 3 2" xfId="47472"/>
    <cellStyle name="Separador de milhares 3 3 4 6 3 4" xfId="15322"/>
    <cellStyle name="Separador de milhares 3 3 4 6 3 4 2" xfId="41564"/>
    <cellStyle name="Separador de milhares 3 3 4 6 3 5" xfId="35178"/>
    <cellStyle name="Separador de milhares 3 3 4 6 4" xfId="5561"/>
    <cellStyle name="Separador de milhares 3 3 4 6 4 2" xfId="24193"/>
    <cellStyle name="Separador de milhares 3 3 4 6 4 2 2" xfId="50426"/>
    <cellStyle name="Separador de milhares 3 3 4 6 4 3" xfId="31806"/>
    <cellStyle name="Separador de milhares 3 3 4 6 5" xfId="18279"/>
    <cellStyle name="Separador de milhares 3 3 4 6 5 2" xfId="44518"/>
    <cellStyle name="Separador de milhares 3 3 4 6 6" xfId="11948"/>
    <cellStyle name="Separador de milhares 3 3 4 6 6 2" xfId="38190"/>
    <cellStyle name="Separador de milhares 3 3 4 6 7" xfId="30108"/>
    <cellStyle name="Separador de milhares 3 3 4 7" xfId="3385"/>
    <cellStyle name="Separador de milhares 3 3 4 7 2" xfId="7407"/>
    <cellStyle name="Separador de milhares 3 3 4 7 2 2" xfId="10551"/>
    <cellStyle name="Separador de milhares 3 3 4 7 2 2 2" xfId="28765"/>
    <cellStyle name="Separador de milhares 3 3 4 7 2 2 2 2" xfId="54995"/>
    <cellStyle name="Separador de milhares 3 3 4 7 2 2 3" xfId="22851"/>
    <cellStyle name="Separador de milhares 3 3 4 7 2 2 3 2" xfId="49087"/>
    <cellStyle name="Separador de milhares 3 3 4 7 2 2 4" xfId="16937"/>
    <cellStyle name="Separador de milhares 3 3 4 7 2 2 4 2" xfId="43179"/>
    <cellStyle name="Separador de milhares 3 3 4 7 2 2 5" xfId="36793"/>
    <cellStyle name="Separador de milhares 3 3 4 7 2 3" xfId="25808"/>
    <cellStyle name="Separador de milhares 3 3 4 7 2 3 2" xfId="52041"/>
    <cellStyle name="Separador de milhares 3 3 4 7 2 4" xfId="19894"/>
    <cellStyle name="Separador de milhares 3 3 4 7 2 4 2" xfId="46133"/>
    <cellStyle name="Separador de milhares 3 3 4 7 2 5" xfId="13796"/>
    <cellStyle name="Separador de milhares 3 3 4 7 2 5 2" xfId="40038"/>
    <cellStyle name="Separador de milhares 3 3 4 7 2 6" xfId="33652"/>
    <cellStyle name="Separador de milhares 3 3 4 7 3" xfId="9083"/>
    <cellStyle name="Separador de milhares 3 3 4 7 3 2" xfId="27297"/>
    <cellStyle name="Separador de milhares 3 3 4 7 3 2 2" xfId="53527"/>
    <cellStyle name="Separador de milhares 3 3 4 7 3 3" xfId="21383"/>
    <cellStyle name="Separador de milhares 3 3 4 7 3 3 2" xfId="47619"/>
    <cellStyle name="Separador de milhares 3 3 4 7 3 4" xfId="15469"/>
    <cellStyle name="Separador de milhares 3 3 4 7 3 4 2" xfId="41711"/>
    <cellStyle name="Separador de milhares 3 3 4 7 3 5" xfId="35325"/>
    <cellStyle name="Separador de milhares 3 3 4 7 4" xfId="5708"/>
    <cellStyle name="Separador de milhares 3 3 4 7 4 2" xfId="24340"/>
    <cellStyle name="Separador de milhares 3 3 4 7 4 2 2" xfId="50573"/>
    <cellStyle name="Separador de milhares 3 3 4 7 4 3" xfId="31953"/>
    <cellStyle name="Separador de milhares 3 3 4 7 5" xfId="18426"/>
    <cellStyle name="Separador de milhares 3 3 4 7 5 2" xfId="44665"/>
    <cellStyle name="Separador de milhares 3 3 4 7 6" xfId="12095"/>
    <cellStyle name="Separador de milhares 3 3 4 7 6 2" xfId="38337"/>
    <cellStyle name="Separador de milhares 3 3 4 7 7" xfId="30255"/>
    <cellStyle name="Separador de milhares 3 3 4 8" xfId="3912"/>
    <cellStyle name="Separador de milhares 3 3 4 8 2" xfId="7554"/>
    <cellStyle name="Separador de milhares 3 3 4 8 2 2" xfId="10698"/>
    <cellStyle name="Separador de milhares 3 3 4 8 2 2 2" xfId="28912"/>
    <cellStyle name="Separador de milhares 3 3 4 8 2 2 2 2" xfId="55142"/>
    <cellStyle name="Separador de milhares 3 3 4 8 2 2 3" xfId="22998"/>
    <cellStyle name="Separador de milhares 3 3 4 8 2 2 3 2" xfId="49234"/>
    <cellStyle name="Separador de milhares 3 3 4 8 2 2 4" xfId="17084"/>
    <cellStyle name="Separador de milhares 3 3 4 8 2 2 4 2" xfId="43326"/>
    <cellStyle name="Separador de milhares 3 3 4 8 2 2 5" xfId="36940"/>
    <cellStyle name="Separador de milhares 3 3 4 8 2 3" xfId="25955"/>
    <cellStyle name="Separador de milhares 3 3 4 8 2 3 2" xfId="52188"/>
    <cellStyle name="Separador de milhares 3 3 4 8 2 4" xfId="20041"/>
    <cellStyle name="Separador de milhares 3 3 4 8 2 4 2" xfId="46280"/>
    <cellStyle name="Separador de milhares 3 3 4 8 2 5" xfId="13943"/>
    <cellStyle name="Separador de milhares 3 3 4 8 2 5 2" xfId="40185"/>
    <cellStyle name="Separador de milhares 3 3 4 8 2 6" xfId="33799"/>
    <cellStyle name="Separador de milhares 3 3 4 8 3" xfId="9230"/>
    <cellStyle name="Separador de milhares 3 3 4 8 3 2" xfId="27444"/>
    <cellStyle name="Separador de milhares 3 3 4 8 3 2 2" xfId="53674"/>
    <cellStyle name="Separador de milhares 3 3 4 8 3 3" xfId="21530"/>
    <cellStyle name="Separador de milhares 3 3 4 8 3 3 2" xfId="47766"/>
    <cellStyle name="Separador de milhares 3 3 4 8 3 4" xfId="15616"/>
    <cellStyle name="Separador de milhares 3 3 4 8 3 4 2" xfId="41858"/>
    <cellStyle name="Separador de milhares 3 3 4 8 3 5" xfId="35472"/>
    <cellStyle name="Separador de milhares 3 3 4 8 4" xfId="5855"/>
    <cellStyle name="Separador de milhares 3 3 4 8 4 2" xfId="24487"/>
    <cellStyle name="Separador de milhares 3 3 4 8 4 2 2" xfId="50720"/>
    <cellStyle name="Separador de milhares 3 3 4 8 4 3" xfId="32100"/>
    <cellStyle name="Separador de milhares 3 3 4 8 5" xfId="18573"/>
    <cellStyle name="Separador de milhares 3 3 4 8 5 2" xfId="44812"/>
    <cellStyle name="Separador de milhares 3 3 4 8 6" xfId="12242"/>
    <cellStyle name="Separador de milhares 3 3 4 8 6 2" xfId="38484"/>
    <cellStyle name="Separador de milhares 3 3 4 8 7" xfId="30402"/>
    <cellStyle name="Separador de milhares 3 3 4 9" xfId="713"/>
    <cellStyle name="Separador de milhares 3 3 4 9 2" xfId="6648"/>
    <cellStyle name="Separador de milhares 3 3 4 9 2 2" xfId="9795"/>
    <cellStyle name="Separador de milhares 3 3 4 9 2 2 2" xfId="28009"/>
    <cellStyle name="Separador de milhares 3 3 4 9 2 2 2 2" xfId="54239"/>
    <cellStyle name="Separador de milhares 3 3 4 9 2 2 3" xfId="22095"/>
    <cellStyle name="Separador de milhares 3 3 4 9 2 2 3 2" xfId="48331"/>
    <cellStyle name="Separador de milhares 3 3 4 9 2 2 4" xfId="16181"/>
    <cellStyle name="Separador de milhares 3 3 4 9 2 2 4 2" xfId="42423"/>
    <cellStyle name="Separador de milhares 3 3 4 9 2 2 5" xfId="36037"/>
    <cellStyle name="Separador de milhares 3 3 4 9 2 3" xfId="25052"/>
    <cellStyle name="Separador de milhares 3 3 4 9 2 3 2" xfId="51285"/>
    <cellStyle name="Separador de milhares 3 3 4 9 2 4" xfId="19138"/>
    <cellStyle name="Separador de milhares 3 3 4 9 2 4 2" xfId="45377"/>
    <cellStyle name="Separador de milhares 3 3 4 9 2 5" xfId="13037"/>
    <cellStyle name="Separador de milhares 3 3 4 9 2 5 2" xfId="39279"/>
    <cellStyle name="Separador de milhares 3 3 4 9 2 6" xfId="32893"/>
    <cellStyle name="Separador de milhares 3 3 4 9 3" xfId="8327"/>
    <cellStyle name="Separador de milhares 3 3 4 9 3 2" xfId="26541"/>
    <cellStyle name="Separador de milhares 3 3 4 9 3 2 2" xfId="52771"/>
    <cellStyle name="Separador de milhares 3 3 4 9 3 3" xfId="20627"/>
    <cellStyle name="Separador de milhares 3 3 4 9 3 3 2" xfId="46863"/>
    <cellStyle name="Separador de milhares 3 3 4 9 3 4" xfId="14713"/>
    <cellStyle name="Separador de milhares 3 3 4 9 3 4 2" xfId="40955"/>
    <cellStyle name="Separador de milhares 3 3 4 9 3 5" xfId="34569"/>
    <cellStyle name="Separador de milhares 3 3 4 9 4" xfId="4949"/>
    <cellStyle name="Separador de milhares 3 3 4 9 4 2" xfId="23584"/>
    <cellStyle name="Separador de milhares 3 3 4 9 4 2 2" xfId="49817"/>
    <cellStyle name="Separador de milhares 3 3 4 9 4 3" xfId="31194"/>
    <cellStyle name="Separador de milhares 3 3 4 9 5" xfId="17670"/>
    <cellStyle name="Separador de milhares 3 3 4 9 5 2" xfId="43909"/>
    <cellStyle name="Separador de milhares 3 3 4 9 6" xfId="11336"/>
    <cellStyle name="Separador de milhares 3 3 4 9 6 2" xfId="37578"/>
    <cellStyle name="Separador de milhares 3 3 4 9 7" xfId="29496"/>
    <cellStyle name="Separador de milhares 3 3 5" xfId="627"/>
    <cellStyle name="Separador de milhares 3 3 5 10" xfId="4913"/>
    <cellStyle name="Separador de milhares 3 3 5 10 2" xfId="23547"/>
    <cellStyle name="Separador de milhares 3 3 5 10 2 2" xfId="49783"/>
    <cellStyle name="Separador de milhares 3 3 5 10 3" xfId="31160"/>
    <cellStyle name="Separador de milhares 3 3 5 11" xfId="17633"/>
    <cellStyle name="Separador de milhares 3 3 5 11 2" xfId="43875"/>
    <cellStyle name="Separador de milhares 3 3 5 12" xfId="11302"/>
    <cellStyle name="Separador de milhares 3 3 5 12 2" xfId="37544"/>
    <cellStyle name="Separador de milhares 3 3 5 13" xfId="29462"/>
    <cellStyle name="Separador de milhares 3 3 5 2" xfId="1450"/>
    <cellStyle name="Separador de milhares 3 3 5 2 2" xfId="6865"/>
    <cellStyle name="Separador de milhares 3 3 5 2 2 2" xfId="10012"/>
    <cellStyle name="Separador de milhares 3 3 5 2 2 2 2" xfId="28226"/>
    <cellStyle name="Separador de milhares 3 3 5 2 2 2 2 2" xfId="54456"/>
    <cellStyle name="Separador de milhares 3 3 5 2 2 2 3" xfId="22312"/>
    <cellStyle name="Separador de milhares 3 3 5 2 2 2 3 2" xfId="48548"/>
    <cellStyle name="Separador de milhares 3 3 5 2 2 2 4" xfId="16398"/>
    <cellStyle name="Separador de milhares 3 3 5 2 2 2 4 2" xfId="42640"/>
    <cellStyle name="Separador de milhares 3 3 5 2 2 2 5" xfId="36254"/>
    <cellStyle name="Separador de milhares 3 3 5 2 2 3" xfId="25269"/>
    <cellStyle name="Separador de milhares 3 3 5 2 2 3 2" xfId="51502"/>
    <cellStyle name="Separador de milhares 3 3 5 2 2 4" xfId="19355"/>
    <cellStyle name="Separador de milhares 3 3 5 2 2 4 2" xfId="45594"/>
    <cellStyle name="Separador de milhares 3 3 5 2 2 5" xfId="13254"/>
    <cellStyle name="Separador de milhares 3 3 5 2 2 5 2" xfId="39496"/>
    <cellStyle name="Separador de milhares 3 3 5 2 2 6" xfId="33110"/>
    <cellStyle name="Separador de milhares 3 3 5 2 3" xfId="8544"/>
    <cellStyle name="Separador de milhares 3 3 5 2 3 2" xfId="26758"/>
    <cellStyle name="Separador de milhares 3 3 5 2 3 2 2" xfId="52988"/>
    <cellStyle name="Separador de milhares 3 3 5 2 3 3" xfId="20844"/>
    <cellStyle name="Separador de milhares 3 3 5 2 3 3 2" xfId="47080"/>
    <cellStyle name="Separador de milhares 3 3 5 2 3 4" xfId="14930"/>
    <cellStyle name="Separador de milhares 3 3 5 2 3 4 2" xfId="41172"/>
    <cellStyle name="Separador de milhares 3 3 5 2 3 5" xfId="34786"/>
    <cellStyle name="Separador de milhares 3 3 5 2 4" xfId="5166"/>
    <cellStyle name="Separador de milhares 3 3 5 2 4 2" xfId="23801"/>
    <cellStyle name="Separador de milhares 3 3 5 2 4 2 2" xfId="50034"/>
    <cellStyle name="Separador de milhares 3 3 5 2 4 3" xfId="31411"/>
    <cellStyle name="Separador de milhares 3 3 5 2 5" xfId="17887"/>
    <cellStyle name="Separador de milhares 3 3 5 2 5 2" xfId="44126"/>
    <cellStyle name="Separador de milhares 3 3 5 2 6" xfId="11553"/>
    <cellStyle name="Separador de milhares 3 3 5 2 6 2" xfId="37795"/>
    <cellStyle name="Separador de milhares 3 3 5 2 7" xfId="29713"/>
    <cellStyle name="Separador de milhares 3 3 5 3" xfId="1885"/>
    <cellStyle name="Separador de milhares 3 3 5 3 2" xfId="6984"/>
    <cellStyle name="Separador de milhares 3 3 5 3 2 2" xfId="10131"/>
    <cellStyle name="Separador de milhares 3 3 5 3 2 2 2" xfId="28345"/>
    <cellStyle name="Separador de milhares 3 3 5 3 2 2 2 2" xfId="54575"/>
    <cellStyle name="Separador de milhares 3 3 5 3 2 2 3" xfId="22431"/>
    <cellStyle name="Separador de milhares 3 3 5 3 2 2 3 2" xfId="48667"/>
    <cellStyle name="Separador de milhares 3 3 5 3 2 2 4" xfId="16517"/>
    <cellStyle name="Separador de milhares 3 3 5 3 2 2 4 2" xfId="42759"/>
    <cellStyle name="Separador de milhares 3 3 5 3 2 2 5" xfId="36373"/>
    <cellStyle name="Separador de milhares 3 3 5 3 2 3" xfId="25388"/>
    <cellStyle name="Separador de milhares 3 3 5 3 2 3 2" xfId="51621"/>
    <cellStyle name="Separador de milhares 3 3 5 3 2 4" xfId="19474"/>
    <cellStyle name="Separador de milhares 3 3 5 3 2 4 2" xfId="45713"/>
    <cellStyle name="Separador de milhares 3 3 5 3 2 5" xfId="13373"/>
    <cellStyle name="Separador de milhares 3 3 5 3 2 5 2" xfId="39615"/>
    <cellStyle name="Separador de milhares 3 3 5 3 2 6" xfId="33229"/>
    <cellStyle name="Separador de milhares 3 3 5 3 3" xfId="8663"/>
    <cellStyle name="Separador de milhares 3 3 5 3 3 2" xfId="26877"/>
    <cellStyle name="Separador de milhares 3 3 5 3 3 2 2" xfId="53107"/>
    <cellStyle name="Separador de milhares 3 3 5 3 3 3" xfId="20963"/>
    <cellStyle name="Separador de milhares 3 3 5 3 3 3 2" xfId="47199"/>
    <cellStyle name="Separador de milhares 3 3 5 3 3 4" xfId="15049"/>
    <cellStyle name="Separador de milhares 3 3 5 3 3 4 2" xfId="41291"/>
    <cellStyle name="Separador de milhares 3 3 5 3 3 5" xfId="34905"/>
    <cellStyle name="Separador de milhares 3 3 5 3 4" xfId="5285"/>
    <cellStyle name="Separador de milhares 3 3 5 3 4 2" xfId="23920"/>
    <cellStyle name="Separador de milhares 3 3 5 3 4 2 2" xfId="50153"/>
    <cellStyle name="Separador de milhares 3 3 5 3 4 3" xfId="31530"/>
    <cellStyle name="Separador de milhares 3 3 5 3 5" xfId="18006"/>
    <cellStyle name="Separador de milhares 3 3 5 3 5 2" xfId="44245"/>
    <cellStyle name="Separador de milhares 3 3 5 3 6" xfId="11672"/>
    <cellStyle name="Separador de milhares 3 3 5 3 6 2" xfId="37914"/>
    <cellStyle name="Separador de milhares 3 3 5 3 7" xfId="29832"/>
    <cellStyle name="Separador de milhares 3 3 5 4" xfId="2415"/>
    <cellStyle name="Separador de milhares 3 3 5 4 2" xfId="7134"/>
    <cellStyle name="Separador de milhares 3 3 5 4 2 2" xfId="10278"/>
    <cellStyle name="Separador de milhares 3 3 5 4 2 2 2" xfId="28492"/>
    <cellStyle name="Separador de milhares 3 3 5 4 2 2 2 2" xfId="54722"/>
    <cellStyle name="Separador de milhares 3 3 5 4 2 2 3" xfId="22578"/>
    <cellStyle name="Separador de milhares 3 3 5 4 2 2 3 2" xfId="48814"/>
    <cellStyle name="Separador de milhares 3 3 5 4 2 2 4" xfId="16664"/>
    <cellStyle name="Separador de milhares 3 3 5 4 2 2 4 2" xfId="42906"/>
    <cellStyle name="Separador de milhares 3 3 5 4 2 2 5" xfId="36520"/>
    <cellStyle name="Separador de milhares 3 3 5 4 2 3" xfId="25535"/>
    <cellStyle name="Separador de milhares 3 3 5 4 2 3 2" xfId="51768"/>
    <cellStyle name="Separador de milhares 3 3 5 4 2 4" xfId="19621"/>
    <cellStyle name="Separador de milhares 3 3 5 4 2 4 2" xfId="45860"/>
    <cellStyle name="Separador de milhares 3 3 5 4 2 5" xfId="13523"/>
    <cellStyle name="Separador de milhares 3 3 5 4 2 5 2" xfId="39765"/>
    <cellStyle name="Separador de milhares 3 3 5 4 2 6" xfId="33379"/>
    <cellStyle name="Separador de milhares 3 3 5 4 3" xfId="8810"/>
    <cellStyle name="Separador de milhares 3 3 5 4 3 2" xfId="27024"/>
    <cellStyle name="Separador de milhares 3 3 5 4 3 2 2" xfId="53254"/>
    <cellStyle name="Separador de milhares 3 3 5 4 3 3" xfId="21110"/>
    <cellStyle name="Separador de milhares 3 3 5 4 3 3 2" xfId="47346"/>
    <cellStyle name="Separador de milhares 3 3 5 4 3 4" xfId="15196"/>
    <cellStyle name="Separador de milhares 3 3 5 4 3 4 2" xfId="41438"/>
    <cellStyle name="Separador de milhares 3 3 5 4 3 5" xfId="35052"/>
    <cellStyle name="Separador de milhares 3 3 5 4 4" xfId="5435"/>
    <cellStyle name="Separador de milhares 3 3 5 4 4 2" xfId="24067"/>
    <cellStyle name="Separador de milhares 3 3 5 4 4 2 2" xfId="50300"/>
    <cellStyle name="Separador de milhares 3 3 5 4 4 3" xfId="31680"/>
    <cellStyle name="Separador de milhares 3 3 5 4 5" xfId="18153"/>
    <cellStyle name="Separador de milhares 3 3 5 4 5 2" xfId="44392"/>
    <cellStyle name="Separador de milhares 3 3 5 4 6" xfId="11822"/>
    <cellStyle name="Separador de milhares 3 3 5 4 6 2" xfId="38064"/>
    <cellStyle name="Separador de milhares 3 3 5 4 7" xfId="29982"/>
    <cellStyle name="Separador de milhares 3 3 5 5" xfId="2942"/>
    <cellStyle name="Separador de milhares 3 3 5 5 2" xfId="7281"/>
    <cellStyle name="Separador de milhares 3 3 5 5 2 2" xfId="10425"/>
    <cellStyle name="Separador de milhares 3 3 5 5 2 2 2" xfId="28639"/>
    <cellStyle name="Separador de milhares 3 3 5 5 2 2 2 2" xfId="54869"/>
    <cellStyle name="Separador de milhares 3 3 5 5 2 2 3" xfId="22725"/>
    <cellStyle name="Separador de milhares 3 3 5 5 2 2 3 2" xfId="48961"/>
    <cellStyle name="Separador de milhares 3 3 5 5 2 2 4" xfId="16811"/>
    <cellStyle name="Separador de milhares 3 3 5 5 2 2 4 2" xfId="43053"/>
    <cellStyle name="Separador de milhares 3 3 5 5 2 2 5" xfId="36667"/>
    <cellStyle name="Separador de milhares 3 3 5 5 2 3" xfId="25682"/>
    <cellStyle name="Separador de milhares 3 3 5 5 2 3 2" xfId="51915"/>
    <cellStyle name="Separador de milhares 3 3 5 5 2 4" xfId="19768"/>
    <cellStyle name="Separador de milhares 3 3 5 5 2 4 2" xfId="46007"/>
    <cellStyle name="Separador de milhares 3 3 5 5 2 5" xfId="13670"/>
    <cellStyle name="Separador de milhares 3 3 5 5 2 5 2" xfId="39912"/>
    <cellStyle name="Separador de milhares 3 3 5 5 2 6" xfId="33526"/>
    <cellStyle name="Separador de milhares 3 3 5 5 3" xfId="8957"/>
    <cellStyle name="Separador de milhares 3 3 5 5 3 2" xfId="27171"/>
    <cellStyle name="Separador de milhares 3 3 5 5 3 2 2" xfId="53401"/>
    <cellStyle name="Separador de milhares 3 3 5 5 3 3" xfId="21257"/>
    <cellStyle name="Separador de milhares 3 3 5 5 3 3 2" xfId="47493"/>
    <cellStyle name="Separador de milhares 3 3 5 5 3 4" xfId="15343"/>
    <cellStyle name="Separador de milhares 3 3 5 5 3 4 2" xfId="41585"/>
    <cellStyle name="Separador de milhares 3 3 5 5 3 5" xfId="35199"/>
    <cellStyle name="Separador de milhares 3 3 5 5 4" xfId="5582"/>
    <cellStyle name="Separador de milhares 3 3 5 5 4 2" xfId="24214"/>
    <cellStyle name="Separador de milhares 3 3 5 5 4 2 2" xfId="50447"/>
    <cellStyle name="Separador de milhares 3 3 5 5 4 3" xfId="31827"/>
    <cellStyle name="Separador de milhares 3 3 5 5 5" xfId="18300"/>
    <cellStyle name="Separador de milhares 3 3 5 5 5 2" xfId="44539"/>
    <cellStyle name="Separador de milhares 3 3 5 5 6" xfId="11969"/>
    <cellStyle name="Separador de milhares 3 3 5 5 6 2" xfId="38211"/>
    <cellStyle name="Separador de milhares 3 3 5 5 7" xfId="30129"/>
    <cellStyle name="Separador de milhares 3 3 5 6" xfId="3469"/>
    <cellStyle name="Separador de milhares 3 3 5 6 2" xfId="7428"/>
    <cellStyle name="Separador de milhares 3 3 5 6 2 2" xfId="10572"/>
    <cellStyle name="Separador de milhares 3 3 5 6 2 2 2" xfId="28786"/>
    <cellStyle name="Separador de milhares 3 3 5 6 2 2 2 2" xfId="55016"/>
    <cellStyle name="Separador de milhares 3 3 5 6 2 2 3" xfId="22872"/>
    <cellStyle name="Separador de milhares 3 3 5 6 2 2 3 2" xfId="49108"/>
    <cellStyle name="Separador de milhares 3 3 5 6 2 2 4" xfId="16958"/>
    <cellStyle name="Separador de milhares 3 3 5 6 2 2 4 2" xfId="43200"/>
    <cellStyle name="Separador de milhares 3 3 5 6 2 2 5" xfId="36814"/>
    <cellStyle name="Separador de milhares 3 3 5 6 2 3" xfId="25829"/>
    <cellStyle name="Separador de milhares 3 3 5 6 2 3 2" xfId="52062"/>
    <cellStyle name="Separador de milhares 3 3 5 6 2 4" xfId="19915"/>
    <cellStyle name="Separador de milhares 3 3 5 6 2 4 2" xfId="46154"/>
    <cellStyle name="Separador de milhares 3 3 5 6 2 5" xfId="13817"/>
    <cellStyle name="Separador de milhares 3 3 5 6 2 5 2" xfId="40059"/>
    <cellStyle name="Separador de milhares 3 3 5 6 2 6" xfId="33673"/>
    <cellStyle name="Separador de milhares 3 3 5 6 3" xfId="9104"/>
    <cellStyle name="Separador de milhares 3 3 5 6 3 2" xfId="27318"/>
    <cellStyle name="Separador de milhares 3 3 5 6 3 2 2" xfId="53548"/>
    <cellStyle name="Separador de milhares 3 3 5 6 3 3" xfId="21404"/>
    <cellStyle name="Separador de milhares 3 3 5 6 3 3 2" xfId="47640"/>
    <cellStyle name="Separador de milhares 3 3 5 6 3 4" xfId="15490"/>
    <cellStyle name="Separador de milhares 3 3 5 6 3 4 2" xfId="41732"/>
    <cellStyle name="Separador de milhares 3 3 5 6 3 5" xfId="35346"/>
    <cellStyle name="Separador de milhares 3 3 5 6 4" xfId="5729"/>
    <cellStyle name="Separador de milhares 3 3 5 6 4 2" xfId="24361"/>
    <cellStyle name="Separador de milhares 3 3 5 6 4 2 2" xfId="50594"/>
    <cellStyle name="Separador de milhares 3 3 5 6 4 3" xfId="31974"/>
    <cellStyle name="Separador de milhares 3 3 5 6 5" xfId="18447"/>
    <cellStyle name="Separador de milhares 3 3 5 6 5 2" xfId="44686"/>
    <cellStyle name="Separador de milhares 3 3 5 6 6" xfId="12116"/>
    <cellStyle name="Separador de milhares 3 3 5 6 6 2" xfId="38358"/>
    <cellStyle name="Separador de milhares 3 3 5 6 7" xfId="30276"/>
    <cellStyle name="Separador de milhares 3 3 5 7" xfId="3996"/>
    <cellStyle name="Separador de milhares 3 3 5 7 2" xfId="7575"/>
    <cellStyle name="Separador de milhares 3 3 5 7 2 2" xfId="10719"/>
    <cellStyle name="Separador de milhares 3 3 5 7 2 2 2" xfId="28933"/>
    <cellStyle name="Separador de milhares 3 3 5 7 2 2 2 2" xfId="55163"/>
    <cellStyle name="Separador de milhares 3 3 5 7 2 2 3" xfId="23019"/>
    <cellStyle name="Separador de milhares 3 3 5 7 2 2 3 2" xfId="49255"/>
    <cellStyle name="Separador de milhares 3 3 5 7 2 2 4" xfId="17105"/>
    <cellStyle name="Separador de milhares 3 3 5 7 2 2 4 2" xfId="43347"/>
    <cellStyle name="Separador de milhares 3 3 5 7 2 2 5" xfId="36961"/>
    <cellStyle name="Separador de milhares 3 3 5 7 2 3" xfId="25976"/>
    <cellStyle name="Separador de milhares 3 3 5 7 2 3 2" xfId="52209"/>
    <cellStyle name="Separador de milhares 3 3 5 7 2 4" xfId="20062"/>
    <cellStyle name="Separador de milhares 3 3 5 7 2 4 2" xfId="46301"/>
    <cellStyle name="Separador de milhares 3 3 5 7 2 5" xfId="13964"/>
    <cellStyle name="Separador de milhares 3 3 5 7 2 5 2" xfId="40206"/>
    <cellStyle name="Separador de milhares 3 3 5 7 2 6" xfId="33820"/>
    <cellStyle name="Separador de milhares 3 3 5 7 3" xfId="9251"/>
    <cellStyle name="Separador de milhares 3 3 5 7 3 2" xfId="27465"/>
    <cellStyle name="Separador de milhares 3 3 5 7 3 2 2" xfId="53695"/>
    <cellStyle name="Separador de milhares 3 3 5 7 3 3" xfId="21551"/>
    <cellStyle name="Separador de milhares 3 3 5 7 3 3 2" xfId="47787"/>
    <cellStyle name="Separador de milhares 3 3 5 7 3 4" xfId="15637"/>
    <cellStyle name="Separador de milhares 3 3 5 7 3 4 2" xfId="41879"/>
    <cellStyle name="Separador de milhares 3 3 5 7 3 5" xfId="35493"/>
    <cellStyle name="Separador de milhares 3 3 5 7 4" xfId="5876"/>
    <cellStyle name="Separador de milhares 3 3 5 7 4 2" xfId="24508"/>
    <cellStyle name="Separador de milhares 3 3 5 7 4 2 2" xfId="50741"/>
    <cellStyle name="Separador de milhares 3 3 5 7 4 3" xfId="32121"/>
    <cellStyle name="Separador de milhares 3 3 5 7 5" xfId="18594"/>
    <cellStyle name="Separador de milhares 3 3 5 7 5 2" xfId="44833"/>
    <cellStyle name="Separador de milhares 3 3 5 7 6" xfId="12263"/>
    <cellStyle name="Separador de milhares 3 3 5 7 6 2" xfId="38505"/>
    <cellStyle name="Separador de milhares 3 3 5 7 7" xfId="30423"/>
    <cellStyle name="Separador de milhares 3 3 5 8" xfId="6614"/>
    <cellStyle name="Separador de milhares 3 3 5 8 2" xfId="9761"/>
    <cellStyle name="Separador de milhares 3 3 5 8 2 2" xfId="27975"/>
    <cellStyle name="Separador de milhares 3 3 5 8 2 2 2" xfId="54205"/>
    <cellStyle name="Separador de milhares 3 3 5 8 2 3" xfId="22061"/>
    <cellStyle name="Separador de milhares 3 3 5 8 2 3 2" xfId="48297"/>
    <cellStyle name="Separador de milhares 3 3 5 8 2 4" xfId="16147"/>
    <cellStyle name="Separador de milhares 3 3 5 8 2 4 2" xfId="42389"/>
    <cellStyle name="Separador de milhares 3 3 5 8 2 5" xfId="36003"/>
    <cellStyle name="Separador de milhares 3 3 5 8 3" xfId="25018"/>
    <cellStyle name="Separador de milhares 3 3 5 8 3 2" xfId="51251"/>
    <cellStyle name="Separador de milhares 3 3 5 8 4" xfId="19104"/>
    <cellStyle name="Separador de milhares 3 3 5 8 4 2" xfId="45343"/>
    <cellStyle name="Separador de milhares 3 3 5 8 5" xfId="13003"/>
    <cellStyle name="Separador de milhares 3 3 5 8 5 2" xfId="39245"/>
    <cellStyle name="Separador de milhares 3 3 5 8 6" xfId="32859"/>
    <cellStyle name="Separador de milhares 3 3 5 9" xfId="8290"/>
    <cellStyle name="Separador de milhares 3 3 5 9 2" xfId="26504"/>
    <cellStyle name="Separador de milhares 3 3 5 9 2 2" xfId="52737"/>
    <cellStyle name="Separador de milhares 3 3 5 9 3" xfId="20590"/>
    <cellStyle name="Separador de milhares 3 3 5 9 3 2" xfId="46829"/>
    <cellStyle name="Separador de milhares 3 3 5 9 4" xfId="14679"/>
    <cellStyle name="Separador de milhares 3 3 5 9 4 2" xfId="40921"/>
    <cellStyle name="Separador de milhares 3 3 5 9 5" xfId="34535"/>
    <cellStyle name="Separador de milhares 3 3 6" xfId="748"/>
    <cellStyle name="Separador de milhares 3 3 6 2" xfId="4172"/>
    <cellStyle name="Separador de milhares 3 3 6 2 2" xfId="7624"/>
    <cellStyle name="Separador de milhares 3 3 6 2 2 2" xfId="10768"/>
    <cellStyle name="Separador de milhares 3 3 6 2 2 2 2" xfId="28982"/>
    <cellStyle name="Separador de milhares 3 3 6 2 2 2 2 2" xfId="55212"/>
    <cellStyle name="Separador de milhares 3 3 6 2 2 2 3" xfId="23068"/>
    <cellStyle name="Separador de milhares 3 3 6 2 2 2 3 2" xfId="49304"/>
    <cellStyle name="Separador de milhares 3 3 6 2 2 2 4" xfId="17154"/>
    <cellStyle name="Separador de milhares 3 3 6 2 2 2 4 2" xfId="43396"/>
    <cellStyle name="Separador de milhares 3 3 6 2 2 2 5" xfId="37010"/>
    <cellStyle name="Separador de milhares 3 3 6 2 2 3" xfId="26025"/>
    <cellStyle name="Separador de milhares 3 3 6 2 2 3 2" xfId="52258"/>
    <cellStyle name="Separador de milhares 3 3 6 2 2 4" xfId="20111"/>
    <cellStyle name="Separador de milhares 3 3 6 2 2 4 2" xfId="46350"/>
    <cellStyle name="Separador de milhares 3 3 6 2 2 5" xfId="14013"/>
    <cellStyle name="Separador de milhares 3 3 6 2 2 5 2" xfId="40255"/>
    <cellStyle name="Separador de milhares 3 3 6 2 2 6" xfId="33869"/>
    <cellStyle name="Separador de milhares 3 3 6 2 3" xfId="9300"/>
    <cellStyle name="Separador de milhares 3 3 6 2 3 2" xfId="27514"/>
    <cellStyle name="Separador de milhares 3 3 6 2 3 2 2" xfId="53744"/>
    <cellStyle name="Separador de milhares 3 3 6 2 3 3" xfId="21600"/>
    <cellStyle name="Separador de milhares 3 3 6 2 3 3 2" xfId="47836"/>
    <cellStyle name="Separador de milhares 3 3 6 2 3 4" xfId="15686"/>
    <cellStyle name="Separador de milhares 3 3 6 2 3 4 2" xfId="41928"/>
    <cellStyle name="Separador de milhares 3 3 6 2 3 5" xfId="35542"/>
    <cellStyle name="Separador de milhares 3 3 6 2 4" xfId="5925"/>
    <cellStyle name="Separador de milhares 3 3 6 2 4 2" xfId="24557"/>
    <cellStyle name="Separador de milhares 3 3 6 2 4 2 2" xfId="50790"/>
    <cellStyle name="Separador de milhares 3 3 6 2 4 3" xfId="32170"/>
    <cellStyle name="Separador de milhares 3 3 6 2 5" xfId="18643"/>
    <cellStyle name="Separador de milhares 3 3 6 2 5 2" xfId="44882"/>
    <cellStyle name="Separador de milhares 3 3 6 2 6" xfId="12312"/>
    <cellStyle name="Separador de milhares 3 3 6 2 6 2" xfId="38554"/>
    <cellStyle name="Separador de milhares 3 3 6 2 7" xfId="30472"/>
    <cellStyle name="Separador de milhares 3 3 6 3" xfId="6669"/>
    <cellStyle name="Separador de milhares 3 3 6 3 2" xfId="9816"/>
    <cellStyle name="Separador de milhares 3 3 6 3 2 2" xfId="28030"/>
    <cellStyle name="Separador de milhares 3 3 6 3 2 2 2" xfId="54260"/>
    <cellStyle name="Separador de milhares 3 3 6 3 2 3" xfId="22116"/>
    <cellStyle name="Separador de milhares 3 3 6 3 2 3 2" xfId="48352"/>
    <cellStyle name="Separador de milhares 3 3 6 3 2 4" xfId="16202"/>
    <cellStyle name="Separador de milhares 3 3 6 3 2 4 2" xfId="42444"/>
    <cellStyle name="Separador de milhares 3 3 6 3 2 5" xfId="36058"/>
    <cellStyle name="Separador de milhares 3 3 6 3 3" xfId="25073"/>
    <cellStyle name="Separador de milhares 3 3 6 3 3 2" xfId="51306"/>
    <cellStyle name="Separador de milhares 3 3 6 3 4" xfId="19159"/>
    <cellStyle name="Separador de milhares 3 3 6 3 4 2" xfId="45398"/>
    <cellStyle name="Separador de milhares 3 3 6 3 5" xfId="13058"/>
    <cellStyle name="Separador de milhares 3 3 6 3 5 2" xfId="39300"/>
    <cellStyle name="Separador de milhares 3 3 6 3 6" xfId="32914"/>
    <cellStyle name="Separador de milhares 3 3 6 4" xfId="8348"/>
    <cellStyle name="Separador de milhares 3 3 6 4 2" xfId="26562"/>
    <cellStyle name="Separador de milhares 3 3 6 4 2 2" xfId="52792"/>
    <cellStyle name="Separador de milhares 3 3 6 4 3" xfId="20648"/>
    <cellStyle name="Separador de milhares 3 3 6 4 3 2" xfId="46884"/>
    <cellStyle name="Separador de milhares 3 3 6 4 4" xfId="14734"/>
    <cellStyle name="Separador de milhares 3 3 6 4 4 2" xfId="40976"/>
    <cellStyle name="Separador de milhares 3 3 6 4 5" xfId="34590"/>
    <cellStyle name="Separador de milhares 3 3 6 5" xfId="4970"/>
    <cellStyle name="Separador de milhares 3 3 6 5 2" xfId="23605"/>
    <cellStyle name="Separador de milhares 3 3 6 5 2 2" xfId="49838"/>
    <cellStyle name="Separador de milhares 3 3 6 5 3" xfId="31215"/>
    <cellStyle name="Separador de milhares 3 3 6 6" xfId="17691"/>
    <cellStyle name="Separador de milhares 3 3 6 6 2" xfId="43930"/>
    <cellStyle name="Separador de milhares 3 3 6 7" xfId="11357"/>
    <cellStyle name="Separador de milhares 3 3 6 7 2" xfId="37599"/>
    <cellStyle name="Separador de milhares 3 3 6 8" xfId="29517"/>
    <cellStyle name="Separador de milhares 3 3 7" xfId="1099"/>
    <cellStyle name="Separador de milhares 3 3 7 2" xfId="6767"/>
    <cellStyle name="Separador de milhares 3 3 7 2 2" xfId="9914"/>
    <cellStyle name="Separador de milhares 3 3 7 2 2 2" xfId="28128"/>
    <cellStyle name="Separador de milhares 3 3 7 2 2 2 2" xfId="54358"/>
    <cellStyle name="Separador de milhares 3 3 7 2 2 3" xfId="22214"/>
    <cellStyle name="Separador de milhares 3 3 7 2 2 3 2" xfId="48450"/>
    <cellStyle name="Separador de milhares 3 3 7 2 2 4" xfId="16300"/>
    <cellStyle name="Separador de milhares 3 3 7 2 2 4 2" xfId="42542"/>
    <cellStyle name="Separador de milhares 3 3 7 2 2 5" xfId="36156"/>
    <cellStyle name="Separador de milhares 3 3 7 2 3" xfId="25171"/>
    <cellStyle name="Separador de milhares 3 3 7 2 3 2" xfId="51404"/>
    <cellStyle name="Separador de milhares 3 3 7 2 4" xfId="19257"/>
    <cellStyle name="Separador de milhares 3 3 7 2 4 2" xfId="45496"/>
    <cellStyle name="Separador de milhares 3 3 7 2 5" xfId="13156"/>
    <cellStyle name="Separador de milhares 3 3 7 2 5 2" xfId="39398"/>
    <cellStyle name="Separador de milhares 3 3 7 2 6" xfId="33012"/>
    <cellStyle name="Separador de milhares 3 3 7 3" xfId="8446"/>
    <cellStyle name="Separador de milhares 3 3 7 3 2" xfId="26660"/>
    <cellStyle name="Separador de milhares 3 3 7 3 2 2" xfId="52890"/>
    <cellStyle name="Separador de milhares 3 3 7 3 3" xfId="20746"/>
    <cellStyle name="Separador de milhares 3 3 7 3 3 2" xfId="46982"/>
    <cellStyle name="Separador de milhares 3 3 7 3 4" xfId="14832"/>
    <cellStyle name="Separador de milhares 3 3 7 3 4 2" xfId="41074"/>
    <cellStyle name="Separador de milhares 3 3 7 3 5" xfId="34688"/>
    <cellStyle name="Separador de milhares 3 3 7 4" xfId="5068"/>
    <cellStyle name="Separador de milhares 3 3 7 4 2" xfId="23703"/>
    <cellStyle name="Separador de milhares 3 3 7 4 2 2" xfId="49936"/>
    <cellStyle name="Separador de milhares 3 3 7 4 3" xfId="31313"/>
    <cellStyle name="Separador de milhares 3 3 7 5" xfId="17789"/>
    <cellStyle name="Separador de milhares 3 3 7 5 2" xfId="44028"/>
    <cellStyle name="Separador de milhares 3 3 7 6" xfId="11455"/>
    <cellStyle name="Separador de milhares 3 3 7 6 2" xfId="37697"/>
    <cellStyle name="Separador de milhares 3 3 7 7" xfId="29615"/>
    <cellStyle name="Separador de milhares 3 3 8" xfId="1534"/>
    <cellStyle name="Separador de milhares 3 3 8 2" xfId="6886"/>
    <cellStyle name="Separador de milhares 3 3 8 2 2" xfId="10033"/>
    <cellStyle name="Separador de milhares 3 3 8 2 2 2" xfId="28247"/>
    <cellStyle name="Separador de milhares 3 3 8 2 2 2 2" xfId="54477"/>
    <cellStyle name="Separador de milhares 3 3 8 2 2 3" xfId="22333"/>
    <cellStyle name="Separador de milhares 3 3 8 2 2 3 2" xfId="48569"/>
    <cellStyle name="Separador de milhares 3 3 8 2 2 4" xfId="16419"/>
    <cellStyle name="Separador de milhares 3 3 8 2 2 4 2" xfId="42661"/>
    <cellStyle name="Separador de milhares 3 3 8 2 2 5" xfId="36275"/>
    <cellStyle name="Separador de milhares 3 3 8 2 3" xfId="25290"/>
    <cellStyle name="Separador de milhares 3 3 8 2 3 2" xfId="51523"/>
    <cellStyle name="Separador de milhares 3 3 8 2 4" xfId="19376"/>
    <cellStyle name="Separador de milhares 3 3 8 2 4 2" xfId="45615"/>
    <cellStyle name="Separador de milhares 3 3 8 2 5" xfId="13275"/>
    <cellStyle name="Separador de milhares 3 3 8 2 5 2" xfId="39517"/>
    <cellStyle name="Separador de milhares 3 3 8 2 6" xfId="33131"/>
    <cellStyle name="Separador de milhares 3 3 8 3" xfId="8565"/>
    <cellStyle name="Separador de milhares 3 3 8 3 2" xfId="26779"/>
    <cellStyle name="Separador de milhares 3 3 8 3 2 2" xfId="53009"/>
    <cellStyle name="Separador de milhares 3 3 8 3 3" xfId="20865"/>
    <cellStyle name="Separador de milhares 3 3 8 3 3 2" xfId="47101"/>
    <cellStyle name="Separador de milhares 3 3 8 3 4" xfId="14951"/>
    <cellStyle name="Separador de milhares 3 3 8 3 4 2" xfId="41193"/>
    <cellStyle name="Separador de milhares 3 3 8 3 5" xfId="34807"/>
    <cellStyle name="Separador de milhares 3 3 8 4" xfId="5187"/>
    <cellStyle name="Separador de milhares 3 3 8 4 2" xfId="23822"/>
    <cellStyle name="Separador de milhares 3 3 8 4 2 2" xfId="50055"/>
    <cellStyle name="Separador de milhares 3 3 8 4 3" xfId="31432"/>
    <cellStyle name="Separador de milhares 3 3 8 5" xfId="17908"/>
    <cellStyle name="Separador de milhares 3 3 8 5 2" xfId="44147"/>
    <cellStyle name="Separador de milhares 3 3 8 6" xfId="11574"/>
    <cellStyle name="Separador de milhares 3 3 8 6 2" xfId="37816"/>
    <cellStyle name="Separador de milhares 3 3 8 7" xfId="29734"/>
    <cellStyle name="Separador de milhares 3 3 9" xfId="2064"/>
    <cellStyle name="Separador de milhares 3 3 9 2" xfId="7036"/>
    <cellStyle name="Separador de milhares 3 3 9 2 2" xfId="10180"/>
    <cellStyle name="Separador de milhares 3 3 9 2 2 2" xfId="28394"/>
    <cellStyle name="Separador de milhares 3 3 9 2 2 2 2" xfId="54624"/>
    <cellStyle name="Separador de milhares 3 3 9 2 2 3" xfId="22480"/>
    <cellStyle name="Separador de milhares 3 3 9 2 2 3 2" xfId="48716"/>
    <cellStyle name="Separador de milhares 3 3 9 2 2 4" xfId="16566"/>
    <cellStyle name="Separador de milhares 3 3 9 2 2 4 2" xfId="42808"/>
    <cellStyle name="Separador de milhares 3 3 9 2 2 5" xfId="36422"/>
    <cellStyle name="Separador de milhares 3 3 9 2 3" xfId="25437"/>
    <cellStyle name="Separador de milhares 3 3 9 2 3 2" xfId="51670"/>
    <cellStyle name="Separador de milhares 3 3 9 2 4" xfId="19523"/>
    <cellStyle name="Separador de milhares 3 3 9 2 4 2" xfId="45762"/>
    <cellStyle name="Separador de milhares 3 3 9 2 5" xfId="13425"/>
    <cellStyle name="Separador de milhares 3 3 9 2 5 2" xfId="39667"/>
    <cellStyle name="Separador de milhares 3 3 9 2 6" xfId="33281"/>
    <cellStyle name="Separador de milhares 3 3 9 3" xfId="8712"/>
    <cellStyle name="Separador de milhares 3 3 9 3 2" xfId="26926"/>
    <cellStyle name="Separador de milhares 3 3 9 3 2 2" xfId="53156"/>
    <cellStyle name="Separador de milhares 3 3 9 3 3" xfId="21012"/>
    <cellStyle name="Separador de milhares 3 3 9 3 3 2" xfId="47248"/>
    <cellStyle name="Separador de milhares 3 3 9 3 4" xfId="15098"/>
    <cellStyle name="Separador de milhares 3 3 9 3 4 2" xfId="41340"/>
    <cellStyle name="Separador de milhares 3 3 9 3 5" xfId="34954"/>
    <cellStyle name="Separador de milhares 3 3 9 4" xfId="5337"/>
    <cellStyle name="Separador de milhares 3 3 9 4 2" xfId="23969"/>
    <cellStyle name="Separador de milhares 3 3 9 4 2 2" xfId="50202"/>
    <cellStyle name="Separador de milhares 3 3 9 4 3" xfId="31582"/>
    <cellStyle name="Separador de milhares 3 3 9 5" xfId="18055"/>
    <cellStyle name="Separador de milhares 3 3 9 5 2" xfId="44294"/>
    <cellStyle name="Separador de milhares 3 3 9 6" xfId="11724"/>
    <cellStyle name="Separador de milhares 3 3 9 6 2" xfId="37966"/>
    <cellStyle name="Separador de milhares 3 3 9 7" xfId="29884"/>
    <cellStyle name="Separador de milhares 3 30" xfId="17485"/>
    <cellStyle name="Separador de milhares 3 30 2" xfId="43727"/>
    <cellStyle name="Separador de milhares 3 31" xfId="11145"/>
    <cellStyle name="Separador de milhares 3 31 2" xfId="37387"/>
    <cellStyle name="Separador de milhares 3 32" xfId="29305"/>
    <cellStyle name="Separador de milhares 3 4" xfId="92"/>
    <cellStyle name="Separador de milhares 3 4 10" xfId="2595"/>
    <cellStyle name="Separador de milhares 3 4 10 2" xfId="7184"/>
    <cellStyle name="Separador de milhares 3 4 10 2 2" xfId="10328"/>
    <cellStyle name="Separador de milhares 3 4 10 2 2 2" xfId="28542"/>
    <cellStyle name="Separador de milhares 3 4 10 2 2 2 2" xfId="54772"/>
    <cellStyle name="Separador de milhares 3 4 10 2 2 3" xfId="22628"/>
    <cellStyle name="Separador de milhares 3 4 10 2 2 3 2" xfId="48864"/>
    <cellStyle name="Separador de milhares 3 4 10 2 2 4" xfId="16714"/>
    <cellStyle name="Separador de milhares 3 4 10 2 2 4 2" xfId="42956"/>
    <cellStyle name="Separador de milhares 3 4 10 2 2 5" xfId="36570"/>
    <cellStyle name="Separador de milhares 3 4 10 2 3" xfId="25585"/>
    <cellStyle name="Separador de milhares 3 4 10 2 3 2" xfId="51818"/>
    <cellStyle name="Separador de milhares 3 4 10 2 4" xfId="19671"/>
    <cellStyle name="Separador de milhares 3 4 10 2 4 2" xfId="45910"/>
    <cellStyle name="Separador de milhares 3 4 10 2 5" xfId="13573"/>
    <cellStyle name="Separador de milhares 3 4 10 2 5 2" xfId="39815"/>
    <cellStyle name="Separador de milhares 3 4 10 2 6" xfId="33429"/>
    <cellStyle name="Separador de milhares 3 4 10 3" xfId="8860"/>
    <cellStyle name="Separador de milhares 3 4 10 3 2" xfId="27074"/>
    <cellStyle name="Separador de milhares 3 4 10 3 2 2" xfId="53304"/>
    <cellStyle name="Separador de milhares 3 4 10 3 3" xfId="21160"/>
    <cellStyle name="Separador de milhares 3 4 10 3 3 2" xfId="47396"/>
    <cellStyle name="Separador de milhares 3 4 10 3 4" xfId="15246"/>
    <cellStyle name="Separador de milhares 3 4 10 3 4 2" xfId="41488"/>
    <cellStyle name="Separador de milhares 3 4 10 3 5" xfId="35102"/>
    <cellStyle name="Separador de milhares 3 4 10 4" xfId="5485"/>
    <cellStyle name="Separador de milhares 3 4 10 4 2" xfId="24117"/>
    <cellStyle name="Separador de milhares 3 4 10 4 2 2" xfId="50350"/>
    <cellStyle name="Separador de milhares 3 4 10 4 3" xfId="31730"/>
    <cellStyle name="Separador de milhares 3 4 10 5" xfId="18203"/>
    <cellStyle name="Separador de milhares 3 4 10 5 2" xfId="44442"/>
    <cellStyle name="Separador de milhares 3 4 10 6" xfId="11872"/>
    <cellStyle name="Separador de milhares 3 4 10 6 2" xfId="38114"/>
    <cellStyle name="Separador de milhares 3 4 10 7" xfId="30032"/>
    <cellStyle name="Separador de milhares 3 4 11" xfId="3122"/>
    <cellStyle name="Separador de milhares 3 4 11 2" xfId="7331"/>
    <cellStyle name="Separador de milhares 3 4 11 2 2" xfId="10475"/>
    <cellStyle name="Separador de milhares 3 4 11 2 2 2" xfId="28689"/>
    <cellStyle name="Separador de milhares 3 4 11 2 2 2 2" xfId="54919"/>
    <cellStyle name="Separador de milhares 3 4 11 2 2 3" xfId="22775"/>
    <cellStyle name="Separador de milhares 3 4 11 2 2 3 2" xfId="49011"/>
    <cellStyle name="Separador de milhares 3 4 11 2 2 4" xfId="16861"/>
    <cellStyle name="Separador de milhares 3 4 11 2 2 4 2" xfId="43103"/>
    <cellStyle name="Separador de milhares 3 4 11 2 2 5" xfId="36717"/>
    <cellStyle name="Separador de milhares 3 4 11 2 3" xfId="25732"/>
    <cellStyle name="Separador de milhares 3 4 11 2 3 2" xfId="51965"/>
    <cellStyle name="Separador de milhares 3 4 11 2 4" xfId="19818"/>
    <cellStyle name="Separador de milhares 3 4 11 2 4 2" xfId="46057"/>
    <cellStyle name="Separador de milhares 3 4 11 2 5" xfId="13720"/>
    <cellStyle name="Separador de milhares 3 4 11 2 5 2" xfId="39962"/>
    <cellStyle name="Separador de milhares 3 4 11 2 6" xfId="33576"/>
    <cellStyle name="Separador de milhares 3 4 11 3" xfId="9007"/>
    <cellStyle name="Separador de milhares 3 4 11 3 2" xfId="27221"/>
    <cellStyle name="Separador de milhares 3 4 11 3 2 2" xfId="53451"/>
    <cellStyle name="Separador de milhares 3 4 11 3 3" xfId="21307"/>
    <cellStyle name="Separador de milhares 3 4 11 3 3 2" xfId="47543"/>
    <cellStyle name="Separador de milhares 3 4 11 3 4" xfId="15393"/>
    <cellStyle name="Separador de milhares 3 4 11 3 4 2" xfId="41635"/>
    <cellStyle name="Separador de milhares 3 4 11 3 5" xfId="35249"/>
    <cellStyle name="Separador de milhares 3 4 11 4" xfId="5632"/>
    <cellStyle name="Separador de milhares 3 4 11 4 2" xfId="24264"/>
    <cellStyle name="Separador de milhares 3 4 11 4 2 2" xfId="50497"/>
    <cellStyle name="Separador de milhares 3 4 11 4 3" xfId="31877"/>
    <cellStyle name="Separador de milhares 3 4 11 5" xfId="18350"/>
    <cellStyle name="Separador de milhares 3 4 11 5 2" xfId="44589"/>
    <cellStyle name="Separador de milhares 3 4 11 6" xfId="12019"/>
    <cellStyle name="Separador de milhares 3 4 11 6 2" xfId="38261"/>
    <cellStyle name="Separador de milhares 3 4 11 7" xfId="30179"/>
    <cellStyle name="Separador de milhares 3 4 12" xfId="3649"/>
    <cellStyle name="Separador de milhares 3 4 12 2" xfId="7478"/>
    <cellStyle name="Separador de milhares 3 4 12 2 2" xfId="10622"/>
    <cellStyle name="Separador de milhares 3 4 12 2 2 2" xfId="28836"/>
    <cellStyle name="Separador de milhares 3 4 12 2 2 2 2" xfId="55066"/>
    <cellStyle name="Separador de milhares 3 4 12 2 2 3" xfId="22922"/>
    <cellStyle name="Separador de milhares 3 4 12 2 2 3 2" xfId="49158"/>
    <cellStyle name="Separador de milhares 3 4 12 2 2 4" xfId="17008"/>
    <cellStyle name="Separador de milhares 3 4 12 2 2 4 2" xfId="43250"/>
    <cellStyle name="Separador de milhares 3 4 12 2 2 5" xfId="36864"/>
    <cellStyle name="Separador de milhares 3 4 12 2 3" xfId="25879"/>
    <cellStyle name="Separador de milhares 3 4 12 2 3 2" xfId="52112"/>
    <cellStyle name="Separador de milhares 3 4 12 2 4" xfId="19965"/>
    <cellStyle name="Separador de milhares 3 4 12 2 4 2" xfId="46204"/>
    <cellStyle name="Separador de milhares 3 4 12 2 5" xfId="13867"/>
    <cellStyle name="Separador de milhares 3 4 12 2 5 2" xfId="40109"/>
    <cellStyle name="Separador de milhares 3 4 12 2 6" xfId="33723"/>
    <cellStyle name="Separador de milhares 3 4 12 3" xfId="9154"/>
    <cellStyle name="Separador de milhares 3 4 12 3 2" xfId="27368"/>
    <cellStyle name="Separador de milhares 3 4 12 3 2 2" xfId="53598"/>
    <cellStyle name="Separador de milhares 3 4 12 3 3" xfId="21454"/>
    <cellStyle name="Separador de milhares 3 4 12 3 3 2" xfId="47690"/>
    <cellStyle name="Separador de milhares 3 4 12 3 4" xfId="15540"/>
    <cellStyle name="Separador de milhares 3 4 12 3 4 2" xfId="41782"/>
    <cellStyle name="Separador de milhares 3 4 12 3 5" xfId="35396"/>
    <cellStyle name="Separador de milhares 3 4 12 4" xfId="5779"/>
    <cellStyle name="Separador de milhares 3 4 12 4 2" xfId="24411"/>
    <cellStyle name="Separador de milhares 3 4 12 4 2 2" xfId="50644"/>
    <cellStyle name="Separador de milhares 3 4 12 4 3" xfId="32024"/>
    <cellStyle name="Separador de milhares 3 4 12 5" xfId="18497"/>
    <cellStyle name="Separador de milhares 3 4 12 5 2" xfId="44736"/>
    <cellStyle name="Separador de milhares 3 4 12 6" xfId="12166"/>
    <cellStyle name="Separador de milhares 3 4 12 6 2" xfId="38408"/>
    <cellStyle name="Separador de milhares 3 4 12 7" xfId="30326"/>
    <cellStyle name="Separador de milhares 3 4 13" xfId="6462"/>
    <cellStyle name="Separador de milhares 3 4 13 2" xfId="9618"/>
    <cellStyle name="Separador de milhares 3 4 13 2 2" xfId="27832"/>
    <cellStyle name="Separador de milhares 3 4 13 2 2 2" xfId="54062"/>
    <cellStyle name="Separador de milhares 3 4 13 2 3" xfId="21918"/>
    <cellStyle name="Separador de milhares 3 4 13 2 3 2" xfId="48154"/>
    <cellStyle name="Separador de milhares 3 4 13 2 4" xfId="16004"/>
    <cellStyle name="Separador de milhares 3 4 13 2 4 2" xfId="42246"/>
    <cellStyle name="Separador de milhares 3 4 13 2 5" xfId="35860"/>
    <cellStyle name="Separador de milhares 3 4 13 3" xfId="24875"/>
    <cellStyle name="Separador de milhares 3 4 13 3 2" xfId="51108"/>
    <cellStyle name="Separador de milhares 3 4 13 4" xfId="18961"/>
    <cellStyle name="Separador de milhares 3 4 13 4 2" xfId="45200"/>
    <cellStyle name="Separador de milhares 3 4 13 5" xfId="12851"/>
    <cellStyle name="Separador de milhares 3 4 13 5 2" xfId="39093"/>
    <cellStyle name="Separador de milhares 3 4 13 6" xfId="32707"/>
    <cellStyle name="Separador de milhares 3 4 14" xfId="8147"/>
    <cellStyle name="Separador de milhares 3 4 14 2" xfId="26361"/>
    <cellStyle name="Separador de milhares 3 4 14 2 2" xfId="52594"/>
    <cellStyle name="Separador de milhares 3 4 14 3" xfId="20447"/>
    <cellStyle name="Separador de milhares 3 4 14 3 2" xfId="46686"/>
    <cellStyle name="Separador de milhares 3 4 14 4" xfId="14536"/>
    <cellStyle name="Separador de milhares 3 4 14 4 2" xfId="40778"/>
    <cellStyle name="Separador de milhares 3 4 14 5" xfId="34392"/>
    <cellStyle name="Separador de milhares 3 4 15" xfId="4760"/>
    <cellStyle name="Separador de milhares 3 4 15 2" xfId="23404"/>
    <cellStyle name="Separador de milhares 3 4 15 2 2" xfId="49640"/>
    <cellStyle name="Separador de milhares 3 4 15 3" xfId="31008"/>
    <cellStyle name="Separador de milhares 3 4 16" xfId="17490"/>
    <cellStyle name="Separador de milhares 3 4 16 2" xfId="43732"/>
    <cellStyle name="Separador de milhares 3 4 17" xfId="11150"/>
    <cellStyle name="Separador de milhares 3 4 17 2" xfId="37392"/>
    <cellStyle name="Separador de milhares 3 4 18" xfId="29310"/>
    <cellStyle name="Separador de milhares 3 4 2" xfId="186"/>
    <cellStyle name="Separador de milhares 3 4 2 10" xfId="6491"/>
    <cellStyle name="Separador de milhares 3 4 2 10 2" xfId="9645"/>
    <cellStyle name="Separador de milhares 3 4 2 10 2 2" xfId="27859"/>
    <cellStyle name="Separador de milhares 3 4 2 10 2 2 2" xfId="54089"/>
    <cellStyle name="Separador de milhares 3 4 2 10 2 3" xfId="21945"/>
    <cellStyle name="Separador de milhares 3 4 2 10 2 3 2" xfId="48181"/>
    <cellStyle name="Separador de milhares 3 4 2 10 2 4" xfId="16031"/>
    <cellStyle name="Separador de milhares 3 4 2 10 2 4 2" xfId="42273"/>
    <cellStyle name="Separador de milhares 3 4 2 10 2 5" xfId="35887"/>
    <cellStyle name="Separador de milhares 3 4 2 10 3" xfId="24902"/>
    <cellStyle name="Separador de milhares 3 4 2 10 3 2" xfId="51135"/>
    <cellStyle name="Separador de milhares 3 4 2 10 4" xfId="18988"/>
    <cellStyle name="Separador de milhares 3 4 2 10 4 2" xfId="45227"/>
    <cellStyle name="Separador de milhares 3 4 2 10 5" xfId="12880"/>
    <cellStyle name="Separador de milhares 3 4 2 10 5 2" xfId="39122"/>
    <cellStyle name="Separador de milhares 3 4 2 10 6" xfId="32736"/>
    <cellStyle name="Separador de milhares 3 4 2 11" xfId="8174"/>
    <cellStyle name="Separador de milhares 3 4 2 11 2" xfId="26388"/>
    <cellStyle name="Separador de milhares 3 4 2 11 2 2" xfId="52621"/>
    <cellStyle name="Separador de milhares 3 4 2 11 3" xfId="20474"/>
    <cellStyle name="Separador de milhares 3 4 2 11 3 2" xfId="46713"/>
    <cellStyle name="Separador de milhares 3 4 2 11 4" xfId="14563"/>
    <cellStyle name="Separador de milhares 3 4 2 11 4 2" xfId="40805"/>
    <cellStyle name="Separador de milhares 3 4 2 11 5" xfId="34419"/>
    <cellStyle name="Separador de milhares 3 4 2 12" xfId="4790"/>
    <cellStyle name="Separador de milhares 3 4 2 12 2" xfId="23431"/>
    <cellStyle name="Separador de milhares 3 4 2 12 2 2" xfId="49667"/>
    <cellStyle name="Separador de milhares 3 4 2 12 3" xfId="31037"/>
    <cellStyle name="Separador de milhares 3 4 2 13" xfId="17517"/>
    <cellStyle name="Separador de milhares 3 4 2 13 2" xfId="43759"/>
    <cellStyle name="Separador de milhares 3 4 2 14" xfId="11179"/>
    <cellStyle name="Separador de milhares 3 4 2 14 2" xfId="37421"/>
    <cellStyle name="Separador de milhares 3 4 2 15" xfId="29340"/>
    <cellStyle name="Separador de milhares 3 4 2 2" xfId="459"/>
    <cellStyle name="Separador de milhares 3 4 2 2 10" xfId="17591"/>
    <cellStyle name="Separador de milhares 3 4 2 2 10 2" xfId="43833"/>
    <cellStyle name="Separador de milhares 3 4 2 2 11" xfId="11260"/>
    <cellStyle name="Separador de milhares 3 4 2 2 11 2" xfId="37502"/>
    <cellStyle name="Separador de milhares 3 4 2 2 12" xfId="29420"/>
    <cellStyle name="Separador de milhares 3 4 2 2 2" xfId="1978"/>
    <cellStyle name="Separador de milhares 3 4 2 2 2 2" xfId="7010"/>
    <cellStyle name="Separador de milhares 3 4 2 2 2 2 2" xfId="10157"/>
    <cellStyle name="Separador de milhares 3 4 2 2 2 2 2 2" xfId="28371"/>
    <cellStyle name="Separador de milhares 3 4 2 2 2 2 2 2 2" xfId="54601"/>
    <cellStyle name="Separador de milhares 3 4 2 2 2 2 2 3" xfId="22457"/>
    <cellStyle name="Separador de milhares 3 4 2 2 2 2 2 3 2" xfId="48693"/>
    <cellStyle name="Separador de milhares 3 4 2 2 2 2 2 4" xfId="16543"/>
    <cellStyle name="Separador de milhares 3 4 2 2 2 2 2 4 2" xfId="42785"/>
    <cellStyle name="Separador de milhares 3 4 2 2 2 2 2 5" xfId="36399"/>
    <cellStyle name="Separador de milhares 3 4 2 2 2 2 3" xfId="25414"/>
    <cellStyle name="Separador de milhares 3 4 2 2 2 2 3 2" xfId="51647"/>
    <cellStyle name="Separador de milhares 3 4 2 2 2 2 4" xfId="19500"/>
    <cellStyle name="Separador de milhares 3 4 2 2 2 2 4 2" xfId="45739"/>
    <cellStyle name="Separador de milhares 3 4 2 2 2 2 5" xfId="13399"/>
    <cellStyle name="Separador de milhares 3 4 2 2 2 2 5 2" xfId="39641"/>
    <cellStyle name="Separador de milhares 3 4 2 2 2 2 6" xfId="33255"/>
    <cellStyle name="Separador de milhares 3 4 2 2 2 3" xfId="8689"/>
    <cellStyle name="Separador de milhares 3 4 2 2 2 3 2" xfId="26903"/>
    <cellStyle name="Separador de milhares 3 4 2 2 2 3 2 2" xfId="53133"/>
    <cellStyle name="Separador de milhares 3 4 2 2 2 3 3" xfId="20989"/>
    <cellStyle name="Separador de milhares 3 4 2 2 2 3 3 2" xfId="47225"/>
    <cellStyle name="Separador de milhares 3 4 2 2 2 3 4" xfId="15075"/>
    <cellStyle name="Separador de milhares 3 4 2 2 2 3 4 2" xfId="41317"/>
    <cellStyle name="Separador de milhares 3 4 2 2 2 3 5" xfId="34931"/>
    <cellStyle name="Separador de milhares 3 4 2 2 2 4" xfId="5311"/>
    <cellStyle name="Separador de milhares 3 4 2 2 2 4 2" xfId="23946"/>
    <cellStyle name="Separador de milhares 3 4 2 2 2 4 2 2" xfId="50179"/>
    <cellStyle name="Separador de milhares 3 4 2 2 2 4 3" xfId="31556"/>
    <cellStyle name="Separador de milhares 3 4 2 2 2 5" xfId="18032"/>
    <cellStyle name="Separador de milhares 3 4 2 2 2 5 2" xfId="44271"/>
    <cellStyle name="Separador de milhares 3 4 2 2 2 6" xfId="11698"/>
    <cellStyle name="Separador de milhares 3 4 2 2 2 6 2" xfId="37940"/>
    <cellStyle name="Separador de milhares 3 4 2 2 2 7" xfId="29858"/>
    <cellStyle name="Separador de milhares 3 4 2 2 3" xfId="2508"/>
    <cellStyle name="Separador de milhares 3 4 2 2 3 2" xfId="7160"/>
    <cellStyle name="Separador de milhares 3 4 2 2 3 2 2" xfId="10304"/>
    <cellStyle name="Separador de milhares 3 4 2 2 3 2 2 2" xfId="28518"/>
    <cellStyle name="Separador de milhares 3 4 2 2 3 2 2 2 2" xfId="54748"/>
    <cellStyle name="Separador de milhares 3 4 2 2 3 2 2 3" xfId="22604"/>
    <cellStyle name="Separador de milhares 3 4 2 2 3 2 2 3 2" xfId="48840"/>
    <cellStyle name="Separador de milhares 3 4 2 2 3 2 2 4" xfId="16690"/>
    <cellStyle name="Separador de milhares 3 4 2 2 3 2 2 4 2" xfId="42932"/>
    <cellStyle name="Separador de milhares 3 4 2 2 3 2 2 5" xfId="36546"/>
    <cellStyle name="Separador de milhares 3 4 2 2 3 2 3" xfId="25561"/>
    <cellStyle name="Separador de milhares 3 4 2 2 3 2 3 2" xfId="51794"/>
    <cellStyle name="Separador de milhares 3 4 2 2 3 2 4" xfId="19647"/>
    <cellStyle name="Separador de milhares 3 4 2 2 3 2 4 2" xfId="45886"/>
    <cellStyle name="Separador de milhares 3 4 2 2 3 2 5" xfId="13549"/>
    <cellStyle name="Separador de milhares 3 4 2 2 3 2 5 2" xfId="39791"/>
    <cellStyle name="Separador de milhares 3 4 2 2 3 2 6" xfId="33405"/>
    <cellStyle name="Separador de milhares 3 4 2 2 3 3" xfId="8836"/>
    <cellStyle name="Separador de milhares 3 4 2 2 3 3 2" xfId="27050"/>
    <cellStyle name="Separador de milhares 3 4 2 2 3 3 2 2" xfId="53280"/>
    <cellStyle name="Separador de milhares 3 4 2 2 3 3 3" xfId="21136"/>
    <cellStyle name="Separador de milhares 3 4 2 2 3 3 3 2" xfId="47372"/>
    <cellStyle name="Separador de milhares 3 4 2 2 3 3 4" xfId="15222"/>
    <cellStyle name="Separador de milhares 3 4 2 2 3 3 4 2" xfId="41464"/>
    <cellStyle name="Separador de milhares 3 4 2 2 3 3 5" xfId="35078"/>
    <cellStyle name="Separador de milhares 3 4 2 2 3 4" xfId="5461"/>
    <cellStyle name="Separador de milhares 3 4 2 2 3 4 2" xfId="24093"/>
    <cellStyle name="Separador de milhares 3 4 2 2 3 4 2 2" xfId="50326"/>
    <cellStyle name="Separador de milhares 3 4 2 2 3 4 3" xfId="31706"/>
    <cellStyle name="Separador de milhares 3 4 2 2 3 5" xfId="18179"/>
    <cellStyle name="Separador de milhares 3 4 2 2 3 5 2" xfId="44418"/>
    <cellStyle name="Separador de milhares 3 4 2 2 3 6" xfId="11848"/>
    <cellStyle name="Separador de milhares 3 4 2 2 3 6 2" xfId="38090"/>
    <cellStyle name="Separador de milhares 3 4 2 2 3 7" xfId="30008"/>
    <cellStyle name="Separador de milhares 3 4 2 2 4" xfId="3035"/>
    <cellStyle name="Separador de milhares 3 4 2 2 4 2" xfId="7307"/>
    <cellStyle name="Separador de milhares 3 4 2 2 4 2 2" xfId="10451"/>
    <cellStyle name="Separador de milhares 3 4 2 2 4 2 2 2" xfId="28665"/>
    <cellStyle name="Separador de milhares 3 4 2 2 4 2 2 2 2" xfId="54895"/>
    <cellStyle name="Separador de milhares 3 4 2 2 4 2 2 3" xfId="22751"/>
    <cellStyle name="Separador de milhares 3 4 2 2 4 2 2 3 2" xfId="48987"/>
    <cellStyle name="Separador de milhares 3 4 2 2 4 2 2 4" xfId="16837"/>
    <cellStyle name="Separador de milhares 3 4 2 2 4 2 2 4 2" xfId="43079"/>
    <cellStyle name="Separador de milhares 3 4 2 2 4 2 2 5" xfId="36693"/>
    <cellStyle name="Separador de milhares 3 4 2 2 4 2 3" xfId="25708"/>
    <cellStyle name="Separador de milhares 3 4 2 2 4 2 3 2" xfId="51941"/>
    <cellStyle name="Separador de milhares 3 4 2 2 4 2 4" xfId="19794"/>
    <cellStyle name="Separador de milhares 3 4 2 2 4 2 4 2" xfId="46033"/>
    <cellStyle name="Separador de milhares 3 4 2 2 4 2 5" xfId="13696"/>
    <cellStyle name="Separador de milhares 3 4 2 2 4 2 5 2" xfId="39938"/>
    <cellStyle name="Separador de milhares 3 4 2 2 4 2 6" xfId="33552"/>
    <cellStyle name="Separador de milhares 3 4 2 2 4 3" xfId="8983"/>
    <cellStyle name="Separador de milhares 3 4 2 2 4 3 2" xfId="27197"/>
    <cellStyle name="Separador de milhares 3 4 2 2 4 3 2 2" xfId="53427"/>
    <cellStyle name="Separador de milhares 3 4 2 2 4 3 3" xfId="21283"/>
    <cellStyle name="Separador de milhares 3 4 2 2 4 3 3 2" xfId="47519"/>
    <cellStyle name="Separador de milhares 3 4 2 2 4 3 4" xfId="15369"/>
    <cellStyle name="Separador de milhares 3 4 2 2 4 3 4 2" xfId="41611"/>
    <cellStyle name="Separador de milhares 3 4 2 2 4 3 5" xfId="35225"/>
    <cellStyle name="Separador de milhares 3 4 2 2 4 4" xfId="5608"/>
    <cellStyle name="Separador de milhares 3 4 2 2 4 4 2" xfId="24240"/>
    <cellStyle name="Separador de milhares 3 4 2 2 4 4 2 2" xfId="50473"/>
    <cellStyle name="Separador de milhares 3 4 2 2 4 4 3" xfId="31853"/>
    <cellStyle name="Separador de milhares 3 4 2 2 4 5" xfId="18326"/>
    <cellStyle name="Separador de milhares 3 4 2 2 4 5 2" xfId="44565"/>
    <cellStyle name="Separador de milhares 3 4 2 2 4 6" xfId="11995"/>
    <cellStyle name="Separador de milhares 3 4 2 2 4 6 2" xfId="38237"/>
    <cellStyle name="Separador de milhares 3 4 2 2 4 7" xfId="30155"/>
    <cellStyle name="Separador de milhares 3 4 2 2 5" xfId="3562"/>
    <cellStyle name="Separador de milhares 3 4 2 2 5 2" xfId="7454"/>
    <cellStyle name="Separador de milhares 3 4 2 2 5 2 2" xfId="10598"/>
    <cellStyle name="Separador de milhares 3 4 2 2 5 2 2 2" xfId="28812"/>
    <cellStyle name="Separador de milhares 3 4 2 2 5 2 2 2 2" xfId="55042"/>
    <cellStyle name="Separador de milhares 3 4 2 2 5 2 2 3" xfId="22898"/>
    <cellStyle name="Separador de milhares 3 4 2 2 5 2 2 3 2" xfId="49134"/>
    <cellStyle name="Separador de milhares 3 4 2 2 5 2 2 4" xfId="16984"/>
    <cellStyle name="Separador de milhares 3 4 2 2 5 2 2 4 2" xfId="43226"/>
    <cellStyle name="Separador de milhares 3 4 2 2 5 2 2 5" xfId="36840"/>
    <cellStyle name="Separador de milhares 3 4 2 2 5 2 3" xfId="25855"/>
    <cellStyle name="Separador de milhares 3 4 2 2 5 2 3 2" xfId="52088"/>
    <cellStyle name="Separador de milhares 3 4 2 2 5 2 4" xfId="19941"/>
    <cellStyle name="Separador de milhares 3 4 2 2 5 2 4 2" xfId="46180"/>
    <cellStyle name="Separador de milhares 3 4 2 2 5 2 5" xfId="13843"/>
    <cellStyle name="Separador de milhares 3 4 2 2 5 2 5 2" xfId="40085"/>
    <cellStyle name="Separador de milhares 3 4 2 2 5 2 6" xfId="33699"/>
    <cellStyle name="Separador de milhares 3 4 2 2 5 3" xfId="9130"/>
    <cellStyle name="Separador de milhares 3 4 2 2 5 3 2" xfId="27344"/>
    <cellStyle name="Separador de milhares 3 4 2 2 5 3 2 2" xfId="53574"/>
    <cellStyle name="Separador de milhares 3 4 2 2 5 3 3" xfId="21430"/>
    <cellStyle name="Separador de milhares 3 4 2 2 5 3 3 2" xfId="47666"/>
    <cellStyle name="Separador de milhares 3 4 2 2 5 3 4" xfId="15516"/>
    <cellStyle name="Separador de milhares 3 4 2 2 5 3 4 2" xfId="41758"/>
    <cellStyle name="Separador de milhares 3 4 2 2 5 3 5" xfId="35372"/>
    <cellStyle name="Separador de milhares 3 4 2 2 5 4" xfId="5755"/>
    <cellStyle name="Separador de milhares 3 4 2 2 5 4 2" xfId="24387"/>
    <cellStyle name="Separador de milhares 3 4 2 2 5 4 2 2" xfId="50620"/>
    <cellStyle name="Separador de milhares 3 4 2 2 5 4 3" xfId="32000"/>
    <cellStyle name="Separador de milhares 3 4 2 2 5 5" xfId="18473"/>
    <cellStyle name="Separador de milhares 3 4 2 2 5 5 2" xfId="44712"/>
    <cellStyle name="Separador de milhares 3 4 2 2 5 6" xfId="12142"/>
    <cellStyle name="Separador de milhares 3 4 2 2 5 6 2" xfId="38384"/>
    <cellStyle name="Separador de milhares 3 4 2 2 5 7" xfId="30302"/>
    <cellStyle name="Separador de milhares 3 4 2 2 6" xfId="4089"/>
    <cellStyle name="Separador de milhares 3 4 2 2 6 2" xfId="7601"/>
    <cellStyle name="Separador de milhares 3 4 2 2 6 2 2" xfId="10745"/>
    <cellStyle name="Separador de milhares 3 4 2 2 6 2 2 2" xfId="28959"/>
    <cellStyle name="Separador de milhares 3 4 2 2 6 2 2 2 2" xfId="55189"/>
    <cellStyle name="Separador de milhares 3 4 2 2 6 2 2 3" xfId="23045"/>
    <cellStyle name="Separador de milhares 3 4 2 2 6 2 2 3 2" xfId="49281"/>
    <cellStyle name="Separador de milhares 3 4 2 2 6 2 2 4" xfId="17131"/>
    <cellStyle name="Separador de milhares 3 4 2 2 6 2 2 4 2" xfId="43373"/>
    <cellStyle name="Separador de milhares 3 4 2 2 6 2 2 5" xfId="36987"/>
    <cellStyle name="Separador de milhares 3 4 2 2 6 2 3" xfId="26002"/>
    <cellStyle name="Separador de milhares 3 4 2 2 6 2 3 2" xfId="52235"/>
    <cellStyle name="Separador de milhares 3 4 2 2 6 2 4" xfId="20088"/>
    <cellStyle name="Separador de milhares 3 4 2 2 6 2 4 2" xfId="46327"/>
    <cellStyle name="Separador de milhares 3 4 2 2 6 2 5" xfId="13990"/>
    <cellStyle name="Separador de milhares 3 4 2 2 6 2 5 2" xfId="40232"/>
    <cellStyle name="Separador de milhares 3 4 2 2 6 2 6" xfId="33846"/>
    <cellStyle name="Separador de milhares 3 4 2 2 6 3" xfId="9277"/>
    <cellStyle name="Separador de milhares 3 4 2 2 6 3 2" xfId="27491"/>
    <cellStyle name="Separador de milhares 3 4 2 2 6 3 2 2" xfId="53721"/>
    <cellStyle name="Separador de milhares 3 4 2 2 6 3 3" xfId="21577"/>
    <cellStyle name="Separador de milhares 3 4 2 2 6 3 3 2" xfId="47813"/>
    <cellStyle name="Separador de milhares 3 4 2 2 6 3 4" xfId="15663"/>
    <cellStyle name="Separador de milhares 3 4 2 2 6 3 4 2" xfId="41905"/>
    <cellStyle name="Separador de milhares 3 4 2 2 6 3 5" xfId="35519"/>
    <cellStyle name="Separador de milhares 3 4 2 2 6 4" xfId="5902"/>
    <cellStyle name="Separador de milhares 3 4 2 2 6 4 2" xfId="24534"/>
    <cellStyle name="Separador de milhares 3 4 2 2 6 4 2 2" xfId="50767"/>
    <cellStyle name="Separador de milhares 3 4 2 2 6 4 3" xfId="32147"/>
    <cellStyle name="Separador de milhares 3 4 2 2 6 5" xfId="18620"/>
    <cellStyle name="Separador de milhares 3 4 2 2 6 5 2" xfId="44859"/>
    <cellStyle name="Separador de milhares 3 4 2 2 6 6" xfId="12289"/>
    <cellStyle name="Separador de milhares 3 4 2 2 6 6 2" xfId="38531"/>
    <cellStyle name="Separador de milhares 3 4 2 2 6 7" xfId="30449"/>
    <cellStyle name="Separador de milhares 3 4 2 2 7" xfId="6572"/>
    <cellStyle name="Separador de milhares 3 4 2 2 7 2" xfId="9719"/>
    <cellStyle name="Separador de milhares 3 4 2 2 7 2 2" xfId="27933"/>
    <cellStyle name="Separador de milhares 3 4 2 2 7 2 2 2" xfId="54163"/>
    <cellStyle name="Separador de milhares 3 4 2 2 7 2 3" xfId="22019"/>
    <cellStyle name="Separador de milhares 3 4 2 2 7 2 3 2" xfId="48255"/>
    <cellStyle name="Separador de milhares 3 4 2 2 7 2 4" xfId="16105"/>
    <cellStyle name="Separador de milhares 3 4 2 2 7 2 4 2" xfId="42347"/>
    <cellStyle name="Separador de milhares 3 4 2 2 7 2 5" xfId="35961"/>
    <cellStyle name="Separador de milhares 3 4 2 2 7 3" xfId="24976"/>
    <cellStyle name="Separador de milhares 3 4 2 2 7 3 2" xfId="51209"/>
    <cellStyle name="Separador de milhares 3 4 2 2 7 4" xfId="19062"/>
    <cellStyle name="Separador de milhares 3 4 2 2 7 4 2" xfId="45301"/>
    <cellStyle name="Separador de milhares 3 4 2 2 7 5" xfId="12961"/>
    <cellStyle name="Separador de milhares 3 4 2 2 7 5 2" xfId="39203"/>
    <cellStyle name="Separador de milhares 3 4 2 2 7 6" xfId="32817"/>
    <cellStyle name="Separador de milhares 3 4 2 2 8" xfId="8248"/>
    <cellStyle name="Separador de milhares 3 4 2 2 8 2" xfId="26462"/>
    <cellStyle name="Separador de milhares 3 4 2 2 8 2 2" xfId="52695"/>
    <cellStyle name="Separador de milhares 3 4 2 2 8 3" xfId="20548"/>
    <cellStyle name="Separador de milhares 3 4 2 2 8 3 2" xfId="46787"/>
    <cellStyle name="Separador de milhares 3 4 2 2 8 4" xfId="14637"/>
    <cellStyle name="Separador de milhares 3 4 2 2 8 4 2" xfId="40879"/>
    <cellStyle name="Separador de milhares 3 4 2 2 8 5" xfId="34493"/>
    <cellStyle name="Separador de milhares 3 4 2 2 9" xfId="4871"/>
    <cellStyle name="Separador de milhares 3 4 2 2 9 2" xfId="23505"/>
    <cellStyle name="Separador de milhares 3 4 2 2 9 2 2" xfId="49741"/>
    <cellStyle name="Separador de milhares 3 4 2 2 9 3" xfId="31118"/>
    <cellStyle name="Separador de milhares 3 4 2 3" xfId="932"/>
    <cellStyle name="Separador de milhares 3 4 2 3 2" xfId="6723"/>
    <cellStyle name="Separador de milhares 3 4 2 3 2 2" xfId="9870"/>
    <cellStyle name="Separador de milhares 3 4 2 3 2 2 2" xfId="28084"/>
    <cellStyle name="Separador de milhares 3 4 2 3 2 2 2 2" xfId="54314"/>
    <cellStyle name="Separador de milhares 3 4 2 3 2 2 3" xfId="22170"/>
    <cellStyle name="Separador de milhares 3 4 2 3 2 2 3 2" xfId="48406"/>
    <cellStyle name="Separador de milhares 3 4 2 3 2 2 4" xfId="16256"/>
    <cellStyle name="Separador de milhares 3 4 2 3 2 2 4 2" xfId="42498"/>
    <cellStyle name="Separador de milhares 3 4 2 3 2 2 5" xfId="36112"/>
    <cellStyle name="Separador de milhares 3 4 2 3 2 3" xfId="25127"/>
    <cellStyle name="Separador de milhares 3 4 2 3 2 3 2" xfId="51360"/>
    <cellStyle name="Separador de milhares 3 4 2 3 2 4" xfId="19213"/>
    <cellStyle name="Separador de milhares 3 4 2 3 2 4 2" xfId="45452"/>
    <cellStyle name="Separador de milhares 3 4 2 3 2 5" xfId="13112"/>
    <cellStyle name="Separador de milhares 3 4 2 3 2 5 2" xfId="39354"/>
    <cellStyle name="Separador de milhares 3 4 2 3 2 6" xfId="32968"/>
    <cellStyle name="Separador de milhares 3 4 2 3 3" xfId="8402"/>
    <cellStyle name="Separador de milhares 3 4 2 3 3 2" xfId="26616"/>
    <cellStyle name="Separador de milhares 3 4 2 3 3 2 2" xfId="52846"/>
    <cellStyle name="Separador de milhares 3 4 2 3 3 3" xfId="20702"/>
    <cellStyle name="Separador de milhares 3 4 2 3 3 3 2" xfId="46938"/>
    <cellStyle name="Separador de milhares 3 4 2 3 3 4" xfId="14788"/>
    <cellStyle name="Separador de milhares 3 4 2 3 3 4 2" xfId="41030"/>
    <cellStyle name="Separador de milhares 3 4 2 3 3 5" xfId="34644"/>
    <cellStyle name="Separador de milhares 3 4 2 3 4" xfId="5024"/>
    <cellStyle name="Separador de milhares 3 4 2 3 4 2" xfId="23659"/>
    <cellStyle name="Separador de milhares 3 4 2 3 4 2 2" xfId="49892"/>
    <cellStyle name="Separador de milhares 3 4 2 3 4 3" xfId="31269"/>
    <cellStyle name="Separador de milhares 3 4 2 3 5" xfId="17745"/>
    <cellStyle name="Separador de milhares 3 4 2 3 5 2" xfId="43984"/>
    <cellStyle name="Separador de milhares 3 4 2 3 6" xfId="11411"/>
    <cellStyle name="Separador de milhares 3 4 2 3 6 2" xfId="37653"/>
    <cellStyle name="Separador de milhares 3 4 2 3 7" xfId="29571"/>
    <cellStyle name="Separador de milhares 3 4 2 4" xfId="1283"/>
    <cellStyle name="Separador de milhares 3 4 2 4 2" xfId="6821"/>
    <cellStyle name="Separador de milhares 3 4 2 4 2 2" xfId="9968"/>
    <cellStyle name="Separador de milhares 3 4 2 4 2 2 2" xfId="28182"/>
    <cellStyle name="Separador de milhares 3 4 2 4 2 2 2 2" xfId="54412"/>
    <cellStyle name="Separador de milhares 3 4 2 4 2 2 3" xfId="22268"/>
    <cellStyle name="Separador de milhares 3 4 2 4 2 2 3 2" xfId="48504"/>
    <cellStyle name="Separador de milhares 3 4 2 4 2 2 4" xfId="16354"/>
    <cellStyle name="Separador de milhares 3 4 2 4 2 2 4 2" xfId="42596"/>
    <cellStyle name="Separador de milhares 3 4 2 4 2 2 5" xfId="36210"/>
    <cellStyle name="Separador de milhares 3 4 2 4 2 3" xfId="25225"/>
    <cellStyle name="Separador de milhares 3 4 2 4 2 3 2" xfId="51458"/>
    <cellStyle name="Separador de milhares 3 4 2 4 2 4" xfId="19311"/>
    <cellStyle name="Separador de milhares 3 4 2 4 2 4 2" xfId="45550"/>
    <cellStyle name="Separador de milhares 3 4 2 4 2 5" xfId="13210"/>
    <cellStyle name="Separador de milhares 3 4 2 4 2 5 2" xfId="39452"/>
    <cellStyle name="Separador de milhares 3 4 2 4 2 6" xfId="33066"/>
    <cellStyle name="Separador de milhares 3 4 2 4 3" xfId="8500"/>
    <cellStyle name="Separador de milhares 3 4 2 4 3 2" xfId="26714"/>
    <cellStyle name="Separador de milhares 3 4 2 4 3 2 2" xfId="52944"/>
    <cellStyle name="Separador de milhares 3 4 2 4 3 3" xfId="20800"/>
    <cellStyle name="Separador de milhares 3 4 2 4 3 3 2" xfId="47036"/>
    <cellStyle name="Separador de milhares 3 4 2 4 3 4" xfId="14886"/>
    <cellStyle name="Separador de milhares 3 4 2 4 3 4 2" xfId="41128"/>
    <cellStyle name="Separador de milhares 3 4 2 4 3 5" xfId="34742"/>
    <cellStyle name="Separador de milhares 3 4 2 4 4" xfId="5122"/>
    <cellStyle name="Separador de milhares 3 4 2 4 4 2" xfId="23757"/>
    <cellStyle name="Separador de milhares 3 4 2 4 4 2 2" xfId="49990"/>
    <cellStyle name="Separador de milhares 3 4 2 4 4 3" xfId="31367"/>
    <cellStyle name="Separador de milhares 3 4 2 4 5" xfId="17843"/>
    <cellStyle name="Separador de milhares 3 4 2 4 5 2" xfId="44082"/>
    <cellStyle name="Separador de milhares 3 4 2 4 6" xfId="11509"/>
    <cellStyle name="Separador de milhares 3 4 2 4 6 2" xfId="37751"/>
    <cellStyle name="Separador de milhares 3 4 2 4 7" xfId="29669"/>
    <cellStyle name="Separador de milhares 3 4 2 5" xfId="1718"/>
    <cellStyle name="Separador de milhares 3 4 2 5 2" xfId="6940"/>
    <cellStyle name="Separador de milhares 3 4 2 5 2 2" xfId="10087"/>
    <cellStyle name="Separador de milhares 3 4 2 5 2 2 2" xfId="28301"/>
    <cellStyle name="Separador de milhares 3 4 2 5 2 2 2 2" xfId="54531"/>
    <cellStyle name="Separador de milhares 3 4 2 5 2 2 3" xfId="22387"/>
    <cellStyle name="Separador de milhares 3 4 2 5 2 2 3 2" xfId="48623"/>
    <cellStyle name="Separador de milhares 3 4 2 5 2 2 4" xfId="16473"/>
    <cellStyle name="Separador de milhares 3 4 2 5 2 2 4 2" xfId="42715"/>
    <cellStyle name="Separador de milhares 3 4 2 5 2 2 5" xfId="36329"/>
    <cellStyle name="Separador de milhares 3 4 2 5 2 3" xfId="25344"/>
    <cellStyle name="Separador de milhares 3 4 2 5 2 3 2" xfId="51577"/>
    <cellStyle name="Separador de milhares 3 4 2 5 2 4" xfId="19430"/>
    <cellStyle name="Separador de milhares 3 4 2 5 2 4 2" xfId="45669"/>
    <cellStyle name="Separador de milhares 3 4 2 5 2 5" xfId="13329"/>
    <cellStyle name="Separador de milhares 3 4 2 5 2 5 2" xfId="39571"/>
    <cellStyle name="Separador de milhares 3 4 2 5 2 6" xfId="33185"/>
    <cellStyle name="Separador de milhares 3 4 2 5 3" xfId="8619"/>
    <cellStyle name="Separador de milhares 3 4 2 5 3 2" xfId="26833"/>
    <cellStyle name="Separador de milhares 3 4 2 5 3 2 2" xfId="53063"/>
    <cellStyle name="Separador de milhares 3 4 2 5 3 3" xfId="20919"/>
    <cellStyle name="Separador de milhares 3 4 2 5 3 3 2" xfId="47155"/>
    <cellStyle name="Separador de milhares 3 4 2 5 3 4" xfId="15005"/>
    <cellStyle name="Separador de milhares 3 4 2 5 3 4 2" xfId="41247"/>
    <cellStyle name="Separador de milhares 3 4 2 5 3 5" xfId="34861"/>
    <cellStyle name="Separador de milhares 3 4 2 5 4" xfId="5241"/>
    <cellStyle name="Separador de milhares 3 4 2 5 4 2" xfId="23876"/>
    <cellStyle name="Separador de milhares 3 4 2 5 4 2 2" xfId="50109"/>
    <cellStyle name="Separador de milhares 3 4 2 5 4 3" xfId="31486"/>
    <cellStyle name="Separador de milhares 3 4 2 5 5" xfId="17962"/>
    <cellStyle name="Separador de milhares 3 4 2 5 5 2" xfId="44201"/>
    <cellStyle name="Separador de milhares 3 4 2 5 6" xfId="11628"/>
    <cellStyle name="Separador de milhares 3 4 2 5 6 2" xfId="37870"/>
    <cellStyle name="Separador de milhares 3 4 2 5 7" xfId="29788"/>
    <cellStyle name="Separador de milhares 3 4 2 6" xfId="2248"/>
    <cellStyle name="Separador de milhares 3 4 2 6 2" xfId="7090"/>
    <cellStyle name="Separador de milhares 3 4 2 6 2 2" xfId="10234"/>
    <cellStyle name="Separador de milhares 3 4 2 6 2 2 2" xfId="28448"/>
    <cellStyle name="Separador de milhares 3 4 2 6 2 2 2 2" xfId="54678"/>
    <cellStyle name="Separador de milhares 3 4 2 6 2 2 3" xfId="22534"/>
    <cellStyle name="Separador de milhares 3 4 2 6 2 2 3 2" xfId="48770"/>
    <cellStyle name="Separador de milhares 3 4 2 6 2 2 4" xfId="16620"/>
    <cellStyle name="Separador de milhares 3 4 2 6 2 2 4 2" xfId="42862"/>
    <cellStyle name="Separador de milhares 3 4 2 6 2 2 5" xfId="36476"/>
    <cellStyle name="Separador de milhares 3 4 2 6 2 3" xfId="25491"/>
    <cellStyle name="Separador de milhares 3 4 2 6 2 3 2" xfId="51724"/>
    <cellStyle name="Separador de milhares 3 4 2 6 2 4" xfId="19577"/>
    <cellStyle name="Separador de milhares 3 4 2 6 2 4 2" xfId="45816"/>
    <cellStyle name="Separador de milhares 3 4 2 6 2 5" xfId="13479"/>
    <cellStyle name="Separador de milhares 3 4 2 6 2 5 2" xfId="39721"/>
    <cellStyle name="Separador de milhares 3 4 2 6 2 6" xfId="33335"/>
    <cellStyle name="Separador de milhares 3 4 2 6 3" xfId="8766"/>
    <cellStyle name="Separador de milhares 3 4 2 6 3 2" xfId="26980"/>
    <cellStyle name="Separador de milhares 3 4 2 6 3 2 2" xfId="53210"/>
    <cellStyle name="Separador de milhares 3 4 2 6 3 3" xfId="21066"/>
    <cellStyle name="Separador de milhares 3 4 2 6 3 3 2" xfId="47302"/>
    <cellStyle name="Separador de milhares 3 4 2 6 3 4" xfId="15152"/>
    <cellStyle name="Separador de milhares 3 4 2 6 3 4 2" xfId="41394"/>
    <cellStyle name="Separador de milhares 3 4 2 6 3 5" xfId="35008"/>
    <cellStyle name="Separador de milhares 3 4 2 6 4" xfId="5391"/>
    <cellStyle name="Separador de milhares 3 4 2 6 4 2" xfId="24023"/>
    <cellStyle name="Separador de milhares 3 4 2 6 4 2 2" xfId="50256"/>
    <cellStyle name="Separador de milhares 3 4 2 6 4 3" xfId="31636"/>
    <cellStyle name="Separador de milhares 3 4 2 6 5" xfId="18109"/>
    <cellStyle name="Separador de milhares 3 4 2 6 5 2" xfId="44348"/>
    <cellStyle name="Separador de milhares 3 4 2 6 6" xfId="11778"/>
    <cellStyle name="Separador de milhares 3 4 2 6 6 2" xfId="38020"/>
    <cellStyle name="Separador de milhares 3 4 2 6 7" xfId="29938"/>
    <cellStyle name="Separador de milhares 3 4 2 7" xfId="2775"/>
    <cellStyle name="Separador de milhares 3 4 2 7 2" xfId="7237"/>
    <cellStyle name="Separador de milhares 3 4 2 7 2 2" xfId="10381"/>
    <cellStyle name="Separador de milhares 3 4 2 7 2 2 2" xfId="28595"/>
    <cellStyle name="Separador de milhares 3 4 2 7 2 2 2 2" xfId="54825"/>
    <cellStyle name="Separador de milhares 3 4 2 7 2 2 3" xfId="22681"/>
    <cellStyle name="Separador de milhares 3 4 2 7 2 2 3 2" xfId="48917"/>
    <cellStyle name="Separador de milhares 3 4 2 7 2 2 4" xfId="16767"/>
    <cellStyle name="Separador de milhares 3 4 2 7 2 2 4 2" xfId="43009"/>
    <cellStyle name="Separador de milhares 3 4 2 7 2 2 5" xfId="36623"/>
    <cellStyle name="Separador de milhares 3 4 2 7 2 3" xfId="25638"/>
    <cellStyle name="Separador de milhares 3 4 2 7 2 3 2" xfId="51871"/>
    <cellStyle name="Separador de milhares 3 4 2 7 2 4" xfId="19724"/>
    <cellStyle name="Separador de milhares 3 4 2 7 2 4 2" xfId="45963"/>
    <cellStyle name="Separador de milhares 3 4 2 7 2 5" xfId="13626"/>
    <cellStyle name="Separador de milhares 3 4 2 7 2 5 2" xfId="39868"/>
    <cellStyle name="Separador de milhares 3 4 2 7 2 6" xfId="33482"/>
    <cellStyle name="Separador de milhares 3 4 2 7 3" xfId="8913"/>
    <cellStyle name="Separador de milhares 3 4 2 7 3 2" xfId="27127"/>
    <cellStyle name="Separador de milhares 3 4 2 7 3 2 2" xfId="53357"/>
    <cellStyle name="Separador de milhares 3 4 2 7 3 3" xfId="21213"/>
    <cellStyle name="Separador de milhares 3 4 2 7 3 3 2" xfId="47449"/>
    <cellStyle name="Separador de milhares 3 4 2 7 3 4" xfId="15299"/>
    <cellStyle name="Separador de milhares 3 4 2 7 3 4 2" xfId="41541"/>
    <cellStyle name="Separador de milhares 3 4 2 7 3 5" xfId="35155"/>
    <cellStyle name="Separador de milhares 3 4 2 7 4" xfId="5538"/>
    <cellStyle name="Separador de milhares 3 4 2 7 4 2" xfId="24170"/>
    <cellStyle name="Separador de milhares 3 4 2 7 4 2 2" xfId="50403"/>
    <cellStyle name="Separador de milhares 3 4 2 7 4 3" xfId="31783"/>
    <cellStyle name="Separador de milhares 3 4 2 7 5" xfId="18256"/>
    <cellStyle name="Separador de milhares 3 4 2 7 5 2" xfId="44495"/>
    <cellStyle name="Separador de milhares 3 4 2 7 6" xfId="11925"/>
    <cellStyle name="Separador de milhares 3 4 2 7 6 2" xfId="38167"/>
    <cellStyle name="Separador de milhares 3 4 2 7 7" xfId="30085"/>
    <cellStyle name="Separador de milhares 3 4 2 8" xfId="3302"/>
    <cellStyle name="Separador de milhares 3 4 2 8 2" xfId="7384"/>
    <cellStyle name="Separador de milhares 3 4 2 8 2 2" xfId="10528"/>
    <cellStyle name="Separador de milhares 3 4 2 8 2 2 2" xfId="28742"/>
    <cellStyle name="Separador de milhares 3 4 2 8 2 2 2 2" xfId="54972"/>
    <cellStyle name="Separador de milhares 3 4 2 8 2 2 3" xfId="22828"/>
    <cellStyle name="Separador de milhares 3 4 2 8 2 2 3 2" xfId="49064"/>
    <cellStyle name="Separador de milhares 3 4 2 8 2 2 4" xfId="16914"/>
    <cellStyle name="Separador de milhares 3 4 2 8 2 2 4 2" xfId="43156"/>
    <cellStyle name="Separador de milhares 3 4 2 8 2 2 5" xfId="36770"/>
    <cellStyle name="Separador de milhares 3 4 2 8 2 3" xfId="25785"/>
    <cellStyle name="Separador de milhares 3 4 2 8 2 3 2" xfId="52018"/>
    <cellStyle name="Separador de milhares 3 4 2 8 2 4" xfId="19871"/>
    <cellStyle name="Separador de milhares 3 4 2 8 2 4 2" xfId="46110"/>
    <cellStyle name="Separador de milhares 3 4 2 8 2 5" xfId="13773"/>
    <cellStyle name="Separador de milhares 3 4 2 8 2 5 2" xfId="40015"/>
    <cellStyle name="Separador de milhares 3 4 2 8 2 6" xfId="33629"/>
    <cellStyle name="Separador de milhares 3 4 2 8 3" xfId="9060"/>
    <cellStyle name="Separador de milhares 3 4 2 8 3 2" xfId="27274"/>
    <cellStyle name="Separador de milhares 3 4 2 8 3 2 2" xfId="53504"/>
    <cellStyle name="Separador de milhares 3 4 2 8 3 3" xfId="21360"/>
    <cellStyle name="Separador de milhares 3 4 2 8 3 3 2" xfId="47596"/>
    <cellStyle name="Separador de milhares 3 4 2 8 3 4" xfId="15446"/>
    <cellStyle name="Separador de milhares 3 4 2 8 3 4 2" xfId="41688"/>
    <cellStyle name="Separador de milhares 3 4 2 8 3 5" xfId="35302"/>
    <cellStyle name="Separador de milhares 3 4 2 8 4" xfId="5685"/>
    <cellStyle name="Separador de milhares 3 4 2 8 4 2" xfId="24317"/>
    <cellStyle name="Separador de milhares 3 4 2 8 4 2 2" xfId="50550"/>
    <cellStyle name="Separador de milhares 3 4 2 8 4 3" xfId="31930"/>
    <cellStyle name="Separador de milhares 3 4 2 8 5" xfId="18403"/>
    <cellStyle name="Separador de milhares 3 4 2 8 5 2" xfId="44642"/>
    <cellStyle name="Separador de milhares 3 4 2 8 6" xfId="12072"/>
    <cellStyle name="Separador de milhares 3 4 2 8 6 2" xfId="38314"/>
    <cellStyle name="Separador de milhares 3 4 2 8 7" xfId="30232"/>
    <cellStyle name="Separador de milhares 3 4 2 9" xfId="3829"/>
    <cellStyle name="Separador de milhares 3 4 2 9 2" xfId="7531"/>
    <cellStyle name="Separador de milhares 3 4 2 9 2 2" xfId="10675"/>
    <cellStyle name="Separador de milhares 3 4 2 9 2 2 2" xfId="28889"/>
    <cellStyle name="Separador de milhares 3 4 2 9 2 2 2 2" xfId="55119"/>
    <cellStyle name="Separador de milhares 3 4 2 9 2 2 3" xfId="22975"/>
    <cellStyle name="Separador de milhares 3 4 2 9 2 2 3 2" xfId="49211"/>
    <cellStyle name="Separador de milhares 3 4 2 9 2 2 4" xfId="17061"/>
    <cellStyle name="Separador de milhares 3 4 2 9 2 2 4 2" xfId="43303"/>
    <cellStyle name="Separador de milhares 3 4 2 9 2 2 5" xfId="36917"/>
    <cellStyle name="Separador de milhares 3 4 2 9 2 3" xfId="25932"/>
    <cellStyle name="Separador de milhares 3 4 2 9 2 3 2" xfId="52165"/>
    <cellStyle name="Separador de milhares 3 4 2 9 2 4" xfId="20018"/>
    <cellStyle name="Separador de milhares 3 4 2 9 2 4 2" xfId="46257"/>
    <cellStyle name="Separador de milhares 3 4 2 9 2 5" xfId="13920"/>
    <cellStyle name="Separador de milhares 3 4 2 9 2 5 2" xfId="40162"/>
    <cellStyle name="Separador de milhares 3 4 2 9 2 6" xfId="33776"/>
    <cellStyle name="Separador de milhares 3 4 2 9 3" xfId="9207"/>
    <cellStyle name="Separador de milhares 3 4 2 9 3 2" xfId="27421"/>
    <cellStyle name="Separador de milhares 3 4 2 9 3 2 2" xfId="53651"/>
    <cellStyle name="Separador de milhares 3 4 2 9 3 3" xfId="21507"/>
    <cellStyle name="Separador de milhares 3 4 2 9 3 3 2" xfId="47743"/>
    <cellStyle name="Separador de milhares 3 4 2 9 3 4" xfId="15593"/>
    <cellStyle name="Separador de milhares 3 4 2 9 3 4 2" xfId="41835"/>
    <cellStyle name="Separador de milhares 3 4 2 9 3 5" xfId="35449"/>
    <cellStyle name="Separador de milhares 3 4 2 9 4" xfId="5832"/>
    <cellStyle name="Separador de milhares 3 4 2 9 4 2" xfId="24464"/>
    <cellStyle name="Separador de milhares 3 4 2 9 4 2 2" xfId="50697"/>
    <cellStyle name="Separador de milhares 3 4 2 9 4 3" xfId="32077"/>
    <cellStyle name="Separador de milhares 3 4 2 9 5" xfId="18550"/>
    <cellStyle name="Separador de milhares 3 4 2 9 5 2" xfId="44789"/>
    <cellStyle name="Separador de milhares 3 4 2 9 6" xfId="12219"/>
    <cellStyle name="Separador de milhares 3 4 2 9 6 2" xfId="38461"/>
    <cellStyle name="Separador de milhares 3 4 2 9 7" xfId="30379"/>
    <cellStyle name="Separador de milhares 3 4 3" xfId="281"/>
    <cellStyle name="Separador de milhares 3 4 3 10" xfId="6522"/>
    <cellStyle name="Separador de milhares 3 4 3 10 2" xfId="9673"/>
    <cellStyle name="Separador de milhares 3 4 3 10 2 2" xfId="27887"/>
    <cellStyle name="Separador de milhares 3 4 3 10 2 2 2" xfId="54117"/>
    <cellStyle name="Separador de milhares 3 4 3 10 2 3" xfId="21973"/>
    <cellStyle name="Separador de milhares 3 4 3 10 2 3 2" xfId="48209"/>
    <cellStyle name="Separador de milhares 3 4 3 10 2 4" xfId="16059"/>
    <cellStyle name="Separador de milhares 3 4 3 10 2 4 2" xfId="42301"/>
    <cellStyle name="Separador de milhares 3 4 3 10 2 5" xfId="35915"/>
    <cellStyle name="Separador de milhares 3 4 3 10 3" xfId="24930"/>
    <cellStyle name="Separador de milhares 3 4 3 10 3 2" xfId="51163"/>
    <cellStyle name="Separador de milhares 3 4 3 10 4" xfId="19016"/>
    <cellStyle name="Separador de milhares 3 4 3 10 4 2" xfId="45255"/>
    <cellStyle name="Separador de milhares 3 4 3 10 5" xfId="12911"/>
    <cellStyle name="Separador de milhares 3 4 3 10 5 2" xfId="39153"/>
    <cellStyle name="Separador de milhares 3 4 3 10 6" xfId="32767"/>
    <cellStyle name="Separador de milhares 3 4 3 11" xfId="8202"/>
    <cellStyle name="Separador de milhares 3 4 3 11 2" xfId="26416"/>
    <cellStyle name="Separador de milhares 3 4 3 11 2 2" xfId="52649"/>
    <cellStyle name="Separador de milhares 3 4 3 11 3" xfId="20502"/>
    <cellStyle name="Separador de milhares 3 4 3 11 3 2" xfId="46741"/>
    <cellStyle name="Separador de milhares 3 4 3 11 4" xfId="14591"/>
    <cellStyle name="Separador de milhares 3 4 3 11 4 2" xfId="40833"/>
    <cellStyle name="Separador de milhares 3 4 3 11 5" xfId="34447"/>
    <cellStyle name="Separador de milhares 3 4 3 12" xfId="4821"/>
    <cellStyle name="Separador de milhares 3 4 3 12 2" xfId="23459"/>
    <cellStyle name="Separador de milhares 3 4 3 12 2 2" xfId="49695"/>
    <cellStyle name="Separador de milhares 3 4 3 12 3" xfId="31068"/>
    <cellStyle name="Separador de milhares 3 4 3 13" xfId="17545"/>
    <cellStyle name="Separador de milhares 3 4 3 13 2" xfId="43787"/>
    <cellStyle name="Separador de milhares 3 4 3 14" xfId="11210"/>
    <cellStyle name="Separador de milhares 3 4 3 14 2" xfId="37452"/>
    <cellStyle name="Separador de milhares 3 4 3 15" xfId="29370"/>
    <cellStyle name="Separador de milhares 3 4 3 2" xfId="544"/>
    <cellStyle name="Separador de milhares 3 4 3 2 2" xfId="6593"/>
    <cellStyle name="Separador de milhares 3 4 3 2 2 2" xfId="9740"/>
    <cellStyle name="Separador de milhares 3 4 3 2 2 2 2" xfId="27954"/>
    <cellStyle name="Separador de milhares 3 4 3 2 2 2 2 2" xfId="54184"/>
    <cellStyle name="Separador de milhares 3 4 3 2 2 2 3" xfId="22040"/>
    <cellStyle name="Separador de milhares 3 4 3 2 2 2 3 2" xfId="48276"/>
    <cellStyle name="Separador de milhares 3 4 3 2 2 2 4" xfId="16126"/>
    <cellStyle name="Separador de milhares 3 4 3 2 2 2 4 2" xfId="42368"/>
    <cellStyle name="Separador de milhares 3 4 3 2 2 2 5" xfId="35982"/>
    <cellStyle name="Separador de milhares 3 4 3 2 2 3" xfId="24997"/>
    <cellStyle name="Separador de milhares 3 4 3 2 2 3 2" xfId="51230"/>
    <cellStyle name="Separador de milhares 3 4 3 2 2 4" xfId="19083"/>
    <cellStyle name="Separador de milhares 3 4 3 2 2 4 2" xfId="45322"/>
    <cellStyle name="Separador de milhares 3 4 3 2 2 5" xfId="12982"/>
    <cellStyle name="Separador de milhares 3 4 3 2 2 5 2" xfId="39224"/>
    <cellStyle name="Separador de milhares 3 4 3 2 2 6" xfId="32838"/>
    <cellStyle name="Separador de milhares 3 4 3 2 3" xfId="8269"/>
    <cellStyle name="Separador de milhares 3 4 3 2 3 2" xfId="26483"/>
    <cellStyle name="Separador de milhares 3 4 3 2 3 2 2" xfId="52716"/>
    <cellStyle name="Separador de milhares 3 4 3 2 3 3" xfId="20569"/>
    <cellStyle name="Separador de milhares 3 4 3 2 3 3 2" xfId="46808"/>
    <cellStyle name="Separador de milhares 3 4 3 2 3 4" xfId="14658"/>
    <cellStyle name="Separador de milhares 3 4 3 2 3 4 2" xfId="40900"/>
    <cellStyle name="Separador de milhares 3 4 3 2 3 5" xfId="34514"/>
    <cellStyle name="Separador de milhares 3 4 3 2 4" xfId="4892"/>
    <cellStyle name="Separador de milhares 3 4 3 2 4 2" xfId="23526"/>
    <cellStyle name="Separador de milhares 3 4 3 2 4 2 2" xfId="49762"/>
    <cellStyle name="Separador de milhares 3 4 3 2 4 3" xfId="31139"/>
    <cellStyle name="Separador de milhares 3 4 3 2 5" xfId="17612"/>
    <cellStyle name="Separador de milhares 3 4 3 2 5 2" xfId="43854"/>
    <cellStyle name="Separador de milhares 3 4 3 2 6" xfId="11281"/>
    <cellStyle name="Separador de milhares 3 4 3 2 6 2" xfId="37523"/>
    <cellStyle name="Separador de milhares 3 4 3 2 7" xfId="29441"/>
    <cellStyle name="Separador de milhares 3 4 3 3" xfId="841"/>
    <cellStyle name="Separador de milhares 3 4 3 3 2" xfId="6695"/>
    <cellStyle name="Separador de milhares 3 4 3 3 2 2" xfId="9842"/>
    <cellStyle name="Separador de milhares 3 4 3 3 2 2 2" xfId="28056"/>
    <cellStyle name="Separador de milhares 3 4 3 3 2 2 2 2" xfId="54286"/>
    <cellStyle name="Separador de milhares 3 4 3 3 2 2 3" xfId="22142"/>
    <cellStyle name="Separador de milhares 3 4 3 3 2 2 3 2" xfId="48378"/>
    <cellStyle name="Separador de milhares 3 4 3 3 2 2 4" xfId="16228"/>
    <cellStyle name="Separador de milhares 3 4 3 3 2 2 4 2" xfId="42470"/>
    <cellStyle name="Separador de milhares 3 4 3 3 2 2 5" xfId="36084"/>
    <cellStyle name="Separador de milhares 3 4 3 3 2 3" xfId="25099"/>
    <cellStyle name="Separador de milhares 3 4 3 3 2 3 2" xfId="51332"/>
    <cellStyle name="Separador de milhares 3 4 3 3 2 4" xfId="19185"/>
    <cellStyle name="Separador de milhares 3 4 3 3 2 4 2" xfId="45424"/>
    <cellStyle name="Separador de milhares 3 4 3 3 2 5" xfId="13084"/>
    <cellStyle name="Separador de milhares 3 4 3 3 2 5 2" xfId="39326"/>
    <cellStyle name="Separador de milhares 3 4 3 3 2 6" xfId="32940"/>
    <cellStyle name="Separador de milhares 3 4 3 3 3" xfId="8374"/>
    <cellStyle name="Separador de milhares 3 4 3 3 3 2" xfId="26588"/>
    <cellStyle name="Separador de milhares 3 4 3 3 3 2 2" xfId="52818"/>
    <cellStyle name="Separador de milhares 3 4 3 3 3 3" xfId="20674"/>
    <cellStyle name="Separador de milhares 3 4 3 3 3 3 2" xfId="46910"/>
    <cellStyle name="Separador de milhares 3 4 3 3 3 4" xfId="14760"/>
    <cellStyle name="Separador de milhares 3 4 3 3 3 4 2" xfId="41002"/>
    <cellStyle name="Separador de milhares 3 4 3 3 3 5" xfId="34616"/>
    <cellStyle name="Separador de milhares 3 4 3 3 4" xfId="4996"/>
    <cellStyle name="Separador de milhares 3 4 3 3 4 2" xfId="23631"/>
    <cellStyle name="Separador de milhares 3 4 3 3 4 2 2" xfId="49864"/>
    <cellStyle name="Separador de milhares 3 4 3 3 4 3" xfId="31241"/>
    <cellStyle name="Separador de milhares 3 4 3 3 5" xfId="17717"/>
    <cellStyle name="Separador de milhares 3 4 3 3 5 2" xfId="43956"/>
    <cellStyle name="Separador de milhares 3 4 3 3 6" xfId="11383"/>
    <cellStyle name="Separador de milhares 3 4 3 3 6 2" xfId="37625"/>
    <cellStyle name="Separador de milhares 3 4 3 3 7" xfId="29543"/>
    <cellStyle name="Separador de milhares 3 4 3 4" xfId="1192"/>
    <cellStyle name="Separador de milhares 3 4 3 4 2" xfId="6793"/>
    <cellStyle name="Separador de milhares 3 4 3 4 2 2" xfId="9940"/>
    <cellStyle name="Separador de milhares 3 4 3 4 2 2 2" xfId="28154"/>
    <cellStyle name="Separador de milhares 3 4 3 4 2 2 2 2" xfId="54384"/>
    <cellStyle name="Separador de milhares 3 4 3 4 2 2 3" xfId="22240"/>
    <cellStyle name="Separador de milhares 3 4 3 4 2 2 3 2" xfId="48476"/>
    <cellStyle name="Separador de milhares 3 4 3 4 2 2 4" xfId="16326"/>
    <cellStyle name="Separador de milhares 3 4 3 4 2 2 4 2" xfId="42568"/>
    <cellStyle name="Separador de milhares 3 4 3 4 2 2 5" xfId="36182"/>
    <cellStyle name="Separador de milhares 3 4 3 4 2 3" xfId="25197"/>
    <cellStyle name="Separador de milhares 3 4 3 4 2 3 2" xfId="51430"/>
    <cellStyle name="Separador de milhares 3 4 3 4 2 4" xfId="19283"/>
    <cellStyle name="Separador de milhares 3 4 3 4 2 4 2" xfId="45522"/>
    <cellStyle name="Separador de milhares 3 4 3 4 2 5" xfId="13182"/>
    <cellStyle name="Separador de milhares 3 4 3 4 2 5 2" xfId="39424"/>
    <cellStyle name="Separador de milhares 3 4 3 4 2 6" xfId="33038"/>
    <cellStyle name="Separador de milhares 3 4 3 4 3" xfId="8472"/>
    <cellStyle name="Separador de milhares 3 4 3 4 3 2" xfId="26686"/>
    <cellStyle name="Separador de milhares 3 4 3 4 3 2 2" xfId="52916"/>
    <cellStyle name="Separador de milhares 3 4 3 4 3 3" xfId="20772"/>
    <cellStyle name="Separador de milhares 3 4 3 4 3 3 2" xfId="47008"/>
    <cellStyle name="Separador de milhares 3 4 3 4 3 4" xfId="14858"/>
    <cellStyle name="Separador de milhares 3 4 3 4 3 4 2" xfId="41100"/>
    <cellStyle name="Separador de milhares 3 4 3 4 3 5" xfId="34714"/>
    <cellStyle name="Separador de milhares 3 4 3 4 4" xfId="5094"/>
    <cellStyle name="Separador de milhares 3 4 3 4 4 2" xfId="23729"/>
    <cellStyle name="Separador de milhares 3 4 3 4 4 2 2" xfId="49962"/>
    <cellStyle name="Separador de milhares 3 4 3 4 4 3" xfId="31339"/>
    <cellStyle name="Separador de milhares 3 4 3 4 5" xfId="17815"/>
    <cellStyle name="Separador de milhares 3 4 3 4 5 2" xfId="44054"/>
    <cellStyle name="Separador de milhares 3 4 3 4 6" xfId="11481"/>
    <cellStyle name="Separador de milhares 3 4 3 4 6 2" xfId="37723"/>
    <cellStyle name="Separador de milhares 3 4 3 4 7" xfId="29641"/>
    <cellStyle name="Separador de milhares 3 4 3 5" xfId="1627"/>
    <cellStyle name="Separador de milhares 3 4 3 5 2" xfId="6912"/>
    <cellStyle name="Separador de milhares 3 4 3 5 2 2" xfId="10059"/>
    <cellStyle name="Separador de milhares 3 4 3 5 2 2 2" xfId="28273"/>
    <cellStyle name="Separador de milhares 3 4 3 5 2 2 2 2" xfId="54503"/>
    <cellStyle name="Separador de milhares 3 4 3 5 2 2 3" xfId="22359"/>
    <cellStyle name="Separador de milhares 3 4 3 5 2 2 3 2" xfId="48595"/>
    <cellStyle name="Separador de milhares 3 4 3 5 2 2 4" xfId="16445"/>
    <cellStyle name="Separador de milhares 3 4 3 5 2 2 4 2" xfId="42687"/>
    <cellStyle name="Separador de milhares 3 4 3 5 2 2 5" xfId="36301"/>
    <cellStyle name="Separador de milhares 3 4 3 5 2 3" xfId="25316"/>
    <cellStyle name="Separador de milhares 3 4 3 5 2 3 2" xfId="51549"/>
    <cellStyle name="Separador de milhares 3 4 3 5 2 4" xfId="19402"/>
    <cellStyle name="Separador de milhares 3 4 3 5 2 4 2" xfId="45641"/>
    <cellStyle name="Separador de milhares 3 4 3 5 2 5" xfId="13301"/>
    <cellStyle name="Separador de milhares 3 4 3 5 2 5 2" xfId="39543"/>
    <cellStyle name="Separador de milhares 3 4 3 5 2 6" xfId="33157"/>
    <cellStyle name="Separador de milhares 3 4 3 5 3" xfId="8591"/>
    <cellStyle name="Separador de milhares 3 4 3 5 3 2" xfId="26805"/>
    <cellStyle name="Separador de milhares 3 4 3 5 3 2 2" xfId="53035"/>
    <cellStyle name="Separador de milhares 3 4 3 5 3 3" xfId="20891"/>
    <cellStyle name="Separador de milhares 3 4 3 5 3 3 2" xfId="47127"/>
    <cellStyle name="Separador de milhares 3 4 3 5 3 4" xfId="14977"/>
    <cellStyle name="Separador de milhares 3 4 3 5 3 4 2" xfId="41219"/>
    <cellStyle name="Separador de milhares 3 4 3 5 3 5" xfId="34833"/>
    <cellStyle name="Separador de milhares 3 4 3 5 4" xfId="5213"/>
    <cellStyle name="Separador de milhares 3 4 3 5 4 2" xfId="23848"/>
    <cellStyle name="Separador de milhares 3 4 3 5 4 2 2" xfId="50081"/>
    <cellStyle name="Separador de milhares 3 4 3 5 4 3" xfId="31458"/>
    <cellStyle name="Separador de milhares 3 4 3 5 5" xfId="17934"/>
    <cellStyle name="Separador de milhares 3 4 3 5 5 2" xfId="44173"/>
    <cellStyle name="Separador de milhares 3 4 3 5 6" xfId="11600"/>
    <cellStyle name="Separador de milhares 3 4 3 5 6 2" xfId="37842"/>
    <cellStyle name="Separador de milhares 3 4 3 5 7" xfId="29760"/>
    <cellStyle name="Separador de milhares 3 4 3 6" xfId="2157"/>
    <cellStyle name="Separador de milhares 3 4 3 6 2" xfId="7062"/>
    <cellStyle name="Separador de milhares 3 4 3 6 2 2" xfId="10206"/>
    <cellStyle name="Separador de milhares 3 4 3 6 2 2 2" xfId="28420"/>
    <cellStyle name="Separador de milhares 3 4 3 6 2 2 2 2" xfId="54650"/>
    <cellStyle name="Separador de milhares 3 4 3 6 2 2 3" xfId="22506"/>
    <cellStyle name="Separador de milhares 3 4 3 6 2 2 3 2" xfId="48742"/>
    <cellStyle name="Separador de milhares 3 4 3 6 2 2 4" xfId="16592"/>
    <cellStyle name="Separador de milhares 3 4 3 6 2 2 4 2" xfId="42834"/>
    <cellStyle name="Separador de milhares 3 4 3 6 2 2 5" xfId="36448"/>
    <cellStyle name="Separador de milhares 3 4 3 6 2 3" xfId="25463"/>
    <cellStyle name="Separador de milhares 3 4 3 6 2 3 2" xfId="51696"/>
    <cellStyle name="Separador de milhares 3 4 3 6 2 4" xfId="19549"/>
    <cellStyle name="Separador de milhares 3 4 3 6 2 4 2" xfId="45788"/>
    <cellStyle name="Separador de milhares 3 4 3 6 2 5" xfId="13451"/>
    <cellStyle name="Separador de milhares 3 4 3 6 2 5 2" xfId="39693"/>
    <cellStyle name="Separador de milhares 3 4 3 6 2 6" xfId="33307"/>
    <cellStyle name="Separador de milhares 3 4 3 6 3" xfId="8738"/>
    <cellStyle name="Separador de milhares 3 4 3 6 3 2" xfId="26952"/>
    <cellStyle name="Separador de milhares 3 4 3 6 3 2 2" xfId="53182"/>
    <cellStyle name="Separador de milhares 3 4 3 6 3 3" xfId="21038"/>
    <cellStyle name="Separador de milhares 3 4 3 6 3 3 2" xfId="47274"/>
    <cellStyle name="Separador de milhares 3 4 3 6 3 4" xfId="15124"/>
    <cellStyle name="Separador de milhares 3 4 3 6 3 4 2" xfId="41366"/>
    <cellStyle name="Separador de milhares 3 4 3 6 3 5" xfId="34980"/>
    <cellStyle name="Separador de milhares 3 4 3 6 4" xfId="5363"/>
    <cellStyle name="Separador de milhares 3 4 3 6 4 2" xfId="23995"/>
    <cellStyle name="Separador de milhares 3 4 3 6 4 2 2" xfId="50228"/>
    <cellStyle name="Separador de milhares 3 4 3 6 4 3" xfId="31608"/>
    <cellStyle name="Separador de milhares 3 4 3 6 5" xfId="18081"/>
    <cellStyle name="Separador de milhares 3 4 3 6 5 2" xfId="44320"/>
    <cellStyle name="Separador de milhares 3 4 3 6 6" xfId="11750"/>
    <cellStyle name="Separador de milhares 3 4 3 6 6 2" xfId="37992"/>
    <cellStyle name="Separador de milhares 3 4 3 6 7" xfId="29910"/>
    <cellStyle name="Separador de milhares 3 4 3 7" xfId="2684"/>
    <cellStyle name="Separador de milhares 3 4 3 7 2" xfId="7209"/>
    <cellStyle name="Separador de milhares 3 4 3 7 2 2" xfId="10353"/>
    <cellStyle name="Separador de milhares 3 4 3 7 2 2 2" xfId="28567"/>
    <cellStyle name="Separador de milhares 3 4 3 7 2 2 2 2" xfId="54797"/>
    <cellStyle name="Separador de milhares 3 4 3 7 2 2 3" xfId="22653"/>
    <cellStyle name="Separador de milhares 3 4 3 7 2 2 3 2" xfId="48889"/>
    <cellStyle name="Separador de milhares 3 4 3 7 2 2 4" xfId="16739"/>
    <cellStyle name="Separador de milhares 3 4 3 7 2 2 4 2" xfId="42981"/>
    <cellStyle name="Separador de milhares 3 4 3 7 2 2 5" xfId="36595"/>
    <cellStyle name="Separador de milhares 3 4 3 7 2 3" xfId="25610"/>
    <cellStyle name="Separador de milhares 3 4 3 7 2 3 2" xfId="51843"/>
    <cellStyle name="Separador de milhares 3 4 3 7 2 4" xfId="19696"/>
    <cellStyle name="Separador de milhares 3 4 3 7 2 4 2" xfId="45935"/>
    <cellStyle name="Separador de milhares 3 4 3 7 2 5" xfId="13598"/>
    <cellStyle name="Separador de milhares 3 4 3 7 2 5 2" xfId="39840"/>
    <cellStyle name="Separador de milhares 3 4 3 7 2 6" xfId="33454"/>
    <cellStyle name="Separador de milhares 3 4 3 7 3" xfId="8885"/>
    <cellStyle name="Separador de milhares 3 4 3 7 3 2" xfId="27099"/>
    <cellStyle name="Separador de milhares 3 4 3 7 3 2 2" xfId="53329"/>
    <cellStyle name="Separador de milhares 3 4 3 7 3 3" xfId="21185"/>
    <cellStyle name="Separador de milhares 3 4 3 7 3 3 2" xfId="47421"/>
    <cellStyle name="Separador de milhares 3 4 3 7 3 4" xfId="15271"/>
    <cellStyle name="Separador de milhares 3 4 3 7 3 4 2" xfId="41513"/>
    <cellStyle name="Separador de milhares 3 4 3 7 3 5" xfId="35127"/>
    <cellStyle name="Separador de milhares 3 4 3 7 4" xfId="5510"/>
    <cellStyle name="Separador de milhares 3 4 3 7 4 2" xfId="24142"/>
    <cellStyle name="Separador de milhares 3 4 3 7 4 2 2" xfId="50375"/>
    <cellStyle name="Separador de milhares 3 4 3 7 4 3" xfId="31755"/>
    <cellStyle name="Separador de milhares 3 4 3 7 5" xfId="18228"/>
    <cellStyle name="Separador de milhares 3 4 3 7 5 2" xfId="44467"/>
    <cellStyle name="Separador de milhares 3 4 3 7 6" xfId="11897"/>
    <cellStyle name="Separador de milhares 3 4 3 7 6 2" xfId="38139"/>
    <cellStyle name="Separador de milhares 3 4 3 7 7" xfId="30057"/>
    <cellStyle name="Separador de milhares 3 4 3 8" xfId="3211"/>
    <cellStyle name="Separador de milhares 3 4 3 8 2" xfId="7356"/>
    <cellStyle name="Separador de milhares 3 4 3 8 2 2" xfId="10500"/>
    <cellStyle name="Separador de milhares 3 4 3 8 2 2 2" xfId="28714"/>
    <cellStyle name="Separador de milhares 3 4 3 8 2 2 2 2" xfId="54944"/>
    <cellStyle name="Separador de milhares 3 4 3 8 2 2 3" xfId="22800"/>
    <cellStyle name="Separador de milhares 3 4 3 8 2 2 3 2" xfId="49036"/>
    <cellStyle name="Separador de milhares 3 4 3 8 2 2 4" xfId="16886"/>
    <cellStyle name="Separador de milhares 3 4 3 8 2 2 4 2" xfId="43128"/>
    <cellStyle name="Separador de milhares 3 4 3 8 2 2 5" xfId="36742"/>
    <cellStyle name="Separador de milhares 3 4 3 8 2 3" xfId="25757"/>
    <cellStyle name="Separador de milhares 3 4 3 8 2 3 2" xfId="51990"/>
    <cellStyle name="Separador de milhares 3 4 3 8 2 4" xfId="19843"/>
    <cellStyle name="Separador de milhares 3 4 3 8 2 4 2" xfId="46082"/>
    <cellStyle name="Separador de milhares 3 4 3 8 2 5" xfId="13745"/>
    <cellStyle name="Separador de milhares 3 4 3 8 2 5 2" xfId="39987"/>
    <cellStyle name="Separador de milhares 3 4 3 8 2 6" xfId="33601"/>
    <cellStyle name="Separador de milhares 3 4 3 8 3" xfId="9032"/>
    <cellStyle name="Separador de milhares 3 4 3 8 3 2" xfId="27246"/>
    <cellStyle name="Separador de milhares 3 4 3 8 3 2 2" xfId="53476"/>
    <cellStyle name="Separador de milhares 3 4 3 8 3 3" xfId="21332"/>
    <cellStyle name="Separador de milhares 3 4 3 8 3 3 2" xfId="47568"/>
    <cellStyle name="Separador de milhares 3 4 3 8 3 4" xfId="15418"/>
    <cellStyle name="Separador de milhares 3 4 3 8 3 4 2" xfId="41660"/>
    <cellStyle name="Separador de milhares 3 4 3 8 3 5" xfId="35274"/>
    <cellStyle name="Separador de milhares 3 4 3 8 4" xfId="5657"/>
    <cellStyle name="Separador de milhares 3 4 3 8 4 2" xfId="24289"/>
    <cellStyle name="Separador de milhares 3 4 3 8 4 2 2" xfId="50522"/>
    <cellStyle name="Separador de milhares 3 4 3 8 4 3" xfId="31902"/>
    <cellStyle name="Separador de milhares 3 4 3 8 5" xfId="18375"/>
    <cellStyle name="Separador de milhares 3 4 3 8 5 2" xfId="44614"/>
    <cellStyle name="Separador de milhares 3 4 3 8 6" xfId="12044"/>
    <cellStyle name="Separador de milhares 3 4 3 8 6 2" xfId="38286"/>
    <cellStyle name="Separador de milhares 3 4 3 8 7" xfId="30204"/>
    <cellStyle name="Separador de milhares 3 4 3 9" xfId="3738"/>
    <cellStyle name="Separador de milhares 3 4 3 9 2" xfId="7503"/>
    <cellStyle name="Separador de milhares 3 4 3 9 2 2" xfId="10647"/>
    <cellStyle name="Separador de milhares 3 4 3 9 2 2 2" xfId="28861"/>
    <cellStyle name="Separador de milhares 3 4 3 9 2 2 2 2" xfId="55091"/>
    <cellStyle name="Separador de milhares 3 4 3 9 2 2 3" xfId="22947"/>
    <cellStyle name="Separador de milhares 3 4 3 9 2 2 3 2" xfId="49183"/>
    <cellStyle name="Separador de milhares 3 4 3 9 2 2 4" xfId="17033"/>
    <cellStyle name="Separador de milhares 3 4 3 9 2 2 4 2" xfId="43275"/>
    <cellStyle name="Separador de milhares 3 4 3 9 2 2 5" xfId="36889"/>
    <cellStyle name="Separador de milhares 3 4 3 9 2 3" xfId="25904"/>
    <cellStyle name="Separador de milhares 3 4 3 9 2 3 2" xfId="52137"/>
    <cellStyle name="Separador de milhares 3 4 3 9 2 4" xfId="19990"/>
    <cellStyle name="Separador de milhares 3 4 3 9 2 4 2" xfId="46229"/>
    <cellStyle name="Separador de milhares 3 4 3 9 2 5" xfId="13892"/>
    <cellStyle name="Separador de milhares 3 4 3 9 2 5 2" xfId="40134"/>
    <cellStyle name="Separador de milhares 3 4 3 9 2 6" xfId="33748"/>
    <cellStyle name="Separador de milhares 3 4 3 9 3" xfId="9179"/>
    <cellStyle name="Separador de milhares 3 4 3 9 3 2" xfId="27393"/>
    <cellStyle name="Separador de milhares 3 4 3 9 3 2 2" xfId="53623"/>
    <cellStyle name="Separador de milhares 3 4 3 9 3 3" xfId="21479"/>
    <cellStyle name="Separador de milhares 3 4 3 9 3 3 2" xfId="47715"/>
    <cellStyle name="Separador de milhares 3 4 3 9 3 4" xfId="15565"/>
    <cellStyle name="Separador de milhares 3 4 3 9 3 4 2" xfId="41807"/>
    <cellStyle name="Separador de milhares 3 4 3 9 3 5" xfId="35421"/>
    <cellStyle name="Separador de milhares 3 4 3 9 4" xfId="5804"/>
    <cellStyle name="Separador de milhares 3 4 3 9 4 2" xfId="24436"/>
    <cellStyle name="Separador de milhares 3 4 3 9 4 2 2" xfId="50669"/>
    <cellStyle name="Separador de milhares 3 4 3 9 4 3" xfId="32049"/>
    <cellStyle name="Separador de milhares 3 4 3 9 5" xfId="18522"/>
    <cellStyle name="Separador de milhares 3 4 3 9 5 2" xfId="44761"/>
    <cellStyle name="Separador de milhares 3 4 3 9 6" xfId="12191"/>
    <cellStyle name="Separador de milhares 3 4 3 9 6 2" xfId="38433"/>
    <cellStyle name="Separador de milhares 3 4 3 9 7" xfId="30351"/>
    <cellStyle name="Separador de milhares 3 4 4" xfId="374"/>
    <cellStyle name="Separador de milhares 3 4 4 10" xfId="6550"/>
    <cellStyle name="Separador de milhares 3 4 4 10 2" xfId="9698"/>
    <cellStyle name="Separador de milhares 3 4 4 10 2 2" xfId="27912"/>
    <cellStyle name="Separador de milhares 3 4 4 10 2 2 2" xfId="54142"/>
    <cellStyle name="Separador de milhares 3 4 4 10 2 3" xfId="21998"/>
    <cellStyle name="Separador de milhares 3 4 4 10 2 3 2" xfId="48234"/>
    <cellStyle name="Separador de milhares 3 4 4 10 2 4" xfId="16084"/>
    <cellStyle name="Separador de milhares 3 4 4 10 2 4 2" xfId="42326"/>
    <cellStyle name="Separador de milhares 3 4 4 10 2 5" xfId="35940"/>
    <cellStyle name="Separador de milhares 3 4 4 10 3" xfId="24955"/>
    <cellStyle name="Separador de milhares 3 4 4 10 3 2" xfId="51188"/>
    <cellStyle name="Separador de milhares 3 4 4 10 4" xfId="19041"/>
    <cellStyle name="Separador de milhares 3 4 4 10 4 2" xfId="45280"/>
    <cellStyle name="Separador de milhares 3 4 4 10 5" xfId="12939"/>
    <cellStyle name="Separador de milhares 3 4 4 10 5 2" xfId="39181"/>
    <cellStyle name="Separador de milhares 3 4 4 10 6" xfId="32795"/>
    <cellStyle name="Separador de milhares 3 4 4 11" xfId="8227"/>
    <cellStyle name="Separador de milhares 3 4 4 11 2" xfId="26441"/>
    <cellStyle name="Separador de milhares 3 4 4 11 2 2" xfId="52674"/>
    <cellStyle name="Separador de milhares 3 4 4 11 3" xfId="20527"/>
    <cellStyle name="Separador de milhares 3 4 4 11 3 2" xfId="46766"/>
    <cellStyle name="Separador de milhares 3 4 4 11 4" xfId="14616"/>
    <cellStyle name="Separador de milhares 3 4 4 11 4 2" xfId="40858"/>
    <cellStyle name="Separador de milhares 3 4 4 11 5" xfId="34472"/>
    <cellStyle name="Separador de milhares 3 4 4 12" xfId="4849"/>
    <cellStyle name="Separador de milhares 3 4 4 12 2" xfId="23484"/>
    <cellStyle name="Separador de milhares 3 4 4 12 2 2" xfId="49720"/>
    <cellStyle name="Separador de milhares 3 4 4 12 3" xfId="31096"/>
    <cellStyle name="Separador de milhares 3 4 4 13" xfId="17570"/>
    <cellStyle name="Separador de milhares 3 4 4 13 2" xfId="43812"/>
    <cellStyle name="Separador de milhares 3 4 4 14" xfId="11238"/>
    <cellStyle name="Separador de milhares 3 4 4 14 2" xfId="37480"/>
    <cellStyle name="Separador de milhares 3 4 4 15" xfId="29398"/>
    <cellStyle name="Separador de milhares 3 4 4 2" xfId="1019"/>
    <cellStyle name="Separador de milhares 3 4 4 2 2" xfId="6747"/>
    <cellStyle name="Separador de milhares 3 4 4 2 2 2" xfId="9894"/>
    <cellStyle name="Separador de milhares 3 4 4 2 2 2 2" xfId="28108"/>
    <cellStyle name="Separador de milhares 3 4 4 2 2 2 2 2" xfId="54338"/>
    <cellStyle name="Separador de milhares 3 4 4 2 2 2 3" xfId="22194"/>
    <cellStyle name="Separador de milhares 3 4 4 2 2 2 3 2" xfId="48430"/>
    <cellStyle name="Separador de milhares 3 4 4 2 2 2 4" xfId="16280"/>
    <cellStyle name="Separador de milhares 3 4 4 2 2 2 4 2" xfId="42522"/>
    <cellStyle name="Separador de milhares 3 4 4 2 2 2 5" xfId="36136"/>
    <cellStyle name="Separador de milhares 3 4 4 2 2 3" xfId="25151"/>
    <cellStyle name="Separador de milhares 3 4 4 2 2 3 2" xfId="51384"/>
    <cellStyle name="Separador de milhares 3 4 4 2 2 4" xfId="19237"/>
    <cellStyle name="Separador de milhares 3 4 4 2 2 4 2" xfId="45476"/>
    <cellStyle name="Separador de milhares 3 4 4 2 2 5" xfId="13136"/>
    <cellStyle name="Separador de milhares 3 4 4 2 2 5 2" xfId="39378"/>
    <cellStyle name="Separador de milhares 3 4 4 2 2 6" xfId="32992"/>
    <cellStyle name="Separador de milhares 3 4 4 2 3" xfId="8426"/>
    <cellStyle name="Separador de milhares 3 4 4 2 3 2" xfId="26640"/>
    <cellStyle name="Separador de milhares 3 4 4 2 3 2 2" xfId="52870"/>
    <cellStyle name="Separador de milhares 3 4 4 2 3 3" xfId="20726"/>
    <cellStyle name="Separador de milhares 3 4 4 2 3 3 2" xfId="46962"/>
    <cellStyle name="Separador de milhares 3 4 4 2 3 4" xfId="14812"/>
    <cellStyle name="Separador de milhares 3 4 4 2 3 4 2" xfId="41054"/>
    <cellStyle name="Separador de milhares 3 4 4 2 3 5" xfId="34668"/>
    <cellStyle name="Separador de milhares 3 4 4 2 4" xfId="5048"/>
    <cellStyle name="Separador de milhares 3 4 4 2 4 2" xfId="23683"/>
    <cellStyle name="Separador de milhares 3 4 4 2 4 2 2" xfId="49916"/>
    <cellStyle name="Separador de milhares 3 4 4 2 4 3" xfId="31293"/>
    <cellStyle name="Separador de milhares 3 4 4 2 5" xfId="17769"/>
    <cellStyle name="Separador de milhares 3 4 4 2 5 2" xfId="44008"/>
    <cellStyle name="Separador de milhares 3 4 4 2 6" xfId="11435"/>
    <cellStyle name="Separador de milhares 3 4 4 2 6 2" xfId="37677"/>
    <cellStyle name="Separador de milhares 3 4 4 2 7" xfId="29595"/>
    <cellStyle name="Separador de milhares 3 4 4 3" xfId="1370"/>
    <cellStyle name="Separador de milhares 3 4 4 3 2" xfId="6845"/>
    <cellStyle name="Separador de milhares 3 4 4 3 2 2" xfId="9992"/>
    <cellStyle name="Separador de milhares 3 4 4 3 2 2 2" xfId="28206"/>
    <cellStyle name="Separador de milhares 3 4 4 3 2 2 2 2" xfId="54436"/>
    <cellStyle name="Separador de milhares 3 4 4 3 2 2 3" xfId="22292"/>
    <cellStyle name="Separador de milhares 3 4 4 3 2 2 3 2" xfId="48528"/>
    <cellStyle name="Separador de milhares 3 4 4 3 2 2 4" xfId="16378"/>
    <cellStyle name="Separador de milhares 3 4 4 3 2 2 4 2" xfId="42620"/>
    <cellStyle name="Separador de milhares 3 4 4 3 2 2 5" xfId="36234"/>
    <cellStyle name="Separador de milhares 3 4 4 3 2 3" xfId="25249"/>
    <cellStyle name="Separador de milhares 3 4 4 3 2 3 2" xfId="51482"/>
    <cellStyle name="Separador de milhares 3 4 4 3 2 4" xfId="19335"/>
    <cellStyle name="Separador de milhares 3 4 4 3 2 4 2" xfId="45574"/>
    <cellStyle name="Separador de milhares 3 4 4 3 2 5" xfId="13234"/>
    <cellStyle name="Separador de milhares 3 4 4 3 2 5 2" xfId="39476"/>
    <cellStyle name="Separador de milhares 3 4 4 3 2 6" xfId="33090"/>
    <cellStyle name="Separador de milhares 3 4 4 3 3" xfId="8524"/>
    <cellStyle name="Separador de milhares 3 4 4 3 3 2" xfId="26738"/>
    <cellStyle name="Separador de milhares 3 4 4 3 3 2 2" xfId="52968"/>
    <cellStyle name="Separador de milhares 3 4 4 3 3 3" xfId="20824"/>
    <cellStyle name="Separador de milhares 3 4 4 3 3 3 2" xfId="47060"/>
    <cellStyle name="Separador de milhares 3 4 4 3 3 4" xfId="14910"/>
    <cellStyle name="Separador de milhares 3 4 4 3 3 4 2" xfId="41152"/>
    <cellStyle name="Separador de milhares 3 4 4 3 3 5" xfId="34766"/>
    <cellStyle name="Separador de milhares 3 4 4 3 4" xfId="5146"/>
    <cellStyle name="Separador de milhares 3 4 4 3 4 2" xfId="23781"/>
    <cellStyle name="Separador de milhares 3 4 4 3 4 2 2" xfId="50014"/>
    <cellStyle name="Separador de milhares 3 4 4 3 4 3" xfId="31391"/>
    <cellStyle name="Separador de milhares 3 4 4 3 5" xfId="17867"/>
    <cellStyle name="Separador de milhares 3 4 4 3 5 2" xfId="44106"/>
    <cellStyle name="Separador de milhares 3 4 4 3 6" xfId="11533"/>
    <cellStyle name="Separador de milhares 3 4 4 3 6 2" xfId="37775"/>
    <cellStyle name="Separador de milhares 3 4 4 3 7" xfId="29693"/>
    <cellStyle name="Separador de milhares 3 4 4 4" xfId="1805"/>
    <cellStyle name="Separador de milhares 3 4 4 4 2" xfId="6964"/>
    <cellStyle name="Separador de milhares 3 4 4 4 2 2" xfId="10111"/>
    <cellStyle name="Separador de milhares 3 4 4 4 2 2 2" xfId="28325"/>
    <cellStyle name="Separador de milhares 3 4 4 4 2 2 2 2" xfId="54555"/>
    <cellStyle name="Separador de milhares 3 4 4 4 2 2 3" xfId="22411"/>
    <cellStyle name="Separador de milhares 3 4 4 4 2 2 3 2" xfId="48647"/>
    <cellStyle name="Separador de milhares 3 4 4 4 2 2 4" xfId="16497"/>
    <cellStyle name="Separador de milhares 3 4 4 4 2 2 4 2" xfId="42739"/>
    <cellStyle name="Separador de milhares 3 4 4 4 2 2 5" xfId="36353"/>
    <cellStyle name="Separador de milhares 3 4 4 4 2 3" xfId="25368"/>
    <cellStyle name="Separador de milhares 3 4 4 4 2 3 2" xfId="51601"/>
    <cellStyle name="Separador de milhares 3 4 4 4 2 4" xfId="19454"/>
    <cellStyle name="Separador de milhares 3 4 4 4 2 4 2" xfId="45693"/>
    <cellStyle name="Separador de milhares 3 4 4 4 2 5" xfId="13353"/>
    <cellStyle name="Separador de milhares 3 4 4 4 2 5 2" xfId="39595"/>
    <cellStyle name="Separador de milhares 3 4 4 4 2 6" xfId="33209"/>
    <cellStyle name="Separador de milhares 3 4 4 4 3" xfId="8643"/>
    <cellStyle name="Separador de milhares 3 4 4 4 3 2" xfId="26857"/>
    <cellStyle name="Separador de milhares 3 4 4 4 3 2 2" xfId="53087"/>
    <cellStyle name="Separador de milhares 3 4 4 4 3 3" xfId="20943"/>
    <cellStyle name="Separador de milhares 3 4 4 4 3 3 2" xfId="47179"/>
    <cellStyle name="Separador de milhares 3 4 4 4 3 4" xfId="15029"/>
    <cellStyle name="Separador de milhares 3 4 4 4 3 4 2" xfId="41271"/>
    <cellStyle name="Separador de milhares 3 4 4 4 3 5" xfId="34885"/>
    <cellStyle name="Separador de milhares 3 4 4 4 4" xfId="5265"/>
    <cellStyle name="Separador de milhares 3 4 4 4 4 2" xfId="23900"/>
    <cellStyle name="Separador de milhares 3 4 4 4 4 2 2" xfId="50133"/>
    <cellStyle name="Separador de milhares 3 4 4 4 4 3" xfId="31510"/>
    <cellStyle name="Separador de milhares 3 4 4 4 5" xfId="17986"/>
    <cellStyle name="Separador de milhares 3 4 4 4 5 2" xfId="44225"/>
    <cellStyle name="Separador de milhares 3 4 4 4 6" xfId="11652"/>
    <cellStyle name="Separador de milhares 3 4 4 4 6 2" xfId="37894"/>
    <cellStyle name="Separador de milhares 3 4 4 4 7" xfId="29812"/>
    <cellStyle name="Separador de milhares 3 4 4 5" xfId="2335"/>
    <cellStyle name="Separador de milhares 3 4 4 5 2" xfId="7114"/>
    <cellStyle name="Separador de milhares 3 4 4 5 2 2" xfId="10258"/>
    <cellStyle name="Separador de milhares 3 4 4 5 2 2 2" xfId="28472"/>
    <cellStyle name="Separador de milhares 3 4 4 5 2 2 2 2" xfId="54702"/>
    <cellStyle name="Separador de milhares 3 4 4 5 2 2 3" xfId="22558"/>
    <cellStyle name="Separador de milhares 3 4 4 5 2 2 3 2" xfId="48794"/>
    <cellStyle name="Separador de milhares 3 4 4 5 2 2 4" xfId="16644"/>
    <cellStyle name="Separador de milhares 3 4 4 5 2 2 4 2" xfId="42886"/>
    <cellStyle name="Separador de milhares 3 4 4 5 2 2 5" xfId="36500"/>
    <cellStyle name="Separador de milhares 3 4 4 5 2 3" xfId="25515"/>
    <cellStyle name="Separador de milhares 3 4 4 5 2 3 2" xfId="51748"/>
    <cellStyle name="Separador de milhares 3 4 4 5 2 4" xfId="19601"/>
    <cellStyle name="Separador de milhares 3 4 4 5 2 4 2" xfId="45840"/>
    <cellStyle name="Separador de milhares 3 4 4 5 2 5" xfId="13503"/>
    <cellStyle name="Separador de milhares 3 4 4 5 2 5 2" xfId="39745"/>
    <cellStyle name="Separador de milhares 3 4 4 5 2 6" xfId="33359"/>
    <cellStyle name="Separador de milhares 3 4 4 5 3" xfId="8790"/>
    <cellStyle name="Separador de milhares 3 4 4 5 3 2" xfId="27004"/>
    <cellStyle name="Separador de milhares 3 4 4 5 3 2 2" xfId="53234"/>
    <cellStyle name="Separador de milhares 3 4 4 5 3 3" xfId="21090"/>
    <cellStyle name="Separador de milhares 3 4 4 5 3 3 2" xfId="47326"/>
    <cellStyle name="Separador de milhares 3 4 4 5 3 4" xfId="15176"/>
    <cellStyle name="Separador de milhares 3 4 4 5 3 4 2" xfId="41418"/>
    <cellStyle name="Separador de milhares 3 4 4 5 3 5" xfId="35032"/>
    <cellStyle name="Separador de milhares 3 4 4 5 4" xfId="5415"/>
    <cellStyle name="Separador de milhares 3 4 4 5 4 2" xfId="24047"/>
    <cellStyle name="Separador de milhares 3 4 4 5 4 2 2" xfId="50280"/>
    <cellStyle name="Separador de milhares 3 4 4 5 4 3" xfId="31660"/>
    <cellStyle name="Separador de milhares 3 4 4 5 5" xfId="18133"/>
    <cellStyle name="Separador de milhares 3 4 4 5 5 2" xfId="44372"/>
    <cellStyle name="Separador de milhares 3 4 4 5 6" xfId="11802"/>
    <cellStyle name="Separador de milhares 3 4 4 5 6 2" xfId="38044"/>
    <cellStyle name="Separador de milhares 3 4 4 5 7" xfId="29962"/>
    <cellStyle name="Separador de milhares 3 4 4 6" xfId="2862"/>
    <cellStyle name="Separador de milhares 3 4 4 6 2" xfId="7261"/>
    <cellStyle name="Separador de milhares 3 4 4 6 2 2" xfId="10405"/>
    <cellStyle name="Separador de milhares 3 4 4 6 2 2 2" xfId="28619"/>
    <cellStyle name="Separador de milhares 3 4 4 6 2 2 2 2" xfId="54849"/>
    <cellStyle name="Separador de milhares 3 4 4 6 2 2 3" xfId="22705"/>
    <cellStyle name="Separador de milhares 3 4 4 6 2 2 3 2" xfId="48941"/>
    <cellStyle name="Separador de milhares 3 4 4 6 2 2 4" xfId="16791"/>
    <cellStyle name="Separador de milhares 3 4 4 6 2 2 4 2" xfId="43033"/>
    <cellStyle name="Separador de milhares 3 4 4 6 2 2 5" xfId="36647"/>
    <cellStyle name="Separador de milhares 3 4 4 6 2 3" xfId="25662"/>
    <cellStyle name="Separador de milhares 3 4 4 6 2 3 2" xfId="51895"/>
    <cellStyle name="Separador de milhares 3 4 4 6 2 4" xfId="19748"/>
    <cellStyle name="Separador de milhares 3 4 4 6 2 4 2" xfId="45987"/>
    <cellStyle name="Separador de milhares 3 4 4 6 2 5" xfId="13650"/>
    <cellStyle name="Separador de milhares 3 4 4 6 2 5 2" xfId="39892"/>
    <cellStyle name="Separador de milhares 3 4 4 6 2 6" xfId="33506"/>
    <cellStyle name="Separador de milhares 3 4 4 6 3" xfId="8937"/>
    <cellStyle name="Separador de milhares 3 4 4 6 3 2" xfId="27151"/>
    <cellStyle name="Separador de milhares 3 4 4 6 3 2 2" xfId="53381"/>
    <cellStyle name="Separador de milhares 3 4 4 6 3 3" xfId="21237"/>
    <cellStyle name="Separador de milhares 3 4 4 6 3 3 2" xfId="47473"/>
    <cellStyle name="Separador de milhares 3 4 4 6 3 4" xfId="15323"/>
    <cellStyle name="Separador de milhares 3 4 4 6 3 4 2" xfId="41565"/>
    <cellStyle name="Separador de milhares 3 4 4 6 3 5" xfId="35179"/>
    <cellStyle name="Separador de milhares 3 4 4 6 4" xfId="5562"/>
    <cellStyle name="Separador de milhares 3 4 4 6 4 2" xfId="24194"/>
    <cellStyle name="Separador de milhares 3 4 4 6 4 2 2" xfId="50427"/>
    <cellStyle name="Separador de milhares 3 4 4 6 4 3" xfId="31807"/>
    <cellStyle name="Separador de milhares 3 4 4 6 5" xfId="18280"/>
    <cellStyle name="Separador de milhares 3 4 4 6 5 2" xfId="44519"/>
    <cellStyle name="Separador de milhares 3 4 4 6 6" xfId="11949"/>
    <cellStyle name="Separador de milhares 3 4 4 6 6 2" xfId="38191"/>
    <cellStyle name="Separador de milhares 3 4 4 6 7" xfId="30109"/>
    <cellStyle name="Separador de milhares 3 4 4 7" xfId="3389"/>
    <cellStyle name="Separador de milhares 3 4 4 7 2" xfId="7408"/>
    <cellStyle name="Separador de milhares 3 4 4 7 2 2" xfId="10552"/>
    <cellStyle name="Separador de milhares 3 4 4 7 2 2 2" xfId="28766"/>
    <cellStyle name="Separador de milhares 3 4 4 7 2 2 2 2" xfId="54996"/>
    <cellStyle name="Separador de milhares 3 4 4 7 2 2 3" xfId="22852"/>
    <cellStyle name="Separador de milhares 3 4 4 7 2 2 3 2" xfId="49088"/>
    <cellStyle name="Separador de milhares 3 4 4 7 2 2 4" xfId="16938"/>
    <cellStyle name="Separador de milhares 3 4 4 7 2 2 4 2" xfId="43180"/>
    <cellStyle name="Separador de milhares 3 4 4 7 2 2 5" xfId="36794"/>
    <cellStyle name="Separador de milhares 3 4 4 7 2 3" xfId="25809"/>
    <cellStyle name="Separador de milhares 3 4 4 7 2 3 2" xfId="52042"/>
    <cellStyle name="Separador de milhares 3 4 4 7 2 4" xfId="19895"/>
    <cellStyle name="Separador de milhares 3 4 4 7 2 4 2" xfId="46134"/>
    <cellStyle name="Separador de milhares 3 4 4 7 2 5" xfId="13797"/>
    <cellStyle name="Separador de milhares 3 4 4 7 2 5 2" xfId="40039"/>
    <cellStyle name="Separador de milhares 3 4 4 7 2 6" xfId="33653"/>
    <cellStyle name="Separador de milhares 3 4 4 7 3" xfId="9084"/>
    <cellStyle name="Separador de milhares 3 4 4 7 3 2" xfId="27298"/>
    <cellStyle name="Separador de milhares 3 4 4 7 3 2 2" xfId="53528"/>
    <cellStyle name="Separador de milhares 3 4 4 7 3 3" xfId="21384"/>
    <cellStyle name="Separador de milhares 3 4 4 7 3 3 2" xfId="47620"/>
    <cellStyle name="Separador de milhares 3 4 4 7 3 4" xfId="15470"/>
    <cellStyle name="Separador de milhares 3 4 4 7 3 4 2" xfId="41712"/>
    <cellStyle name="Separador de milhares 3 4 4 7 3 5" xfId="35326"/>
    <cellStyle name="Separador de milhares 3 4 4 7 4" xfId="5709"/>
    <cellStyle name="Separador de milhares 3 4 4 7 4 2" xfId="24341"/>
    <cellStyle name="Separador de milhares 3 4 4 7 4 2 2" xfId="50574"/>
    <cellStyle name="Separador de milhares 3 4 4 7 4 3" xfId="31954"/>
    <cellStyle name="Separador de milhares 3 4 4 7 5" xfId="18427"/>
    <cellStyle name="Separador de milhares 3 4 4 7 5 2" xfId="44666"/>
    <cellStyle name="Separador de milhares 3 4 4 7 6" xfId="12096"/>
    <cellStyle name="Separador de milhares 3 4 4 7 6 2" xfId="38338"/>
    <cellStyle name="Separador de milhares 3 4 4 7 7" xfId="30256"/>
    <cellStyle name="Separador de milhares 3 4 4 8" xfId="3916"/>
    <cellStyle name="Separador de milhares 3 4 4 8 2" xfId="7555"/>
    <cellStyle name="Separador de milhares 3 4 4 8 2 2" xfId="10699"/>
    <cellStyle name="Separador de milhares 3 4 4 8 2 2 2" xfId="28913"/>
    <cellStyle name="Separador de milhares 3 4 4 8 2 2 2 2" xfId="55143"/>
    <cellStyle name="Separador de milhares 3 4 4 8 2 2 3" xfId="22999"/>
    <cellStyle name="Separador de milhares 3 4 4 8 2 2 3 2" xfId="49235"/>
    <cellStyle name="Separador de milhares 3 4 4 8 2 2 4" xfId="17085"/>
    <cellStyle name="Separador de milhares 3 4 4 8 2 2 4 2" xfId="43327"/>
    <cellStyle name="Separador de milhares 3 4 4 8 2 2 5" xfId="36941"/>
    <cellStyle name="Separador de milhares 3 4 4 8 2 3" xfId="25956"/>
    <cellStyle name="Separador de milhares 3 4 4 8 2 3 2" xfId="52189"/>
    <cellStyle name="Separador de milhares 3 4 4 8 2 4" xfId="20042"/>
    <cellStyle name="Separador de milhares 3 4 4 8 2 4 2" xfId="46281"/>
    <cellStyle name="Separador de milhares 3 4 4 8 2 5" xfId="13944"/>
    <cellStyle name="Separador de milhares 3 4 4 8 2 5 2" xfId="40186"/>
    <cellStyle name="Separador de milhares 3 4 4 8 2 6" xfId="33800"/>
    <cellStyle name="Separador de milhares 3 4 4 8 3" xfId="9231"/>
    <cellStyle name="Separador de milhares 3 4 4 8 3 2" xfId="27445"/>
    <cellStyle name="Separador de milhares 3 4 4 8 3 2 2" xfId="53675"/>
    <cellStyle name="Separador de milhares 3 4 4 8 3 3" xfId="21531"/>
    <cellStyle name="Separador de milhares 3 4 4 8 3 3 2" xfId="47767"/>
    <cellStyle name="Separador de milhares 3 4 4 8 3 4" xfId="15617"/>
    <cellStyle name="Separador de milhares 3 4 4 8 3 4 2" xfId="41859"/>
    <cellStyle name="Separador de milhares 3 4 4 8 3 5" xfId="35473"/>
    <cellStyle name="Separador de milhares 3 4 4 8 4" xfId="5856"/>
    <cellStyle name="Separador de milhares 3 4 4 8 4 2" xfId="24488"/>
    <cellStyle name="Separador de milhares 3 4 4 8 4 2 2" xfId="50721"/>
    <cellStyle name="Separador de milhares 3 4 4 8 4 3" xfId="32101"/>
    <cellStyle name="Separador de milhares 3 4 4 8 5" xfId="18574"/>
    <cellStyle name="Separador de milhares 3 4 4 8 5 2" xfId="44813"/>
    <cellStyle name="Separador de milhares 3 4 4 8 6" xfId="12243"/>
    <cellStyle name="Separador de milhares 3 4 4 8 6 2" xfId="38485"/>
    <cellStyle name="Separador de milhares 3 4 4 8 7" xfId="30403"/>
    <cellStyle name="Separador de milhares 3 4 4 9" xfId="714"/>
    <cellStyle name="Separador de milhares 3 4 4 9 2" xfId="6649"/>
    <cellStyle name="Separador de milhares 3 4 4 9 2 2" xfId="9796"/>
    <cellStyle name="Separador de milhares 3 4 4 9 2 2 2" xfId="28010"/>
    <cellStyle name="Separador de milhares 3 4 4 9 2 2 2 2" xfId="54240"/>
    <cellStyle name="Separador de milhares 3 4 4 9 2 2 3" xfId="22096"/>
    <cellStyle name="Separador de milhares 3 4 4 9 2 2 3 2" xfId="48332"/>
    <cellStyle name="Separador de milhares 3 4 4 9 2 2 4" xfId="16182"/>
    <cellStyle name="Separador de milhares 3 4 4 9 2 2 4 2" xfId="42424"/>
    <cellStyle name="Separador de milhares 3 4 4 9 2 2 5" xfId="36038"/>
    <cellStyle name="Separador de milhares 3 4 4 9 2 3" xfId="25053"/>
    <cellStyle name="Separador de milhares 3 4 4 9 2 3 2" xfId="51286"/>
    <cellStyle name="Separador de milhares 3 4 4 9 2 4" xfId="19139"/>
    <cellStyle name="Separador de milhares 3 4 4 9 2 4 2" xfId="45378"/>
    <cellStyle name="Separador de milhares 3 4 4 9 2 5" xfId="13038"/>
    <cellStyle name="Separador de milhares 3 4 4 9 2 5 2" xfId="39280"/>
    <cellStyle name="Separador de milhares 3 4 4 9 2 6" xfId="32894"/>
    <cellStyle name="Separador de milhares 3 4 4 9 3" xfId="8328"/>
    <cellStyle name="Separador de milhares 3 4 4 9 3 2" xfId="26542"/>
    <cellStyle name="Separador de milhares 3 4 4 9 3 2 2" xfId="52772"/>
    <cellStyle name="Separador de milhares 3 4 4 9 3 3" xfId="20628"/>
    <cellStyle name="Separador de milhares 3 4 4 9 3 3 2" xfId="46864"/>
    <cellStyle name="Separador de milhares 3 4 4 9 3 4" xfId="14714"/>
    <cellStyle name="Separador de milhares 3 4 4 9 3 4 2" xfId="40956"/>
    <cellStyle name="Separador de milhares 3 4 4 9 3 5" xfId="34570"/>
    <cellStyle name="Separador de milhares 3 4 4 9 4" xfId="4950"/>
    <cellStyle name="Separador de milhares 3 4 4 9 4 2" xfId="23585"/>
    <cellStyle name="Separador de milhares 3 4 4 9 4 2 2" xfId="49818"/>
    <cellStyle name="Separador de milhares 3 4 4 9 4 3" xfId="31195"/>
    <cellStyle name="Separador de milhares 3 4 4 9 5" xfId="17671"/>
    <cellStyle name="Separador de milhares 3 4 4 9 5 2" xfId="43910"/>
    <cellStyle name="Separador de milhares 3 4 4 9 6" xfId="11337"/>
    <cellStyle name="Separador de milhares 3 4 4 9 6 2" xfId="37579"/>
    <cellStyle name="Separador de milhares 3 4 4 9 7" xfId="29497"/>
    <cellStyle name="Separador de milhares 3 4 5" xfId="631"/>
    <cellStyle name="Separador de milhares 3 4 5 10" xfId="4914"/>
    <cellStyle name="Separador de milhares 3 4 5 10 2" xfId="23548"/>
    <cellStyle name="Separador de milhares 3 4 5 10 2 2" xfId="49784"/>
    <cellStyle name="Separador de milhares 3 4 5 10 3" xfId="31161"/>
    <cellStyle name="Separador de milhares 3 4 5 11" xfId="17634"/>
    <cellStyle name="Separador de milhares 3 4 5 11 2" xfId="43876"/>
    <cellStyle name="Separador de milhares 3 4 5 12" xfId="11303"/>
    <cellStyle name="Separador de milhares 3 4 5 12 2" xfId="37545"/>
    <cellStyle name="Separador de milhares 3 4 5 13" xfId="29463"/>
    <cellStyle name="Separador de milhares 3 4 5 2" xfId="1454"/>
    <cellStyle name="Separador de milhares 3 4 5 2 2" xfId="6866"/>
    <cellStyle name="Separador de milhares 3 4 5 2 2 2" xfId="10013"/>
    <cellStyle name="Separador de milhares 3 4 5 2 2 2 2" xfId="28227"/>
    <cellStyle name="Separador de milhares 3 4 5 2 2 2 2 2" xfId="54457"/>
    <cellStyle name="Separador de milhares 3 4 5 2 2 2 3" xfId="22313"/>
    <cellStyle name="Separador de milhares 3 4 5 2 2 2 3 2" xfId="48549"/>
    <cellStyle name="Separador de milhares 3 4 5 2 2 2 4" xfId="16399"/>
    <cellStyle name="Separador de milhares 3 4 5 2 2 2 4 2" xfId="42641"/>
    <cellStyle name="Separador de milhares 3 4 5 2 2 2 5" xfId="36255"/>
    <cellStyle name="Separador de milhares 3 4 5 2 2 3" xfId="25270"/>
    <cellStyle name="Separador de milhares 3 4 5 2 2 3 2" xfId="51503"/>
    <cellStyle name="Separador de milhares 3 4 5 2 2 4" xfId="19356"/>
    <cellStyle name="Separador de milhares 3 4 5 2 2 4 2" xfId="45595"/>
    <cellStyle name="Separador de milhares 3 4 5 2 2 5" xfId="13255"/>
    <cellStyle name="Separador de milhares 3 4 5 2 2 5 2" xfId="39497"/>
    <cellStyle name="Separador de milhares 3 4 5 2 2 6" xfId="33111"/>
    <cellStyle name="Separador de milhares 3 4 5 2 3" xfId="8545"/>
    <cellStyle name="Separador de milhares 3 4 5 2 3 2" xfId="26759"/>
    <cellStyle name="Separador de milhares 3 4 5 2 3 2 2" xfId="52989"/>
    <cellStyle name="Separador de milhares 3 4 5 2 3 3" xfId="20845"/>
    <cellStyle name="Separador de milhares 3 4 5 2 3 3 2" xfId="47081"/>
    <cellStyle name="Separador de milhares 3 4 5 2 3 4" xfId="14931"/>
    <cellStyle name="Separador de milhares 3 4 5 2 3 4 2" xfId="41173"/>
    <cellStyle name="Separador de milhares 3 4 5 2 3 5" xfId="34787"/>
    <cellStyle name="Separador de milhares 3 4 5 2 4" xfId="5167"/>
    <cellStyle name="Separador de milhares 3 4 5 2 4 2" xfId="23802"/>
    <cellStyle name="Separador de milhares 3 4 5 2 4 2 2" xfId="50035"/>
    <cellStyle name="Separador de milhares 3 4 5 2 4 3" xfId="31412"/>
    <cellStyle name="Separador de milhares 3 4 5 2 5" xfId="17888"/>
    <cellStyle name="Separador de milhares 3 4 5 2 5 2" xfId="44127"/>
    <cellStyle name="Separador de milhares 3 4 5 2 6" xfId="11554"/>
    <cellStyle name="Separador de milhares 3 4 5 2 6 2" xfId="37796"/>
    <cellStyle name="Separador de milhares 3 4 5 2 7" xfId="29714"/>
    <cellStyle name="Separador de milhares 3 4 5 3" xfId="1889"/>
    <cellStyle name="Separador de milhares 3 4 5 3 2" xfId="6985"/>
    <cellStyle name="Separador de milhares 3 4 5 3 2 2" xfId="10132"/>
    <cellStyle name="Separador de milhares 3 4 5 3 2 2 2" xfId="28346"/>
    <cellStyle name="Separador de milhares 3 4 5 3 2 2 2 2" xfId="54576"/>
    <cellStyle name="Separador de milhares 3 4 5 3 2 2 3" xfId="22432"/>
    <cellStyle name="Separador de milhares 3 4 5 3 2 2 3 2" xfId="48668"/>
    <cellStyle name="Separador de milhares 3 4 5 3 2 2 4" xfId="16518"/>
    <cellStyle name="Separador de milhares 3 4 5 3 2 2 4 2" xfId="42760"/>
    <cellStyle name="Separador de milhares 3 4 5 3 2 2 5" xfId="36374"/>
    <cellStyle name="Separador de milhares 3 4 5 3 2 3" xfId="25389"/>
    <cellStyle name="Separador de milhares 3 4 5 3 2 3 2" xfId="51622"/>
    <cellStyle name="Separador de milhares 3 4 5 3 2 4" xfId="19475"/>
    <cellStyle name="Separador de milhares 3 4 5 3 2 4 2" xfId="45714"/>
    <cellStyle name="Separador de milhares 3 4 5 3 2 5" xfId="13374"/>
    <cellStyle name="Separador de milhares 3 4 5 3 2 5 2" xfId="39616"/>
    <cellStyle name="Separador de milhares 3 4 5 3 2 6" xfId="33230"/>
    <cellStyle name="Separador de milhares 3 4 5 3 3" xfId="8664"/>
    <cellStyle name="Separador de milhares 3 4 5 3 3 2" xfId="26878"/>
    <cellStyle name="Separador de milhares 3 4 5 3 3 2 2" xfId="53108"/>
    <cellStyle name="Separador de milhares 3 4 5 3 3 3" xfId="20964"/>
    <cellStyle name="Separador de milhares 3 4 5 3 3 3 2" xfId="47200"/>
    <cellStyle name="Separador de milhares 3 4 5 3 3 4" xfId="15050"/>
    <cellStyle name="Separador de milhares 3 4 5 3 3 4 2" xfId="41292"/>
    <cellStyle name="Separador de milhares 3 4 5 3 3 5" xfId="34906"/>
    <cellStyle name="Separador de milhares 3 4 5 3 4" xfId="5286"/>
    <cellStyle name="Separador de milhares 3 4 5 3 4 2" xfId="23921"/>
    <cellStyle name="Separador de milhares 3 4 5 3 4 2 2" xfId="50154"/>
    <cellStyle name="Separador de milhares 3 4 5 3 4 3" xfId="31531"/>
    <cellStyle name="Separador de milhares 3 4 5 3 5" xfId="18007"/>
    <cellStyle name="Separador de milhares 3 4 5 3 5 2" xfId="44246"/>
    <cellStyle name="Separador de milhares 3 4 5 3 6" xfId="11673"/>
    <cellStyle name="Separador de milhares 3 4 5 3 6 2" xfId="37915"/>
    <cellStyle name="Separador de milhares 3 4 5 3 7" xfId="29833"/>
    <cellStyle name="Separador de milhares 3 4 5 4" xfId="2419"/>
    <cellStyle name="Separador de milhares 3 4 5 4 2" xfId="7135"/>
    <cellStyle name="Separador de milhares 3 4 5 4 2 2" xfId="10279"/>
    <cellStyle name="Separador de milhares 3 4 5 4 2 2 2" xfId="28493"/>
    <cellStyle name="Separador de milhares 3 4 5 4 2 2 2 2" xfId="54723"/>
    <cellStyle name="Separador de milhares 3 4 5 4 2 2 3" xfId="22579"/>
    <cellStyle name="Separador de milhares 3 4 5 4 2 2 3 2" xfId="48815"/>
    <cellStyle name="Separador de milhares 3 4 5 4 2 2 4" xfId="16665"/>
    <cellStyle name="Separador de milhares 3 4 5 4 2 2 4 2" xfId="42907"/>
    <cellStyle name="Separador de milhares 3 4 5 4 2 2 5" xfId="36521"/>
    <cellStyle name="Separador de milhares 3 4 5 4 2 3" xfId="25536"/>
    <cellStyle name="Separador de milhares 3 4 5 4 2 3 2" xfId="51769"/>
    <cellStyle name="Separador de milhares 3 4 5 4 2 4" xfId="19622"/>
    <cellStyle name="Separador de milhares 3 4 5 4 2 4 2" xfId="45861"/>
    <cellStyle name="Separador de milhares 3 4 5 4 2 5" xfId="13524"/>
    <cellStyle name="Separador de milhares 3 4 5 4 2 5 2" xfId="39766"/>
    <cellStyle name="Separador de milhares 3 4 5 4 2 6" xfId="33380"/>
    <cellStyle name="Separador de milhares 3 4 5 4 3" xfId="8811"/>
    <cellStyle name="Separador de milhares 3 4 5 4 3 2" xfId="27025"/>
    <cellStyle name="Separador de milhares 3 4 5 4 3 2 2" xfId="53255"/>
    <cellStyle name="Separador de milhares 3 4 5 4 3 3" xfId="21111"/>
    <cellStyle name="Separador de milhares 3 4 5 4 3 3 2" xfId="47347"/>
    <cellStyle name="Separador de milhares 3 4 5 4 3 4" xfId="15197"/>
    <cellStyle name="Separador de milhares 3 4 5 4 3 4 2" xfId="41439"/>
    <cellStyle name="Separador de milhares 3 4 5 4 3 5" xfId="35053"/>
    <cellStyle name="Separador de milhares 3 4 5 4 4" xfId="5436"/>
    <cellStyle name="Separador de milhares 3 4 5 4 4 2" xfId="24068"/>
    <cellStyle name="Separador de milhares 3 4 5 4 4 2 2" xfId="50301"/>
    <cellStyle name="Separador de milhares 3 4 5 4 4 3" xfId="31681"/>
    <cellStyle name="Separador de milhares 3 4 5 4 5" xfId="18154"/>
    <cellStyle name="Separador de milhares 3 4 5 4 5 2" xfId="44393"/>
    <cellStyle name="Separador de milhares 3 4 5 4 6" xfId="11823"/>
    <cellStyle name="Separador de milhares 3 4 5 4 6 2" xfId="38065"/>
    <cellStyle name="Separador de milhares 3 4 5 4 7" xfId="29983"/>
    <cellStyle name="Separador de milhares 3 4 5 5" xfId="2946"/>
    <cellStyle name="Separador de milhares 3 4 5 5 2" xfId="7282"/>
    <cellStyle name="Separador de milhares 3 4 5 5 2 2" xfId="10426"/>
    <cellStyle name="Separador de milhares 3 4 5 5 2 2 2" xfId="28640"/>
    <cellStyle name="Separador de milhares 3 4 5 5 2 2 2 2" xfId="54870"/>
    <cellStyle name="Separador de milhares 3 4 5 5 2 2 3" xfId="22726"/>
    <cellStyle name="Separador de milhares 3 4 5 5 2 2 3 2" xfId="48962"/>
    <cellStyle name="Separador de milhares 3 4 5 5 2 2 4" xfId="16812"/>
    <cellStyle name="Separador de milhares 3 4 5 5 2 2 4 2" xfId="43054"/>
    <cellStyle name="Separador de milhares 3 4 5 5 2 2 5" xfId="36668"/>
    <cellStyle name="Separador de milhares 3 4 5 5 2 3" xfId="25683"/>
    <cellStyle name="Separador de milhares 3 4 5 5 2 3 2" xfId="51916"/>
    <cellStyle name="Separador de milhares 3 4 5 5 2 4" xfId="19769"/>
    <cellStyle name="Separador de milhares 3 4 5 5 2 4 2" xfId="46008"/>
    <cellStyle name="Separador de milhares 3 4 5 5 2 5" xfId="13671"/>
    <cellStyle name="Separador de milhares 3 4 5 5 2 5 2" xfId="39913"/>
    <cellStyle name="Separador de milhares 3 4 5 5 2 6" xfId="33527"/>
    <cellStyle name="Separador de milhares 3 4 5 5 3" xfId="8958"/>
    <cellStyle name="Separador de milhares 3 4 5 5 3 2" xfId="27172"/>
    <cellStyle name="Separador de milhares 3 4 5 5 3 2 2" xfId="53402"/>
    <cellStyle name="Separador de milhares 3 4 5 5 3 3" xfId="21258"/>
    <cellStyle name="Separador de milhares 3 4 5 5 3 3 2" xfId="47494"/>
    <cellStyle name="Separador de milhares 3 4 5 5 3 4" xfId="15344"/>
    <cellStyle name="Separador de milhares 3 4 5 5 3 4 2" xfId="41586"/>
    <cellStyle name="Separador de milhares 3 4 5 5 3 5" xfId="35200"/>
    <cellStyle name="Separador de milhares 3 4 5 5 4" xfId="5583"/>
    <cellStyle name="Separador de milhares 3 4 5 5 4 2" xfId="24215"/>
    <cellStyle name="Separador de milhares 3 4 5 5 4 2 2" xfId="50448"/>
    <cellStyle name="Separador de milhares 3 4 5 5 4 3" xfId="31828"/>
    <cellStyle name="Separador de milhares 3 4 5 5 5" xfId="18301"/>
    <cellStyle name="Separador de milhares 3 4 5 5 5 2" xfId="44540"/>
    <cellStyle name="Separador de milhares 3 4 5 5 6" xfId="11970"/>
    <cellStyle name="Separador de milhares 3 4 5 5 6 2" xfId="38212"/>
    <cellStyle name="Separador de milhares 3 4 5 5 7" xfId="30130"/>
    <cellStyle name="Separador de milhares 3 4 5 6" xfId="3473"/>
    <cellStyle name="Separador de milhares 3 4 5 6 2" xfId="7429"/>
    <cellStyle name="Separador de milhares 3 4 5 6 2 2" xfId="10573"/>
    <cellStyle name="Separador de milhares 3 4 5 6 2 2 2" xfId="28787"/>
    <cellStyle name="Separador de milhares 3 4 5 6 2 2 2 2" xfId="55017"/>
    <cellStyle name="Separador de milhares 3 4 5 6 2 2 3" xfId="22873"/>
    <cellStyle name="Separador de milhares 3 4 5 6 2 2 3 2" xfId="49109"/>
    <cellStyle name="Separador de milhares 3 4 5 6 2 2 4" xfId="16959"/>
    <cellStyle name="Separador de milhares 3 4 5 6 2 2 4 2" xfId="43201"/>
    <cellStyle name="Separador de milhares 3 4 5 6 2 2 5" xfId="36815"/>
    <cellStyle name="Separador de milhares 3 4 5 6 2 3" xfId="25830"/>
    <cellStyle name="Separador de milhares 3 4 5 6 2 3 2" xfId="52063"/>
    <cellStyle name="Separador de milhares 3 4 5 6 2 4" xfId="19916"/>
    <cellStyle name="Separador de milhares 3 4 5 6 2 4 2" xfId="46155"/>
    <cellStyle name="Separador de milhares 3 4 5 6 2 5" xfId="13818"/>
    <cellStyle name="Separador de milhares 3 4 5 6 2 5 2" xfId="40060"/>
    <cellStyle name="Separador de milhares 3 4 5 6 2 6" xfId="33674"/>
    <cellStyle name="Separador de milhares 3 4 5 6 3" xfId="9105"/>
    <cellStyle name="Separador de milhares 3 4 5 6 3 2" xfId="27319"/>
    <cellStyle name="Separador de milhares 3 4 5 6 3 2 2" xfId="53549"/>
    <cellStyle name="Separador de milhares 3 4 5 6 3 3" xfId="21405"/>
    <cellStyle name="Separador de milhares 3 4 5 6 3 3 2" xfId="47641"/>
    <cellStyle name="Separador de milhares 3 4 5 6 3 4" xfId="15491"/>
    <cellStyle name="Separador de milhares 3 4 5 6 3 4 2" xfId="41733"/>
    <cellStyle name="Separador de milhares 3 4 5 6 3 5" xfId="35347"/>
    <cellStyle name="Separador de milhares 3 4 5 6 4" xfId="5730"/>
    <cellStyle name="Separador de milhares 3 4 5 6 4 2" xfId="24362"/>
    <cellStyle name="Separador de milhares 3 4 5 6 4 2 2" xfId="50595"/>
    <cellStyle name="Separador de milhares 3 4 5 6 4 3" xfId="31975"/>
    <cellStyle name="Separador de milhares 3 4 5 6 5" xfId="18448"/>
    <cellStyle name="Separador de milhares 3 4 5 6 5 2" xfId="44687"/>
    <cellStyle name="Separador de milhares 3 4 5 6 6" xfId="12117"/>
    <cellStyle name="Separador de milhares 3 4 5 6 6 2" xfId="38359"/>
    <cellStyle name="Separador de milhares 3 4 5 6 7" xfId="30277"/>
    <cellStyle name="Separador de milhares 3 4 5 7" xfId="4000"/>
    <cellStyle name="Separador de milhares 3 4 5 7 2" xfId="7576"/>
    <cellStyle name="Separador de milhares 3 4 5 7 2 2" xfId="10720"/>
    <cellStyle name="Separador de milhares 3 4 5 7 2 2 2" xfId="28934"/>
    <cellStyle name="Separador de milhares 3 4 5 7 2 2 2 2" xfId="55164"/>
    <cellStyle name="Separador de milhares 3 4 5 7 2 2 3" xfId="23020"/>
    <cellStyle name="Separador de milhares 3 4 5 7 2 2 3 2" xfId="49256"/>
    <cellStyle name="Separador de milhares 3 4 5 7 2 2 4" xfId="17106"/>
    <cellStyle name="Separador de milhares 3 4 5 7 2 2 4 2" xfId="43348"/>
    <cellStyle name="Separador de milhares 3 4 5 7 2 2 5" xfId="36962"/>
    <cellStyle name="Separador de milhares 3 4 5 7 2 3" xfId="25977"/>
    <cellStyle name="Separador de milhares 3 4 5 7 2 3 2" xfId="52210"/>
    <cellStyle name="Separador de milhares 3 4 5 7 2 4" xfId="20063"/>
    <cellStyle name="Separador de milhares 3 4 5 7 2 4 2" xfId="46302"/>
    <cellStyle name="Separador de milhares 3 4 5 7 2 5" xfId="13965"/>
    <cellStyle name="Separador de milhares 3 4 5 7 2 5 2" xfId="40207"/>
    <cellStyle name="Separador de milhares 3 4 5 7 2 6" xfId="33821"/>
    <cellStyle name="Separador de milhares 3 4 5 7 3" xfId="9252"/>
    <cellStyle name="Separador de milhares 3 4 5 7 3 2" xfId="27466"/>
    <cellStyle name="Separador de milhares 3 4 5 7 3 2 2" xfId="53696"/>
    <cellStyle name="Separador de milhares 3 4 5 7 3 3" xfId="21552"/>
    <cellStyle name="Separador de milhares 3 4 5 7 3 3 2" xfId="47788"/>
    <cellStyle name="Separador de milhares 3 4 5 7 3 4" xfId="15638"/>
    <cellStyle name="Separador de milhares 3 4 5 7 3 4 2" xfId="41880"/>
    <cellStyle name="Separador de milhares 3 4 5 7 3 5" xfId="35494"/>
    <cellStyle name="Separador de milhares 3 4 5 7 4" xfId="5877"/>
    <cellStyle name="Separador de milhares 3 4 5 7 4 2" xfId="24509"/>
    <cellStyle name="Separador de milhares 3 4 5 7 4 2 2" xfId="50742"/>
    <cellStyle name="Separador de milhares 3 4 5 7 4 3" xfId="32122"/>
    <cellStyle name="Separador de milhares 3 4 5 7 5" xfId="18595"/>
    <cellStyle name="Separador de milhares 3 4 5 7 5 2" xfId="44834"/>
    <cellStyle name="Separador de milhares 3 4 5 7 6" xfId="12264"/>
    <cellStyle name="Separador de milhares 3 4 5 7 6 2" xfId="38506"/>
    <cellStyle name="Separador de milhares 3 4 5 7 7" xfId="30424"/>
    <cellStyle name="Separador de milhares 3 4 5 8" xfId="6615"/>
    <cellStyle name="Separador de milhares 3 4 5 8 2" xfId="9762"/>
    <cellStyle name="Separador de milhares 3 4 5 8 2 2" xfId="27976"/>
    <cellStyle name="Separador de milhares 3 4 5 8 2 2 2" xfId="54206"/>
    <cellStyle name="Separador de milhares 3 4 5 8 2 3" xfId="22062"/>
    <cellStyle name="Separador de milhares 3 4 5 8 2 3 2" xfId="48298"/>
    <cellStyle name="Separador de milhares 3 4 5 8 2 4" xfId="16148"/>
    <cellStyle name="Separador de milhares 3 4 5 8 2 4 2" xfId="42390"/>
    <cellStyle name="Separador de milhares 3 4 5 8 2 5" xfId="36004"/>
    <cellStyle name="Separador de milhares 3 4 5 8 3" xfId="25019"/>
    <cellStyle name="Separador de milhares 3 4 5 8 3 2" xfId="51252"/>
    <cellStyle name="Separador de milhares 3 4 5 8 4" xfId="19105"/>
    <cellStyle name="Separador de milhares 3 4 5 8 4 2" xfId="45344"/>
    <cellStyle name="Separador de milhares 3 4 5 8 5" xfId="13004"/>
    <cellStyle name="Separador de milhares 3 4 5 8 5 2" xfId="39246"/>
    <cellStyle name="Separador de milhares 3 4 5 8 6" xfId="32860"/>
    <cellStyle name="Separador de milhares 3 4 5 9" xfId="8291"/>
    <cellStyle name="Separador de milhares 3 4 5 9 2" xfId="26505"/>
    <cellStyle name="Separador de milhares 3 4 5 9 2 2" xfId="52738"/>
    <cellStyle name="Separador de milhares 3 4 5 9 3" xfId="20591"/>
    <cellStyle name="Separador de milhares 3 4 5 9 3 2" xfId="46830"/>
    <cellStyle name="Separador de milhares 3 4 5 9 4" xfId="14680"/>
    <cellStyle name="Separador de milhares 3 4 5 9 4 2" xfId="40922"/>
    <cellStyle name="Separador de milhares 3 4 5 9 5" xfId="34536"/>
    <cellStyle name="Separador de milhares 3 4 6" xfId="752"/>
    <cellStyle name="Separador de milhares 3 4 6 2" xfId="4176"/>
    <cellStyle name="Separador de milhares 3 4 6 2 2" xfId="7625"/>
    <cellStyle name="Separador de milhares 3 4 6 2 2 2" xfId="10769"/>
    <cellStyle name="Separador de milhares 3 4 6 2 2 2 2" xfId="28983"/>
    <cellStyle name="Separador de milhares 3 4 6 2 2 2 2 2" xfId="55213"/>
    <cellStyle name="Separador de milhares 3 4 6 2 2 2 3" xfId="23069"/>
    <cellStyle name="Separador de milhares 3 4 6 2 2 2 3 2" xfId="49305"/>
    <cellStyle name="Separador de milhares 3 4 6 2 2 2 4" xfId="17155"/>
    <cellStyle name="Separador de milhares 3 4 6 2 2 2 4 2" xfId="43397"/>
    <cellStyle name="Separador de milhares 3 4 6 2 2 2 5" xfId="37011"/>
    <cellStyle name="Separador de milhares 3 4 6 2 2 3" xfId="26026"/>
    <cellStyle name="Separador de milhares 3 4 6 2 2 3 2" xfId="52259"/>
    <cellStyle name="Separador de milhares 3 4 6 2 2 4" xfId="20112"/>
    <cellStyle name="Separador de milhares 3 4 6 2 2 4 2" xfId="46351"/>
    <cellStyle name="Separador de milhares 3 4 6 2 2 5" xfId="14014"/>
    <cellStyle name="Separador de milhares 3 4 6 2 2 5 2" xfId="40256"/>
    <cellStyle name="Separador de milhares 3 4 6 2 2 6" xfId="33870"/>
    <cellStyle name="Separador de milhares 3 4 6 2 3" xfId="9301"/>
    <cellStyle name="Separador de milhares 3 4 6 2 3 2" xfId="27515"/>
    <cellStyle name="Separador de milhares 3 4 6 2 3 2 2" xfId="53745"/>
    <cellStyle name="Separador de milhares 3 4 6 2 3 3" xfId="21601"/>
    <cellStyle name="Separador de milhares 3 4 6 2 3 3 2" xfId="47837"/>
    <cellStyle name="Separador de milhares 3 4 6 2 3 4" xfId="15687"/>
    <cellStyle name="Separador de milhares 3 4 6 2 3 4 2" xfId="41929"/>
    <cellStyle name="Separador de milhares 3 4 6 2 3 5" xfId="35543"/>
    <cellStyle name="Separador de milhares 3 4 6 2 4" xfId="5926"/>
    <cellStyle name="Separador de milhares 3 4 6 2 4 2" xfId="24558"/>
    <cellStyle name="Separador de milhares 3 4 6 2 4 2 2" xfId="50791"/>
    <cellStyle name="Separador de milhares 3 4 6 2 4 3" xfId="32171"/>
    <cellStyle name="Separador de milhares 3 4 6 2 5" xfId="18644"/>
    <cellStyle name="Separador de milhares 3 4 6 2 5 2" xfId="44883"/>
    <cellStyle name="Separador de milhares 3 4 6 2 6" xfId="12313"/>
    <cellStyle name="Separador de milhares 3 4 6 2 6 2" xfId="38555"/>
    <cellStyle name="Separador de milhares 3 4 6 2 7" xfId="30473"/>
    <cellStyle name="Separador de milhares 3 4 6 3" xfId="6670"/>
    <cellStyle name="Separador de milhares 3 4 6 3 2" xfId="9817"/>
    <cellStyle name="Separador de milhares 3 4 6 3 2 2" xfId="28031"/>
    <cellStyle name="Separador de milhares 3 4 6 3 2 2 2" xfId="54261"/>
    <cellStyle name="Separador de milhares 3 4 6 3 2 3" xfId="22117"/>
    <cellStyle name="Separador de milhares 3 4 6 3 2 3 2" xfId="48353"/>
    <cellStyle name="Separador de milhares 3 4 6 3 2 4" xfId="16203"/>
    <cellStyle name="Separador de milhares 3 4 6 3 2 4 2" xfId="42445"/>
    <cellStyle name="Separador de milhares 3 4 6 3 2 5" xfId="36059"/>
    <cellStyle name="Separador de milhares 3 4 6 3 3" xfId="25074"/>
    <cellStyle name="Separador de milhares 3 4 6 3 3 2" xfId="51307"/>
    <cellStyle name="Separador de milhares 3 4 6 3 4" xfId="19160"/>
    <cellStyle name="Separador de milhares 3 4 6 3 4 2" xfId="45399"/>
    <cellStyle name="Separador de milhares 3 4 6 3 5" xfId="13059"/>
    <cellStyle name="Separador de milhares 3 4 6 3 5 2" xfId="39301"/>
    <cellStyle name="Separador de milhares 3 4 6 3 6" xfId="32915"/>
    <cellStyle name="Separador de milhares 3 4 6 4" xfId="8349"/>
    <cellStyle name="Separador de milhares 3 4 6 4 2" xfId="26563"/>
    <cellStyle name="Separador de milhares 3 4 6 4 2 2" xfId="52793"/>
    <cellStyle name="Separador de milhares 3 4 6 4 3" xfId="20649"/>
    <cellStyle name="Separador de milhares 3 4 6 4 3 2" xfId="46885"/>
    <cellStyle name="Separador de milhares 3 4 6 4 4" xfId="14735"/>
    <cellStyle name="Separador de milhares 3 4 6 4 4 2" xfId="40977"/>
    <cellStyle name="Separador de milhares 3 4 6 4 5" xfId="34591"/>
    <cellStyle name="Separador de milhares 3 4 6 5" xfId="4971"/>
    <cellStyle name="Separador de milhares 3 4 6 5 2" xfId="23606"/>
    <cellStyle name="Separador de milhares 3 4 6 5 2 2" xfId="49839"/>
    <cellStyle name="Separador de milhares 3 4 6 5 3" xfId="31216"/>
    <cellStyle name="Separador de milhares 3 4 6 6" xfId="17692"/>
    <cellStyle name="Separador de milhares 3 4 6 6 2" xfId="43931"/>
    <cellStyle name="Separador de milhares 3 4 6 7" xfId="11358"/>
    <cellStyle name="Separador de milhares 3 4 6 7 2" xfId="37600"/>
    <cellStyle name="Separador de milhares 3 4 6 8" xfId="29518"/>
    <cellStyle name="Separador de milhares 3 4 7" xfId="1103"/>
    <cellStyle name="Separador de milhares 3 4 7 2" xfId="6768"/>
    <cellStyle name="Separador de milhares 3 4 7 2 2" xfId="9915"/>
    <cellStyle name="Separador de milhares 3 4 7 2 2 2" xfId="28129"/>
    <cellStyle name="Separador de milhares 3 4 7 2 2 2 2" xfId="54359"/>
    <cellStyle name="Separador de milhares 3 4 7 2 2 3" xfId="22215"/>
    <cellStyle name="Separador de milhares 3 4 7 2 2 3 2" xfId="48451"/>
    <cellStyle name="Separador de milhares 3 4 7 2 2 4" xfId="16301"/>
    <cellStyle name="Separador de milhares 3 4 7 2 2 4 2" xfId="42543"/>
    <cellStyle name="Separador de milhares 3 4 7 2 2 5" xfId="36157"/>
    <cellStyle name="Separador de milhares 3 4 7 2 3" xfId="25172"/>
    <cellStyle name="Separador de milhares 3 4 7 2 3 2" xfId="51405"/>
    <cellStyle name="Separador de milhares 3 4 7 2 4" xfId="19258"/>
    <cellStyle name="Separador de milhares 3 4 7 2 4 2" xfId="45497"/>
    <cellStyle name="Separador de milhares 3 4 7 2 5" xfId="13157"/>
    <cellStyle name="Separador de milhares 3 4 7 2 5 2" xfId="39399"/>
    <cellStyle name="Separador de milhares 3 4 7 2 6" xfId="33013"/>
    <cellStyle name="Separador de milhares 3 4 7 3" xfId="8447"/>
    <cellStyle name="Separador de milhares 3 4 7 3 2" xfId="26661"/>
    <cellStyle name="Separador de milhares 3 4 7 3 2 2" xfId="52891"/>
    <cellStyle name="Separador de milhares 3 4 7 3 3" xfId="20747"/>
    <cellStyle name="Separador de milhares 3 4 7 3 3 2" xfId="46983"/>
    <cellStyle name="Separador de milhares 3 4 7 3 4" xfId="14833"/>
    <cellStyle name="Separador de milhares 3 4 7 3 4 2" xfId="41075"/>
    <cellStyle name="Separador de milhares 3 4 7 3 5" xfId="34689"/>
    <cellStyle name="Separador de milhares 3 4 7 4" xfId="5069"/>
    <cellStyle name="Separador de milhares 3 4 7 4 2" xfId="23704"/>
    <cellStyle name="Separador de milhares 3 4 7 4 2 2" xfId="49937"/>
    <cellStyle name="Separador de milhares 3 4 7 4 3" xfId="31314"/>
    <cellStyle name="Separador de milhares 3 4 7 5" xfId="17790"/>
    <cellStyle name="Separador de milhares 3 4 7 5 2" xfId="44029"/>
    <cellStyle name="Separador de milhares 3 4 7 6" xfId="11456"/>
    <cellStyle name="Separador de milhares 3 4 7 6 2" xfId="37698"/>
    <cellStyle name="Separador de milhares 3 4 7 7" xfId="29616"/>
    <cellStyle name="Separador de milhares 3 4 8" xfId="1538"/>
    <cellStyle name="Separador de milhares 3 4 8 2" xfId="6887"/>
    <cellStyle name="Separador de milhares 3 4 8 2 2" xfId="10034"/>
    <cellStyle name="Separador de milhares 3 4 8 2 2 2" xfId="28248"/>
    <cellStyle name="Separador de milhares 3 4 8 2 2 2 2" xfId="54478"/>
    <cellStyle name="Separador de milhares 3 4 8 2 2 3" xfId="22334"/>
    <cellStyle name="Separador de milhares 3 4 8 2 2 3 2" xfId="48570"/>
    <cellStyle name="Separador de milhares 3 4 8 2 2 4" xfId="16420"/>
    <cellStyle name="Separador de milhares 3 4 8 2 2 4 2" xfId="42662"/>
    <cellStyle name="Separador de milhares 3 4 8 2 2 5" xfId="36276"/>
    <cellStyle name="Separador de milhares 3 4 8 2 3" xfId="25291"/>
    <cellStyle name="Separador de milhares 3 4 8 2 3 2" xfId="51524"/>
    <cellStyle name="Separador de milhares 3 4 8 2 4" xfId="19377"/>
    <cellStyle name="Separador de milhares 3 4 8 2 4 2" xfId="45616"/>
    <cellStyle name="Separador de milhares 3 4 8 2 5" xfId="13276"/>
    <cellStyle name="Separador de milhares 3 4 8 2 5 2" xfId="39518"/>
    <cellStyle name="Separador de milhares 3 4 8 2 6" xfId="33132"/>
    <cellStyle name="Separador de milhares 3 4 8 3" xfId="8566"/>
    <cellStyle name="Separador de milhares 3 4 8 3 2" xfId="26780"/>
    <cellStyle name="Separador de milhares 3 4 8 3 2 2" xfId="53010"/>
    <cellStyle name="Separador de milhares 3 4 8 3 3" xfId="20866"/>
    <cellStyle name="Separador de milhares 3 4 8 3 3 2" xfId="47102"/>
    <cellStyle name="Separador de milhares 3 4 8 3 4" xfId="14952"/>
    <cellStyle name="Separador de milhares 3 4 8 3 4 2" xfId="41194"/>
    <cellStyle name="Separador de milhares 3 4 8 3 5" xfId="34808"/>
    <cellStyle name="Separador de milhares 3 4 8 4" xfId="5188"/>
    <cellStyle name="Separador de milhares 3 4 8 4 2" xfId="23823"/>
    <cellStyle name="Separador de milhares 3 4 8 4 2 2" xfId="50056"/>
    <cellStyle name="Separador de milhares 3 4 8 4 3" xfId="31433"/>
    <cellStyle name="Separador de milhares 3 4 8 5" xfId="17909"/>
    <cellStyle name="Separador de milhares 3 4 8 5 2" xfId="44148"/>
    <cellStyle name="Separador de milhares 3 4 8 6" xfId="11575"/>
    <cellStyle name="Separador de milhares 3 4 8 6 2" xfId="37817"/>
    <cellStyle name="Separador de milhares 3 4 8 7" xfId="29735"/>
    <cellStyle name="Separador de milhares 3 4 9" xfId="2068"/>
    <cellStyle name="Separador de milhares 3 4 9 2" xfId="7037"/>
    <cellStyle name="Separador de milhares 3 4 9 2 2" xfId="10181"/>
    <cellStyle name="Separador de milhares 3 4 9 2 2 2" xfId="28395"/>
    <cellStyle name="Separador de milhares 3 4 9 2 2 2 2" xfId="54625"/>
    <cellStyle name="Separador de milhares 3 4 9 2 2 3" xfId="22481"/>
    <cellStyle name="Separador de milhares 3 4 9 2 2 3 2" xfId="48717"/>
    <cellStyle name="Separador de milhares 3 4 9 2 2 4" xfId="16567"/>
    <cellStyle name="Separador de milhares 3 4 9 2 2 4 2" xfId="42809"/>
    <cellStyle name="Separador de milhares 3 4 9 2 2 5" xfId="36423"/>
    <cellStyle name="Separador de milhares 3 4 9 2 3" xfId="25438"/>
    <cellStyle name="Separador de milhares 3 4 9 2 3 2" xfId="51671"/>
    <cellStyle name="Separador de milhares 3 4 9 2 4" xfId="19524"/>
    <cellStyle name="Separador de milhares 3 4 9 2 4 2" xfId="45763"/>
    <cellStyle name="Separador de milhares 3 4 9 2 5" xfId="13426"/>
    <cellStyle name="Separador de milhares 3 4 9 2 5 2" xfId="39668"/>
    <cellStyle name="Separador de milhares 3 4 9 2 6" xfId="33282"/>
    <cellStyle name="Separador de milhares 3 4 9 3" xfId="8713"/>
    <cellStyle name="Separador de milhares 3 4 9 3 2" xfId="26927"/>
    <cellStyle name="Separador de milhares 3 4 9 3 2 2" xfId="53157"/>
    <cellStyle name="Separador de milhares 3 4 9 3 3" xfId="21013"/>
    <cellStyle name="Separador de milhares 3 4 9 3 3 2" xfId="47249"/>
    <cellStyle name="Separador de milhares 3 4 9 3 4" xfId="15099"/>
    <cellStyle name="Separador de milhares 3 4 9 3 4 2" xfId="41341"/>
    <cellStyle name="Separador de milhares 3 4 9 3 5" xfId="34955"/>
    <cellStyle name="Separador de milhares 3 4 9 4" xfId="5338"/>
    <cellStyle name="Separador de milhares 3 4 9 4 2" xfId="23970"/>
    <cellStyle name="Separador de milhares 3 4 9 4 2 2" xfId="50203"/>
    <cellStyle name="Separador de milhares 3 4 9 4 3" xfId="31583"/>
    <cellStyle name="Separador de milhares 3 4 9 5" xfId="18056"/>
    <cellStyle name="Separador de milhares 3 4 9 5 2" xfId="44295"/>
    <cellStyle name="Separador de milhares 3 4 9 6" xfId="11725"/>
    <cellStyle name="Separador de milhares 3 4 9 6 2" xfId="37967"/>
    <cellStyle name="Separador de milhares 3 4 9 7" xfId="29885"/>
    <cellStyle name="Separador de milhares 3 5" xfId="96"/>
    <cellStyle name="Separador de milhares 3 5 10" xfId="2599"/>
    <cellStyle name="Separador de milhares 3 5 10 2" xfId="7185"/>
    <cellStyle name="Separador de milhares 3 5 10 2 2" xfId="10329"/>
    <cellStyle name="Separador de milhares 3 5 10 2 2 2" xfId="28543"/>
    <cellStyle name="Separador de milhares 3 5 10 2 2 2 2" xfId="54773"/>
    <cellStyle name="Separador de milhares 3 5 10 2 2 3" xfId="22629"/>
    <cellStyle name="Separador de milhares 3 5 10 2 2 3 2" xfId="48865"/>
    <cellStyle name="Separador de milhares 3 5 10 2 2 4" xfId="16715"/>
    <cellStyle name="Separador de milhares 3 5 10 2 2 4 2" xfId="42957"/>
    <cellStyle name="Separador de milhares 3 5 10 2 2 5" xfId="36571"/>
    <cellStyle name="Separador de milhares 3 5 10 2 3" xfId="25586"/>
    <cellStyle name="Separador de milhares 3 5 10 2 3 2" xfId="51819"/>
    <cellStyle name="Separador de milhares 3 5 10 2 4" xfId="19672"/>
    <cellStyle name="Separador de milhares 3 5 10 2 4 2" xfId="45911"/>
    <cellStyle name="Separador de milhares 3 5 10 2 5" xfId="13574"/>
    <cellStyle name="Separador de milhares 3 5 10 2 5 2" xfId="39816"/>
    <cellStyle name="Separador de milhares 3 5 10 2 6" xfId="33430"/>
    <cellStyle name="Separador de milhares 3 5 10 3" xfId="8861"/>
    <cellStyle name="Separador de milhares 3 5 10 3 2" xfId="27075"/>
    <cellStyle name="Separador de milhares 3 5 10 3 2 2" xfId="53305"/>
    <cellStyle name="Separador de milhares 3 5 10 3 3" xfId="21161"/>
    <cellStyle name="Separador de milhares 3 5 10 3 3 2" xfId="47397"/>
    <cellStyle name="Separador de milhares 3 5 10 3 4" xfId="15247"/>
    <cellStyle name="Separador de milhares 3 5 10 3 4 2" xfId="41489"/>
    <cellStyle name="Separador de milhares 3 5 10 3 5" xfId="35103"/>
    <cellStyle name="Separador de milhares 3 5 10 4" xfId="5486"/>
    <cellStyle name="Separador de milhares 3 5 10 4 2" xfId="24118"/>
    <cellStyle name="Separador de milhares 3 5 10 4 2 2" xfId="50351"/>
    <cellStyle name="Separador de milhares 3 5 10 4 3" xfId="31731"/>
    <cellStyle name="Separador de milhares 3 5 10 5" xfId="18204"/>
    <cellStyle name="Separador de milhares 3 5 10 5 2" xfId="44443"/>
    <cellStyle name="Separador de milhares 3 5 10 6" xfId="11873"/>
    <cellStyle name="Separador de milhares 3 5 10 6 2" xfId="38115"/>
    <cellStyle name="Separador de milhares 3 5 10 7" xfId="30033"/>
    <cellStyle name="Separador de milhares 3 5 11" xfId="3126"/>
    <cellStyle name="Separador de milhares 3 5 11 2" xfId="7332"/>
    <cellStyle name="Separador de milhares 3 5 11 2 2" xfId="10476"/>
    <cellStyle name="Separador de milhares 3 5 11 2 2 2" xfId="28690"/>
    <cellStyle name="Separador de milhares 3 5 11 2 2 2 2" xfId="54920"/>
    <cellStyle name="Separador de milhares 3 5 11 2 2 3" xfId="22776"/>
    <cellStyle name="Separador de milhares 3 5 11 2 2 3 2" xfId="49012"/>
    <cellStyle name="Separador de milhares 3 5 11 2 2 4" xfId="16862"/>
    <cellStyle name="Separador de milhares 3 5 11 2 2 4 2" xfId="43104"/>
    <cellStyle name="Separador de milhares 3 5 11 2 2 5" xfId="36718"/>
    <cellStyle name="Separador de milhares 3 5 11 2 3" xfId="25733"/>
    <cellStyle name="Separador de milhares 3 5 11 2 3 2" xfId="51966"/>
    <cellStyle name="Separador de milhares 3 5 11 2 4" xfId="19819"/>
    <cellStyle name="Separador de milhares 3 5 11 2 4 2" xfId="46058"/>
    <cellStyle name="Separador de milhares 3 5 11 2 5" xfId="13721"/>
    <cellStyle name="Separador de milhares 3 5 11 2 5 2" xfId="39963"/>
    <cellStyle name="Separador de milhares 3 5 11 2 6" xfId="33577"/>
    <cellStyle name="Separador de milhares 3 5 11 3" xfId="9008"/>
    <cellStyle name="Separador de milhares 3 5 11 3 2" xfId="27222"/>
    <cellStyle name="Separador de milhares 3 5 11 3 2 2" xfId="53452"/>
    <cellStyle name="Separador de milhares 3 5 11 3 3" xfId="21308"/>
    <cellStyle name="Separador de milhares 3 5 11 3 3 2" xfId="47544"/>
    <cellStyle name="Separador de milhares 3 5 11 3 4" xfId="15394"/>
    <cellStyle name="Separador de milhares 3 5 11 3 4 2" xfId="41636"/>
    <cellStyle name="Separador de milhares 3 5 11 3 5" xfId="35250"/>
    <cellStyle name="Separador de milhares 3 5 11 4" xfId="5633"/>
    <cellStyle name="Separador de milhares 3 5 11 4 2" xfId="24265"/>
    <cellStyle name="Separador de milhares 3 5 11 4 2 2" xfId="50498"/>
    <cellStyle name="Separador de milhares 3 5 11 4 3" xfId="31878"/>
    <cellStyle name="Separador de milhares 3 5 11 5" xfId="18351"/>
    <cellStyle name="Separador de milhares 3 5 11 5 2" xfId="44590"/>
    <cellStyle name="Separador de milhares 3 5 11 6" xfId="12020"/>
    <cellStyle name="Separador de milhares 3 5 11 6 2" xfId="38262"/>
    <cellStyle name="Separador de milhares 3 5 11 7" xfId="30180"/>
    <cellStyle name="Separador de milhares 3 5 12" xfId="3653"/>
    <cellStyle name="Separador de milhares 3 5 12 2" xfId="7479"/>
    <cellStyle name="Separador de milhares 3 5 12 2 2" xfId="10623"/>
    <cellStyle name="Separador de milhares 3 5 12 2 2 2" xfId="28837"/>
    <cellStyle name="Separador de milhares 3 5 12 2 2 2 2" xfId="55067"/>
    <cellStyle name="Separador de milhares 3 5 12 2 2 3" xfId="22923"/>
    <cellStyle name="Separador de milhares 3 5 12 2 2 3 2" xfId="49159"/>
    <cellStyle name="Separador de milhares 3 5 12 2 2 4" xfId="17009"/>
    <cellStyle name="Separador de milhares 3 5 12 2 2 4 2" xfId="43251"/>
    <cellStyle name="Separador de milhares 3 5 12 2 2 5" xfId="36865"/>
    <cellStyle name="Separador de milhares 3 5 12 2 3" xfId="25880"/>
    <cellStyle name="Separador de milhares 3 5 12 2 3 2" xfId="52113"/>
    <cellStyle name="Separador de milhares 3 5 12 2 4" xfId="19966"/>
    <cellStyle name="Separador de milhares 3 5 12 2 4 2" xfId="46205"/>
    <cellStyle name="Separador de milhares 3 5 12 2 5" xfId="13868"/>
    <cellStyle name="Separador de milhares 3 5 12 2 5 2" xfId="40110"/>
    <cellStyle name="Separador de milhares 3 5 12 2 6" xfId="33724"/>
    <cellStyle name="Separador de milhares 3 5 12 3" xfId="9155"/>
    <cellStyle name="Separador de milhares 3 5 12 3 2" xfId="27369"/>
    <cellStyle name="Separador de milhares 3 5 12 3 2 2" xfId="53599"/>
    <cellStyle name="Separador de milhares 3 5 12 3 3" xfId="21455"/>
    <cellStyle name="Separador de milhares 3 5 12 3 3 2" xfId="47691"/>
    <cellStyle name="Separador de milhares 3 5 12 3 4" xfId="15541"/>
    <cellStyle name="Separador de milhares 3 5 12 3 4 2" xfId="41783"/>
    <cellStyle name="Separador de milhares 3 5 12 3 5" xfId="35397"/>
    <cellStyle name="Separador de milhares 3 5 12 4" xfId="5780"/>
    <cellStyle name="Separador de milhares 3 5 12 4 2" xfId="24412"/>
    <cellStyle name="Separador de milhares 3 5 12 4 2 2" xfId="50645"/>
    <cellStyle name="Separador de milhares 3 5 12 4 3" xfId="32025"/>
    <cellStyle name="Separador de milhares 3 5 12 5" xfId="18498"/>
    <cellStyle name="Separador de milhares 3 5 12 5 2" xfId="44737"/>
    <cellStyle name="Separador de milhares 3 5 12 6" xfId="12167"/>
    <cellStyle name="Separador de milhares 3 5 12 6 2" xfId="38409"/>
    <cellStyle name="Separador de milhares 3 5 12 7" xfId="30327"/>
    <cellStyle name="Separador de milhares 3 5 13" xfId="6463"/>
    <cellStyle name="Separador de milhares 3 5 13 2" xfId="9619"/>
    <cellStyle name="Separador de milhares 3 5 13 2 2" xfId="27833"/>
    <cellStyle name="Separador de milhares 3 5 13 2 2 2" xfId="54063"/>
    <cellStyle name="Separador de milhares 3 5 13 2 3" xfId="21919"/>
    <cellStyle name="Separador de milhares 3 5 13 2 3 2" xfId="48155"/>
    <cellStyle name="Separador de milhares 3 5 13 2 4" xfId="16005"/>
    <cellStyle name="Separador de milhares 3 5 13 2 4 2" xfId="42247"/>
    <cellStyle name="Separador de milhares 3 5 13 2 5" xfId="35861"/>
    <cellStyle name="Separador de milhares 3 5 13 3" xfId="24876"/>
    <cellStyle name="Separador de milhares 3 5 13 3 2" xfId="51109"/>
    <cellStyle name="Separador de milhares 3 5 13 4" xfId="18962"/>
    <cellStyle name="Separador de milhares 3 5 13 4 2" xfId="45201"/>
    <cellStyle name="Separador de milhares 3 5 13 5" xfId="12852"/>
    <cellStyle name="Separador de milhares 3 5 13 5 2" xfId="39094"/>
    <cellStyle name="Separador de milhares 3 5 13 6" xfId="32708"/>
    <cellStyle name="Separador de milhares 3 5 14" xfId="8148"/>
    <cellStyle name="Separador de milhares 3 5 14 2" xfId="26362"/>
    <cellStyle name="Separador de milhares 3 5 14 2 2" xfId="52595"/>
    <cellStyle name="Separador de milhares 3 5 14 3" xfId="20448"/>
    <cellStyle name="Separador de milhares 3 5 14 3 2" xfId="46687"/>
    <cellStyle name="Separador de milhares 3 5 14 4" xfId="14537"/>
    <cellStyle name="Separador de milhares 3 5 14 4 2" xfId="40779"/>
    <cellStyle name="Separador de milhares 3 5 14 5" xfId="34393"/>
    <cellStyle name="Separador de milhares 3 5 15" xfId="4761"/>
    <cellStyle name="Separador de milhares 3 5 15 2" xfId="23405"/>
    <cellStyle name="Separador de milhares 3 5 15 2 2" xfId="49641"/>
    <cellStyle name="Separador de milhares 3 5 15 3" xfId="31009"/>
    <cellStyle name="Separador de milhares 3 5 16" xfId="17491"/>
    <cellStyle name="Separador de milhares 3 5 16 2" xfId="43733"/>
    <cellStyle name="Separador de milhares 3 5 17" xfId="11151"/>
    <cellStyle name="Separador de milhares 3 5 17 2" xfId="37393"/>
    <cellStyle name="Separador de milhares 3 5 18" xfId="29311"/>
    <cellStyle name="Separador de milhares 3 5 2" xfId="190"/>
    <cellStyle name="Separador de milhares 3 5 2 10" xfId="6492"/>
    <cellStyle name="Separador de milhares 3 5 2 10 2" xfId="9646"/>
    <cellStyle name="Separador de milhares 3 5 2 10 2 2" xfId="27860"/>
    <cellStyle name="Separador de milhares 3 5 2 10 2 2 2" xfId="54090"/>
    <cellStyle name="Separador de milhares 3 5 2 10 2 3" xfId="21946"/>
    <cellStyle name="Separador de milhares 3 5 2 10 2 3 2" xfId="48182"/>
    <cellStyle name="Separador de milhares 3 5 2 10 2 4" xfId="16032"/>
    <cellStyle name="Separador de milhares 3 5 2 10 2 4 2" xfId="42274"/>
    <cellStyle name="Separador de milhares 3 5 2 10 2 5" xfId="35888"/>
    <cellStyle name="Separador de milhares 3 5 2 10 3" xfId="24903"/>
    <cellStyle name="Separador de milhares 3 5 2 10 3 2" xfId="51136"/>
    <cellStyle name="Separador de milhares 3 5 2 10 4" xfId="18989"/>
    <cellStyle name="Separador de milhares 3 5 2 10 4 2" xfId="45228"/>
    <cellStyle name="Separador de milhares 3 5 2 10 5" xfId="12881"/>
    <cellStyle name="Separador de milhares 3 5 2 10 5 2" xfId="39123"/>
    <cellStyle name="Separador de milhares 3 5 2 10 6" xfId="32737"/>
    <cellStyle name="Separador de milhares 3 5 2 11" xfId="8175"/>
    <cellStyle name="Separador de milhares 3 5 2 11 2" xfId="26389"/>
    <cellStyle name="Separador de milhares 3 5 2 11 2 2" xfId="52622"/>
    <cellStyle name="Separador de milhares 3 5 2 11 3" xfId="20475"/>
    <cellStyle name="Separador de milhares 3 5 2 11 3 2" xfId="46714"/>
    <cellStyle name="Separador de milhares 3 5 2 11 4" xfId="14564"/>
    <cellStyle name="Separador de milhares 3 5 2 11 4 2" xfId="40806"/>
    <cellStyle name="Separador de milhares 3 5 2 11 5" xfId="34420"/>
    <cellStyle name="Separador de milhares 3 5 2 12" xfId="4791"/>
    <cellStyle name="Separador de milhares 3 5 2 12 2" xfId="23432"/>
    <cellStyle name="Separador de milhares 3 5 2 12 2 2" xfId="49668"/>
    <cellStyle name="Separador de milhares 3 5 2 12 3" xfId="31038"/>
    <cellStyle name="Separador de milhares 3 5 2 13" xfId="17518"/>
    <cellStyle name="Separador de milhares 3 5 2 13 2" xfId="43760"/>
    <cellStyle name="Separador de milhares 3 5 2 14" xfId="11180"/>
    <cellStyle name="Separador de milhares 3 5 2 14 2" xfId="37422"/>
    <cellStyle name="Separador de milhares 3 5 2 15" xfId="29341"/>
    <cellStyle name="Separador de milhares 3 5 2 2" xfId="463"/>
    <cellStyle name="Separador de milhares 3 5 2 2 10" xfId="17592"/>
    <cellStyle name="Separador de milhares 3 5 2 2 10 2" xfId="43834"/>
    <cellStyle name="Separador de milhares 3 5 2 2 11" xfId="11261"/>
    <cellStyle name="Separador de milhares 3 5 2 2 11 2" xfId="37503"/>
    <cellStyle name="Separador de milhares 3 5 2 2 12" xfId="29421"/>
    <cellStyle name="Separador de milhares 3 5 2 2 2" xfId="1982"/>
    <cellStyle name="Separador de milhares 3 5 2 2 2 2" xfId="7011"/>
    <cellStyle name="Separador de milhares 3 5 2 2 2 2 2" xfId="10158"/>
    <cellStyle name="Separador de milhares 3 5 2 2 2 2 2 2" xfId="28372"/>
    <cellStyle name="Separador de milhares 3 5 2 2 2 2 2 2 2" xfId="54602"/>
    <cellStyle name="Separador de milhares 3 5 2 2 2 2 2 3" xfId="22458"/>
    <cellStyle name="Separador de milhares 3 5 2 2 2 2 2 3 2" xfId="48694"/>
    <cellStyle name="Separador de milhares 3 5 2 2 2 2 2 4" xfId="16544"/>
    <cellStyle name="Separador de milhares 3 5 2 2 2 2 2 4 2" xfId="42786"/>
    <cellStyle name="Separador de milhares 3 5 2 2 2 2 2 5" xfId="36400"/>
    <cellStyle name="Separador de milhares 3 5 2 2 2 2 3" xfId="25415"/>
    <cellStyle name="Separador de milhares 3 5 2 2 2 2 3 2" xfId="51648"/>
    <cellStyle name="Separador de milhares 3 5 2 2 2 2 4" xfId="19501"/>
    <cellStyle name="Separador de milhares 3 5 2 2 2 2 4 2" xfId="45740"/>
    <cellStyle name="Separador de milhares 3 5 2 2 2 2 5" xfId="13400"/>
    <cellStyle name="Separador de milhares 3 5 2 2 2 2 5 2" xfId="39642"/>
    <cellStyle name="Separador de milhares 3 5 2 2 2 2 6" xfId="33256"/>
    <cellStyle name="Separador de milhares 3 5 2 2 2 3" xfId="8690"/>
    <cellStyle name="Separador de milhares 3 5 2 2 2 3 2" xfId="26904"/>
    <cellStyle name="Separador de milhares 3 5 2 2 2 3 2 2" xfId="53134"/>
    <cellStyle name="Separador de milhares 3 5 2 2 2 3 3" xfId="20990"/>
    <cellStyle name="Separador de milhares 3 5 2 2 2 3 3 2" xfId="47226"/>
    <cellStyle name="Separador de milhares 3 5 2 2 2 3 4" xfId="15076"/>
    <cellStyle name="Separador de milhares 3 5 2 2 2 3 4 2" xfId="41318"/>
    <cellStyle name="Separador de milhares 3 5 2 2 2 3 5" xfId="34932"/>
    <cellStyle name="Separador de milhares 3 5 2 2 2 4" xfId="5312"/>
    <cellStyle name="Separador de milhares 3 5 2 2 2 4 2" xfId="23947"/>
    <cellStyle name="Separador de milhares 3 5 2 2 2 4 2 2" xfId="50180"/>
    <cellStyle name="Separador de milhares 3 5 2 2 2 4 3" xfId="31557"/>
    <cellStyle name="Separador de milhares 3 5 2 2 2 5" xfId="18033"/>
    <cellStyle name="Separador de milhares 3 5 2 2 2 5 2" xfId="44272"/>
    <cellStyle name="Separador de milhares 3 5 2 2 2 6" xfId="11699"/>
    <cellStyle name="Separador de milhares 3 5 2 2 2 6 2" xfId="37941"/>
    <cellStyle name="Separador de milhares 3 5 2 2 2 7" xfId="29859"/>
    <cellStyle name="Separador de milhares 3 5 2 2 3" xfId="2512"/>
    <cellStyle name="Separador de milhares 3 5 2 2 3 2" xfId="7161"/>
    <cellStyle name="Separador de milhares 3 5 2 2 3 2 2" xfId="10305"/>
    <cellStyle name="Separador de milhares 3 5 2 2 3 2 2 2" xfId="28519"/>
    <cellStyle name="Separador de milhares 3 5 2 2 3 2 2 2 2" xfId="54749"/>
    <cellStyle name="Separador de milhares 3 5 2 2 3 2 2 3" xfId="22605"/>
    <cellStyle name="Separador de milhares 3 5 2 2 3 2 2 3 2" xfId="48841"/>
    <cellStyle name="Separador de milhares 3 5 2 2 3 2 2 4" xfId="16691"/>
    <cellStyle name="Separador de milhares 3 5 2 2 3 2 2 4 2" xfId="42933"/>
    <cellStyle name="Separador de milhares 3 5 2 2 3 2 2 5" xfId="36547"/>
    <cellStyle name="Separador de milhares 3 5 2 2 3 2 3" xfId="25562"/>
    <cellStyle name="Separador de milhares 3 5 2 2 3 2 3 2" xfId="51795"/>
    <cellStyle name="Separador de milhares 3 5 2 2 3 2 4" xfId="19648"/>
    <cellStyle name="Separador de milhares 3 5 2 2 3 2 4 2" xfId="45887"/>
    <cellStyle name="Separador de milhares 3 5 2 2 3 2 5" xfId="13550"/>
    <cellStyle name="Separador de milhares 3 5 2 2 3 2 5 2" xfId="39792"/>
    <cellStyle name="Separador de milhares 3 5 2 2 3 2 6" xfId="33406"/>
    <cellStyle name="Separador de milhares 3 5 2 2 3 3" xfId="8837"/>
    <cellStyle name="Separador de milhares 3 5 2 2 3 3 2" xfId="27051"/>
    <cellStyle name="Separador de milhares 3 5 2 2 3 3 2 2" xfId="53281"/>
    <cellStyle name="Separador de milhares 3 5 2 2 3 3 3" xfId="21137"/>
    <cellStyle name="Separador de milhares 3 5 2 2 3 3 3 2" xfId="47373"/>
    <cellStyle name="Separador de milhares 3 5 2 2 3 3 4" xfId="15223"/>
    <cellStyle name="Separador de milhares 3 5 2 2 3 3 4 2" xfId="41465"/>
    <cellStyle name="Separador de milhares 3 5 2 2 3 3 5" xfId="35079"/>
    <cellStyle name="Separador de milhares 3 5 2 2 3 4" xfId="5462"/>
    <cellStyle name="Separador de milhares 3 5 2 2 3 4 2" xfId="24094"/>
    <cellStyle name="Separador de milhares 3 5 2 2 3 4 2 2" xfId="50327"/>
    <cellStyle name="Separador de milhares 3 5 2 2 3 4 3" xfId="31707"/>
    <cellStyle name="Separador de milhares 3 5 2 2 3 5" xfId="18180"/>
    <cellStyle name="Separador de milhares 3 5 2 2 3 5 2" xfId="44419"/>
    <cellStyle name="Separador de milhares 3 5 2 2 3 6" xfId="11849"/>
    <cellStyle name="Separador de milhares 3 5 2 2 3 6 2" xfId="38091"/>
    <cellStyle name="Separador de milhares 3 5 2 2 3 7" xfId="30009"/>
    <cellStyle name="Separador de milhares 3 5 2 2 4" xfId="3039"/>
    <cellStyle name="Separador de milhares 3 5 2 2 4 2" xfId="7308"/>
    <cellStyle name="Separador de milhares 3 5 2 2 4 2 2" xfId="10452"/>
    <cellStyle name="Separador de milhares 3 5 2 2 4 2 2 2" xfId="28666"/>
    <cellStyle name="Separador de milhares 3 5 2 2 4 2 2 2 2" xfId="54896"/>
    <cellStyle name="Separador de milhares 3 5 2 2 4 2 2 3" xfId="22752"/>
    <cellStyle name="Separador de milhares 3 5 2 2 4 2 2 3 2" xfId="48988"/>
    <cellStyle name="Separador de milhares 3 5 2 2 4 2 2 4" xfId="16838"/>
    <cellStyle name="Separador de milhares 3 5 2 2 4 2 2 4 2" xfId="43080"/>
    <cellStyle name="Separador de milhares 3 5 2 2 4 2 2 5" xfId="36694"/>
    <cellStyle name="Separador de milhares 3 5 2 2 4 2 3" xfId="25709"/>
    <cellStyle name="Separador de milhares 3 5 2 2 4 2 3 2" xfId="51942"/>
    <cellStyle name="Separador de milhares 3 5 2 2 4 2 4" xfId="19795"/>
    <cellStyle name="Separador de milhares 3 5 2 2 4 2 4 2" xfId="46034"/>
    <cellStyle name="Separador de milhares 3 5 2 2 4 2 5" xfId="13697"/>
    <cellStyle name="Separador de milhares 3 5 2 2 4 2 5 2" xfId="39939"/>
    <cellStyle name="Separador de milhares 3 5 2 2 4 2 6" xfId="33553"/>
    <cellStyle name="Separador de milhares 3 5 2 2 4 3" xfId="8984"/>
    <cellStyle name="Separador de milhares 3 5 2 2 4 3 2" xfId="27198"/>
    <cellStyle name="Separador de milhares 3 5 2 2 4 3 2 2" xfId="53428"/>
    <cellStyle name="Separador de milhares 3 5 2 2 4 3 3" xfId="21284"/>
    <cellStyle name="Separador de milhares 3 5 2 2 4 3 3 2" xfId="47520"/>
    <cellStyle name="Separador de milhares 3 5 2 2 4 3 4" xfId="15370"/>
    <cellStyle name="Separador de milhares 3 5 2 2 4 3 4 2" xfId="41612"/>
    <cellStyle name="Separador de milhares 3 5 2 2 4 3 5" xfId="35226"/>
    <cellStyle name="Separador de milhares 3 5 2 2 4 4" xfId="5609"/>
    <cellStyle name="Separador de milhares 3 5 2 2 4 4 2" xfId="24241"/>
    <cellStyle name="Separador de milhares 3 5 2 2 4 4 2 2" xfId="50474"/>
    <cellStyle name="Separador de milhares 3 5 2 2 4 4 3" xfId="31854"/>
    <cellStyle name="Separador de milhares 3 5 2 2 4 5" xfId="18327"/>
    <cellStyle name="Separador de milhares 3 5 2 2 4 5 2" xfId="44566"/>
    <cellStyle name="Separador de milhares 3 5 2 2 4 6" xfId="11996"/>
    <cellStyle name="Separador de milhares 3 5 2 2 4 6 2" xfId="38238"/>
    <cellStyle name="Separador de milhares 3 5 2 2 4 7" xfId="30156"/>
    <cellStyle name="Separador de milhares 3 5 2 2 5" xfId="3566"/>
    <cellStyle name="Separador de milhares 3 5 2 2 5 2" xfId="7455"/>
    <cellStyle name="Separador de milhares 3 5 2 2 5 2 2" xfId="10599"/>
    <cellStyle name="Separador de milhares 3 5 2 2 5 2 2 2" xfId="28813"/>
    <cellStyle name="Separador de milhares 3 5 2 2 5 2 2 2 2" xfId="55043"/>
    <cellStyle name="Separador de milhares 3 5 2 2 5 2 2 3" xfId="22899"/>
    <cellStyle name="Separador de milhares 3 5 2 2 5 2 2 3 2" xfId="49135"/>
    <cellStyle name="Separador de milhares 3 5 2 2 5 2 2 4" xfId="16985"/>
    <cellStyle name="Separador de milhares 3 5 2 2 5 2 2 4 2" xfId="43227"/>
    <cellStyle name="Separador de milhares 3 5 2 2 5 2 2 5" xfId="36841"/>
    <cellStyle name="Separador de milhares 3 5 2 2 5 2 3" xfId="25856"/>
    <cellStyle name="Separador de milhares 3 5 2 2 5 2 3 2" xfId="52089"/>
    <cellStyle name="Separador de milhares 3 5 2 2 5 2 4" xfId="19942"/>
    <cellStyle name="Separador de milhares 3 5 2 2 5 2 4 2" xfId="46181"/>
    <cellStyle name="Separador de milhares 3 5 2 2 5 2 5" xfId="13844"/>
    <cellStyle name="Separador de milhares 3 5 2 2 5 2 5 2" xfId="40086"/>
    <cellStyle name="Separador de milhares 3 5 2 2 5 2 6" xfId="33700"/>
    <cellStyle name="Separador de milhares 3 5 2 2 5 3" xfId="9131"/>
    <cellStyle name="Separador de milhares 3 5 2 2 5 3 2" xfId="27345"/>
    <cellStyle name="Separador de milhares 3 5 2 2 5 3 2 2" xfId="53575"/>
    <cellStyle name="Separador de milhares 3 5 2 2 5 3 3" xfId="21431"/>
    <cellStyle name="Separador de milhares 3 5 2 2 5 3 3 2" xfId="47667"/>
    <cellStyle name="Separador de milhares 3 5 2 2 5 3 4" xfId="15517"/>
    <cellStyle name="Separador de milhares 3 5 2 2 5 3 4 2" xfId="41759"/>
    <cellStyle name="Separador de milhares 3 5 2 2 5 3 5" xfId="35373"/>
    <cellStyle name="Separador de milhares 3 5 2 2 5 4" xfId="5756"/>
    <cellStyle name="Separador de milhares 3 5 2 2 5 4 2" xfId="24388"/>
    <cellStyle name="Separador de milhares 3 5 2 2 5 4 2 2" xfId="50621"/>
    <cellStyle name="Separador de milhares 3 5 2 2 5 4 3" xfId="32001"/>
    <cellStyle name="Separador de milhares 3 5 2 2 5 5" xfId="18474"/>
    <cellStyle name="Separador de milhares 3 5 2 2 5 5 2" xfId="44713"/>
    <cellStyle name="Separador de milhares 3 5 2 2 5 6" xfId="12143"/>
    <cellStyle name="Separador de milhares 3 5 2 2 5 6 2" xfId="38385"/>
    <cellStyle name="Separador de milhares 3 5 2 2 5 7" xfId="30303"/>
    <cellStyle name="Separador de milhares 3 5 2 2 6" xfId="4093"/>
    <cellStyle name="Separador de milhares 3 5 2 2 6 2" xfId="7602"/>
    <cellStyle name="Separador de milhares 3 5 2 2 6 2 2" xfId="10746"/>
    <cellStyle name="Separador de milhares 3 5 2 2 6 2 2 2" xfId="28960"/>
    <cellStyle name="Separador de milhares 3 5 2 2 6 2 2 2 2" xfId="55190"/>
    <cellStyle name="Separador de milhares 3 5 2 2 6 2 2 3" xfId="23046"/>
    <cellStyle name="Separador de milhares 3 5 2 2 6 2 2 3 2" xfId="49282"/>
    <cellStyle name="Separador de milhares 3 5 2 2 6 2 2 4" xfId="17132"/>
    <cellStyle name="Separador de milhares 3 5 2 2 6 2 2 4 2" xfId="43374"/>
    <cellStyle name="Separador de milhares 3 5 2 2 6 2 2 5" xfId="36988"/>
    <cellStyle name="Separador de milhares 3 5 2 2 6 2 3" xfId="26003"/>
    <cellStyle name="Separador de milhares 3 5 2 2 6 2 3 2" xfId="52236"/>
    <cellStyle name="Separador de milhares 3 5 2 2 6 2 4" xfId="20089"/>
    <cellStyle name="Separador de milhares 3 5 2 2 6 2 4 2" xfId="46328"/>
    <cellStyle name="Separador de milhares 3 5 2 2 6 2 5" xfId="13991"/>
    <cellStyle name="Separador de milhares 3 5 2 2 6 2 5 2" xfId="40233"/>
    <cellStyle name="Separador de milhares 3 5 2 2 6 2 6" xfId="33847"/>
    <cellStyle name="Separador de milhares 3 5 2 2 6 3" xfId="9278"/>
    <cellStyle name="Separador de milhares 3 5 2 2 6 3 2" xfId="27492"/>
    <cellStyle name="Separador de milhares 3 5 2 2 6 3 2 2" xfId="53722"/>
    <cellStyle name="Separador de milhares 3 5 2 2 6 3 3" xfId="21578"/>
    <cellStyle name="Separador de milhares 3 5 2 2 6 3 3 2" xfId="47814"/>
    <cellStyle name="Separador de milhares 3 5 2 2 6 3 4" xfId="15664"/>
    <cellStyle name="Separador de milhares 3 5 2 2 6 3 4 2" xfId="41906"/>
    <cellStyle name="Separador de milhares 3 5 2 2 6 3 5" xfId="35520"/>
    <cellStyle name="Separador de milhares 3 5 2 2 6 4" xfId="5903"/>
    <cellStyle name="Separador de milhares 3 5 2 2 6 4 2" xfId="24535"/>
    <cellStyle name="Separador de milhares 3 5 2 2 6 4 2 2" xfId="50768"/>
    <cellStyle name="Separador de milhares 3 5 2 2 6 4 3" xfId="32148"/>
    <cellStyle name="Separador de milhares 3 5 2 2 6 5" xfId="18621"/>
    <cellStyle name="Separador de milhares 3 5 2 2 6 5 2" xfId="44860"/>
    <cellStyle name="Separador de milhares 3 5 2 2 6 6" xfId="12290"/>
    <cellStyle name="Separador de milhares 3 5 2 2 6 6 2" xfId="38532"/>
    <cellStyle name="Separador de milhares 3 5 2 2 6 7" xfId="30450"/>
    <cellStyle name="Separador de milhares 3 5 2 2 7" xfId="6573"/>
    <cellStyle name="Separador de milhares 3 5 2 2 7 2" xfId="9720"/>
    <cellStyle name="Separador de milhares 3 5 2 2 7 2 2" xfId="27934"/>
    <cellStyle name="Separador de milhares 3 5 2 2 7 2 2 2" xfId="54164"/>
    <cellStyle name="Separador de milhares 3 5 2 2 7 2 3" xfId="22020"/>
    <cellStyle name="Separador de milhares 3 5 2 2 7 2 3 2" xfId="48256"/>
    <cellStyle name="Separador de milhares 3 5 2 2 7 2 4" xfId="16106"/>
    <cellStyle name="Separador de milhares 3 5 2 2 7 2 4 2" xfId="42348"/>
    <cellStyle name="Separador de milhares 3 5 2 2 7 2 5" xfId="35962"/>
    <cellStyle name="Separador de milhares 3 5 2 2 7 3" xfId="24977"/>
    <cellStyle name="Separador de milhares 3 5 2 2 7 3 2" xfId="51210"/>
    <cellStyle name="Separador de milhares 3 5 2 2 7 4" xfId="19063"/>
    <cellStyle name="Separador de milhares 3 5 2 2 7 4 2" xfId="45302"/>
    <cellStyle name="Separador de milhares 3 5 2 2 7 5" xfId="12962"/>
    <cellStyle name="Separador de milhares 3 5 2 2 7 5 2" xfId="39204"/>
    <cellStyle name="Separador de milhares 3 5 2 2 7 6" xfId="32818"/>
    <cellStyle name="Separador de milhares 3 5 2 2 8" xfId="8249"/>
    <cellStyle name="Separador de milhares 3 5 2 2 8 2" xfId="26463"/>
    <cellStyle name="Separador de milhares 3 5 2 2 8 2 2" xfId="52696"/>
    <cellStyle name="Separador de milhares 3 5 2 2 8 3" xfId="20549"/>
    <cellStyle name="Separador de milhares 3 5 2 2 8 3 2" xfId="46788"/>
    <cellStyle name="Separador de milhares 3 5 2 2 8 4" xfId="14638"/>
    <cellStyle name="Separador de milhares 3 5 2 2 8 4 2" xfId="40880"/>
    <cellStyle name="Separador de milhares 3 5 2 2 8 5" xfId="34494"/>
    <cellStyle name="Separador de milhares 3 5 2 2 9" xfId="4872"/>
    <cellStyle name="Separador de milhares 3 5 2 2 9 2" xfId="23506"/>
    <cellStyle name="Separador de milhares 3 5 2 2 9 2 2" xfId="49742"/>
    <cellStyle name="Separador de milhares 3 5 2 2 9 3" xfId="31119"/>
    <cellStyle name="Separador de milhares 3 5 2 3" xfId="936"/>
    <cellStyle name="Separador de milhares 3 5 2 3 2" xfId="6724"/>
    <cellStyle name="Separador de milhares 3 5 2 3 2 2" xfId="9871"/>
    <cellStyle name="Separador de milhares 3 5 2 3 2 2 2" xfId="28085"/>
    <cellStyle name="Separador de milhares 3 5 2 3 2 2 2 2" xfId="54315"/>
    <cellStyle name="Separador de milhares 3 5 2 3 2 2 3" xfId="22171"/>
    <cellStyle name="Separador de milhares 3 5 2 3 2 2 3 2" xfId="48407"/>
    <cellStyle name="Separador de milhares 3 5 2 3 2 2 4" xfId="16257"/>
    <cellStyle name="Separador de milhares 3 5 2 3 2 2 4 2" xfId="42499"/>
    <cellStyle name="Separador de milhares 3 5 2 3 2 2 5" xfId="36113"/>
    <cellStyle name="Separador de milhares 3 5 2 3 2 3" xfId="25128"/>
    <cellStyle name="Separador de milhares 3 5 2 3 2 3 2" xfId="51361"/>
    <cellStyle name="Separador de milhares 3 5 2 3 2 4" xfId="19214"/>
    <cellStyle name="Separador de milhares 3 5 2 3 2 4 2" xfId="45453"/>
    <cellStyle name="Separador de milhares 3 5 2 3 2 5" xfId="13113"/>
    <cellStyle name="Separador de milhares 3 5 2 3 2 5 2" xfId="39355"/>
    <cellStyle name="Separador de milhares 3 5 2 3 2 6" xfId="32969"/>
    <cellStyle name="Separador de milhares 3 5 2 3 3" xfId="8403"/>
    <cellStyle name="Separador de milhares 3 5 2 3 3 2" xfId="26617"/>
    <cellStyle name="Separador de milhares 3 5 2 3 3 2 2" xfId="52847"/>
    <cellStyle name="Separador de milhares 3 5 2 3 3 3" xfId="20703"/>
    <cellStyle name="Separador de milhares 3 5 2 3 3 3 2" xfId="46939"/>
    <cellStyle name="Separador de milhares 3 5 2 3 3 4" xfId="14789"/>
    <cellStyle name="Separador de milhares 3 5 2 3 3 4 2" xfId="41031"/>
    <cellStyle name="Separador de milhares 3 5 2 3 3 5" xfId="34645"/>
    <cellStyle name="Separador de milhares 3 5 2 3 4" xfId="5025"/>
    <cellStyle name="Separador de milhares 3 5 2 3 4 2" xfId="23660"/>
    <cellStyle name="Separador de milhares 3 5 2 3 4 2 2" xfId="49893"/>
    <cellStyle name="Separador de milhares 3 5 2 3 4 3" xfId="31270"/>
    <cellStyle name="Separador de milhares 3 5 2 3 5" xfId="17746"/>
    <cellStyle name="Separador de milhares 3 5 2 3 5 2" xfId="43985"/>
    <cellStyle name="Separador de milhares 3 5 2 3 6" xfId="11412"/>
    <cellStyle name="Separador de milhares 3 5 2 3 6 2" xfId="37654"/>
    <cellStyle name="Separador de milhares 3 5 2 3 7" xfId="29572"/>
    <cellStyle name="Separador de milhares 3 5 2 4" xfId="1287"/>
    <cellStyle name="Separador de milhares 3 5 2 4 2" xfId="6822"/>
    <cellStyle name="Separador de milhares 3 5 2 4 2 2" xfId="9969"/>
    <cellStyle name="Separador de milhares 3 5 2 4 2 2 2" xfId="28183"/>
    <cellStyle name="Separador de milhares 3 5 2 4 2 2 2 2" xfId="54413"/>
    <cellStyle name="Separador de milhares 3 5 2 4 2 2 3" xfId="22269"/>
    <cellStyle name="Separador de milhares 3 5 2 4 2 2 3 2" xfId="48505"/>
    <cellStyle name="Separador de milhares 3 5 2 4 2 2 4" xfId="16355"/>
    <cellStyle name="Separador de milhares 3 5 2 4 2 2 4 2" xfId="42597"/>
    <cellStyle name="Separador de milhares 3 5 2 4 2 2 5" xfId="36211"/>
    <cellStyle name="Separador de milhares 3 5 2 4 2 3" xfId="25226"/>
    <cellStyle name="Separador de milhares 3 5 2 4 2 3 2" xfId="51459"/>
    <cellStyle name="Separador de milhares 3 5 2 4 2 4" xfId="19312"/>
    <cellStyle name="Separador de milhares 3 5 2 4 2 4 2" xfId="45551"/>
    <cellStyle name="Separador de milhares 3 5 2 4 2 5" xfId="13211"/>
    <cellStyle name="Separador de milhares 3 5 2 4 2 5 2" xfId="39453"/>
    <cellStyle name="Separador de milhares 3 5 2 4 2 6" xfId="33067"/>
    <cellStyle name="Separador de milhares 3 5 2 4 3" xfId="8501"/>
    <cellStyle name="Separador de milhares 3 5 2 4 3 2" xfId="26715"/>
    <cellStyle name="Separador de milhares 3 5 2 4 3 2 2" xfId="52945"/>
    <cellStyle name="Separador de milhares 3 5 2 4 3 3" xfId="20801"/>
    <cellStyle name="Separador de milhares 3 5 2 4 3 3 2" xfId="47037"/>
    <cellStyle name="Separador de milhares 3 5 2 4 3 4" xfId="14887"/>
    <cellStyle name="Separador de milhares 3 5 2 4 3 4 2" xfId="41129"/>
    <cellStyle name="Separador de milhares 3 5 2 4 3 5" xfId="34743"/>
    <cellStyle name="Separador de milhares 3 5 2 4 4" xfId="5123"/>
    <cellStyle name="Separador de milhares 3 5 2 4 4 2" xfId="23758"/>
    <cellStyle name="Separador de milhares 3 5 2 4 4 2 2" xfId="49991"/>
    <cellStyle name="Separador de milhares 3 5 2 4 4 3" xfId="31368"/>
    <cellStyle name="Separador de milhares 3 5 2 4 5" xfId="17844"/>
    <cellStyle name="Separador de milhares 3 5 2 4 5 2" xfId="44083"/>
    <cellStyle name="Separador de milhares 3 5 2 4 6" xfId="11510"/>
    <cellStyle name="Separador de milhares 3 5 2 4 6 2" xfId="37752"/>
    <cellStyle name="Separador de milhares 3 5 2 4 7" xfId="29670"/>
    <cellStyle name="Separador de milhares 3 5 2 5" xfId="1722"/>
    <cellStyle name="Separador de milhares 3 5 2 5 2" xfId="6941"/>
    <cellStyle name="Separador de milhares 3 5 2 5 2 2" xfId="10088"/>
    <cellStyle name="Separador de milhares 3 5 2 5 2 2 2" xfId="28302"/>
    <cellStyle name="Separador de milhares 3 5 2 5 2 2 2 2" xfId="54532"/>
    <cellStyle name="Separador de milhares 3 5 2 5 2 2 3" xfId="22388"/>
    <cellStyle name="Separador de milhares 3 5 2 5 2 2 3 2" xfId="48624"/>
    <cellStyle name="Separador de milhares 3 5 2 5 2 2 4" xfId="16474"/>
    <cellStyle name="Separador de milhares 3 5 2 5 2 2 4 2" xfId="42716"/>
    <cellStyle name="Separador de milhares 3 5 2 5 2 2 5" xfId="36330"/>
    <cellStyle name="Separador de milhares 3 5 2 5 2 3" xfId="25345"/>
    <cellStyle name="Separador de milhares 3 5 2 5 2 3 2" xfId="51578"/>
    <cellStyle name="Separador de milhares 3 5 2 5 2 4" xfId="19431"/>
    <cellStyle name="Separador de milhares 3 5 2 5 2 4 2" xfId="45670"/>
    <cellStyle name="Separador de milhares 3 5 2 5 2 5" xfId="13330"/>
    <cellStyle name="Separador de milhares 3 5 2 5 2 5 2" xfId="39572"/>
    <cellStyle name="Separador de milhares 3 5 2 5 2 6" xfId="33186"/>
    <cellStyle name="Separador de milhares 3 5 2 5 3" xfId="8620"/>
    <cellStyle name="Separador de milhares 3 5 2 5 3 2" xfId="26834"/>
    <cellStyle name="Separador de milhares 3 5 2 5 3 2 2" xfId="53064"/>
    <cellStyle name="Separador de milhares 3 5 2 5 3 3" xfId="20920"/>
    <cellStyle name="Separador de milhares 3 5 2 5 3 3 2" xfId="47156"/>
    <cellStyle name="Separador de milhares 3 5 2 5 3 4" xfId="15006"/>
    <cellStyle name="Separador de milhares 3 5 2 5 3 4 2" xfId="41248"/>
    <cellStyle name="Separador de milhares 3 5 2 5 3 5" xfId="34862"/>
    <cellStyle name="Separador de milhares 3 5 2 5 4" xfId="5242"/>
    <cellStyle name="Separador de milhares 3 5 2 5 4 2" xfId="23877"/>
    <cellStyle name="Separador de milhares 3 5 2 5 4 2 2" xfId="50110"/>
    <cellStyle name="Separador de milhares 3 5 2 5 4 3" xfId="31487"/>
    <cellStyle name="Separador de milhares 3 5 2 5 5" xfId="17963"/>
    <cellStyle name="Separador de milhares 3 5 2 5 5 2" xfId="44202"/>
    <cellStyle name="Separador de milhares 3 5 2 5 6" xfId="11629"/>
    <cellStyle name="Separador de milhares 3 5 2 5 6 2" xfId="37871"/>
    <cellStyle name="Separador de milhares 3 5 2 5 7" xfId="29789"/>
    <cellStyle name="Separador de milhares 3 5 2 6" xfId="2252"/>
    <cellStyle name="Separador de milhares 3 5 2 6 2" xfId="7091"/>
    <cellStyle name="Separador de milhares 3 5 2 6 2 2" xfId="10235"/>
    <cellStyle name="Separador de milhares 3 5 2 6 2 2 2" xfId="28449"/>
    <cellStyle name="Separador de milhares 3 5 2 6 2 2 2 2" xfId="54679"/>
    <cellStyle name="Separador de milhares 3 5 2 6 2 2 3" xfId="22535"/>
    <cellStyle name="Separador de milhares 3 5 2 6 2 2 3 2" xfId="48771"/>
    <cellStyle name="Separador de milhares 3 5 2 6 2 2 4" xfId="16621"/>
    <cellStyle name="Separador de milhares 3 5 2 6 2 2 4 2" xfId="42863"/>
    <cellStyle name="Separador de milhares 3 5 2 6 2 2 5" xfId="36477"/>
    <cellStyle name="Separador de milhares 3 5 2 6 2 3" xfId="25492"/>
    <cellStyle name="Separador de milhares 3 5 2 6 2 3 2" xfId="51725"/>
    <cellStyle name="Separador de milhares 3 5 2 6 2 4" xfId="19578"/>
    <cellStyle name="Separador de milhares 3 5 2 6 2 4 2" xfId="45817"/>
    <cellStyle name="Separador de milhares 3 5 2 6 2 5" xfId="13480"/>
    <cellStyle name="Separador de milhares 3 5 2 6 2 5 2" xfId="39722"/>
    <cellStyle name="Separador de milhares 3 5 2 6 2 6" xfId="33336"/>
    <cellStyle name="Separador de milhares 3 5 2 6 3" xfId="8767"/>
    <cellStyle name="Separador de milhares 3 5 2 6 3 2" xfId="26981"/>
    <cellStyle name="Separador de milhares 3 5 2 6 3 2 2" xfId="53211"/>
    <cellStyle name="Separador de milhares 3 5 2 6 3 3" xfId="21067"/>
    <cellStyle name="Separador de milhares 3 5 2 6 3 3 2" xfId="47303"/>
    <cellStyle name="Separador de milhares 3 5 2 6 3 4" xfId="15153"/>
    <cellStyle name="Separador de milhares 3 5 2 6 3 4 2" xfId="41395"/>
    <cellStyle name="Separador de milhares 3 5 2 6 3 5" xfId="35009"/>
    <cellStyle name="Separador de milhares 3 5 2 6 4" xfId="5392"/>
    <cellStyle name="Separador de milhares 3 5 2 6 4 2" xfId="24024"/>
    <cellStyle name="Separador de milhares 3 5 2 6 4 2 2" xfId="50257"/>
    <cellStyle name="Separador de milhares 3 5 2 6 4 3" xfId="31637"/>
    <cellStyle name="Separador de milhares 3 5 2 6 5" xfId="18110"/>
    <cellStyle name="Separador de milhares 3 5 2 6 5 2" xfId="44349"/>
    <cellStyle name="Separador de milhares 3 5 2 6 6" xfId="11779"/>
    <cellStyle name="Separador de milhares 3 5 2 6 6 2" xfId="38021"/>
    <cellStyle name="Separador de milhares 3 5 2 6 7" xfId="29939"/>
    <cellStyle name="Separador de milhares 3 5 2 7" xfId="2779"/>
    <cellStyle name="Separador de milhares 3 5 2 7 2" xfId="7238"/>
    <cellStyle name="Separador de milhares 3 5 2 7 2 2" xfId="10382"/>
    <cellStyle name="Separador de milhares 3 5 2 7 2 2 2" xfId="28596"/>
    <cellStyle name="Separador de milhares 3 5 2 7 2 2 2 2" xfId="54826"/>
    <cellStyle name="Separador de milhares 3 5 2 7 2 2 3" xfId="22682"/>
    <cellStyle name="Separador de milhares 3 5 2 7 2 2 3 2" xfId="48918"/>
    <cellStyle name="Separador de milhares 3 5 2 7 2 2 4" xfId="16768"/>
    <cellStyle name="Separador de milhares 3 5 2 7 2 2 4 2" xfId="43010"/>
    <cellStyle name="Separador de milhares 3 5 2 7 2 2 5" xfId="36624"/>
    <cellStyle name="Separador de milhares 3 5 2 7 2 3" xfId="25639"/>
    <cellStyle name="Separador de milhares 3 5 2 7 2 3 2" xfId="51872"/>
    <cellStyle name="Separador de milhares 3 5 2 7 2 4" xfId="19725"/>
    <cellStyle name="Separador de milhares 3 5 2 7 2 4 2" xfId="45964"/>
    <cellStyle name="Separador de milhares 3 5 2 7 2 5" xfId="13627"/>
    <cellStyle name="Separador de milhares 3 5 2 7 2 5 2" xfId="39869"/>
    <cellStyle name="Separador de milhares 3 5 2 7 2 6" xfId="33483"/>
    <cellStyle name="Separador de milhares 3 5 2 7 3" xfId="8914"/>
    <cellStyle name="Separador de milhares 3 5 2 7 3 2" xfId="27128"/>
    <cellStyle name="Separador de milhares 3 5 2 7 3 2 2" xfId="53358"/>
    <cellStyle name="Separador de milhares 3 5 2 7 3 3" xfId="21214"/>
    <cellStyle name="Separador de milhares 3 5 2 7 3 3 2" xfId="47450"/>
    <cellStyle name="Separador de milhares 3 5 2 7 3 4" xfId="15300"/>
    <cellStyle name="Separador de milhares 3 5 2 7 3 4 2" xfId="41542"/>
    <cellStyle name="Separador de milhares 3 5 2 7 3 5" xfId="35156"/>
    <cellStyle name="Separador de milhares 3 5 2 7 4" xfId="5539"/>
    <cellStyle name="Separador de milhares 3 5 2 7 4 2" xfId="24171"/>
    <cellStyle name="Separador de milhares 3 5 2 7 4 2 2" xfId="50404"/>
    <cellStyle name="Separador de milhares 3 5 2 7 4 3" xfId="31784"/>
    <cellStyle name="Separador de milhares 3 5 2 7 5" xfId="18257"/>
    <cellStyle name="Separador de milhares 3 5 2 7 5 2" xfId="44496"/>
    <cellStyle name="Separador de milhares 3 5 2 7 6" xfId="11926"/>
    <cellStyle name="Separador de milhares 3 5 2 7 6 2" xfId="38168"/>
    <cellStyle name="Separador de milhares 3 5 2 7 7" xfId="30086"/>
    <cellStyle name="Separador de milhares 3 5 2 8" xfId="3306"/>
    <cellStyle name="Separador de milhares 3 5 2 8 2" xfId="7385"/>
    <cellStyle name="Separador de milhares 3 5 2 8 2 2" xfId="10529"/>
    <cellStyle name="Separador de milhares 3 5 2 8 2 2 2" xfId="28743"/>
    <cellStyle name="Separador de milhares 3 5 2 8 2 2 2 2" xfId="54973"/>
    <cellStyle name="Separador de milhares 3 5 2 8 2 2 3" xfId="22829"/>
    <cellStyle name="Separador de milhares 3 5 2 8 2 2 3 2" xfId="49065"/>
    <cellStyle name="Separador de milhares 3 5 2 8 2 2 4" xfId="16915"/>
    <cellStyle name="Separador de milhares 3 5 2 8 2 2 4 2" xfId="43157"/>
    <cellStyle name="Separador de milhares 3 5 2 8 2 2 5" xfId="36771"/>
    <cellStyle name="Separador de milhares 3 5 2 8 2 3" xfId="25786"/>
    <cellStyle name="Separador de milhares 3 5 2 8 2 3 2" xfId="52019"/>
    <cellStyle name="Separador de milhares 3 5 2 8 2 4" xfId="19872"/>
    <cellStyle name="Separador de milhares 3 5 2 8 2 4 2" xfId="46111"/>
    <cellStyle name="Separador de milhares 3 5 2 8 2 5" xfId="13774"/>
    <cellStyle name="Separador de milhares 3 5 2 8 2 5 2" xfId="40016"/>
    <cellStyle name="Separador de milhares 3 5 2 8 2 6" xfId="33630"/>
    <cellStyle name="Separador de milhares 3 5 2 8 3" xfId="9061"/>
    <cellStyle name="Separador de milhares 3 5 2 8 3 2" xfId="27275"/>
    <cellStyle name="Separador de milhares 3 5 2 8 3 2 2" xfId="53505"/>
    <cellStyle name="Separador de milhares 3 5 2 8 3 3" xfId="21361"/>
    <cellStyle name="Separador de milhares 3 5 2 8 3 3 2" xfId="47597"/>
    <cellStyle name="Separador de milhares 3 5 2 8 3 4" xfId="15447"/>
    <cellStyle name="Separador de milhares 3 5 2 8 3 4 2" xfId="41689"/>
    <cellStyle name="Separador de milhares 3 5 2 8 3 5" xfId="35303"/>
    <cellStyle name="Separador de milhares 3 5 2 8 4" xfId="5686"/>
    <cellStyle name="Separador de milhares 3 5 2 8 4 2" xfId="24318"/>
    <cellStyle name="Separador de milhares 3 5 2 8 4 2 2" xfId="50551"/>
    <cellStyle name="Separador de milhares 3 5 2 8 4 3" xfId="31931"/>
    <cellStyle name="Separador de milhares 3 5 2 8 5" xfId="18404"/>
    <cellStyle name="Separador de milhares 3 5 2 8 5 2" xfId="44643"/>
    <cellStyle name="Separador de milhares 3 5 2 8 6" xfId="12073"/>
    <cellStyle name="Separador de milhares 3 5 2 8 6 2" xfId="38315"/>
    <cellStyle name="Separador de milhares 3 5 2 8 7" xfId="30233"/>
    <cellStyle name="Separador de milhares 3 5 2 9" xfId="3833"/>
    <cellStyle name="Separador de milhares 3 5 2 9 2" xfId="7532"/>
    <cellStyle name="Separador de milhares 3 5 2 9 2 2" xfId="10676"/>
    <cellStyle name="Separador de milhares 3 5 2 9 2 2 2" xfId="28890"/>
    <cellStyle name="Separador de milhares 3 5 2 9 2 2 2 2" xfId="55120"/>
    <cellStyle name="Separador de milhares 3 5 2 9 2 2 3" xfId="22976"/>
    <cellStyle name="Separador de milhares 3 5 2 9 2 2 3 2" xfId="49212"/>
    <cellStyle name="Separador de milhares 3 5 2 9 2 2 4" xfId="17062"/>
    <cellStyle name="Separador de milhares 3 5 2 9 2 2 4 2" xfId="43304"/>
    <cellStyle name="Separador de milhares 3 5 2 9 2 2 5" xfId="36918"/>
    <cellStyle name="Separador de milhares 3 5 2 9 2 3" xfId="25933"/>
    <cellStyle name="Separador de milhares 3 5 2 9 2 3 2" xfId="52166"/>
    <cellStyle name="Separador de milhares 3 5 2 9 2 4" xfId="20019"/>
    <cellStyle name="Separador de milhares 3 5 2 9 2 4 2" xfId="46258"/>
    <cellStyle name="Separador de milhares 3 5 2 9 2 5" xfId="13921"/>
    <cellStyle name="Separador de milhares 3 5 2 9 2 5 2" xfId="40163"/>
    <cellStyle name="Separador de milhares 3 5 2 9 2 6" xfId="33777"/>
    <cellStyle name="Separador de milhares 3 5 2 9 3" xfId="9208"/>
    <cellStyle name="Separador de milhares 3 5 2 9 3 2" xfId="27422"/>
    <cellStyle name="Separador de milhares 3 5 2 9 3 2 2" xfId="53652"/>
    <cellStyle name="Separador de milhares 3 5 2 9 3 3" xfId="21508"/>
    <cellStyle name="Separador de milhares 3 5 2 9 3 3 2" xfId="47744"/>
    <cellStyle name="Separador de milhares 3 5 2 9 3 4" xfId="15594"/>
    <cellStyle name="Separador de milhares 3 5 2 9 3 4 2" xfId="41836"/>
    <cellStyle name="Separador de milhares 3 5 2 9 3 5" xfId="35450"/>
    <cellStyle name="Separador de milhares 3 5 2 9 4" xfId="5833"/>
    <cellStyle name="Separador de milhares 3 5 2 9 4 2" xfId="24465"/>
    <cellStyle name="Separador de milhares 3 5 2 9 4 2 2" xfId="50698"/>
    <cellStyle name="Separador de milhares 3 5 2 9 4 3" xfId="32078"/>
    <cellStyle name="Separador de milhares 3 5 2 9 5" xfId="18551"/>
    <cellStyle name="Separador de milhares 3 5 2 9 5 2" xfId="44790"/>
    <cellStyle name="Separador de milhares 3 5 2 9 6" xfId="12220"/>
    <cellStyle name="Separador de milhares 3 5 2 9 6 2" xfId="38462"/>
    <cellStyle name="Separador de milhares 3 5 2 9 7" xfId="30380"/>
    <cellStyle name="Separador de milhares 3 5 3" xfId="285"/>
    <cellStyle name="Separador de milhares 3 5 3 10" xfId="6523"/>
    <cellStyle name="Separador de milhares 3 5 3 10 2" xfId="9674"/>
    <cellStyle name="Separador de milhares 3 5 3 10 2 2" xfId="27888"/>
    <cellStyle name="Separador de milhares 3 5 3 10 2 2 2" xfId="54118"/>
    <cellStyle name="Separador de milhares 3 5 3 10 2 3" xfId="21974"/>
    <cellStyle name="Separador de milhares 3 5 3 10 2 3 2" xfId="48210"/>
    <cellStyle name="Separador de milhares 3 5 3 10 2 4" xfId="16060"/>
    <cellStyle name="Separador de milhares 3 5 3 10 2 4 2" xfId="42302"/>
    <cellStyle name="Separador de milhares 3 5 3 10 2 5" xfId="35916"/>
    <cellStyle name="Separador de milhares 3 5 3 10 3" xfId="24931"/>
    <cellStyle name="Separador de milhares 3 5 3 10 3 2" xfId="51164"/>
    <cellStyle name="Separador de milhares 3 5 3 10 4" xfId="19017"/>
    <cellStyle name="Separador de milhares 3 5 3 10 4 2" xfId="45256"/>
    <cellStyle name="Separador de milhares 3 5 3 10 5" xfId="12912"/>
    <cellStyle name="Separador de milhares 3 5 3 10 5 2" xfId="39154"/>
    <cellStyle name="Separador de milhares 3 5 3 10 6" xfId="32768"/>
    <cellStyle name="Separador de milhares 3 5 3 11" xfId="8203"/>
    <cellStyle name="Separador de milhares 3 5 3 11 2" xfId="26417"/>
    <cellStyle name="Separador de milhares 3 5 3 11 2 2" xfId="52650"/>
    <cellStyle name="Separador de milhares 3 5 3 11 3" xfId="20503"/>
    <cellStyle name="Separador de milhares 3 5 3 11 3 2" xfId="46742"/>
    <cellStyle name="Separador de milhares 3 5 3 11 4" xfId="14592"/>
    <cellStyle name="Separador de milhares 3 5 3 11 4 2" xfId="40834"/>
    <cellStyle name="Separador de milhares 3 5 3 11 5" xfId="34448"/>
    <cellStyle name="Separador de milhares 3 5 3 12" xfId="4822"/>
    <cellStyle name="Separador de milhares 3 5 3 12 2" xfId="23460"/>
    <cellStyle name="Separador de milhares 3 5 3 12 2 2" xfId="49696"/>
    <cellStyle name="Separador de milhares 3 5 3 12 3" xfId="31069"/>
    <cellStyle name="Separador de milhares 3 5 3 13" xfId="17546"/>
    <cellStyle name="Separador de milhares 3 5 3 13 2" xfId="43788"/>
    <cellStyle name="Separador de milhares 3 5 3 14" xfId="11211"/>
    <cellStyle name="Separador de milhares 3 5 3 14 2" xfId="37453"/>
    <cellStyle name="Separador de milhares 3 5 3 15" xfId="29371"/>
    <cellStyle name="Separador de milhares 3 5 3 2" xfId="548"/>
    <cellStyle name="Separador de milhares 3 5 3 2 2" xfId="6594"/>
    <cellStyle name="Separador de milhares 3 5 3 2 2 2" xfId="9741"/>
    <cellStyle name="Separador de milhares 3 5 3 2 2 2 2" xfId="27955"/>
    <cellStyle name="Separador de milhares 3 5 3 2 2 2 2 2" xfId="54185"/>
    <cellStyle name="Separador de milhares 3 5 3 2 2 2 3" xfId="22041"/>
    <cellStyle name="Separador de milhares 3 5 3 2 2 2 3 2" xfId="48277"/>
    <cellStyle name="Separador de milhares 3 5 3 2 2 2 4" xfId="16127"/>
    <cellStyle name="Separador de milhares 3 5 3 2 2 2 4 2" xfId="42369"/>
    <cellStyle name="Separador de milhares 3 5 3 2 2 2 5" xfId="35983"/>
    <cellStyle name="Separador de milhares 3 5 3 2 2 3" xfId="24998"/>
    <cellStyle name="Separador de milhares 3 5 3 2 2 3 2" xfId="51231"/>
    <cellStyle name="Separador de milhares 3 5 3 2 2 4" xfId="19084"/>
    <cellStyle name="Separador de milhares 3 5 3 2 2 4 2" xfId="45323"/>
    <cellStyle name="Separador de milhares 3 5 3 2 2 5" xfId="12983"/>
    <cellStyle name="Separador de milhares 3 5 3 2 2 5 2" xfId="39225"/>
    <cellStyle name="Separador de milhares 3 5 3 2 2 6" xfId="32839"/>
    <cellStyle name="Separador de milhares 3 5 3 2 3" xfId="8270"/>
    <cellStyle name="Separador de milhares 3 5 3 2 3 2" xfId="26484"/>
    <cellStyle name="Separador de milhares 3 5 3 2 3 2 2" xfId="52717"/>
    <cellStyle name="Separador de milhares 3 5 3 2 3 3" xfId="20570"/>
    <cellStyle name="Separador de milhares 3 5 3 2 3 3 2" xfId="46809"/>
    <cellStyle name="Separador de milhares 3 5 3 2 3 4" xfId="14659"/>
    <cellStyle name="Separador de milhares 3 5 3 2 3 4 2" xfId="40901"/>
    <cellStyle name="Separador de milhares 3 5 3 2 3 5" xfId="34515"/>
    <cellStyle name="Separador de milhares 3 5 3 2 4" xfId="4893"/>
    <cellStyle name="Separador de milhares 3 5 3 2 4 2" xfId="23527"/>
    <cellStyle name="Separador de milhares 3 5 3 2 4 2 2" xfId="49763"/>
    <cellStyle name="Separador de milhares 3 5 3 2 4 3" xfId="31140"/>
    <cellStyle name="Separador de milhares 3 5 3 2 5" xfId="17613"/>
    <cellStyle name="Separador de milhares 3 5 3 2 5 2" xfId="43855"/>
    <cellStyle name="Separador de milhares 3 5 3 2 6" xfId="11282"/>
    <cellStyle name="Separador de milhares 3 5 3 2 6 2" xfId="37524"/>
    <cellStyle name="Separador de milhares 3 5 3 2 7" xfId="29442"/>
    <cellStyle name="Separador de milhares 3 5 3 3" xfId="845"/>
    <cellStyle name="Separador de milhares 3 5 3 3 2" xfId="6696"/>
    <cellStyle name="Separador de milhares 3 5 3 3 2 2" xfId="9843"/>
    <cellStyle name="Separador de milhares 3 5 3 3 2 2 2" xfId="28057"/>
    <cellStyle name="Separador de milhares 3 5 3 3 2 2 2 2" xfId="54287"/>
    <cellStyle name="Separador de milhares 3 5 3 3 2 2 3" xfId="22143"/>
    <cellStyle name="Separador de milhares 3 5 3 3 2 2 3 2" xfId="48379"/>
    <cellStyle name="Separador de milhares 3 5 3 3 2 2 4" xfId="16229"/>
    <cellStyle name="Separador de milhares 3 5 3 3 2 2 4 2" xfId="42471"/>
    <cellStyle name="Separador de milhares 3 5 3 3 2 2 5" xfId="36085"/>
    <cellStyle name="Separador de milhares 3 5 3 3 2 3" xfId="25100"/>
    <cellStyle name="Separador de milhares 3 5 3 3 2 3 2" xfId="51333"/>
    <cellStyle name="Separador de milhares 3 5 3 3 2 4" xfId="19186"/>
    <cellStyle name="Separador de milhares 3 5 3 3 2 4 2" xfId="45425"/>
    <cellStyle name="Separador de milhares 3 5 3 3 2 5" xfId="13085"/>
    <cellStyle name="Separador de milhares 3 5 3 3 2 5 2" xfId="39327"/>
    <cellStyle name="Separador de milhares 3 5 3 3 2 6" xfId="32941"/>
    <cellStyle name="Separador de milhares 3 5 3 3 3" xfId="8375"/>
    <cellStyle name="Separador de milhares 3 5 3 3 3 2" xfId="26589"/>
    <cellStyle name="Separador de milhares 3 5 3 3 3 2 2" xfId="52819"/>
    <cellStyle name="Separador de milhares 3 5 3 3 3 3" xfId="20675"/>
    <cellStyle name="Separador de milhares 3 5 3 3 3 3 2" xfId="46911"/>
    <cellStyle name="Separador de milhares 3 5 3 3 3 4" xfId="14761"/>
    <cellStyle name="Separador de milhares 3 5 3 3 3 4 2" xfId="41003"/>
    <cellStyle name="Separador de milhares 3 5 3 3 3 5" xfId="34617"/>
    <cellStyle name="Separador de milhares 3 5 3 3 4" xfId="4997"/>
    <cellStyle name="Separador de milhares 3 5 3 3 4 2" xfId="23632"/>
    <cellStyle name="Separador de milhares 3 5 3 3 4 2 2" xfId="49865"/>
    <cellStyle name="Separador de milhares 3 5 3 3 4 3" xfId="31242"/>
    <cellStyle name="Separador de milhares 3 5 3 3 5" xfId="17718"/>
    <cellStyle name="Separador de milhares 3 5 3 3 5 2" xfId="43957"/>
    <cellStyle name="Separador de milhares 3 5 3 3 6" xfId="11384"/>
    <cellStyle name="Separador de milhares 3 5 3 3 6 2" xfId="37626"/>
    <cellStyle name="Separador de milhares 3 5 3 3 7" xfId="29544"/>
    <cellStyle name="Separador de milhares 3 5 3 4" xfId="1196"/>
    <cellStyle name="Separador de milhares 3 5 3 4 2" xfId="6794"/>
    <cellStyle name="Separador de milhares 3 5 3 4 2 2" xfId="9941"/>
    <cellStyle name="Separador de milhares 3 5 3 4 2 2 2" xfId="28155"/>
    <cellStyle name="Separador de milhares 3 5 3 4 2 2 2 2" xfId="54385"/>
    <cellStyle name="Separador de milhares 3 5 3 4 2 2 3" xfId="22241"/>
    <cellStyle name="Separador de milhares 3 5 3 4 2 2 3 2" xfId="48477"/>
    <cellStyle name="Separador de milhares 3 5 3 4 2 2 4" xfId="16327"/>
    <cellStyle name="Separador de milhares 3 5 3 4 2 2 4 2" xfId="42569"/>
    <cellStyle name="Separador de milhares 3 5 3 4 2 2 5" xfId="36183"/>
    <cellStyle name="Separador de milhares 3 5 3 4 2 3" xfId="25198"/>
    <cellStyle name="Separador de milhares 3 5 3 4 2 3 2" xfId="51431"/>
    <cellStyle name="Separador de milhares 3 5 3 4 2 4" xfId="19284"/>
    <cellStyle name="Separador de milhares 3 5 3 4 2 4 2" xfId="45523"/>
    <cellStyle name="Separador de milhares 3 5 3 4 2 5" xfId="13183"/>
    <cellStyle name="Separador de milhares 3 5 3 4 2 5 2" xfId="39425"/>
    <cellStyle name="Separador de milhares 3 5 3 4 2 6" xfId="33039"/>
    <cellStyle name="Separador de milhares 3 5 3 4 3" xfId="8473"/>
    <cellStyle name="Separador de milhares 3 5 3 4 3 2" xfId="26687"/>
    <cellStyle name="Separador de milhares 3 5 3 4 3 2 2" xfId="52917"/>
    <cellStyle name="Separador de milhares 3 5 3 4 3 3" xfId="20773"/>
    <cellStyle name="Separador de milhares 3 5 3 4 3 3 2" xfId="47009"/>
    <cellStyle name="Separador de milhares 3 5 3 4 3 4" xfId="14859"/>
    <cellStyle name="Separador de milhares 3 5 3 4 3 4 2" xfId="41101"/>
    <cellStyle name="Separador de milhares 3 5 3 4 3 5" xfId="34715"/>
    <cellStyle name="Separador de milhares 3 5 3 4 4" xfId="5095"/>
    <cellStyle name="Separador de milhares 3 5 3 4 4 2" xfId="23730"/>
    <cellStyle name="Separador de milhares 3 5 3 4 4 2 2" xfId="49963"/>
    <cellStyle name="Separador de milhares 3 5 3 4 4 3" xfId="31340"/>
    <cellStyle name="Separador de milhares 3 5 3 4 5" xfId="17816"/>
    <cellStyle name="Separador de milhares 3 5 3 4 5 2" xfId="44055"/>
    <cellStyle name="Separador de milhares 3 5 3 4 6" xfId="11482"/>
    <cellStyle name="Separador de milhares 3 5 3 4 6 2" xfId="37724"/>
    <cellStyle name="Separador de milhares 3 5 3 4 7" xfId="29642"/>
    <cellStyle name="Separador de milhares 3 5 3 5" xfId="1631"/>
    <cellStyle name="Separador de milhares 3 5 3 5 2" xfId="6913"/>
    <cellStyle name="Separador de milhares 3 5 3 5 2 2" xfId="10060"/>
    <cellStyle name="Separador de milhares 3 5 3 5 2 2 2" xfId="28274"/>
    <cellStyle name="Separador de milhares 3 5 3 5 2 2 2 2" xfId="54504"/>
    <cellStyle name="Separador de milhares 3 5 3 5 2 2 3" xfId="22360"/>
    <cellStyle name="Separador de milhares 3 5 3 5 2 2 3 2" xfId="48596"/>
    <cellStyle name="Separador de milhares 3 5 3 5 2 2 4" xfId="16446"/>
    <cellStyle name="Separador de milhares 3 5 3 5 2 2 4 2" xfId="42688"/>
    <cellStyle name="Separador de milhares 3 5 3 5 2 2 5" xfId="36302"/>
    <cellStyle name="Separador de milhares 3 5 3 5 2 3" xfId="25317"/>
    <cellStyle name="Separador de milhares 3 5 3 5 2 3 2" xfId="51550"/>
    <cellStyle name="Separador de milhares 3 5 3 5 2 4" xfId="19403"/>
    <cellStyle name="Separador de milhares 3 5 3 5 2 4 2" xfId="45642"/>
    <cellStyle name="Separador de milhares 3 5 3 5 2 5" xfId="13302"/>
    <cellStyle name="Separador de milhares 3 5 3 5 2 5 2" xfId="39544"/>
    <cellStyle name="Separador de milhares 3 5 3 5 2 6" xfId="33158"/>
    <cellStyle name="Separador de milhares 3 5 3 5 3" xfId="8592"/>
    <cellStyle name="Separador de milhares 3 5 3 5 3 2" xfId="26806"/>
    <cellStyle name="Separador de milhares 3 5 3 5 3 2 2" xfId="53036"/>
    <cellStyle name="Separador de milhares 3 5 3 5 3 3" xfId="20892"/>
    <cellStyle name="Separador de milhares 3 5 3 5 3 3 2" xfId="47128"/>
    <cellStyle name="Separador de milhares 3 5 3 5 3 4" xfId="14978"/>
    <cellStyle name="Separador de milhares 3 5 3 5 3 4 2" xfId="41220"/>
    <cellStyle name="Separador de milhares 3 5 3 5 3 5" xfId="34834"/>
    <cellStyle name="Separador de milhares 3 5 3 5 4" xfId="5214"/>
    <cellStyle name="Separador de milhares 3 5 3 5 4 2" xfId="23849"/>
    <cellStyle name="Separador de milhares 3 5 3 5 4 2 2" xfId="50082"/>
    <cellStyle name="Separador de milhares 3 5 3 5 4 3" xfId="31459"/>
    <cellStyle name="Separador de milhares 3 5 3 5 5" xfId="17935"/>
    <cellStyle name="Separador de milhares 3 5 3 5 5 2" xfId="44174"/>
    <cellStyle name="Separador de milhares 3 5 3 5 6" xfId="11601"/>
    <cellStyle name="Separador de milhares 3 5 3 5 6 2" xfId="37843"/>
    <cellStyle name="Separador de milhares 3 5 3 5 7" xfId="29761"/>
    <cellStyle name="Separador de milhares 3 5 3 6" xfId="2161"/>
    <cellStyle name="Separador de milhares 3 5 3 6 2" xfId="7063"/>
    <cellStyle name="Separador de milhares 3 5 3 6 2 2" xfId="10207"/>
    <cellStyle name="Separador de milhares 3 5 3 6 2 2 2" xfId="28421"/>
    <cellStyle name="Separador de milhares 3 5 3 6 2 2 2 2" xfId="54651"/>
    <cellStyle name="Separador de milhares 3 5 3 6 2 2 3" xfId="22507"/>
    <cellStyle name="Separador de milhares 3 5 3 6 2 2 3 2" xfId="48743"/>
    <cellStyle name="Separador de milhares 3 5 3 6 2 2 4" xfId="16593"/>
    <cellStyle name="Separador de milhares 3 5 3 6 2 2 4 2" xfId="42835"/>
    <cellStyle name="Separador de milhares 3 5 3 6 2 2 5" xfId="36449"/>
    <cellStyle name="Separador de milhares 3 5 3 6 2 3" xfId="25464"/>
    <cellStyle name="Separador de milhares 3 5 3 6 2 3 2" xfId="51697"/>
    <cellStyle name="Separador de milhares 3 5 3 6 2 4" xfId="19550"/>
    <cellStyle name="Separador de milhares 3 5 3 6 2 4 2" xfId="45789"/>
    <cellStyle name="Separador de milhares 3 5 3 6 2 5" xfId="13452"/>
    <cellStyle name="Separador de milhares 3 5 3 6 2 5 2" xfId="39694"/>
    <cellStyle name="Separador de milhares 3 5 3 6 2 6" xfId="33308"/>
    <cellStyle name="Separador de milhares 3 5 3 6 3" xfId="8739"/>
    <cellStyle name="Separador de milhares 3 5 3 6 3 2" xfId="26953"/>
    <cellStyle name="Separador de milhares 3 5 3 6 3 2 2" xfId="53183"/>
    <cellStyle name="Separador de milhares 3 5 3 6 3 3" xfId="21039"/>
    <cellStyle name="Separador de milhares 3 5 3 6 3 3 2" xfId="47275"/>
    <cellStyle name="Separador de milhares 3 5 3 6 3 4" xfId="15125"/>
    <cellStyle name="Separador de milhares 3 5 3 6 3 4 2" xfId="41367"/>
    <cellStyle name="Separador de milhares 3 5 3 6 3 5" xfId="34981"/>
    <cellStyle name="Separador de milhares 3 5 3 6 4" xfId="5364"/>
    <cellStyle name="Separador de milhares 3 5 3 6 4 2" xfId="23996"/>
    <cellStyle name="Separador de milhares 3 5 3 6 4 2 2" xfId="50229"/>
    <cellStyle name="Separador de milhares 3 5 3 6 4 3" xfId="31609"/>
    <cellStyle name="Separador de milhares 3 5 3 6 5" xfId="18082"/>
    <cellStyle name="Separador de milhares 3 5 3 6 5 2" xfId="44321"/>
    <cellStyle name="Separador de milhares 3 5 3 6 6" xfId="11751"/>
    <cellStyle name="Separador de milhares 3 5 3 6 6 2" xfId="37993"/>
    <cellStyle name="Separador de milhares 3 5 3 6 7" xfId="29911"/>
    <cellStyle name="Separador de milhares 3 5 3 7" xfId="2688"/>
    <cellStyle name="Separador de milhares 3 5 3 7 2" xfId="7210"/>
    <cellStyle name="Separador de milhares 3 5 3 7 2 2" xfId="10354"/>
    <cellStyle name="Separador de milhares 3 5 3 7 2 2 2" xfId="28568"/>
    <cellStyle name="Separador de milhares 3 5 3 7 2 2 2 2" xfId="54798"/>
    <cellStyle name="Separador de milhares 3 5 3 7 2 2 3" xfId="22654"/>
    <cellStyle name="Separador de milhares 3 5 3 7 2 2 3 2" xfId="48890"/>
    <cellStyle name="Separador de milhares 3 5 3 7 2 2 4" xfId="16740"/>
    <cellStyle name="Separador de milhares 3 5 3 7 2 2 4 2" xfId="42982"/>
    <cellStyle name="Separador de milhares 3 5 3 7 2 2 5" xfId="36596"/>
    <cellStyle name="Separador de milhares 3 5 3 7 2 3" xfId="25611"/>
    <cellStyle name="Separador de milhares 3 5 3 7 2 3 2" xfId="51844"/>
    <cellStyle name="Separador de milhares 3 5 3 7 2 4" xfId="19697"/>
    <cellStyle name="Separador de milhares 3 5 3 7 2 4 2" xfId="45936"/>
    <cellStyle name="Separador de milhares 3 5 3 7 2 5" xfId="13599"/>
    <cellStyle name="Separador de milhares 3 5 3 7 2 5 2" xfId="39841"/>
    <cellStyle name="Separador de milhares 3 5 3 7 2 6" xfId="33455"/>
    <cellStyle name="Separador de milhares 3 5 3 7 3" xfId="8886"/>
    <cellStyle name="Separador de milhares 3 5 3 7 3 2" xfId="27100"/>
    <cellStyle name="Separador de milhares 3 5 3 7 3 2 2" xfId="53330"/>
    <cellStyle name="Separador de milhares 3 5 3 7 3 3" xfId="21186"/>
    <cellStyle name="Separador de milhares 3 5 3 7 3 3 2" xfId="47422"/>
    <cellStyle name="Separador de milhares 3 5 3 7 3 4" xfId="15272"/>
    <cellStyle name="Separador de milhares 3 5 3 7 3 4 2" xfId="41514"/>
    <cellStyle name="Separador de milhares 3 5 3 7 3 5" xfId="35128"/>
    <cellStyle name="Separador de milhares 3 5 3 7 4" xfId="5511"/>
    <cellStyle name="Separador de milhares 3 5 3 7 4 2" xfId="24143"/>
    <cellStyle name="Separador de milhares 3 5 3 7 4 2 2" xfId="50376"/>
    <cellStyle name="Separador de milhares 3 5 3 7 4 3" xfId="31756"/>
    <cellStyle name="Separador de milhares 3 5 3 7 5" xfId="18229"/>
    <cellStyle name="Separador de milhares 3 5 3 7 5 2" xfId="44468"/>
    <cellStyle name="Separador de milhares 3 5 3 7 6" xfId="11898"/>
    <cellStyle name="Separador de milhares 3 5 3 7 6 2" xfId="38140"/>
    <cellStyle name="Separador de milhares 3 5 3 7 7" xfId="30058"/>
    <cellStyle name="Separador de milhares 3 5 3 8" xfId="3215"/>
    <cellStyle name="Separador de milhares 3 5 3 8 2" xfId="7357"/>
    <cellStyle name="Separador de milhares 3 5 3 8 2 2" xfId="10501"/>
    <cellStyle name="Separador de milhares 3 5 3 8 2 2 2" xfId="28715"/>
    <cellStyle name="Separador de milhares 3 5 3 8 2 2 2 2" xfId="54945"/>
    <cellStyle name="Separador de milhares 3 5 3 8 2 2 3" xfId="22801"/>
    <cellStyle name="Separador de milhares 3 5 3 8 2 2 3 2" xfId="49037"/>
    <cellStyle name="Separador de milhares 3 5 3 8 2 2 4" xfId="16887"/>
    <cellStyle name="Separador de milhares 3 5 3 8 2 2 4 2" xfId="43129"/>
    <cellStyle name="Separador de milhares 3 5 3 8 2 2 5" xfId="36743"/>
    <cellStyle name="Separador de milhares 3 5 3 8 2 3" xfId="25758"/>
    <cellStyle name="Separador de milhares 3 5 3 8 2 3 2" xfId="51991"/>
    <cellStyle name="Separador de milhares 3 5 3 8 2 4" xfId="19844"/>
    <cellStyle name="Separador de milhares 3 5 3 8 2 4 2" xfId="46083"/>
    <cellStyle name="Separador de milhares 3 5 3 8 2 5" xfId="13746"/>
    <cellStyle name="Separador de milhares 3 5 3 8 2 5 2" xfId="39988"/>
    <cellStyle name="Separador de milhares 3 5 3 8 2 6" xfId="33602"/>
    <cellStyle name="Separador de milhares 3 5 3 8 3" xfId="9033"/>
    <cellStyle name="Separador de milhares 3 5 3 8 3 2" xfId="27247"/>
    <cellStyle name="Separador de milhares 3 5 3 8 3 2 2" xfId="53477"/>
    <cellStyle name="Separador de milhares 3 5 3 8 3 3" xfId="21333"/>
    <cellStyle name="Separador de milhares 3 5 3 8 3 3 2" xfId="47569"/>
    <cellStyle name="Separador de milhares 3 5 3 8 3 4" xfId="15419"/>
    <cellStyle name="Separador de milhares 3 5 3 8 3 4 2" xfId="41661"/>
    <cellStyle name="Separador de milhares 3 5 3 8 3 5" xfId="35275"/>
    <cellStyle name="Separador de milhares 3 5 3 8 4" xfId="5658"/>
    <cellStyle name="Separador de milhares 3 5 3 8 4 2" xfId="24290"/>
    <cellStyle name="Separador de milhares 3 5 3 8 4 2 2" xfId="50523"/>
    <cellStyle name="Separador de milhares 3 5 3 8 4 3" xfId="31903"/>
    <cellStyle name="Separador de milhares 3 5 3 8 5" xfId="18376"/>
    <cellStyle name="Separador de milhares 3 5 3 8 5 2" xfId="44615"/>
    <cellStyle name="Separador de milhares 3 5 3 8 6" xfId="12045"/>
    <cellStyle name="Separador de milhares 3 5 3 8 6 2" xfId="38287"/>
    <cellStyle name="Separador de milhares 3 5 3 8 7" xfId="30205"/>
    <cellStyle name="Separador de milhares 3 5 3 9" xfId="3742"/>
    <cellStyle name="Separador de milhares 3 5 3 9 2" xfId="7504"/>
    <cellStyle name="Separador de milhares 3 5 3 9 2 2" xfId="10648"/>
    <cellStyle name="Separador de milhares 3 5 3 9 2 2 2" xfId="28862"/>
    <cellStyle name="Separador de milhares 3 5 3 9 2 2 2 2" xfId="55092"/>
    <cellStyle name="Separador de milhares 3 5 3 9 2 2 3" xfId="22948"/>
    <cellStyle name="Separador de milhares 3 5 3 9 2 2 3 2" xfId="49184"/>
    <cellStyle name="Separador de milhares 3 5 3 9 2 2 4" xfId="17034"/>
    <cellStyle name="Separador de milhares 3 5 3 9 2 2 4 2" xfId="43276"/>
    <cellStyle name="Separador de milhares 3 5 3 9 2 2 5" xfId="36890"/>
    <cellStyle name="Separador de milhares 3 5 3 9 2 3" xfId="25905"/>
    <cellStyle name="Separador de milhares 3 5 3 9 2 3 2" xfId="52138"/>
    <cellStyle name="Separador de milhares 3 5 3 9 2 4" xfId="19991"/>
    <cellStyle name="Separador de milhares 3 5 3 9 2 4 2" xfId="46230"/>
    <cellStyle name="Separador de milhares 3 5 3 9 2 5" xfId="13893"/>
    <cellStyle name="Separador de milhares 3 5 3 9 2 5 2" xfId="40135"/>
    <cellStyle name="Separador de milhares 3 5 3 9 2 6" xfId="33749"/>
    <cellStyle name="Separador de milhares 3 5 3 9 3" xfId="9180"/>
    <cellStyle name="Separador de milhares 3 5 3 9 3 2" xfId="27394"/>
    <cellStyle name="Separador de milhares 3 5 3 9 3 2 2" xfId="53624"/>
    <cellStyle name="Separador de milhares 3 5 3 9 3 3" xfId="21480"/>
    <cellStyle name="Separador de milhares 3 5 3 9 3 3 2" xfId="47716"/>
    <cellStyle name="Separador de milhares 3 5 3 9 3 4" xfId="15566"/>
    <cellStyle name="Separador de milhares 3 5 3 9 3 4 2" xfId="41808"/>
    <cellStyle name="Separador de milhares 3 5 3 9 3 5" xfId="35422"/>
    <cellStyle name="Separador de milhares 3 5 3 9 4" xfId="5805"/>
    <cellStyle name="Separador de milhares 3 5 3 9 4 2" xfId="24437"/>
    <cellStyle name="Separador de milhares 3 5 3 9 4 2 2" xfId="50670"/>
    <cellStyle name="Separador de milhares 3 5 3 9 4 3" xfId="32050"/>
    <cellStyle name="Separador de milhares 3 5 3 9 5" xfId="18523"/>
    <cellStyle name="Separador de milhares 3 5 3 9 5 2" xfId="44762"/>
    <cellStyle name="Separador de milhares 3 5 3 9 6" xfId="12192"/>
    <cellStyle name="Separador de milhares 3 5 3 9 6 2" xfId="38434"/>
    <cellStyle name="Separador de milhares 3 5 3 9 7" xfId="30352"/>
    <cellStyle name="Separador de milhares 3 5 4" xfId="378"/>
    <cellStyle name="Separador de milhares 3 5 4 10" xfId="6551"/>
    <cellStyle name="Separador de milhares 3 5 4 10 2" xfId="9699"/>
    <cellStyle name="Separador de milhares 3 5 4 10 2 2" xfId="27913"/>
    <cellStyle name="Separador de milhares 3 5 4 10 2 2 2" xfId="54143"/>
    <cellStyle name="Separador de milhares 3 5 4 10 2 3" xfId="21999"/>
    <cellStyle name="Separador de milhares 3 5 4 10 2 3 2" xfId="48235"/>
    <cellStyle name="Separador de milhares 3 5 4 10 2 4" xfId="16085"/>
    <cellStyle name="Separador de milhares 3 5 4 10 2 4 2" xfId="42327"/>
    <cellStyle name="Separador de milhares 3 5 4 10 2 5" xfId="35941"/>
    <cellStyle name="Separador de milhares 3 5 4 10 3" xfId="24956"/>
    <cellStyle name="Separador de milhares 3 5 4 10 3 2" xfId="51189"/>
    <cellStyle name="Separador de milhares 3 5 4 10 4" xfId="19042"/>
    <cellStyle name="Separador de milhares 3 5 4 10 4 2" xfId="45281"/>
    <cellStyle name="Separador de milhares 3 5 4 10 5" xfId="12940"/>
    <cellStyle name="Separador de milhares 3 5 4 10 5 2" xfId="39182"/>
    <cellStyle name="Separador de milhares 3 5 4 10 6" xfId="32796"/>
    <cellStyle name="Separador de milhares 3 5 4 11" xfId="8228"/>
    <cellStyle name="Separador de milhares 3 5 4 11 2" xfId="26442"/>
    <cellStyle name="Separador de milhares 3 5 4 11 2 2" xfId="52675"/>
    <cellStyle name="Separador de milhares 3 5 4 11 3" xfId="20528"/>
    <cellStyle name="Separador de milhares 3 5 4 11 3 2" xfId="46767"/>
    <cellStyle name="Separador de milhares 3 5 4 11 4" xfId="14617"/>
    <cellStyle name="Separador de milhares 3 5 4 11 4 2" xfId="40859"/>
    <cellStyle name="Separador de milhares 3 5 4 11 5" xfId="34473"/>
    <cellStyle name="Separador de milhares 3 5 4 12" xfId="4850"/>
    <cellStyle name="Separador de milhares 3 5 4 12 2" xfId="23485"/>
    <cellStyle name="Separador de milhares 3 5 4 12 2 2" xfId="49721"/>
    <cellStyle name="Separador de milhares 3 5 4 12 3" xfId="31097"/>
    <cellStyle name="Separador de milhares 3 5 4 13" xfId="17571"/>
    <cellStyle name="Separador de milhares 3 5 4 13 2" xfId="43813"/>
    <cellStyle name="Separador de milhares 3 5 4 14" xfId="11239"/>
    <cellStyle name="Separador de milhares 3 5 4 14 2" xfId="37481"/>
    <cellStyle name="Separador de milhares 3 5 4 15" xfId="29399"/>
    <cellStyle name="Separador de milhares 3 5 4 2" xfId="1023"/>
    <cellStyle name="Separador de milhares 3 5 4 2 2" xfId="6748"/>
    <cellStyle name="Separador de milhares 3 5 4 2 2 2" xfId="9895"/>
    <cellStyle name="Separador de milhares 3 5 4 2 2 2 2" xfId="28109"/>
    <cellStyle name="Separador de milhares 3 5 4 2 2 2 2 2" xfId="54339"/>
    <cellStyle name="Separador de milhares 3 5 4 2 2 2 3" xfId="22195"/>
    <cellStyle name="Separador de milhares 3 5 4 2 2 2 3 2" xfId="48431"/>
    <cellStyle name="Separador de milhares 3 5 4 2 2 2 4" xfId="16281"/>
    <cellStyle name="Separador de milhares 3 5 4 2 2 2 4 2" xfId="42523"/>
    <cellStyle name="Separador de milhares 3 5 4 2 2 2 5" xfId="36137"/>
    <cellStyle name="Separador de milhares 3 5 4 2 2 3" xfId="25152"/>
    <cellStyle name="Separador de milhares 3 5 4 2 2 3 2" xfId="51385"/>
    <cellStyle name="Separador de milhares 3 5 4 2 2 4" xfId="19238"/>
    <cellStyle name="Separador de milhares 3 5 4 2 2 4 2" xfId="45477"/>
    <cellStyle name="Separador de milhares 3 5 4 2 2 5" xfId="13137"/>
    <cellStyle name="Separador de milhares 3 5 4 2 2 5 2" xfId="39379"/>
    <cellStyle name="Separador de milhares 3 5 4 2 2 6" xfId="32993"/>
    <cellStyle name="Separador de milhares 3 5 4 2 3" xfId="8427"/>
    <cellStyle name="Separador de milhares 3 5 4 2 3 2" xfId="26641"/>
    <cellStyle name="Separador de milhares 3 5 4 2 3 2 2" xfId="52871"/>
    <cellStyle name="Separador de milhares 3 5 4 2 3 3" xfId="20727"/>
    <cellStyle name="Separador de milhares 3 5 4 2 3 3 2" xfId="46963"/>
    <cellStyle name="Separador de milhares 3 5 4 2 3 4" xfId="14813"/>
    <cellStyle name="Separador de milhares 3 5 4 2 3 4 2" xfId="41055"/>
    <cellStyle name="Separador de milhares 3 5 4 2 3 5" xfId="34669"/>
    <cellStyle name="Separador de milhares 3 5 4 2 4" xfId="5049"/>
    <cellStyle name="Separador de milhares 3 5 4 2 4 2" xfId="23684"/>
    <cellStyle name="Separador de milhares 3 5 4 2 4 2 2" xfId="49917"/>
    <cellStyle name="Separador de milhares 3 5 4 2 4 3" xfId="31294"/>
    <cellStyle name="Separador de milhares 3 5 4 2 5" xfId="17770"/>
    <cellStyle name="Separador de milhares 3 5 4 2 5 2" xfId="44009"/>
    <cellStyle name="Separador de milhares 3 5 4 2 6" xfId="11436"/>
    <cellStyle name="Separador de milhares 3 5 4 2 6 2" xfId="37678"/>
    <cellStyle name="Separador de milhares 3 5 4 2 7" xfId="29596"/>
    <cellStyle name="Separador de milhares 3 5 4 3" xfId="1374"/>
    <cellStyle name="Separador de milhares 3 5 4 3 2" xfId="6846"/>
    <cellStyle name="Separador de milhares 3 5 4 3 2 2" xfId="9993"/>
    <cellStyle name="Separador de milhares 3 5 4 3 2 2 2" xfId="28207"/>
    <cellStyle name="Separador de milhares 3 5 4 3 2 2 2 2" xfId="54437"/>
    <cellStyle name="Separador de milhares 3 5 4 3 2 2 3" xfId="22293"/>
    <cellStyle name="Separador de milhares 3 5 4 3 2 2 3 2" xfId="48529"/>
    <cellStyle name="Separador de milhares 3 5 4 3 2 2 4" xfId="16379"/>
    <cellStyle name="Separador de milhares 3 5 4 3 2 2 4 2" xfId="42621"/>
    <cellStyle name="Separador de milhares 3 5 4 3 2 2 5" xfId="36235"/>
    <cellStyle name="Separador de milhares 3 5 4 3 2 3" xfId="25250"/>
    <cellStyle name="Separador de milhares 3 5 4 3 2 3 2" xfId="51483"/>
    <cellStyle name="Separador de milhares 3 5 4 3 2 4" xfId="19336"/>
    <cellStyle name="Separador de milhares 3 5 4 3 2 4 2" xfId="45575"/>
    <cellStyle name="Separador de milhares 3 5 4 3 2 5" xfId="13235"/>
    <cellStyle name="Separador de milhares 3 5 4 3 2 5 2" xfId="39477"/>
    <cellStyle name="Separador de milhares 3 5 4 3 2 6" xfId="33091"/>
    <cellStyle name="Separador de milhares 3 5 4 3 3" xfId="8525"/>
    <cellStyle name="Separador de milhares 3 5 4 3 3 2" xfId="26739"/>
    <cellStyle name="Separador de milhares 3 5 4 3 3 2 2" xfId="52969"/>
    <cellStyle name="Separador de milhares 3 5 4 3 3 3" xfId="20825"/>
    <cellStyle name="Separador de milhares 3 5 4 3 3 3 2" xfId="47061"/>
    <cellStyle name="Separador de milhares 3 5 4 3 3 4" xfId="14911"/>
    <cellStyle name="Separador de milhares 3 5 4 3 3 4 2" xfId="41153"/>
    <cellStyle name="Separador de milhares 3 5 4 3 3 5" xfId="34767"/>
    <cellStyle name="Separador de milhares 3 5 4 3 4" xfId="5147"/>
    <cellStyle name="Separador de milhares 3 5 4 3 4 2" xfId="23782"/>
    <cellStyle name="Separador de milhares 3 5 4 3 4 2 2" xfId="50015"/>
    <cellStyle name="Separador de milhares 3 5 4 3 4 3" xfId="31392"/>
    <cellStyle name="Separador de milhares 3 5 4 3 5" xfId="17868"/>
    <cellStyle name="Separador de milhares 3 5 4 3 5 2" xfId="44107"/>
    <cellStyle name="Separador de milhares 3 5 4 3 6" xfId="11534"/>
    <cellStyle name="Separador de milhares 3 5 4 3 6 2" xfId="37776"/>
    <cellStyle name="Separador de milhares 3 5 4 3 7" xfId="29694"/>
    <cellStyle name="Separador de milhares 3 5 4 4" xfId="1809"/>
    <cellStyle name="Separador de milhares 3 5 4 4 2" xfId="6965"/>
    <cellStyle name="Separador de milhares 3 5 4 4 2 2" xfId="10112"/>
    <cellStyle name="Separador de milhares 3 5 4 4 2 2 2" xfId="28326"/>
    <cellStyle name="Separador de milhares 3 5 4 4 2 2 2 2" xfId="54556"/>
    <cellStyle name="Separador de milhares 3 5 4 4 2 2 3" xfId="22412"/>
    <cellStyle name="Separador de milhares 3 5 4 4 2 2 3 2" xfId="48648"/>
    <cellStyle name="Separador de milhares 3 5 4 4 2 2 4" xfId="16498"/>
    <cellStyle name="Separador de milhares 3 5 4 4 2 2 4 2" xfId="42740"/>
    <cellStyle name="Separador de milhares 3 5 4 4 2 2 5" xfId="36354"/>
    <cellStyle name="Separador de milhares 3 5 4 4 2 3" xfId="25369"/>
    <cellStyle name="Separador de milhares 3 5 4 4 2 3 2" xfId="51602"/>
    <cellStyle name="Separador de milhares 3 5 4 4 2 4" xfId="19455"/>
    <cellStyle name="Separador de milhares 3 5 4 4 2 4 2" xfId="45694"/>
    <cellStyle name="Separador de milhares 3 5 4 4 2 5" xfId="13354"/>
    <cellStyle name="Separador de milhares 3 5 4 4 2 5 2" xfId="39596"/>
    <cellStyle name="Separador de milhares 3 5 4 4 2 6" xfId="33210"/>
    <cellStyle name="Separador de milhares 3 5 4 4 3" xfId="8644"/>
    <cellStyle name="Separador de milhares 3 5 4 4 3 2" xfId="26858"/>
    <cellStyle name="Separador de milhares 3 5 4 4 3 2 2" xfId="53088"/>
    <cellStyle name="Separador de milhares 3 5 4 4 3 3" xfId="20944"/>
    <cellStyle name="Separador de milhares 3 5 4 4 3 3 2" xfId="47180"/>
    <cellStyle name="Separador de milhares 3 5 4 4 3 4" xfId="15030"/>
    <cellStyle name="Separador de milhares 3 5 4 4 3 4 2" xfId="41272"/>
    <cellStyle name="Separador de milhares 3 5 4 4 3 5" xfId="34886"/>
    <cellStyle name="Separador de milhares 3 5 4 4 4" xfId="5266"/>
    <cellStyle name="Separador de milhares 3 5 4 4 4 2" xfId="23901"/>
    <cellStyle name="Separador de milhares 3 5 4 4 4 2 2" xfId="50134"/>
    <cellStyle name="Separador de milhares 3 5 4 4 4 3" xfId="31511"/>
    <cellStyle name="Separador de milhares 3 5 4 4 5" xfId="17987"/>
    <cellStyle name="Separador de milhares 3 5 4 4 5 2" xfId="44226"/>
    <cellStyle name="Separador de milhares 3 5 4 4 6" xfId="11653"/>
    <cellStyle name="Separador de milhares 3 5 4 4 6 2" xfId="37895"/>
    <cellStyle name="Separador de milhares 3 5 4 4 7" xfId="29813"/>
    <cellStyle name="Separador de milhares 3 5 4 5" xfId="2339"/>
    <cellStyle name="Separador de milhares 3 5 4 5 2" xfId="7115"/>
    <cellStyle name="Separador de milhares 3 5 4 5 2 2" xfId="10259"/>
    <cellStyle name="Separador de milhares 3 5 4 5 2 2 2" xfId="28473"/>
    <cellStyle name="Separador de milhares 3 5 4 5 2 2 2 2" xfId="54703"/>
    <cellStyle name="Separador de milhares 3 5 4 5 2 2 3" xfId="22559"/>
    <cellStyle name="Separador de milhares 3 5 4 5 2 2 3 2" xfId="48795"/>
    <cellStyle name="Separador de milhares 3 5 4 5 2 2 4" xfId="16645"/>
    <cellStyle name="Separador de milhares 3 5 4 5 2 2 4 2" xfId="42887"/>
    <cellStyle name="Separador de milhares 3 5 4 5 2 2 5" xfId="36501"/>
    <cellStyle name="Separador de milhares 3 5 4 5 2 3" xfId="25516"/>
    <cellStyle name="Separador de milhares 3 5 4 5 2 3 2" xfId="51749"/>
    <cellStyle name="Separador de milhares 3 5 4 5 2 4" xfId="19602"/>
    <cellStyle name="Separador de milhares 3 5 4 5 2 4 2" xfId="45841"/>
    <cellStyle name="Separador de milhares 3 5 4 5 2 5" xfId="13504"/>
    <cellStyle name="Separador de milhares 3 5 4 5 2 5 2" xfId="39746"/>
    <cellStyle name="Separador de milhares 3 5 4 5 2 6" xfId="33360"/>
    <cellStyle name="Separador de milhares 3 5 4 5 3" xfId="8791"/>
    <cellStyle name="Separador de milhares 3 5 4 5 3 2" xfId="27005"/>
    <cellStyle name="Separador de milhares 3 5 4 5 3 2 2" xfId="53235"/>
    <cellStyle name="Separador de milhares 3 5 4 5 3 3" xfId="21091"/>
    <cellStyle name="Separador de milhares 3 5 4 5 3 3 2" xfId="47327"/>
    <cellStyle name="Separador de milhares 3 5 4 5 3 4" xfId="15177"/>
    <cellStyle name="Separador de milhares 3 5 4 5 3 4 2" xfId="41419"/>
    <cellStyle name="Separador de milhares 3 5 4 5 3 5" xfId="35033"/>
    <cellStyle name="Separador de milhares 3 5 4 5 4" xfId="5416"/>
    <cellStyle name="Separador de milhares 3 5 4 5 4 2" xfId="24048"/>
    <cellStyle name="Separador de milhares 3 5 4 5 4 2 2" xfId="50281"/>
    <cellStyle name="Separador de milhares 3 5 4 5 4 3" xfId="31661"/>
    <cellStyle name="Separador de milhares 3 5 4 5 5" xfId="18134"/>
    <cellStyle name="Separador de milhares 3 5 4 5 5 2" xfId="44373"/>
    <cellStyle name="Separador de milhares 3 5 4 5 6" xfId="11803"/>
    <cellStyle name="Separador de milhares 3 5 4 5 6 2" xfId="38045"/>
    <cellStyle name="Separador de milhares 3 5 4 5 7" xfId="29963"/>
    <cellStyle name="Separador de milhares 3 5 4 6" xfId="2866"/>
    <cellStyle name="Separador de milhares 3 5 4 6 2" xfId="7262"/>
    <cellStyle name="Separador de milhares 3 5 4 6 2 2" xfId="10406"/>
    <cellStyle name="Separador de milhares 3 5 4 6 2 2 2" xfId="28620"/>
    <cellStyle name="Separador de milhares 3 5 4 6 2 2 2 2" xfId="54850"/>
    <cellStyle name="Separador de milhares 3 5 4 6 2 2 3" xfId="22706"/>
    <cellStyle name="Separador de milhares 3 5 4 6 2 2 3 2" xfId="48942"/>
    <cellStyle name="Separador de milhares 3 5 4 6 2 2 4" xfId="16792"/>
    <cellStyle name="Separador de milhares 3 5 4 6 2 2 4 2" xfId="43034"/>
    <cellStyle name="Separador de milhares 3 5 4 6 2 2 5" xfId="36648"/>
    <cellStyle name="Separador de milhares 3 5 4 6 2 3" xfId="25663"/>
    <cellStyle name="Separador de milhares 3 5 4 6 2 3 2" xfId="51896"/>
    <cellStyle name="Separador de milhares 3 5 4 6 2 4" xfId="19749"/>
    <cellStyle name="Separador de milhares 3 5 4 6 2 4 2" xfId="45988"/>
    <cellStyle name="Separador de milhares 3 5 4 6 2 5" xfId="13651"/>
    <cellStyle name="Separador de milhares 3 5 4 6 2 5 2" xfId="39893"/>
    <cellStyle name="Separador de milhares 3 5 4 6 2 6" xfId="33507"/>
    <cellStyle name="Separador de milhares 3 5 4 6 3" xfId="8938"/>
    <cellStyle name="Separador de milhares 3 5 4 6 3 2" xfId="27152"/>
    <cellStyle name="Separador de milhares 3 5 4 6 3 2 2" xfId="53382"/>
    <cellStyle name="Separador de milhares 3 5 4 6 3 3" xfId="21238"/>
    <cellStyle name="Separador de milhares 3 5 4 6 3 3 2" xfId="47474"/>
    <cellStyle name="Separador de milhares 3 5 4 6 3 4" xfId="15324"/>
    <cellStyle name="Separador de milhares 3 5 4 6 3 4 2" xfId="41566"/>
    <cellStyle name="Separador de milhares 3 5 4 6 3 5" xfId="35180"/>
    <cellStyle name="Separador de milhares 3 5 4 6 4" xfId="5563"/>
    <cellStyle name="Separador de milhares 3 5 4 6 4 2" xfId="24195"/>
    <cellStyle name="Separador de milhares 3 5 4 6 4 2 2" xfId="50428"/>
    <cellStyle name="Separador de milhares 3 5 4 6 4 3" xfId="31808"/>
    <cellStyle name="Separador de milhares 3 5 4 6 5" xfId="18281"/>
    <cellStyle name="Separador de milhares 3 5 4 6 5 2" xfId="44520"/>
    <cellStyle name="Separador de milhares 3 5 4 6 6" xfId="11950"/>
    <cellStyle name="Separador de milhares 3 5 4 6 6 2" xfId="38192"/>
    <cellStyle name="Separador de milhares 3 5 4 6 7" xfId="30110"/>
    <cellStyle name="Separador de milhares 3 5 4 7" xfId="3393"/>
    <cellStyle name="Separador de milhares 3 5 4 7 2" xfId="7409"/>
    <cellStyle name="Separador de milhares 3 5 4 7 2 2" xfId="10553"/>
    <cellStyle name="Separador de milhares 3 5 4 7 2 2 2" xfId="28767"/>
    <cellStyle name="Separador de milhares 3 5 4 7 2 2 2 2" xfId="54997"/>
    <cellStyle name="Separador de milhares 3 5 4 7 2 2 3" xfId="22853"/>
    <cellStyle name="Separador de milhares 3 5 4 7 2 2 3 2" xfId="49089"/>
    <cellStyle name="Separador de milhares 3 5 4 7 2 2 4" xfId="16939"/>
    <cellStyle name="Separador de milhares 3 5 4 7 2 2 4 2" xfId="43181"/>
    <cellStyle name="Separador de milhares 3 5 4 7 2 2 5" xfId="36795"/>
    <cellStyle name="Separador de milhares 3 5 4 7 2 3" xfId="25810"/>
    <cellStyle name="Separador de milhares 3 5 4 7 2 3 2" xfId="52043"/>
    <cellStyle name="Separador de milhares 3 5 4 7 2 4" xfId="19896"/>
    <cellStyle name="Separador de milhares 3 5 4 7 2 4 2" xfId="46135"/>
    <cellStyle name="Separador de milhares 3 5 4 7 2 5" xfId="13798"/>
    <cellStyle name="Separador de milhares 3 5 4 7 2 5 2" xfId="40040"/>
    <cellStyle name="Separador de milhares 3 5 4 7 2 6" xfId="33654"/>
    <cellStyle name="Separador de milhares 3 5 4 7 3" xfId="9085"/>
    <cellStyle name="Separador de milhares 3 5 4 7 3 2" xfId="27299"/>
    <cellStyle name="Separador de milhares 3 5 4 7 3 2 2" xfId="53529"/>
    <cellStyle name="Separador de milhares 3 5 4 7 3 3" xfId="21385"/>
    <cellStyle name="Separador de milhares 3 5 4 7 3 3 2" xfId="47621"/>
    <cellStyle name="Separador de milhares 3 5 4 7 3 4" xfId="15471"/>
    <cellStyle name="Separador de milhares 3 5 4 7 3 4 2" xfId="41713"/>
    <cellStyle name="Separador de milhares 3 5 4 7 3 5" xfId="35327"/>
    <cellStyle name="Separador de milhares 3 5 4 7 4" xfId="5710"/>
    <cellStyle name="Separador de milhares 3 5 4 7 4 2" xfId="24342"/>
    <cellStyle name="Separador de milhares 3 5 4 7 4 2 2" xfId="50575"/>
    <cellStyle name="Separador de milhares 3 5 4 7 4 3" xfId="31955"/>
    <cellStyle name="Separador de milhares 3 5 4 7 5" xfId="18428"/>
    <cellStyle name="Separador de milhares 3 5 4 7 5 2" xfId="44667"/>
    <cellStyle name="Separador de milhares 3 5 4 7 6" xfId="12097"/>
    <cellStyle name="Separador de milhares 3 5 4 7 6 2" xfId="38339"/>
    <cellStyle name="Separador de milhares 3 5 4 7 7" xfId="30257"/>
    <cellStyle name="Separador de milhares 3 5 4 8" xfId="3920"/>
    <cellStyle name="Separador de milhares 3 5 4 8 2" xfId="7556"/>
    <cellStyle name="Separador de milhares 3 5 4 8 2 2" xfId="10700"/>
    <cellStyle name="Separador de milhares 3 5 4 8 2 2 2" xfId="28914"/>
    <cellStyle name="Separador de milhares 3 5 4 8 2 2 2 2" xfId="55144"/>
    <cellStyle name="Separador de milhares 3 5 4 8 2 2 3" xfId="23000"/>
    <cellStyle name="Separador de milhares 3 5 4 8 2 2 3 2" xfId="49236"/>
    <cellStyle name="Separador de milhares 3 5 4 8 2 2 4" xfId="17086"/>
    <cellStyle name="Separador de milhares 3 5 4 8 2 2 4 2" xfId="43328"/>
    <cellStyle name="Separador de milhares 3 5 4 8 2 2 5" xfId="36942"/>
    <cellStyle name="Separador de milhares 3 5 4 8 2 3" xfId="25957"/>
    <cellStyle name="Separador de milhares 3 5 4 8 2 3 2" xfId="52190"/>
    <cellStyle name="Separador de milhares 3 5 4 8 2 4" xfId="20043"/>
    <cellStyle name="Separador de milhares 3 5 4 8 2 4 2" xfId="46282"/>
    <cellStyle name="Separador de milhares 3 5 4 8 2 5" xfId="13945"/>
    <cellStyle name="Separador de milhares 3 5 4 8 2 5 2" xfId="40187"/>
    <cellStyle name="Separador de milhares 3 5 4 8 2 6" xfId="33801"/>
    <cellStyle name="Separador de milhares 3 5 4 8 3" xfId="9232"/>
    <cellStyle name="Separador de milhares 3 5 4 8 3 2" xfId="27446"/>
    <cellStyle name="Separador de milhares 3 5 4 8 3 2 2" xfId="53676"/>
    <cellStyle name="Separador de milhares 3 5 4 8 3 3" xfId="21532"/>
    <cellStyle name="Separador de milhares 3 5 4 8 3 3 2" xfId="47768"/>
    <cellStyle name="Separador de milhares 3 5 4 8 3 4" xfId="15618"/>
    <cellStyle name="Separador de milhares 3 5 4 8 3 4 2" xfId="41860"/>
    <cellStyle name="Separador de milhares 3 5 4 8 3 5" xfId="35474"/>
    <cellStyle name="Separador de milhares 3 5 4 8 4" xfId="5857"/>
    <cellStyle name="Separador de milhares 3 5 4 8 4 2" xfId="24489"/>
    <cellStyle name="Separador de milhares 3 5 4 8 4 2 2" xfId="50722"/>
    <cellStyle name="Separador de milhares 3 5 4 8 4 3" xfId="32102"/>
    <cellStyle name="Separador de milhares 3 5 4 8 5" xfId="18575"/>
    <cellStyle name="Separador de milhares 3 5 4 8 5 2" xfId="44814"/>
    <cellStyle name="Separador de milhares 3 5 4 8 6" xfId="12244"/>
    <cellStyle name="Separador de milhares 3 5 4 8 6 2" xfId="38486"/>
    <cellStyle name="Separador de milhares 3 5 4 8 7" xfId="30404"/>
    <cellStyle name="Separador de milhares 3 5 4 9" xfId="715"/>
    <cellStyle name="Separador de milhares 3 5 4 9 2" xfId="6650"/>
    <cellStyle name="Separador de milhares 3 5 4 9 2 2" xfId="9797"/>
    <cellStyle name="Separador de milhares 3 5 4 9 2 2 2" xfId="28011"/>
    <cellStyle name="Separador de milhares 3 5 4 9 2 2 2 2" xfId="54241"/>
    <cellStyle name="Separador de milhares 3 5 4 9 2 2 3" xfId="22097"/>
    <cellStyle name="Separador de milhares 3 5 4 9 2 2 3 2" xfId="48333"/>
    <cellStyle name="Separador de milhares 3 5 4 9 2 2 4" xfId="16183"/>
    <cellStyle name="Separador de milhares 3 5 4 9 2 2 4 2" xfId="42425"/>
    <cellStyle name="Separador de milhares 3 5 4 9 2 2 5" xfId="36039"/>
    <cellStyle name="Separador de milhares 3 5 4 9 2 3" xfId="25054"/>
    <cellStyle name="Separador de milhares 3 5 4 9 2 3 2" xfId="51287"/>
    <cellStyle name="Separador de milhares 3 5 4 9 2 4" xfId="19140"/>
    <cellStyle name="Separador de milhares 3 5 4 9 2 4 2" xfId="45379"/>
    <cellStyle name="Separador de milhares 3 5 4 9 2 5" xfId="13039"/>
    <cellStyle name="Separador de milhares 3 5 4 9 2 5 2" xfId="39281"/>
    <cellStyle name="Separador de milhares 3 5 4 9 2 6" xfId="32895"/>
    <cellStyle name="Separador de milhares 3 5 4 9 3" xfId="8329"/>
    <cellStyle name="Separador de milhares 3 5 4 9 3 2" xfId="26543"/>
    <cellStyle name="Separador de milhares 3 5 4 9 3 2 2" xfId="52773"/>
    <cellStyle name="Separador de milhares 3 5 4 9 3 3" xfId="20629"/>
    <cellStyle name="Separador de milhares 3 5 4 9 3 3 2" xfId="46865"/>
    <cellStyle name="Separador de milhares 3 5 4 9 3 4" xfId="14715"/>
    <cellStyle name="Separador de milhares 3 5 4 9 3 4 2" xfId="40957"/>
    <cellStyle name="Separador de milhares 3 5 4 9 3 5" xfId="34571"/>
    <cellStyle name="Separador de milhares 3 5 4 9 4" xfId="4951"/>
    <cellStyle name="Separador de milhares 3 5 4 9 4 2" xfId="23586"/>
    <cellStyle name="Separador de milhares 3 5 4 9 4 2 2" xfId="49819"/>
    <cellStyle name="Separador de milhares 3 5 4 9 4 3" xfId="31196"/>
    <cellStyle name="Separador de milhares 3 5 4 9 5" xfId="17672"/>
    <cellStyle name="Separador de milhares 3 5 4 9 5 2" xfId="43911"/>
    <cellStyle name="Separador de milhares 3 5 4 9 6" xfId="11338"/>
    <cellStyle name="Separador de milhares 3 5 4 9 6 2" xfId="37580"/>
    <cellStyle name="Separador de milhares 3 5 4 9 7" xfId="29498"/>
    <cellStyle name="Separador de milhares 3 5 5" xfId="635"/>
    <cellStyle name="Separador de milhares 3 5 5 10" xfId="4915"/>
    <cellStyle name="Separador de milhares 3 5 5 10 2" xfId="23549"/>
    <cellStyle name="Separador de milhares 3 5 5 10 2 2" xfId="49785"/>
    <cellStyle name="Separador de milhares 3 5 5 10 3" xfId="31162"/>
    <cellStyle name="Separador de milhares 3 5 5 11" xfId="17635"/>
    <cellStyle name="Separador de milhares 3 5 5 11 2" xfId="43877"/>
    <cellStyle name="Separador de milhares 3 5 5 12" xfId="11304"/>
    <cellStyle name="Separador de milhares 3 5 5 12 2" xfId="37546"/>
    <cellStyle name="Separador de milhares 3 5 5 13" xfId="29464"/>
    <cellStyle name="Separador de milhares 3 5 5 2" xfId="1458"/>
    <cellStyle name="Separador de milhares 3 5 5 2 2" xfId="6867"/>
    <cellStyle name="Separador de milhares 3 5 5 2 2 2" xfId="10014"/>
    <cellStyle name="Separador de milhares 3 5 5 2 2 2 2" xfId="28228"/>
    <cellStyle name="Separador de milhares 3 5 5 2 2 2 2 2" xfId="54458"/>
    <cellStyle name="Separador de milhares 3 5 5 2 2 2 3" xfId="22314"/>
    <cellStyle name="Separador de milhares 3 5 5 2 2 2 3 2" xfId="48550"/>
    <cellStyle name="Separador de milhares 3 5 5 2 2 2 4" xfId="16400"/>
    <cellStyle name="Separador de milhares 3 5 5 2 2 2 4 2" xfId="42642"/>
    <cellStyle name="Separador de milhares 3 5 5 2 2 2 5" xfId="36256"/>
    <cellStyle name="Separador de milhares 3 5 5 2 2 3" xfId="25271"/>
    <cellStyle name="Separador de milhares 3 5 5 2 2 3 2" xfId="51504"/>
    <cellStyle name="Separador de milhares 3 5 5 2 2 4" xfId="19357"/>
    <cellStyle name="Separador de milhares 3 5 5 2 2 4 2" xfId="45596"/>
    <cellStyle name="Separador de milhares 3 5 5 2 2 5" xfId="13256"/>
    <cellStyle name="Separador de milhares 3 5 5 2 2 5 2" xfId="39498"/>
    <cellStyle name="Separador de milhares 3 5 5 2 2 6" xfId="33112"/>
    <cellStyle name="Separador de milhares 3 5 5 2 3" xfId="8546"/>
    <cellStyle name="Separador de milhares 3 5 5 2 3 2" xfId="26760"/>
    <cellStyle name="Separador de milhares 3 5 5 2 3 2 2" xfId="52990"/>
    <cellStyle name="Separador de milhares 3 5 5 2 3 3" xfId="20846"/>
    <cellStyle name="Separador de milhares 3 5 5 2 3 3 2" xfId="47082"/>
    <cellStyle name="Separador de milhares 3 5 5 2 3 4" xfId="14932"/>
    <cellStyle name="Separador de milhares 3 5 5 2 3 4 2" xfId="41174"/>
    <cellStyle name="Separador de milhares 3 5 5 2 3 5" xfId="34788"/>
    <cellStyle name="Separador de milhares 3 5 5 2 4" xfId="5168"/>
    <cellStyle name="Separador de milhares 3 5 5 2 4 2" xfId="23803"/>
    <cellStyle name="Separador de milhares 3 5 5 2 4 2 2" xfId="50036"/>
    <cellStyle name="Separador de milhares 3 5 5 2 4 3" xfId="31413"/>
    <cellStyle name="Separador de milhares 3 5 5 2 5" xfId="17889"/>
    <cellStyle name="Separador de milhares 3 5 5 2 5 2" xfId="44128"/>
    <cellStyle name="Separador de milhares 3 5 5 2 6" xfId="11555"/>
    <cellStyle name="Separador de milhares 3 5 5 2 6 2" xfId="37797"/>
    <cellStyle name="Separador de milhares 3 5 5 2 7" xfId="29715"/>
    <cellStyle name="Separador de milhares 3 5 5 3" xfId="1893"/>
    <cellStyle name="Separador de milhares 3 5 5 3 2" xfId="6986"/>
    <cellStyle name="Separador de milhares 3 5 5 3 2 2" xfId="10133"/>
    <cellStyle name="Separador de milhares 3 5 5 3 2 2 2" xfId="28347"/>
    <cellStyle name="Separador de milhares 3 5 5 3 2 2 2 2" xfId="54577"/>
    <cellStyle name="Separador de milhares 3 5 5 3 2 2 3" xfId="22433"/>
    <cellStyle name="Separador de milhares 3 5 5 3 2 2 3 2" xfId="48669"/>
    <cellStyle name="Separador de milhares 3 5 5 3 2 2 4" xfId="16519"/>
    <cellStyle name="Separador de milhares 3 5 5 3 2 2 4 2" xfId="42761"/>
    <cellStyle name="Separador de milhares 3 5 5 3 2 2 5" xfId="36375"/>
    <cellStyle name="Separador de milhares 3 5 5 3 2 3" xfId="25390"/>
    <cellStyle name="Separador de milhares 3 5 5 3 2 3 2" xfId="51623"/>
    <cellStyle name="Separador de milhares 3 5 5 3 2 4" xfId="19476"/>
    <cellStyle name="Separador de milhares 3 5 5 3 2 4 2" xfId="45715"/>
    <cellStyle name="Separador de milhares 3 5 5 3 2 5" xfId="13375"/>
    <cellStyle name="Separador de milhares 3 5 5 3 2 5 2" xfId="39617"/>
    <cellStyle name="Separador de milhares 3 5 5 3 2 6" xfId="33231"/>
    <cellStyle name="Separador de milhares 3 5 5 3 3" xfId="8665"/>
    <cellStyle name="Separador de milhares 3 5 5 3 3 2" xfId="26879"/>
    <cellStyle name="Separador de milhares 3 5 5 3 3 2 2" xfId="53109"/>
    <cellStyle name="Separador de milhares 3 5 5 3 3 3" xfId="20965"/>
    <cellStyle name="Separador de milhares 3 5 5 3 3 3 2" xfId="47201"/>
    <cellStyle name="Separador de milhares 3 5 5 3 3 4" xfId="15051"/>
    <cellStyle name="Separador de milhares 3 5 5 3 3 4 2" xfId="41293"/>
    <cellStyle name="Separador de milhares 3 5 5 3 3 5" xfId="34907"/>
    <cellStyle name="Separador de milhares 3 5 5 3 4" xfId="5287"/>
    <cellStyle name="Separador de milhares 3 5 5 3 4 2" xfId="23922"/>
    <cellStyle name="Separador de milhares 3 5 5 3 4 2 2" xfId="50155"/>
    <cellStyle name="Separador de milhares 3 5 5 3 4 3" xfId="31532"/>
    <cellStyle name="Separador de milhares 3 5 5 3 5" xfId="18008"/>
    <cellStyle name="Separador de milhares 3 5 5 3 5 2" xfId="44247"/>
    <cellStyle name="Separador de milhares 3 5 5 3 6" xfId="11674"/>
    <cellStyle name="Separador de milhares 3 5 5 3 6 2" xfId="37916"/>
    <cellStyle name="Separador de milhares 3 5 5 3 7" xfId="29834"/>
    <cellStyle name="Separador de milhares 3 5 5 4" xfId="2423"/>
    <cellStyle name="Separador de milhares 3 5 5 4 2" xfId="7136"/>
    <cellStyle name="Separador de milhares 3 5 5 4 2 2" xfId="10280"/>
    <cellStyle name="Separador de milhares 3 5 5 4 2 2 2" xfId="28494"/>
    <cellStyle name="Separador de milhares 3 5 5 4 2 2 2 2" xfId="54724"/>
    <cellStyle name="Separador de milhares 3 5 5 4 2 2 3" xfId="22580"/>
    <cellStyle name="Separador de milhares 3 5 5 4 2 2 3 2" xfId="48816"/>
    <cellStyle name="Separador de milhares 3 5 5 4 2 2 4" xfId="16666"/>
    <cellStyle name="Separador de milhares 3 5 5 4 2 2 4 2" xfId="42908"/>
    <cellStyle name="Separador de milhares 3 5 5 4 2 2 5" xfId="36522"/>
    <cellStyle name="Separador de milhares 3 5 5 4 2 3" xfId="25537"/>
    <cellStyle name="Separador de milhares 3 5 5 4 2 3 2" xfId="51770"/>
    <cellStyle name="Separador de milhares 3 5 5 4 2 4" xfId="19623"/>
    <cellStyle name="Separador de milhares 3 5 5 4 2 4 2" xfId="45862"/>
    <cellStyle name="Separador de milhares 3 5 5 4 2 5" xfId="13525"/>
    <cellStyle name="Separador de milhares 3 5 5 4 2 5 2" xfId="39767"/>
    <cellStyle name="Separador de milhares 3 5 5 4 2 6" xfId="33381"/>
    <cellStyle name="Separador de milhares 3 5 5 4 3" xfId="8812"/>
    <cellStyle name="Separador de milhares 3 5 5 4 3 2" xfId="27026"/>
    <cellStyle name="Separador de milhares 3 5 5 4 3 2 2" xfId="53256"/>
    <cellStyle name="Separador de milhares 3 5 5 4 3 3" xfId="21112"/>
    <cellStyle name="Separador de milhares 3 5 5 4 3 3 2" xfId="47348"/>
    <cellStyle name="Separador de milhares 3 5 5 4 3 4" xfId="15198"/>
    <cellStyle name="Separador de milhares 3 5 5 4 3 4 2" xfId="41440"/>
    <cellStyle name="Separador de milhares 3 5 5 4 3 5" xfId="35054"/>
    <cellStyle name="Separador de milhares 3 5 5 4 4" xfId="5437"/>
    <cellStyle name="Separador de milhares 3 5 5 4 4 2" xfId="24069"/>
    <cellStyle name="Separador de milhares 3 5 5 4 4 2 2" xfId="50302"/>
    <cellStyle name="Separador de milhares 3 5 5 4 4 3" xfId="31682"/>
    <cellStyle name="Separador de milhares 3 5 5 4 5" xfId="18155"/>
    <cellStyle name="Separador de milhares 3 5 5 4 5 2" xfId="44394"/>
    <cellStyle name="Separador de milhares 3 5 5 4 6" xfId="11824"/>
    <cellStyle name="Separador de milhares 3 5 5 4 6 2" xfId="38066"/>
    <cellStyle name="Separador de milhares 3 5 5 4 7" xfId="29984"/>
    <cellStyle name="Separador de milhares 3 5 5 5" xfId="2950"/>
    <cellStyle name="Separador de milhares 3 5 5 5 2" xfId="7283"/>
    <cellStyle name="Separador de milhares 3 5 5 5 2 2" xfId="10427"/>
    <cellStyle name="Separador de milhares 3 5 5 5 2 2 2" xfId="28641"/>
    <cellStyle name="Separador de milhares 3 5 5 5 2 2 2 2" xfId="54871"/>
    <cellStyle name="Separador de milhares 3 5 5 5 2 2 3" xfId="22727"/>
    <cellStyle name="Separador de milhares 3 5 5 5 2 2 3 2" xfId="48963"/>
    <cellStyle name="Separador de milhares 3 5 5 5 2 2 4" xfId="16813"/>
    <cellStyle name="Separador de milhares 3 5 5 5 2 2 4 2" xfId="43055"/>
    <cellStyle name="Separador de milhares 3 5 5 5 2 2 5" xfId="36669"/>
    <cellStyle name="Separador de milhares 3 5 5 5 2 3" xfId="25684"/>
    <cellStyle name="Separador de milhares 3 5 5 5 2 3 2" xfId="51917"/>
    <cellStyle name="Separador de milhares 3 5 5 5 2 4" xfId="19770"/>
    <cellStyle name="Separador de milhares 3 5 5 5 2 4 2" xfId="46009"/>
    <cellStyle name="Separador de milhares 3 5 5 5 2 5" xfId="13672"/>
    <cellStyle name="Separador de milhares 3 5 5 5 2 5 2" xfId="39914"/>
    <cellStyle name="Separador de milhares 3 5 5 5 2 6" xfId="33528"/>
    <cellStyle name="Separador de milhares 3 5 5 5 3" xfId="8959"/>
    <cellStyle name="Separador de milhares 3 5 5 5 3 2" xfId="27173"/>
    <cellStyle name="Separador de milhares 3 5 5 5 3 2 2" xfId="53403"/>
    <cellStyle name="Separador de milhares 3 5 5 5 3 3" xfId="21259"/>
    <cellStyle name="Separador de milhares 3 5 5 5 3 3 2" xfId="47495"/>
    <cellStyle name="Separador de milhares 3 5 5 5 3 4" xfId="15345"/>
    <cellStyle name="Separador de milhares 3 5 5 5 3 4 2" xfId="41587"/>
    <cellStyle name="Separador de milhares 3 5 5 5 3 5" xfId="35201"/>
    <cellStyle name="Separador de milhares 3 5 5 5 4" xfId="5584"/>
    <cellStyle name="Separador de milhares 3 5 5 5 4 2" xfId="24216"/>
    <cellStyle name="Separador de milhares 3 5 5 5 4 2 2" xfId="50449"/>
    <cellStyle name="Separador de milhares 3 5 5 5 4 3" xfId="31829"/>
    <cellStyle name="Separador de milhares 3 5 5 5 5" xfId="18302"/>
    <cellStyle name="Separador de milhares 3 5 5 5 5 2" xfId="44541"/>
    <cellStyle name="Separador de milhares 3 5 5 5 6" xfId="11971"/>
    <cellStyle name="Separador de milhares 3 5 5 5 6 2" xfId="38213"/>
    <cellStyle name="Separador de milhares 3 5 5 5 7" xfId="30131"/>
    <cellStyle name="Separador de milhares 3 5 5 6" xfId="3477"/>
    <cellStyle name="Separador de milhares 3 5 5 6 2" xfId="7430"/>
    <cellStyle name="Separador de milhares 3 5 5 6 2 2" xfId="10574"/>
    <cellStyle name="Separador de milhares 3 5 5 6 2 2 2" xfId="28788"/>
    <cellStyle name="Separador de milhares 3 5 5 6 2 2 2 2" xfId="55018"/>
    <cellStyle name="Separador de milhares 3 5 5 6 2 2 3" xfId="22874"/>
    <cellStyle name="Separador de milhares 3 5 5 6 2 2 3 2" xfId="49110"/>
    <cellStyle name="Separador de milhares 3 5 5 6 2 2 4" xfId="16960"/>
    <cellStyle name="Separador de milhares 3 5 5 6 2 2 4 2" xfId="43202"/>
    <cellStyle name="Separador de milhares 3 5 5 6 2 2 5" xfId="36816"/>
    <cellStyle name="Separador de milhares 3 5 5 6 2 3" xfId="25831"/>
    <cellStyle name="Separador de milhares 3 5 5 6 2 3 2" xfId="52064"/>
    <cellStyle name="Separador de milhares 3 5 5 6 2 4" xfId="19917"/>
    <cellStyle name="Separador de milhares 3 5 5 6 2 4 2" xfId="46156"/>
    <cellStyle name="Separador de milhares 3 5 5 6 2 5" xfId="13819"/>
    <cellStyle name="Separador de milhares 3 5 5 6 2 5 2" xfId="40061"/>
    <cellStyle name="Separador de milhares 3 5 5 6 2 6" xfId="33675"/>
    <cellStyle name="Separador de milhares 3 5 5 6 3" xfId="9106"/>
    <cellStyle name="Separador de milhares 3 5 5 6 3 2" xfId="27320"/>
    <cellStyle name="Separador de milhares 3 5 5 6 3 2 2" xfId="53550"/>
    <cellStyle name="Separador de milhares 3 5 5 6 3 3" xfId="21406"/>
    <cellStyle name="Separador de milhares 3 5 5 6 3 3 2" xfId="47642"/>
    <cellStyle name="Separador de milhares 3 5 5 6 3 4" xfId="15492"/>
    <cellStyle name="Separador de milhares 3 5 5 6 3 4 2" xfId="41734"/>
    <cellStyle name="Separador de milhares 3 5 5 6 3 5" xfId="35348"/>
    <cellStyle name="Separador de milhares 3 5 5 6 4" xfId="5731"/>
    <cellStyle name="Separador de milhares 3 5 5 6 4 2" xfId="24363"/>
    <cellStyle name="Separador de milhares 3 5 5 6 4 2 2" xfId="50596"/>
    <cellStyle name="Separador de milhares 3 5 5 6 4 3" xfId="31976"/>
    <cellStyle name="Separador de milhares 3 5 5 6 5" xfId="18449"/>
    <cellStyle name="Separador de milhares 3 5 5 6 5 2" xfId="44688"/>
    <cellStyle name="Separador de milhares 3 5 5 6 6" xfId="12118"/>
    <cellStyle name="Separador de milhares 3 5 5 6 6 2" xfId="38360"/>
    <cellStyle name="Separador de milhares 3 5 5 6 7" xfId="30278"/>
    <cellStyle name="Separador de milhares 3 5 5 7" xfId="4004"/>
    <cellStyle name="Separador de milhares 3 5 5 7 2" xfId="7577"/>
    <cellStyle name="Separador de milhares 3 5 5 7 2 2" xfId="10721"/>
    <cellStyle name="Separador de milhares 3 5 5 7 2 2 2" xfId="28935"/>
    <cellStyle name="Separador de milhares 3 5 5 7 2 2 2 2" xfId="55165"/>
    <cellStyle name="Separador de milhares 3 5 5 7 2 2 3" xfId="23021"/>
    <cellStyle name="Separador de milhares 3 5 5 7 2 2 3 2" xfId="49257"/>
    <cellStyle name="Separador de milhares 3 5 5 7 2 2 4" xfId="17107"/>
    <cellStyle name="Separador de milhares 3 5 5 7 2 2 4 2" xfId="43349"/>
    <cellStyle name="Separador de milhares 3 5 5 7 2 2 5" xfId="36963"/>
    <cellStyle name="Separador de milhares 3 5 5 7 2 3" xfId="25978"/>
    <cellStyle name="Separador de milhares 3 5 5 7 2 3 2" xfId="52211"/>
    <cellStyle name="Separador de milhares 3 5 5 7 2 4" xfId="20064"/>
    <cellStyle name="Separador de milhares 3 5 5 7 2 4 2" xfId="46303"/>
    <cellStyle name="Separador de milhares 3 5 5 7 2 5" xfId="13966"/>
    <cellStyle name="Separador de milhares 3 5 5 7 2 5 2" xfId="40208"/>
    <cellStyle name="Separador de milhares 3 5 5 7 2 6" xfId="33822"/>
    <cellStyle name="Separador de milhares 3 5 5 7 3" xfId="9253"/>
    <cellStyle name="Separador de milhares 3 5 5 7 3 2" xfId="27467"/>
    <cellStyle name="Separador de milhares 3 5 5 7 3 2 2" xfId="53697"/>
    <cellStyle name="Separador de milhares 3 5 5 7 3 3" xfId="21553"/>
    <cellStyle name="Separador de milhares 3 5 5 7 3 3 2" xfId="47789"/>
    <cellStyle name="Separador de milhares 3 5 5 7 3 4" xfId="15639"/>
    <cellStyle name="Separador de milhares 3 5 5 7 3 4 2" xfId="41881"/>
    <cellStyle name="Separador de milhares 3 5 5 7 3 5" xfId="35495"/>
    <cellStyle name="Separador de milhares 3 5 5 7 4" xfId="5878"/>
    <cellStyle name="Separador de milhares 3 5 5 7 4 2" xfId="24510"/>
    <cellStyle name="Separador de milhares 3 5 5 7 4 2 2" xfId="50743"/>
    <cellStyle name="Separador de milhares 3 5 5 7 4 3" xfId="32123"/>
    <cellStyle name="Separador de milhares 3 5 5 7 5" xfId="18596"/>
    <cellStyle name="Separador de milhares 3 5 5 7 5 2" xfId="44835"/>
    <cellStyle name="Separador de milhares 3 5 5 7 6" xfId="12265"/>
    <cellStyle name="Separador de milhares 3 5 5 7 6 2" xfId="38507"/>
    <cellStyle name="Separador de milhares 3 5 5 7 7" xfId="30425"/>
    <cellStyle name="Separador de milhares 3 5 5 8" xfId="6616"/>
    <cellStyle name="Separador de milhares 3 5 5 8 2" xfId="9763"/>
    <cellStyle name="Separador de milhares 3 5 5 8 2 2" xfId="27977"/>
    <cellStyle name="Separador de milhares 3 5 5 8 2 2 2" xfId="54207"/>
    <cellStyle name="Separador de milhares 3 5 5 8 2 3" xfId="22063"/>
    <cellStyle name="Separador de milhares 3 5 5 8 2 3 2" xfId="48299"/>
    <cellStyle name="Separador de milhares 3 5 5 8 2 4" xfId="16149"/>
    <cellStyle name="Separador de milhares 3 5 5 8 2 4 2" xfId="42391"/>
    <cellStyle name="Separador de milhares 3 5 5 8 2 5" xfId="36005"/>
    <cellStyle name="Separador de milhares 3 5 5 8 3" xfId="25020"/>
    <cellStyle name="Separador de milhares 3 5 5 8 3 2" xfId="51253"/>
    <cellStyle name="Separador de milhares 3 5 5 8 4" xfId="19106"/>
    <cellStyle name="Separador de milhares 3 5 5 8 4 2" xfId="45345"/>
    <cellStyle name="Separador de milhares 3 5 5 8 5" xfId="13005"/>
    <cellStyle name="Separador de milhares 3 5 5 8 5 2" xfId="39247"/>
    <cellStyle name="Separador de milhares 3 5 5 8 6" xfId="32861"/>
    <cellStyle name="Separador de milhares 3 5 5 9" xfId="8292"/>
    <cellStyle name="Separador de milhares 3 5 5 9 2" xfId="26506"/>
    <cellStyle name="Separador de milhares 3 5 5 9 2 2" xfId="52739"/>
    <cellStyle name="Separador de milhares 3 5 5 9 3" xfId="20592"/>
    <cellStyle name="Separador de milhares 3 5 5 9 3 2" xfId="46831"/>
    <cellStyle name="Separador de milhares 3 5 5 9 4" xfId="14681"/>
    <cellStyle name="Separador de milhares 3 5 5 9 4 2" xfId="40923"/>
    <cellStyle name="Separador de milhares 3 5 5 9 5" xfId="34537"/>
    <cellStyle name="Separador de milhares 3 5 6" xfId="756"/>
    <cellStyle name="Separador de milhares 3 5 6 2" xfId="4180"/>
    <cellStyle name="Separador de milhares 3 5 6 2 2" xfId="7626"/>
    <cellStyle name="Separador de milhares 3 5 6 2 2 2" xfId="10770"/>
    <cellStyle name="Separador de milhares 3 5 6 2 2 2 2" xfId="28984"/>
    <cellStyle name="Separador de milhares 3 5 6 2 2 2 2 2" xfId="55214"/>
    <cellStyle name="Separador de milhares 3 5 6 2 2 2 3" xfId="23070"/>
    <cellStyle name="Separador de milhares 3 5 6 2 2 2 3 2" xfId="49306"/>
    <cellStyle name="Separador de milhares 3 5 6 2 2 2 4" xfId="17156"/>
    <cellStyle name="Separador de milhares 3 5 6 2 2 2 4 2" xfId="43398"/>
    <cellStyle name="Separador de milhares 3 5 6 2 2 2 5" xfId="37012"/>
    <cellStyle name="Separador de milhares 3 5 6 2 2 3" xfId="26027"/>
    <cellStyle name="Separador de milhares 3 5 6 2 2 3 2" xfId="52260"/>
    <cellStyle name="Separador de milhares 3 5 6 2 2 4" xfId="20113"/>
    <cellStyle name="Separador de milhares 3 5 6 2 2 4 2" xfId="46352"/>
    <cellStyle name="Separador de milhares 3 5 6 2 2 5" xfId="14015"/>
    <cellStyle name="Separador de milhares 3 5 6 2 2 5 2" xfId="40257"/>
    <cellStyle name="Separador de milhares 3 5 6 2 2 6" xfId="33871"/>
    <cellStyle name="Separador de milhares 3 5 6 2 3" xfId="9302"/>
    <cellStyle name="Separador de milhares 3 5 6 2 3 2" xfId="27516"/>
    <cellStyle name="Separador de milhares 3 5 6 2 3 2 2" xfId="53746"/>
    <cellStyle name="Separador de milhares 3 5 6 2 3 3" xfId="21602"/>
    <cellStyle name="Separador de milhares 3 5 6 2 3 3 2" xfId="47838"/>
    <cellStyle name="Separador de milhares 3 5 6 2 3 4" xfId="15688"/>
    <cellStyle name="Separador de milhares 3 5 6 2 3 4 2" xfId="41930"/>
    <cellStyle name="Separador de milhares 3 5 6 2 3 5" xfId="35544"/>
    <cellStyle name="Separador de milhares 3 5 6 2 4" xfId="5927"/>
    <cellStyle name="Separador de milhares 3 5 6 2 4 2" xfId="24559"/>
    <cellStyle name="Separador de milhares 3 5 6 2 4 2 2" xfId="50792"/>
    <cellStyle name="Separador de milhares 3 5 6 2 4 3" xfId="32172"/>
    <cellStyle name="Separador de milhares 3 5 6 2 5" xfId="18645"/>
    <cellStyle name="Separador de milhares 3 5 6 2 5 2" xfId="44884"/>
    <cellStyle name="Separador de milhares 3 5 6 2 6" xfId="12314"/>
    <cellStyle name="Separador de milhares 3 5 6 2 6 2" xfId="38556"/>
    <cellStyle name="Separador de milhares 3 5 6 2 7" xfId="30474"/>
    <cellStyle name="Separador de milhares 3 5 6 3" xfId="6671"/>
    <cellStyle name="Separador de milhares 3 5 6 3 2" xfId="9818"/>
    <cellStyle name="Separador de milhares 3 5 6 3 2 2" xfId="28032"/>
    <cellStyle name="Separador de milhares 3 5 6 3 2 2 2" xfId="54262"/>
    <cellStyle name="Separador de milhares 3 5 6 3 2 3" xfId="22118"/>
    <cellStyle name="Separador de milhares 3 5 6 3 2 3 2" xfId="48354"/>
    <cellStyle name="Separador de milhares 3 5 6 3 2 4" xfId="16204"/>
    <cellStyle name="Separador de milhares 3 5 6 3 2 4 2" xfId="42446"/>
    <cellStyle name="Separador de milhares 3 5 6 3 2 5" xfId="36060"/>
    <cellStyle name="Separador de milhares 3 5 6 3 3" xfId="25075"/>
    <cellStyle name="Separador de milhares 3 5 6 3 3 2" xfId="51308"/>
    <cellStyle name="Separador de milhares 3 5 6 3 4" xfId="19161"/>
    <cellStyle name="Separador de milhares 3 5 6 3 4 2" xfId="45400"/>
    <cellStyle name="Separador de milhares 3 5 6 3 5" xfId="13060"/>
    <cellStyle name="Separador de milhares 3 5 6 3 5 2" xfId="39302"/>
    <cellStyle name="Separador de milhares 3 5 6 3 6" xfId="32916"/>
    <cellStyle name="Separador de milhares 3 5 6 4" xfId="8350"/>
    <cellStyle name="Separador de milhares 3 5 6 4 2" xfId="26564"/>
    <cellStyle name="Separador de milhares 3 5 6 4 2 2" xfId="52794"/>
    <cellStyle name="Separador de milhares 3 5 6 4 3" xfId="20650"/>
    <cellStyle name="Separador de milhares 3 5 6 4 3 2" xfId="46886"/>
    <cellStyle name="Separador de milhares 3 5 6 4 4" xfId="14736"/>
    <cellStyle name="Separador de milhares 3 5 6 4 4 2" xfId="40978"/>
    <cellStyle name="Separador de milhares 3 5 6 4 5" xfId="34592"/>
    <cellStyle name="Separador de milhares 3 5 6 5" xfId="4972"/>
    <cellStyle name="Separador de milhares 3 5 6 5 2" xfId="23607"/>
    <cellStyle name="Separador de milhares 3 5 6 5 2 2" xfId="49840"/>
    <cellStyle name="Separador de milhares 3 5 6 5 3" xfId="31217"/>
    <cellStyle name="Separador de milhares 3 5 6 6" xfId="17693"/>
    <cellStyle name="Separador de milhares 3 5 6 6 2" xfId="43932"/>
    <cellStyle name="Separador de milhares 3 5 6 7" xfId="11359"/>
    <cellStyle name="Separador de milhares 3 5 6 7 2" xfId="37601"/>
    <cellStyle name="Separador de milhares 3 5 6 8" xfId="29519"/>
    <cellStyle name="Separador de milhares 3 5 7" xfId="1107"/>
    <cellStyle name="Separador de milhares 3 5 7 2" xfId="6769"/>
    <cellStyle name="Separador de milhares 3 5 7 2 2" xfId="9916"/>
    <cellStyle name="Separador de milhares 3 5 7 2 2 2" xfId="28130"/>
    <cellStyle name="Separador de milhares 3 5 7 2 2 2 2" xfId="54360"/>
    <cellStyle name="Separador de milhares 3 5 7 2 2 3" xfId="22216"/>
    <cellStyle name="Separador de milhares 3 5 7 2 2 3 2" xfId="48452"/>
    <cellStyle name="Separador de milhares 3 5 7 2 2 4" xfId="16302"/>
    <cellStyle name="Separador de milhares 3 5 7 2 2 4 2" xfId="42544"/>
    <cellStyle name="Separador de milhares 3 5 7 2 2 5" xfId="36158"/>
    <cellStyle name="Separador de milhares 3 5 7 2 3" xfId="25173"/>
    <cellStyle name="Separador de milhares 3 5 7 2 3 2" xfId="51406"/>
    <cellStyle name="Separador de milhares 3 5 7 2 4" xfId="19259"/>
    <cellStyle name="Separador de milhares 3 5 7 2 4 2" xfId="45498"/>
    <cellStyle name="Separador de milhares 3 5 7 2 5" xfId="13158"/>
    <cellStyle name="Separador de milhares 3 5 7 2 5 2" xfId="39400"/>
    <cellStyle name="Separador de milhares 3 5 7 2 6" xfId="33014"/>
    <cellStyle name="Separador de milhares 3 5 7 3" xfId="8448"/>
    <cellStyle name="Separador de milhares 3 5 7 3 2" xfId="26662"/>
    <cellStyle name="Separador de milhares 3 5 7 3 2 2" xfId="52892"/>
    <cellStyle name="Separador de milhares 3 5 7 3 3" xfId="20748"/>
    <cellStyle name="Separador de milhares 3 5 7 3 3 2" xfId="46984"/>
    <cellStyle name="Separador de milhares 3 5 7 3 4" xfId="14834"/>
    <cellStyle name="Separador de milhares 3 5 7 3 4 2" xfId="41076"/>
    <cellStyle name="Separador de milhares 3 5 7 3 5" xfId="34690"/>
    <cellStyle name="Separador de milhares 3 5 7 4" xfId="5070"/>
    <cellStyle name="Separador de milhares 3 5 7 4 2" xfId="23705"/>
    <cellStyle name="Separador de milhares 3 5 7 4 2 2" xfId="49938"/>
    <cellStyle name="Separador de milhares 3 5 7 4 3" xfId="31315"/>
    <cellStyle name="Separador de milhares 3 5 7 5" xfId="17791"/>
    <cellStyle name="Separador de milhares 3 5 7 5 2" xfId="44030"/>
    <cellStyle name="Separador de milhares 3 5 7 6" xfId="11457"/>
    <cellStyle name="Separador de milhares 3 5 7 6 2" xfId="37699"/>
    <cellStyle name="Separador de milhares 3 5 7 7" xfId="29617"/>
    <cellStyle name="Separador de milhares 3 5 8" xfId="1542"/>
    <cellStyle name="Separador de milhares 3 5 8 2" xfId="6888"/>
    <cellStyle name="Separador de milhares 3 5 8 2 2" xfId="10035"/>
    <cellStyle name="Separador de milhares 3 5 8 2 2 2" xfId="28249"/>
    <cellStyle name="Separador de milhares 3 5 8 2 2 2 2" xfId="54479"/>
    <cellStyle name="Separador de milhares 3 5 8 2 2 3" xfId="22335"/>
    <cellStyle name="Separador de milhares 3 5 8 2 2 3 2" xfId="48571"/>
    <cellStyle name="Separador de milhares 3 5 8 2 2 4" xfId="16421"/>
    <cellStyle name="Separador de milhares 3 5 8 2 2 4 2" xfId="42663"/>
    <cellStyle name="Separador de milhares 3 5 8 2 2 5" xfId="36277"/>
    <cellStyle name="Separador de milhares 3 5 8 2 3" xfId="25292"/>
    <cellStyle name="Separador de milhares 3 5 8 2 3 2" xfId="51525"/>
    <cellStyle name="Separador de milhares 3 5 8 2 4" xfId="19378"/>
    <cellStyle name="Separador de milhares 3 5 8 2 4 2" xfId="45617"/>
    <cellStyle name="Separador de milhares 3 5 8 2 5" xfId="13277"/>
    <cellStyle name="Separador de milhares 3 5 8 2 5 2" xfId="39519"/>
    <cellStyle name="Separador de milhares 3 5 8 2 6" xfId="33133"/>
    <cellStyle name="Separador de milhares 3 5 8 3" xfId="8567"/>
    <cellStyle name="Separador de milhares 3 5 8 3 2" xfId="26781"/>
    <cellStyle name="Separador de milhares 3 5 8 3 2 2" xfId="53011"/>
    <cellStyle name="Separador de milhares 3 5 8 3 3" xfId="20867"/>
    <cellStyle name="Separador de milhares 3 5 8 3 3 2" xfId="47103"/>
    <cellStyle name="Separador de milhares 3 5 8 3 4" xfId="14953"/>
    <cellStyle name="Separador de milhares 3 5 8 3 4 2" xfId="41195"/>
    <cellStyle name="Separador de milhares 3 5 8 3 5" xfId="34809"/>
    <cellStyle name="Separador de milhares 3 5 8 4" xfId="5189"/>
    <cellStyle name="Separador de milhares 3 5 8 4 2" xfId="23824"/>
    <cellStyle name="Separador de milhares 3 5 8 4 2 2" xfId="50057"/>
    <cellStyle name="Separador de milhares 3 5 8 4 3" xfId="31434"/>
    <cellStyle name="Separador de milhares 3 5 8 5" xfId="17910"/>
    <cellStyle name="Separador de milhares 3 5 8 5 2" xfId="44149"/>
    <cellStyle name="Separador de milhares 3 5 8 6" xfId="11576"/>
    <cellStyle name="Separador de milhares 3 5 8 6 2" xfId="37818"/>
    <cellStyle name="Separador de milhares 3 5 8 7" xfId="29736"/>
    <cellStyle name="Separador de milhares 3 5 9" xfId="2072"/>
    <cellStyle name="Separador de milhares 3 5 9 2" xfId="7038"/>
    <cellStyle name="Separador de milhares 3 5 9 2 2" xfId="10182"/>
    <cellStyle name="Separador de milhares 3 5 9 2 2 2" xfId="28396"/>
    <cellStyle name="Separador de milhares 3 5 9 2 2 2 2" xfId="54626"/>
    <cellStyle name="Separador de milhares 3 5 9 2 2 3" xfId="22482"/>
    <cellStyle name="Separador de milhares 3 5 9 2 2 3 2" xfId="48718"/>
    <cellStyle name="Separador de milhares 3 5 9 2 2 4" xfId="16568"/>
    <cellStyle name="Separador de milhares 3 5 9 2 2 4 2" xfId="42810"/>
    <cellStyle name="Separador de milhares 3 5 9 2 2 5" xfId="36424"/>
    <cellStyle name="Separador de milhares 3 5 9 2 3" xfId="25439"/>
    <cellStyle name="Separador de milhares 3 5 9 2 3 2" xfId="51672"/>
    <cellStyle name="Separador de milhares 3 5 9 2 4" xfId="19525"/>
    <cellStyle name="Separador de milhares 3 5 9 2 4 2" xfId="45764"/>
    <cellStyle name="Separador de milhares 3 5 9 2 5" xfId="13427"/>
    <cellStyle name="Separador de milhares 3 5 9 2 5 2" xfId="39669"/>
    <cellStyle name="Separador de milhares 3 5 9 2 6" xfId="33283"/>
    <cellStyle name="Separador de milhares 3 5 9 3" xfId="8714"/>
    <cellStyle name="Separador de milhares 3 5 9 3 2" xfId="26928"/>
    <cellStyle name="Separador de milhares 3 5 9 3 2 2" xfId="53158"/>
    <cellStyle name="Separador de milhares 3 5 9 3 3" xfId="21014"/>
    <cellStyle name="Separador de milhares 3 5 9 3 3 2" xfId="47250"/>
    <cellStyle name="Separador de milhares 3 5 9 3 4" xfId="15100"/>
    <cellStyle name="Separador de milhares 3 5 9 3 4 2" xfId="41342"/>
    <cellStyle name="Separador de milhares 3 5 9 3 5" xfId="34956"/>
    <cellStyle name="Separador de milhares 3 5 9 4" xfId="5339"/>
    <cellStyle name="Separador de milhares 3 5 9 4 2" xfId="23971"/>
    <cellStyle name="Separador de milhares 3 5 9 4 2 2" xfId="50204"/>
    <cellStyle name="Separador de milhares 3 5 9 4 3" xfId="31584"/>
    <cellStyle name="Separador de milhares 3 5 9 5" xfId="18057"/>
    <cellStyle name="Separador de milhares 3 5 9 5 2" xfId="44296"/>
    <cellStyle name="Separador de milhares 3 5 9 6" xfId="11726"/>
    <cellStyle name="Separador de milhares 3 5 9 6 2" xfId="37968"/>
    <cellStyle name="Separador de milhares 3 5 9 7" xfId="29886"/>
    <cellStyle name="Separador de milhares 3 6" xfId="100"/>
    <cellStyle name="Separador de milhares 3 6 10" xfId="2603"/>
    <cellStyle name="Separador de milhares 3 6 10 2" xfId="7186"/>
    <cellStyle name="Separador de milhares 3 6 10 2 2" xfId="10330"/>
    <cellStyle name="Separador de milhares 3 6 10 2 2 2" xfId="28544"/>
    <cellStyle name="Separador de milhares 3 6 10 2 2 2 2" xfId="54774"/>
    <cellStyle name="Separador de milhares 3 6 10 2 2 3" xfId="22630"/>
    <cellStyle name="Separador de milhares 3 6 10 2 2 3 2" xfId="48866"/>
    <cellStyle name="Separador de milhares 3 6 10 2 2 4" xfId="16716"/>
    <cellStyle name="Separador de milhares 3 6 10 2 2 4 2" xfId="42958"/>
    <cellStyle name="Separador de milhares 3 6 10 2 2 5" xfId="36572"/>
    <cellStyle name="Separador de milhares 3 6 10 2 3" xfId="25587"/>
    <cellStyle name="Separador de milhares 3 6 10 2 3 2" xfId="51820"/>
    <cellStyle name="Separador de milhares 3 6 10 2 4" xfId="19673"/>
    <cellStyle name="Separador de milhares 3 6 10 2 4 2" xfId="45912"/>
    <cellStyle name="Separador de milhares 3 6 10 2 5" xfId="13575"/>
    <cellStyle name="Separador de milhares 3 6 10 2 5 2" xfId="39817"/>
    <cellStyle name="Separador de milhares 3 6 10 2 6" xfId="33431"/>
    <cellStyle name="Separador de milhares 3 6 10 3" xfId="8862"/>
    <cellStyle name="Separador de milhares 3 6 10 3 2" xfId="27076"/>
    <cellStyle name="Separador de milhares 3 6 10 3 2 2" xfId="53306"/>
    <cellStyle name="Separador de milhares 3 6 10 3 3" xfId="21162"/>
    <cellStyle name="Separador de milhares 3 6 10 3 3 2" xfId="47398"/>
    <cellStyle name="Separador de milhares 3 6 10 3 4" xfId="15248"/>
    <cellStyle name="Separador de milhares 3 6 10 3 4 2" xfId="41490"/>
    <cellStyle name="Separador de milhares 3 6 10 3 5" xfId="35104"/>
    <cellStyle name="Separador de milhares 3 6 10 4" xfId="5487"/>
    <cellStyle name="Separador de milhares 3 6 10 4 2" xfId="24119"/>
    <cellStyle name="Separador de milhares 3 6 10 4 2 2" xfId="50352"/>
    <cellStyle name="Separador de milhares 3 6 10 4 3" xfId="31732"/>
    <cellStyle name="Separador de milhares 3 6 10 5" xfId="18205"/>
    <cellStyle name="Separador de milhares 3 6 10 5 2" xfId="44444"/>
    <cellStyle name="Separador de milhares 3 6 10 6" xfId="11874"/>
    <cellStyle name="Separador de milhares 3 6 10 6 2" xfId="38116"/>
    <cellStyle name="Separador de milhares 3 6 10 7" xfId="30034"/>
    <cellStyle name="Separador de milhares 3 6 11" xfId="3130"/>
    <cellStyle name="Separador de milhares 3 6 11 2" xfId="7333"/>
    <cellStyle name="Separador de milhares 3 6 11 2 2" xfId="10477"/>
    <cellStyle name="Separador de milhares 3 6 11 2 2 2" xfId="28691"/>
    <cellStyle name="Separador de milhares 3 6 11 2 2 2 2" xfId="54921"/>
    <cellStyle name="Separador de milhares 3 6 11 2 2 3" xfId="22777"/>
    <cellStyle name="Separador de milhares 3 6 11 2 2 3 2" xfId="49013"/>
    <cellStyle name="Separador de milhares 3 6 11 2 2 4" xfId="16863"/>
    <cellStyle name="Separador de milhares 3 6 11 2 2 4 2" xfId="43105"/>
    <cellStyle name="Separador de milhares 3 6 11 2 2 5" xfId="36719"/>
    <cellStyle name="Separador de milhares 3 6 11 2 3" xfId="25734"/>
    <cellStyle name="Separador de milhares 3 6 11 2 3 2" xfId="51967"/>
    <cellStyle name="Separador de milhares 3 6 11 2 4" xfId="19820"/>
    <cellStyle name="Separador de milhares 3 6 11 2 4 2" xfId="46059"/>
    <cellStyle name="Separador de milhares 3 6 11 2 5" xfId="13722"/>
    <cellStyle name="Separador de milhares 3 6 11 2 5 2" xfId="39964"/>
    <cellStyle name="Separador de milhares 3 6 11 2 6" xfId="33578"/>
    <cellStyle name="Separador de milhares 3 6 11 3" xfId="9009"/>
    <cellStyle name="Separador de milhares 3 6 11 3 2" xfId="27223"/>
    <cellStyle name="Separador de milhares 3 6 11 3 2 2" xfId="53453"/>
    <cellStyle name="Separador de milhares 3 6 11 3 3" xfId="21309"/>
    <cellStyle name="Separador de milhares 3 6 11 3 3 2" xfId="47545"/>
    <cellStyle name="Separador de milhares 3 6 11 3 4" xfId="15395"/>
    <cellStyle name="Separador de milhares 3 6 11 3 4 2" xfId="41637"/>
    <cellStyle name="Separador de milhares 3 6 11 3 5" xfId="35251"/>
    <cellStyle name="Separador de milhares 3 6 11 4" xfId="5634"/>
    <cellStyle name="Separador de milhares 3 6 11 4 2" xfId="24266"/>
    <cellStyle name="Separador de milhares 3 6 11 4 2 2" xfId="50499"/>
    <cellStyle name="Separador de milhares 3 6 11 4 3" xfId="31879"/>
    <cellStyle name="Separador de milhares 3 6 11 5" xfId="18352"/>
    <cellStyle name="Separador de milhares 3 6 11 5 2" xfId="44591"/>
    <cellStyle name="Separador de milhares 3 6 11 6" xfId="12021"/>
    <cellStyle name="Separador de milhares 3 6 11 6 2" xfId="38263"/>
    <cellStyle name="Separador de milhares 3 6 11 7" xfId="30181"/>
    <cellStyle name="Separador de milhares 3 6 12" xfId="3657"/>
    <cellStyle name="Separador de milhares 3 6 12 2" xfId="7480"/>
    <cellStyle name="Separador de milhares 3 6 12 2 2" xfId="10624"/>
    <cellStyle name="Separador de milhares 3 6 12 2 2 2" xfId="28838"/>
    <cellStyle name="Separador de milhares 3 6 12 2 2 2 2" xfId="55068"/>
    <cellStyle name="Separador de milhares 3 6 12 2 2 3" xfId="22924"/>
    <cellStyle name="Separador de milhares 3 6 12 2 2 3 2" xfId="49160"/>
    <cellStyle name="Separador de milhares 3 6 12 2 2 4" xfId="17010"/>
    <cellStyle name="Separador de milhares 3 6 12 2 2 4 2" xfId="43252"/>
    <cellStyle name="Separador de milhares 3 6 12 2 2 5" xfId="36866"/>
    <cellStyle name="Separador de milhares 3 6 12 2 3" xfId="25881"/>
    <cellStyle name="Separador de milhares 3 6 12 2 3 2" xfId="52114"/>
    <cellStyle name="Separador de milhares 3 6 12 2 4" xfId="19967"/>
    <cellStyle name="Separador de milhares 3 6 12 2 4 2" xfId="46206"/>
    <cellStyle name="Separador de milhares 3 6 12 2 5" xfId="13869"/>
    <cellStyle name="Separador de milhares 3 6 12 2 5 2" xfId="40111"/>
    <cellStyle name="Separador de milhares 3 6 12 2 6" xfId="33725"/>
    <cellStyle name="Separador de milhares 3 6 12 3" xfId="9156"/>
    <cellStyle name="Separador de milhares 3 6 12 3 2" xfId="27370"/>
    <cellStyle name="Separador de milhares 3 6 12 3 2 2" xfId="53600"/>
    <cellStyle name="Separador de milhares 3 6 12 3 3" xfId="21456"/>
    <cellStyle name="Separador de milhares 3 6 12 3 3 2" xfId="47692"/>
    <cellStyle name="Separador de milhares 3 6 12 3 4" xfId="15542"/>
    <cellStyle name="Separador de milhares 3 6 12 3 4 2" xfId="41784"/>
    <cellStyle name="Separador de milhares 3 6 12 3 5" xfId="35398"/>
    <cellStyle name="Separador de milhares 3 6 12 4" xfId="5781"/>
    <cellStyle name="Separador de milhares 3 6 12 4 2" xfId="24413"/>
    <cellStyle name="Separador de milhares 3 6 12 4 2 2" xfId="50646"/>
    <cellStyle name="Separador de milhares 3 6 12 4 3" xfId="32026"/>
    <cellStyle name="Separador de milhares 3 6 12 5" xfId="18499"/>
    <cellStyle name="Separador de milhares 3 6 12 5 2" xfId="44738"/>
    <cellStyle name="Separador de milhares 3 6 12 6" xfId="12168"/>
    <cellStyle name="Separador de milhares 3 6 12 6 2" xfId="38410"/>
    <cellStyle name="Separador de milhares 3 6 12 7" xfId="30328"/>
    <cellStyle name="Separador de milhares 3 6 13" xfId="6464"/>
    <cellStyle name="Separador de milhares 3 6 13 2" xfId="9620"/>
    <cellStyle name="Separador de milhares 3 6 13 2 2" xfId="27834"/>
    <cellStyle name="Separador de milhares 3 6 13 2 2 2" xfId="54064"/>
    <cellStyle name="Separador de milhares 3 6 13 2 3" xfId="21920"/>
    <cellStyle name="Separador de milhares 3 6 13 2 3 2" xfId="48156"/>
    <cellStyle name="Separador de milhares 3 6 13 2 4" xfId="16006"/>
    <cellStyle name="Separador de milhares 3 6 13 2 4 2" xfId="42248"/>
    <cellStyle name="Separador de milhares 3 6 13 2 5" xfId="35862"/>
    <cellStyle name="Separador de milhares 3 6 13 3" xfId="24877"/>
    <cellStyle name="Separador de milhares 3 6 13 3 2" xfId="51110"/>
    <cellStyle name="Separador de milhares 3 6 13 4" xfId="18963"/>
    <cellStyle name="Separador de milhares 3 6 13 4 2" xfId="45202"/>
    <cellStyle name="Separador de milhares 3 6 13 5" xfId="12853"/>
    <cellStyle name="Separador de milhares 3 6 13 5 2" xfId="39095"/>
    <cellStyle name="Separador de milhares 3 6 13 6" xfId="32709"/>
    <cellStyle name="Separador de milhares 3 6 14" xfId="8149"/>
    <cellStyle name="Separador de milhares 3 6 14 2" xfId="26363"/>
    <cellStyle name="Separador de milhares 3 6 14 2 2" xfId="52596"/>
    <cellStyle name="Separador de milhares 3 6 14 3" xfId="20449"/>
    <cellStyle name="Separador de milhares 3 6 14 3 2" xfId="46688"/>
    <cellStyle name="Separador de milhares 3 6 14 4" xfId="14538"/>
    <cellStyle name="Separador de milhares 3 6 14 4 2" xfId="40780"/>
    <cellStyle name="Separador de milhares 3 6 14 5" xfId="34394"/>
    <cellStyle name="Separador de milhares 3 6 15" xfId="4762"/>
    <cellStyle name="Separador de milhares 3 6 15 2" xfId="23406"/>
    <cellStyle name="Separador de milhares 3 6 15 2 2" xfId="49642"/>
    <cellStyle name="Separador de milhares 3 6 15 3" xfId="31010"/>
    <cellStyle name="Separador de milhares 3 6 16" xfId="17492"/>
    <cellStyle name="Separador de milhares 3 6 16 2" xfId="43734"/>
    <cellStyle name="Separador de milhares 3 6 17" xfId="11152"/>
    <cellStyle name="Separador de milhares 3 6 17 2" xfId="37394"/>
    <cellStyle name="Separador de milhares 3 6 18" xfId="29312"/>
    <cellStyle name="Separador de milhares 3 6 2" xfId="194"/>
    <cellStyle name="Separador de milhares 3 6 2 10" xfId="6493"/>
    <cellStyle name="Separador de milhares 3 6 2 10 2" xfId="9647"/>
    <cellStyle name="Separador de milhares 3 6 2 10 2 2" xfId="27861"/>
    <cellStyle name="Separador de milhares 3 6 2 10 2 2 2" xfId="54091"/>
    <cellStyle name="Separador de milhares 3 6 2 10 2 3" xfId="21947"/>
    <cellStyle name="Separador de milhares 3 6 2 10 2 3 2" xfId="48183"/>
    <cellStyle name="Separador de milhares 3 6 2 10 2 4" xfId="16033"/>
    <cellStyle name="Separador de milhares 3 6 2 10 2 4 2" xfId="42275"/>
    <cellStyle name="Separador de milhares 3 6 2 10 2 5" xfId="35889"/>
    <cellStyle name="Separador de milhares 3 6 2 10 3" xfId="24904"/>
    <cellStyle name="Separador de milhares 3 6 2 10 3 2" xfId="51137"/>
    <cellStyle name="Separador de milhares 3 6 2 10 4" xfId="18990"/>
    <cellStyle name="Separador de milhares 3 6 2 10 4 2" xfId="45229"/>
    <cellStyle name="Separador de milhares 3 6 2 10 5" xfId="12882"/>
    <cellStyle name="Separador de milhares 3 6 2 10 5 2" xfId="39124"/>
    <cellStyle name="Separador de milhares 3 6 2 10 6" xfId="32738"/>
    <cellStyle name="Separador de milhares 3 6 2 11" xfId="8176"/>
    <cellStyle name="Separador de milhares 3 6 2 11 2" xfId="26390"/>
    <cellStyle name="Separador de milhares 3 6 2 11 2 2" xfId="52623"/>
    <cellStyle name="Separador de milhares 3 6 2 11 3" xfId="20476"/>
    <cellStyle name="Separador de milhares 3 6 2 11 3 2" xfId="46715"/>
    <cellStyle name="Separador de milhares 3 6 2 11 4" xfId="14565"/>
    <cellStyle name="Separador de milhares 3 6 2 11 4 2" xfId="40807"/>
    <cellStyle name="Separador de milhares 3 6 2 11 5" xfId="34421"/>
    <cellStyle name="Separador de milhares 3 6 2 12" xfId="4792"/>
    <cellStyle name="Separador de milhares 3 6 2 12 2" xfId="23433"/>
    <cellStyle name="Separador de milhares 3 6 2 12 2 2" xfId="49669"/>
    <cellStyle name="Separador de milhares 3 6 2 12 3" xfId="31039"/>
    <cellStyle name="Separador de milhares 3 6 2 13" xfId="17519"/>
    <cellStyle name="Separador de milhares 3 6 2 13 2" xfId="43761"/>
    <cellStyle name="Separador de milhares 3 6 2 14" xfId="11181"/>
    <cellStyle name="Separador de milhares 3 6 2 14 2" xfId="37423"/>
    <cellStyle name="Separador de milhares 3 6 2 15" xfId="29342"/>
    <cellStyle name="Separador de milhares 3 6 2 2" xfId="467"/>
    <cellStyle name="Separador de milhares 3 6 2 2 10" xfId="17593"/>
    <cellStyle name="Separador de milhares 3 6 2 2 10 2" xfId="43835"/>
    <cellStyle name="Separador de milhares 3 6 2 2 11" xfId="11262"/>
    <cellStyle name="Separador de milhares 3 6 2 2 11 2" xfId="37504"/>
    <cellStyle name="Separador de milhares 3 6 2 2 12" xfId="29422"/>
    <cellStyle name="Separador de milhares 3 6 2 2 2" xfId="1986"/>
    <cellStyle name="Separador de milhares 3 6 2 2 2 2" xfId="7012"/>
    <cellStyle name="Separador de milhares 3 6 2 2 2 2 2" xfId="10159"/>
    <cellStyle name="Separador de milhares 3 6 2 2 2 2 2 2" xfId="28373"/>
    <cellStyle name="Separador de milhares 3 6 2 2 2 2 2 2 2" xfId="54603"/>
    <cellStyle name="Separador de milhares 3 6 2 2 2 2 2 3" xfId="22459"/>
    <cellStyle name="Separador de milhares 3 6 2 2 2 2 2 3 2" xfId="48695"/>
    <cellStyle name="Separador de milhares 3 6 2 2 2 2 2 4" xfId="16545"/>
    <cellStyle name="Separador de milhares 3 6 2 2 2 2 2 4 2" xfId="42787"/>
    <cellStyle name="Separador de milhares 3 6 2 2 2 2 2 5" xfId="36401"/>
    <cellStyle name="Separador de milhares 3 6 2 2 2 2 3" xfId="25416"/>
    <cellStyle name="Separador de milhares 3 6 2 2 2 2 3 2" xfId="51649"/>
    <cellStyle name="Separador de milhares 3 6 2 2 2 2 4" xfId="19502"/>
    <cellStyle name="Separador de milhares 3 6 2 2 2 2 4 2" xfId="45741"/>
    <cellStyle name="Separador de milhares 3 6 2 2 2 2 5" xfId="13401"/>
    <cellStyle name="Separador de milhares 3 6 2 2 2 2 5 2" xfId="39643"/>
    <cellStyle name="Separador de milhares 3 6 2 2 2 2 6" xfId="33257"/>
    <cellStyle name="Separador de milhares 3 6 2 2 2 3" xfId="8691"/>
    <cellStyle name="Separador de milhares 3 6 2 2 2 3 2" xfId="26905"/>
    <cellStyle name="Separador de milhares 3 6 2 2 2 3 2 2" xfId="53135"/>
    <cellStyle name="Separador de milhares 3 6 2 2 2 3 3" xfId="20991"/>
    <cellStyle name="Separador de milhares 3 6 2 2 2 3 3 2" xfId="47227"/>
    <cellStyle name="Separador de milhares 3 6 2 2 2 3 4" xfId="15077"/>
    <cellStyle name="Separador de milhares 3 6 2 2 2 3 4 2" xfId="41319"/>
    <cellStyle name="Separador de milhares 3 6 2 2 2 3 5" xfId="34933"/>
    <cellStyle name="Separador de milhares 3 6 2 2 2 4" xfId="5313"/>
    <cellStyle name="Separador de milhares 3 6 2 2 2 4 2" xfId="23948"/>
    <cellStyle name="Separador de milhares 3 6 2 2 2 4 2 2" xfId="50181"/>
    <cellStyle name="Separador de milhares 3 6 2 2 2 4 3" xfId="31558"/>
    <cellStyle name="Separador de milhares 3 6 2 2 2 5" xfId="18034"/>
    <cellStyle name="Separador de milhares 3 6 2 2 2 5 2" xfId="44273"/>
    <cellStyle name="Separador de milhares 3 6 2 2 2 6" xfId="11700"/>
    <cellStyle name="Separador de milhares 3 6 2 2 2 6 2" xfId="37942"/>
    <cellStyle name="Separador de milhares 3 6 2 2 2 7" xfId="29860"/>
    <cellStyle name="Separador de milhares 3 6 2 2 3" xfId="2516"/>
    <cellStyle name="Separador de milhares 3 6 2 2 3 2" xfId="7162"/>
    <cellStyle name="Separador de milhares 3 6 2 2 3 2 2" xfId="10306"/>
    <cellStyle name="Separador de milhares 3 6 2 2 3 2 2 2" xfId="28520"/>
    <cellStyle name="Separador de milhares 3 6 2 2 3 2 2 2 2" xfId="54750"/>
    <cellStyle name="Separador de milhares 3 6 2 2 3 2 2 3" xfId="22606"/>
    <cellStyle name="Separador de milhares 3 6 2 2 3 2 2 3 2" xfId="48842"/>
    <cellStyle name="Separador de milhares 3 6 2 2 3 2 2 4" xfId="16692"/>
    <cellStyle name="Separador de milhares 3 6 2 2 3 2 2 4 2" xfId="42934"/>
    <cellStyle name="Separador de milhares 3 6 2 2 3 2 2 5" xfId="36548"/>
    <cellStyle name="Separador de milhares 3 6 2 2 3 2 3" xfId="25563"/>
    <cellStyle name="Separador de milhares 3 6 2 2 3 2 3 2" xfId="51796"/>
    <cellStyle name="Separador de milhares 3 6 2 2 3 2 4" xfId="19649"/>
    <cellStyle name="Separador de milhares 3 6 2 2 3 2 4 2" xfId="45888"/>
    <cellStyle name="Separador de milhares 3 6 2 2 3 2 5" xfId="13551"/>
    <cellStyle name="Separador de milhares 3 6 2 2 3 2 5 2" xfId="39793"/>
    <cellStyle name="Separador de milhares 3 6 2 2 3 2 6" xfId="33407"/>
    <cellStyle name="Separador de milhares 3 6 2 2 3 3" xfId="8838"/>
    <cellStyle name="Separador de milhares 3 6 2 2 3 3 2" xfId="27052"/>
    <cellStyle name="Separador de milhares 3 6 2 2 3 3 2 2" xfId="53282"/>
    <cellStyle name="Separador de milhares 3 6 2 2 3 3 3" xfId="21138"/>
    <cellStyle name="Separador de milhares 3 6 2 2 3 3 3 2" xfId="47374"/>
    <cellStyle name="Separador de milhares 3 6 2 2 3 3 4" xfId="15224"/>
    <cellStyle name="Separador de milhares 3 6 2 2 3 3 4 2" xfId="41466"/>
    <cellStyle name="Separador de milhares 3 6 2 2 3 3 5" xfId="35080"/>
    <cellStyle name="Separador de milhares 3 6 2 2 3 4" xfId="5463"/>
    <cellStyle name="Separador de milhares 3 6 2 2 3 4 2" xfId="24095"/>
    <cellStyle name="Separador de milhares 3 6 2 2 3 4 2 2" xfId="50328"/>
    <cellStyle name="Separador de milhares 3 6 2 2 3 4 3" xfId="31708"/>
    <cellStyle name="Separador de milhares 3 6 2 2 3 5" xfId="18181"/>
    <cellStyle name="Separador de milhares 3 6 2 2 3 5 2" xfId="44420"/>
    <cellStyle name="Separador de milhares 3 6 2 2 3 6" xfId="11850"/>
    <cellStyle name="Separador de milhares 3 6 2 2 3 6 2" xfId="38092"/>
    <cellStyle name="Separador de milhares 3 6 2 2 3 7" xfId="30010"/>
    <cellStyle name="Separador de milhares 3 6 2 2 4" xfId="3043"/>
    <cellStyle name="Separador de milhares 3 6 2 2 4 2" xfId="7309"/>
    <cellStyle name="Separador de milhares 3 6 2 2 4 2 2" xfId="10453"/>
    <cellStyle name="Separador de milhares 3 6 2 2 4 2 2 2" xfId="28667"/>
    <cellStyle name="Separador de milhares 3 6 2 2 4 2 2 2 2" xfId="54897"/>
    <cellStyle name="Separador de milhares 3 6 2 2 4 2 2 3" xfId="22753"/>
    <cellStyle name="Separador de milhares 3 6 2 2 4 2 2 3 2" xfId="48989"/>
    <cellStyle name="Separador de milhares 3 6 2 2 4 2 2 4" xfId="16839"/>
    <cellStyle name="Separador de milhares 3 6 2 2 4 2 2 4 2" xfId="43081"/>
    <cellStyle name="Separador de milhares 3 6 2 2 4 2 2 5" xfId="36695"/>
    <cellStyle name="Separador de milhares 3 6 2 2 4 2 3" xfId="25710"/>
    <cellStyle name="Separador de milhares 3 6 2 2 4 2 3 2" xfId="51943"/>
    <cellStyle name="Separador de milhares 3 6 2 2 4 2 4" xfId="19796"/>
    <cellStyle name="Separador de milhares 3 6 2 2 4 2 4 2" xfId="46035"/>
    <cellStyle name="Separador de milhares 3 6 2 2 4 2 5" xfId="13698"/>
    <cellStyle name="Separador de milhares 3 6 2 2 4 2 5 2" xfId="39940"/>
    <cellStyle name="Separador de milhares 3 6 2 2 4 2 6" xfId="33554"/>
    <cellStyle name="Separador de milhares 3 6 2 2 4 3" xfId="8985"/>
    <cellStyle name="Separador de milhares 3 6 2 2 4 3 2" xfId="27199"/>
    <cellStyle name="Separador de milhares 3 6 2 2 4 3 2 2" xfId="53429"/>
    <cellStyle name="Separador de milhares 3 6 2 2 4 3 3" xfId="21285"/>
    <cellStyle name="Separador de milhares 3 6 2 2 4 3 3 2" xfId="47521"/>
    <cellStyle name="Separador de milhares 3 6 2 2 4 3 4" xfId="15371"/>
    <cellStyle name="Separador de milhares 3 6 2 2 4 3 4 2" xfId="41613"/>
    <cellStyle name="Separador de milhares 3 6 2 2 4 3 5" xfId="35227"/>
    <cellStyle name="Separador de milhares 3 6 2 2 4 4" xfId="5610"/>
    <cellStyle name="Separador de milhares 3 6 2 2 4 4 2" xfId="24242"/>
    <cellStyle name="Separador de milhares 3 6 2 2 4 4 2 2" xfId="50475"/>
    <cellStyle name="Separador de milhares 3 6 2 2 4 4 3" xfId="31855"/>
    <cellStyle name="Separador de milhares 3 6 2 2 4 5" xfId="18328"/>
    <cellStyle name="Separador de milhares 3 6 2 2 4 5 2" xfId="44567"/>
    <cellStyle name="Separador de milhares 3 6 2 2 4 6" xfId="11997"/>
    <cellStyle name="Separador de milhares 3 6 2 2 4 6 2" xfId="38239"/>
    <cellStyle name="Separador de milhares 3 6 2 2 4 7" xfId="30157"/>
    <cellStyle name="Separador de milhares 3 6 2 2 5" xfId="3570"/>
    <cellStyle name="Separador de milhares 3 6 2 2 5 2" xfId="7456"/>
    <cellStyle name="Separador de milhares 3 6 2 2 5 2 2" xfId="10600"/>
    <cellStyle name="Separador de milhares 3 6 2 2 5 2 2 2" xfId="28814"/>
    <cellStyle name="Separador de milhares 3 6 2 2 5 2 2 2 2" xfId="55044"/>
    <cellStyle name="Separador de milhares 3 6 2 2 5 2 2 3" xfId="22900"/>
    <cellStyle name="Separador de milhares 3 6 2 2 5 2 2 3 2" xfId="49136"/>
    <cellStyle name="Separador de milhares 3 6 2 2 5 2 2 4" xfId="16986"/>
    <cellStyle name="Separador de milhares 3 6 2 2 5 2 2 4 2" xfId="43228"/>
    <cellStyle name="Separador de milhares 3 6 2 2 5 2 2 5" xfId="36842"/>
    <cellStyle name="Separador de milhares 3 6 2 2 5 2 3" xfId="25857"/>
    <cellStyle name="Separador de milhares 3 6 2 2 5 2 3 2" xfId="52090"/>
    <cellStyle name="Separador de milhares 3 6 2 2 5 2 4" xfId="19943"/>
    <cellStyle name="Separador de milhares 3 6 2 2 5 2 4 2" xfId="46182"/>
    <cellStyle name="Separador de milhares 3 6 2 2 5 2 5" xfId="13845"/>
    <cellStyle name="Separador de milhares 3 6 2 2 5 2 5 2" xfId="40087"/>
    <cellStyle name="Separador de milhares 3 6 2 2 5 2 6" xfId="33701"/>
    <cellStyle name="Separador de milhares 3 6 2 2 5 3" xfId="9132"/>
    <cellStyle name="Separador de milhares 3 6 2 2 5 3 2" xfId="27346"/>
    <cellStyle name="Separador de milhares 3 6 2 2 5 3 2 2" xfId="53576"/>
    <cellStyle name="Separador de milhares 3 6 2 2 5 3 3" xfId="21432"/>
    <cellStyle name="Separador de milhares 3 6 2 2 5 3 3 2" xfId="47668"/>
    <cellStyle name="Separador de milhares 3 6 2 2 5 3 4" xfId="15518"/>
    <cellStyle name="Separador de milhares 3 6 2 2 5 3 4 2" xfId="41760"/>
    <cellStyle name="Separador de milhares 3 6 2 2 5 3 5" xfId="35374"/>
    <cellStyle name="Separador de milhares 3 6 2 2 5 4" xfId="5757"/>
    <cellStyle name="Separador de milhares 3 6 2 2 5 4 2" xfId="24389"/>
    <cellStyle name="Separador de milhares 3 6 2 2 5 4 2 2" xfId="50622"/>
    <cellStyle name="Separador de milhares 3 6 2 2 5 4 3" xfId="32002"/>
    <cellStyle name="Separador de milhares 3 6 2 2 5 5" xfId="18475"/>
    <cellStyle name="Separador de milhares 3 6 2 2 5 5 2" xfId="44714"/>
    <cellStyle name="Separador de milhares 3 6 2 2 5 6" xfId="12144"/>
    <cellStyle name="Separador de milhares 3 6 2 2 5 6 2" xfId="38386"/>
    <cellStyle name="Separador de milhares 3 6 2 2 5 7" xfId="30304"/>
    <cellStyle name="Separador de milhares 3 6 2 2 6" xfId="4097"/>
    <cellStyle name="Separador de milhares 3 6 2 2 6 2" xfId="7603"/>
    <cellStyle name="Separador de milhares 3 6 2 2 6 2 2" xfId="10747"/>
    <cellStyle name="Separador de milhares 3 6 2 2 6 2 2 2" xfId="28961"/>
    <cellStyle name="Separador de milhares 3 6 2 2 6 2 2 2 2" xfId="55191"/>
    <cellStyle name="Separador de milhares 3 6 2 2 6 2 2 3" xfId="23047"/>
    <cellStyle name="Separador de milhares 3 6 2 2 6 2 2 3 2" xfId="49283"/>
    <cellStyle name="Separador de milhares 3 6 2 2 6 2 2 4" xfId="17133"/>
    <cellStyle name="Separador de milhares 3 6 2 2 6 2 2 4 2" xfId="43375"/>
    <cellStyle name="Separador de milhares 3 6 2 2 6 2 2 5" xfId="36989"/>
    <cellStyle name="Separador de milhares 3 6 2 2 6 2 3" xfId="26004"/>
    <cellStyle name="Separador de milhares 3 6 2 2 6 2 3 2" xfId="52237"/>
    <cellStyle name="Separador de milhares 3 6 2 2 6 2 4" xfId="20090"/>
    <cellStyle name="Separador de milhares 3 6 2 2 6 2 4 2" xfId="46329"/>
    <cellStyle name="Separador de milhares 3 6 2 2 6 2 5" xfId="13992"/>
    <cellStyle name="Separador de milhares 3 6 2 2 6 2 5 2" xfId="40234"/>
    <cellStyle name="Separador de milhares 3 6 2 2 6 2 6" xfId="33848"/>
    <cellStyle name="Separador de milhares 3 6 2 2 6 3" xfId="9279"/>
    <cellStyle name="Separador de milhares 3 6 2 2 6 3 2" xfId="27493"/>
    <cellStyle name="Separador de milhares 3 6 2 2 6 3 2 2" xfId="53723"/>
    <cellStyle name="Separador de milhares 3 6 2 2 6 3 3" xfId="21579"/>
    <cellStyle name="Separador de milhares 3 6 2 2 6 3 3 2" xfId="47815"/>
    <cellStyle name="Separador de milhares 3 6 2 2 6 3 4" xfId="15665"/>
    <cellStyle name="Separador de milhares 3 6 2 2 6 3 4 2" xfId="41907"/>
    <cellStyle name="Separador de milhares 3 6 2 2 6 3 5" xfId="35521"/>
    <cellStyle name="Separador de milhares 3 6 2 2 6 4" xfId="5904"/>
    <cellStyle name="Separador de milhares 3 6 2 2 6 4 2" xfId="24536"/>
    <cellStyle name="Separador de milhares 3 6 2 2 6 4 2 2" xfId="50769"/>
    <cellStyle name="Separador de milhares 3 6 2 2 6 4 3" xfId="32149"/>
    <cellStyle name="Separador de milhares 3 6 2 2 6 5" xfId="18622"/>
    <cellStyle name="Separador de milhares 3 6 2 2 6 5 2" xfId="44861"/>
    <cellStyle name="Separador de milhares 3 6 2 2 6 6" xfId="12291"/>
    <cellStyle name="Separador de milhares 3 6 2 2 6 6 2" xfId="38533"/>
    <cellStyle name="Separador de milhares 3 6 2 2 6 7" xfId="30451"/>
    <cellStyle name="Separador de milhares 3 6 2 2 7" xfId="6574"/>
    <cellStyle name="Separador de milhares 3 6 2 2 7 2" xfId="9721"/>
    <cellStyle name="Separador de milhares 3 6 2 2 7 2 2" xfId="27935"/>
    <cellStyle name="Separador de milhares 3 6 2 2 7 2 2 2" xfId="54165"/>
    <cellStyle name="Separador de milhares 3 6 2 2 7 2 3" xfId="22021"/>
    <cellStyle name="Separador de milhares 3 6 2 2 7 2 3 2" xfId="48257"/>
    <cellStyle name="Separador de milhares 3 6 2 2 7 2 4" xfId="16107"/>
    <cellStyle name="Separador de milhares 3 6 2 2 7 2 4 2" xfId="42349"/>
    <cellStyle name="Separador de milhares 3 6 2 2 7 2 5" xfId="35963"/>
    <cellStyle name="Separador de milhares 3 6 2 2 7 3" xfId="24978"/>
    <cellStyle name="Separador de milhares 3 6 2 2 7 3 2" xfId="51211"/>
    <cellStyle name="Separador de milhares 3 6 2 2 7 4" xfId="19064"/>
    <cellStyle name="Separador de milhares 3 6 2 2 7 4 2" xfId="45303"/>
    <cellStyle name="Separador de milhares 3 6 2 2 7 5" xfId="12963"/>
    <cellStyle name="Separador de milhares 3 6 2 2 7 5 2" xfId="39205"/>
    <cellStyle name="Separador de milhares 3 6 2 2 7 6" xfId="32819"/>
    <cellStyle name="Separador de milhares 3 6 2 2 8" xfId="8250"/>
    <cellStyle name="Separador de milhares 3 6 2 2 8 2" xfId="26464"/>
    <cellStyle name="Separador de milhares 3 6 2 2 8 2 2" xfId="52697"/>
    <cellStyle name="Separador de milhares 3 6 2 2 8 3" xfId="20550"/>
    <cellStyle name="Separador de milhares 3 6 2 2 8 3 2" xfId="46789"/>
    <cellStyle name="Separador de milhares 3 6 2 2 8 4" xfId="14639"/>
    <cellStyle name="Separador de milhares 3 6 2 2 8 4 2" xfId="40881"/>
    <cellStyle name="Separador de milhares 3 6 2 2 8 5" xfId="34495"/>
    <cellStyle name="Separador de milhares 3 6 2 2 9" xfId="4873"/>
    <cellStyle name="Separador de milhares 3 6 2 2 9 2" xfId="23507"/>
    <cellStyle name="Separador de milhares 3 6 2 2 9 2 2" xfId="49743"/>
    <cellStyle name="Separador de milhares 3 6 2 2 9 3" xfId="31120"/>
    <cellStyle name="Separador de milhares 3 6 2 3" xfId="940"/>
    <cellStyle name="Separador de milhares 3 6 2 3 2" xfId="6725"/>
    <cellStyle name="Separador de milhares 3 6 2 3 2 2" xfId="9872"/>
    <cellStyle name="Separador de milhares 3 6 2 3 2 2 2" xfId="28086"/>
    <cellStyle name="Separador de milhares 3 6 2 3 2 2 2 2" xfId="54316"/>
    <cellStyle name="Separador de milhares 3 6 2 3 2 2 3" xfId="22172"/>
    <cellStyle name="Separador de milhares 3 6 2 3 2 2 3 2" xfId="48408"/>
    <cellStyle name="Separador de milhares 3 6 2 3 2 2 4" xfId="16258"/>
    <cellStyle name="Separador de milhares 3 6 2 3 2 2 4 2" xfId="42500"/>
    <cellStyle name="Separador de milhares 3 6 2 3 2 2 5" xfId="36114"/>
    <cellStyle name="Separador de milhares 3 6 2 3 2 3" xfId="25129"/>
    <cellStyle name="Separador de milhares 3 6 2 3 2 3 2" xfId="51362"/>
    <cellStyle name="Separador de milhares 3 6 2 3 2 4" xfId="19215"/>
    <cellStyle name="Separador de milhares 3 6 2 3 2 4 2" xfId="45454"/>
    <cellStyle name="Separador de milhares 3 6 2 3 2 5" xfId="13114"/>
    <cellStyle name="Separador de milhares 3 6 2 3 2 5 2" xfId="39356"/>
    <cellStyle name="Separador de milhares 3 6 2 3 2 6" xfId="32970"/>
    <cellStyle name="Separador de milhares 3 6 2 3 3" xfId="8404"/>
    <cellStyle name="Separador de milhares 3 6 2 3 3 2" xfId="26618"/>
    <cellStyle name="Separador de milhares 3 6 2 3 3 2 2" xfId="52848"/>
    <cellStyle name="Separador de milhares 3 6 2 3 3 3" xfId="20704"/>
    <cellStyle name="Separador de milhares 3 6 2 3 3 3 2" xfId="46940"/>
    <cellStyle name="Separador de milhares 3 6 2 3 3 4" xfId="14790"/>
    <cellStyle name="Separador de milhares 3 6 2 3 3 4 2" xfId="41032"/>
    <cellStyle name="Separador de milhares 3 6 2 3 3 5" xfId="34646"/>
    <cellStyle name="Separador de milhares 3 6 2 3 4" xfId="5026"/>
    <cellStyle name="Separador de milhares 3 6 2 3 4 2" xfId="23661"/>
    <cellStyle name="Separador de milhares 3 6 2 3 4 2 2" xfId="49894"/>
    <cellStyle name="Separador de milhares 3 6 2 3 4 3" xfId="31271"/>
    <cellStyle name="Separador de milhares 3 6 2 3 5" xfId="17747"/>
    <cellStyle name="Separador de milhares 3 6 2 3 5 2" xfId="43986"/>
    <cellStyle name="Separador de milhares 3 6 2 3 6" xfId="11413"/>
    <cellStyle name="Separador de milhares 3 6 2 3 6 2" xfId="37655"/>
    <cellStyle name="Separador de milhares 3 6 2 3 7" xfId="29573"/>
    <cellStyle name="Separador de milhares 3 6 2 4" xfId="1291"/>
    <cellStyle name="Separador de milhares 3 6 2 4 2" xfId="6823"/>
    <cellStyle name="Separador de milhares 3 6 2 4 2 2" xfId="9970"/>
    <cellStyle name="Separador de milhares 3 6 2 4 2 2 2" xfId="28184"/>
    <cellStyle name="Separador de milhares 3 6 2 4 2 2 2 2" xfId="54414"/>
    <cellStyle name="Separador de milhares 3 6 2 4 2 2 3" xfId="22270"/>
    <cellStyle name="Separador de milhares 3 6 2 4 2 2 3 2" xfId="48506"/>
    <cellStyle name="Separador de milhares 3 6 2 4 2 2 4" xfId="16356"/>
    <cellStyle name="Separador de milhares 3 6 2 4 2 2 4 2" xfId="42598"/>
    <cellStyle name="Separador de milhares 3 6 2 4 2 2 5" xfId="36212"/>
    <cellStyle name="Separador de milhares 3 6 2 4 2 3" xfId="25227"/>
    <cellStyle name="Separador de milhares 3 6 2 4 2 3 2" xfId="51460"/>
    <cellStyle name="Separador de milhares 3 6 2 4 2 4" xfId="19313"/>
    <cellStyle name="Separador de milhares 3 6 2 4 2 4 2" xfId="45552"/>
    <cellStyle name="Separador de milhares 3 6 2 4 2 5" xfId="13212"/>
    <cellStyle name="Separador de milhares 3 6 2 4 2 5 2" xfId="39454"/>
    <cellStyle name="Separador de milhares 3 6 2 4 2 6" xfId="33068"/>
    <cellStyle name="Separador de milhares 3 6 2 4 3" xfId="8502"/>
    <cellStyle name="Separador de milhares 3 6 2 4 3 2" xfId="26716"/>
    <cellStyle name="Separador de milhares 3 6 2 4 3 2 2" xfId="52946"/>
    <cellStyle name="Separador de milhares 3 6 2 4 3 3" xfId="20802"/>
    <cellStyle name="Separador de milhares 3 6 2 4 3 3 2" xfId="47038"/>
    <cellStyle name="Separador de milhares 3 6 2 4 3 4" xfId="14888"/>
    <cellStyle name="Separador de milhares 3 6 2 4 3 4 2" xfId="41130"/>
    <cellStyle name="Separador de milhares 3 6 2 4 3 5" xfId="34744"/>
    <cellStyle name="Separador de milhares 3 6 2 4 4" xfId="5124"/>
    <cellStyle name="Separador de milhares 3 6 2 4 4 2" xfId="23759"/>
    <cellStyle name="Separador de milhares 3 6 2 4 4 2 2" xfId="49992"/>
    <cellStyle name="Separador de milhares 3 6 2 4 4 3" xfId="31369"/>
    <cellStyle name="Separador de milhares 3 6 2 4 5" xfId="17845"/>
    <cellStyle name="Separador de milhares 3 6 2 4 5 2" xfId="44084"/>
    <cellStyle name="Separador de milhares 3 6 2 4 6" xfId="11511"/>
    <cellStyle name="Separador de milhares 3 6 2 4 6 2" xfId="37753"/>
    <cellStyle name="Separador de milhares 3 6 2 4 7" xfId="29671"/>
    <cellStyle name="Separador de milhares 3 6 2 5" xfId="1726"/>
    <cellStyle name="Separador de milhares 3 6 2 5 2" xfId="6942"/>
    <cellStyle name="Separador de milhares 3 6 2 5 2 2" xfId="10089"/>
    <cellStyle name="Separador de milhares 3 6 2 5 2 2 2" xfId="28303"/>
    <cellStyle name="Separador de milhares 3 6 2 5 2 2 2 2" xfId="54533"/>
    <cellStyle name="Separador de milhares 3 6 2 5 2 2 3" xfId="22389"/>
    <cellStyle name="Separador de milhares 3 6 2 5 2 2 3 2" xfId="48625"/>
    <cellStyle name="Separador de milhares 3 6 2 5 2 2 4" xfId="16475"/>
    <cellStyle name="Separador de milhares 3 6 2 5 2 2 4 2" xfId="42717"/>
    <cellStyle name="Separador de milhares 3 6 2 5 2 2 5" xfId="36331"/>
    <cellStyle name="Separador de milhares 3 6 2 5 2 3" xfId="25346"/>
    <cellStyle name="Separador de milhares 3 6 2 5 2 3 2" xfId="51579"/>
    <cellStyle name="Separador de milhares 3 6 2 5 2 4" xfId="19432"/>
    <cellStyle name="Separador de milhares 3 6 2 5 2 4 2" xfId="45671"/>
    <cellStyle name="Separador de milhares 3 6 2 5 2 5" xfId="13331"/>
    <cellStyle name="Separador de milhares 3 6 2 5 2 5 2" xfId="39573"/>
    <cellStyle name="Separador de milhares 3 6 2 5 2 6" xfId="33187"/>
    <cellStyle name="Separador de milhares 3 6 2 5 3" xfId="8621"/>
    <cellStyle name="Separador de milhares 3 6 2 5 3 2" xfId="26835"/>
    <cellStyle name="Separador de milhares 3 6 2 5 3 2 2" xfId="53065"/>
    <cellStyle name="Separador de milhares 3 6 2 5 3 3" xfId="20921"/>
    <cellStyle name="Separador de milhares 3 6 2 5 3 3 2" xfId="47157"/>
    <cellStyle name="Separador de milhares 3 6 2 5 3 4" xfId="15007"/>
    <cellStyle name="Separador de milhares 3 6 2 5 3 4 2" xfId="41249"/>
    <cellStyle name="Separador de milhares 3 6 2 5 3 5" xfId="34863"/>
    <cellStyle name="Separador de milhares 3 6 2 5 4" xfId="5243"/>
    <cellStyle name="Separador de milhares 3 6 2 5 4 2" xfId="23878"/>
    <cellStyle name="Separador de milhares 3 6 2 5 4 2 2" xfId="50111"/>
    <cellStyle name="Separador de milhares 3 6 2 5 4 3" xfId="31488"/>
    <cellStyle name="Separador de milhares 3 6 2 5 5" xfId="17964"/>
    <cellStyle name="Separador de milhares 3 6 2 5 5 2" xfId="44203"/>
    <cellStyle name="Separador de milhares 3 6 2 5 6" xfId="11630"/>
    <cellStyle name="Separador de milhares 3 6 2 5 6 2" xfId="37872"/>
    <cellStyle name="Separador de milhares 3 6 2 5 7" xfId="29790"/>
    <cellStyle name="Separador de milhares 3 6 2 6" xfId="2256"/>
    <cellStyle name="Separador de milhares 3 6 2 6 2" xfId="7092"/>
    <cellStyle name="Separador de milhares 3 6 2 6 2 2" xfId="10236"/>
    <cellStyle name="Separador de milhares 3 6 2 6 2 2 2" xfId="28450"/>
    <cellStyle name="Separador de milhares 3 6 2 6 2 2 2 2" xfId="54680"/>
    <cellStyle name="Separador de milhares 3 6 2 6 2 2 3" xfId="22536"/>
    <cellStyle name="Separador de milhares 3 6 2 6 2 2 3 2" xfId="48772"/>
    <cellStyle name="Separador de milhares 3 6 2 6 2 2 4" xfId="16622"/>
    <cellStyle name="Separador de milhares 3 6 2 6 2 2 4 2" xfId="42864"/>
    <cellStyle name="Separador de milhares 3 6 2 6 2 2 5" xfId="36478"/>
    <cellStyle name="Separador de milhares 3 6 2 6 2 3" xfId="25493"/>
    <cellStyle name="Separador de milhares 3 6 2 6 2 3 2" xfId="51726"/>
    <cellStyle name="Separador de milhares 3 6 2 6 2 4" xfId="19579"/>
    <cellStyle name="Separador de milhares 3 6 2 6 2 4 2" xfId="45818"/>
    <cellStyle name="Separador de milhares 3 6 2 6 2 5" xfId="13481"/>
    <cellStyle name="Separador de milhares 3 6 2 6 2 5 2" xfId="39723"/>
    <cellStyle name="Separador de milhares 3 6 2 6 2 6" xfId="33337"/>
    <cellStyle name="Separador de milhares 3 6 2 6 3" xfId="8768"/>
    <cellStyle name="Separador de milhares 3 6 2 6 3 2" xfId="26982"/>
    <cellStyle name="Separador de milhares 3 6 2 6 3 2 2" xfId="53212"/>
    <cellStyle name="Separador de milhares 3 6 2 6 3 3" xfId="21068"/>
    <cellStyle name="Separador de milhares 3 6 2 6 3 3 2" xfId="47304"/>
    <cellStyle name="Separador de milhares 3 6 2 6 3 4" xfId="15154"/>
    <cellStyle name="Separador de milhares 3 6 2 6 3 4 2" xfId="41396"/>
    <cellStyle name="Separador de milhares 3 6 2 6 3 5" xfId="35010"/>
    <cellStyle name="Separador de milhares 3 6 2 6 4" xfId="5393"/>
    <cellStyle name="Separador de milhares 3 6 2 6 4 2" xfId="24025"/>
    <cellStyle name="Separador de milhares 3 6 2 6 4 2 2" xfId="50258"/>
    <cellStyle name="Separador de milhares 3 6 2 6 4 3" xfId="31638"/>
    <cellStyle name="Separador de milhares 3 6 2 6 5" xfId="18111"/>
    <cellStyle name="Separador de milhares 3 6 2 6 5 2" xfId="44350"/>
    <cellStyle name="Separador de milhares 3 6 2 6 6" xfId="11780"/>
    <cellStyle name="Separador de milhares 3 6 2 6 6 2" xfId="38022"/>
    <cellStyle name="Separador de milhares 3 6 2 6 7" xfId="29940"/>
    <cellStyle name="Separador de milhares 3 6 2 7" xfId="2783"/>
    <cellStyle name="Separador de milhares 3 6 2 7 2" xfId="7239"/>
    <cellStyle name="Separador de milhares 3 6 2 7 2 2" xfId="10383"/>
    <cellStyle name="Separador de milhares 3 6 2 7 2 2 2" xfId="28597"/>
    <cellStyle name="Separador de milhares 3 6 2 7 2 2 2 2" xfId="54827"/>
    <cellStyle name="Separador de milhares 3 6 2 7 2 2 3" xfId="22683"/>
    <cellStyle name="Separador de milhares 3 6 2 7 2 2 3 2" xfId="48919"/>
    <cellStyle name="Separador de milhares 3 6 2 7 2 2 4" xfId="16769"/>
    <cellStyle name="Separador de milhares 3 6 2 7 2 2 4 2" xfId="43011"/>
    <cellStyle name="Separador de milhares 3 6 2 7 2 2 5" xfId="36625"/>
    <cellStyle name="Separador de milhares 3 6 2 7 2 3" xfId="25640"/>
    <cellStyle name="Separador de milhares 3 6 2 7 2 3 2" xfId="51873"/>
    <cellStyle name="Separador de milhares 3 6 2 7 2 4" xfId="19726"/>
    <cellStyle name="Separador de milhares 3 6 2 7 2 4 2" xfId="45965"/>
    <cellStyle name="Separador de milhares 3 6 2 7 2 5" xfId="13628"/>
    <cellStyle name="Separador de milhares 3 6 2 7 2 5 2" xfId="39870"/>
    <cellStyle name="Separador de milhares 3 6 2 7 2 6" xfId="33484"/>
    <cellStyle name="Separador de milhares 3 6 2 7 3" xfId="8915"/>
    <cellStyle name="Separador de milhares 3 6 2 7 3 2" xfId="27129"/>
    <cellStyle name="Separador de milhares 3 6 2 7 3 2 2" xfId="53359"/>
    <cellStyle name="Separador de milhares 3 6 2 7 3 3" xfId="21215"/>
    <cellStyle name="Separador de milhares 3 6 2 7 3 3 2" xfId="47451"/>
    <cellStyle name="Separador de milhares 3 6 2 7 3 4" xfId="15301"/>
    <cellStyle name="Separador de milhares 3 6 2 7 3 4 2" xfId="41543"/>
    <cellStyle name="Separador de milhares 3 6 2 7 3 5" xfId="35157"/>
    <cellStyle name="Separador de milhares 3 6 2 7 4" xfId="5540"/>
    <cellStyle name="Separador de milhares 3 6 2 7 4 2" xfId="24172"/>
    <cellStyle name="Separador de milhares 3 6 2 7 4 2 2" xfId="50405"/>
    <cellStyle name="Separador de milhares 3 6 2 7 4 3" xfId="31785"/>
    <cellStyle name="Separador de milhares 3 6 2 7 5" xfId="18258"/>
    <cellStyle name="Separador de milhares 3 6 2 7 5 2" xfId="44497"/>
    <cellStyle name="Separador de milhares 3 6 2 7 6" xfId="11927"/>
    <cellStyle name="Separador de milhares 3 6 2 7 6 2" xfId="38169"/>
    <cellStyle name="Separador de milhares 3 6 2 7 7" xfId="30087"/>
    <cellStyle name="Separador de milhares 3 6 2 8" xfId="3310"/>
    <cellStyle name="Separador de milhares 3 6 2 8 2" xfId="7386"/>
    <cellStyle name="Separador de milhares 3 6 2 8 2 2" xfId="10530"/>
    <cellStyle name="Separador de milhares 3 6 2 8 2 2 2" xfId="28744"/>
    <cellStyle name="Separador de milhares 3 6 2 8 2 2 2 2" xfId="54974"/>
    <cellStyle name="Separador de milhares 3 6 2 8 2 2 3" xfId="22830"/>
    <cellStyle name="Separador de milhares 3 6 2 8 2 2 3 2" xfId="49066"/>
    <cellStyle name="Separador de milhares 3 6 2 8 2 2 4" xfId="16916"/>
    <cellStyle name="Separador de milhares 3 6 2 8 2 2 4 2" xfId="43158"/>
    <cellStyle name="Separador de milhares 3 6 2 8 2 2 5" xfId="36772"/>
    <cellStyle name="Separador de milhares 3 6 2 8 2 3" xfId="25787"/>
    <cellStyle name="Separador de milhares 3 6 2 8 2 3 2" xfId="52020"/>
    <cellStyle name="Separador de milhares 3 6 2 8 2 4" xfId="19873"/>
    <cellStyle name="Separador de milhares 3 6 2 8 2 4 2" xfId="46112"/>
    <cellStyle name="Separador de milhares 3 6 2 8 2 5" xfId="13775"/>
    <cellStyle name="Separador de milhares 3 6 2 8 2 5 2" xfId="40017"/>
    <cellStyle name="Separador de milhares 3 6 2 8 2 6" xfId="33631"/>
    <cellStyle name="Separador de milhares 3 6 2 8 3" xfId="9062"/>
    <cellStyle name="Separador de milhares 3 6 2 8 3 2" xfId="27276"/>
    <cellStyle name="Separador de milhares 3 6 2 8 3 2 2" xfId="53506"/>
    <cellStyle name="Separador de milhares 3 6 2 8 3 3" xfId="21362"/>
    <cellStyle name="Separador de milhares 3 6 2 8 3 3 2" xfId="47598"/>
    <cellStyle name="Separador de milhares 3 6 2 8 3 4" xfId="15448"/>
    <cellStyle name="Separador de milhares 3 6 2 8 3 4 2" xfId="41690"/>
    <cellStyle name="Separador de milhares 3 6 2 8 3 5" xfId="35304"/>
    <cellStyle name="Separador de milhares 3 6 2 8 4" xfId="5687"/>
    <cellStyle name="Separador de milhares 3 6 2 8 4 2" xfId="24319"/>
    <cellStyle name="Separador de milhares 3 6 2 8 4 2 2" xfId="50552"/>
    <cellStyle name="Separador de milhares 3 6 2 8 4 3" xfId="31932"/>
    <cellStyle name="Separador de milhares 3 6 2 8 5" xfId="18405"/>
    <cellStyle name="Separador de milhares 3 6 2 8 5 2" xfId="44644"/>
    <cellStyle name="Separador de milhares 3 6 2 8 6" xfId="12074"/>
    <cellStyle name="Separador de milhares 3 6 2 8 6 2" xfId="38316"/>
    <cellStyle name="Separador de milhares 3 6 2 8 7" xfId="30234"/>
    <cellStyle name="Separador de milhares 3 6 2 9" xfId="3837"/>
    <cellStyle name="Separador de milhares 3 6 2 9 2" xfId="7533"/>
    <cellStyle name="Separador de milhares 3 6 2 9 2 2" xfId="10677"/>
    <cellStyle name="Separador de milhares 3 6 2 9 2 2 2" xfId="28891"/>
    <cellStyle name="Separador de milhares 3 6 2 9 2 2 2 2" xfId="55121"/>
    <cellStyle name="Separador de milhares 3 6 2 9 2 2 3" xfId="22977"/>
    <cellStyle name="Separador de milhares 3 6 2 9 2 2 3 2" xfId="49213"/>
    <cellStyle name="Separador de milhares 3 6 2 9 2 2 4" xfId="17063"/>
    <cellStyle name="Separador de milhares 3 6 2 9 2 2 4 2" xfId="43305"/>
    <cellStyle name="Separador de milhares 3 6 2 9 2 2 5" xfId="36919"/>
    <cellStyle name="Separador de milhares 3 6 2 9 2 3" xfId="25934"/>
    <cellStyle name="Separador de milhares 3 6 2 9 2 3 2" xfId="52167"/>
    <cellStyle name="Separador de milhares 3 6 2 9 2 4" xfId="20020"/>
    <cellStyle name="Separador de milhares 3 6 2 9 2 4 2" xfId="46259"/>
    <cellStyle name="Separador de milhares 3 6 2 9 2 5" xfId="13922"/>
    <cellStyle name="Separador de milhares 3 6 2 9 2 5 2" xfId="40164"/>
    <cellStyle name="Separador de milhares 3 6 2 9 2 6" xfId="33778"/>
    <cellStyle name="Separador de milhares 3 6 2 9 3" xfId="9209"/>
    <cellStyle name="Separador de milhares 3 6 2 9 3 2" xfId="27423"/>
    <cellStyle name="Separador de milhares 3 6 2 9 3 2 2" xfId="53653"/>
    <cellStyle name="Separador de milhares 3 6 2 9 3 3" xfId="21509"/>
    <cellStyle name="Separador de milhares 3 6 2 9 3 3 2" xfId="47745"/>
    <cellStyle name="Separador de milhares 3 6 2 9 3 4" xfId="15595"/>
    <cellStyle name="Separador de milhares 3 6 2 9 3 4 2" xfId="41837"/>
    <cellStyle name="Separador de milhares 3 6 2 9 3 5" xfId="35451"/>
    <cellStyle name="Separador de milhares 3 6 2 9 4" xfId="5834"/>
    <cellStyle name="Separador de milhares 3 6 2 9 4 2" xfId="24466"/>
    <cellStyle name="Separador de milhares 3 6 2 9 4 2 2" xfId="50699"/>
    <cellStyle name="Separador de milhares 3 6 2 9 4 3" xfId="32079"/>
    <cellStyle name="Separador de milhares 3 6 2 9 5" xfId="18552"/>
    <cellStyle name="Separador de milhares 3 6 2 9 5 2" xfId="44791"/>
    <cellStyle name="Separador de milhares 3 6 2 9 6" xfId="12221"/>
    <cellStyle name="Separador de milhares 3 6 2 9 6 2" xfId="38463"/>
    <cellStyle name="Separador de milhares 3 6 2 9 7" xfId="30381"/>
    <cellStyle name="Separador de milhares 3 6 3" xfId="289"/>
    <cellStyle name="Separador de milhares 3 6 3 10" xfId="6524"/>
    <cellStyle name="Separador de milhares 3 6 3 10 2" xfId="9675"/>
    <cellStyle name="Separador de milhares 3 6 3 10 2 2" xfId="27889"/>
    <cellStyle name="Separador de milhares 3 6 3 10 2 2 2" xfId="54119"/>
    <cellStyle name="Separador de milhares 3 6 3 10 2 3" xfId="21975"/>
    <cellStyle name="Separador de milhares 3 6 3 10 2 3 2" xfId="48211"/>
    <cellStyle name="Separador de milhares 3 6 3 10 2 4" xfId="16061"/>
    <cellStyle name="Separador de milhares 3 6 3 10 2 4 2" xfId="42303"/>
    <cellStyle name="Separador de milhares 3 6 3 10 2 5" xfId="35917"/>
    <cellStyle name="Separador de milhares 3 6 3 10 3" xfId="24932"/>
    <cellStyle name="Separador de milhares 3 6 3 10 3 2" xfId="51165"/>
    <cellStyle name="Separador de milhares 3 6 3 10 4" xfId="19018"/>
    <cellStyle name="Separador de milhares 3 6 3 10 4 2" xfId="45257"/>
    <cellStyle name="Separador de milhares 3 6 3 10 5" xfId="12913"/>
    <cellStyle name="Separador de milhares 3 6 3 10 5 2" xfId="39155"/>
    <cellStyle name="Separador de milhares 3 6 3 10 6" xfId="32769"/>
    <cellStyle name="Separador de milhares 3 6 3 11" xfId="8204"/>
    <cellStyle name="Separador de milhares 3 6 3 11 2" xfId="26418"/>
    <cellStyle name="Separador de milhares 3 6 3 11 2 2" xfId="52651"/>
    <cellStyle name="Separador de milhares 3 6 3 11 3" xfId="20504"/>
    <cellStyle name="Separador de milhares 3 6 3 11 3 2" xfId="46743"/>
    <cellStyle name="Separador de milhares 3 6 3 11 4" xfId="14593"/>
    <cellStyle name="Separador de milhares 3 6 3 11 4 2" xfId="40835"/>
    <cellStyle name="Separador de milhares 3 6 3 11 5" xfId="34449"/>
    <cellStyle name="Separador de milhares 3 6 3 12" xfId="4823"/>
    <cellStyle name="Separador de milhares 3 6 3 12 2" xfId="23461"/>
    <cellStyle name="Separador de milhares 3 6 3 12 2 2" xfId="49697"/>
    <cellStyle name="Separador de milhares 3 6 3 12 3" xfId="31070"/>
    <cellStyle name="Separador de milhares 3 6 3 13" xfId="17547"/>
    <cellStyle name="Separador de milhares 3 6 3 13 2" xfId="43789"/>
    <cellStyle name="Separador de milhares 3 6 3 14" xfId="11212"/>
    <cellStyle name="Separador de milhares 3 6 3 14 2" xfId="37454"/>
    <cellStyle name="Separador de milhares 3 6 3 15" xfId="29372"/>
    <cellStyle name="Separador de milhares 3 6 3 2" xfId="552"/>
    <cellStyle name="Separador de milhares 3 6 3 2 2" xfId="6595"/>
    <cellStyle name="Separador de milhares 3 6 3 2 2 2" xfId="9742"/>
    <cellStyle name="Separador de milhares 3 6 3 2 2 2 2" xfId="27956"/>
    <cellStyle name="Separador de milhares 3 6 3 2 2 2 2 2" xfId="54186"/>
    <cellStyle name="Separador de milhares 3 6 3 2 2 2 3" xfId="22042"/>
    <cellStyle name="Separador de milhares 3 6 3 2 2 2 3 2" xfId="48278"/>
    <cellStyle name="Separador de milhares 3 6 3 2 2 2 4" xfId="16128"/>
    <cellStyle name="Separador de milhares 3 6 3 2 2 2 4 2" xfId="42370"/>
    <cellStyle name="Separador de milhares 3 6 3 2 2 2 5" xfId="35984"/>
    <cellStyle name="Separador de milhares 3 6 3 2 2 3" xfId="24999"/>
    <cellStyle name="Separador de milhares 3 6 3 2 2 3 2" xfId="51232"/>
    <cellStyle name="Separador de milhares 3 6 3 2 2 4" xfId="19085"/>
    <cellStyle name="Separador de milhares 3 6 3 2 2 4 2" xfId="45324"/>
    <cellStyle name="Separador de milhares 3 6 3 2 2 5" xfId="12984"/>
    <cellStyle name="Separador de milhares 3 6 3 2 2 5 2" xfId="39226"/>
    <cellStyle name="Separador de milhares 3 6 3 2 2 6" xfId="32840"/>
    <cellStyle name="Separador de milhares 3 6 3 2 3" xfId="8271"/>
    <cellStyle name="Separador de milhares 3 6 3 2 3 2" xfId="26485"/>
    <cellStyle name="Separador de milhares 3 6 3 2 3 2 2" xfId="52718"/>
    <cellStyle name="Separador de milhares 3 6 3 2 3 3" xfId="20571"/>
    <cellStyle name="Separador de milhares 3 6 3 2 3 3 2" xfId="46810"/>
    <cellStyle name="Separador de milhares 3 6 3 2 3 4" xfId="14660"/>
    <cellStyle name="Separador de milhares 3 6 3 2 3 4 2" xfId="40902"/>
    <cellStyle name="Separador de milhares 3 6 3 2 3 5" xfId="34516"/>
    <cellStyle name="Separador de milhares 3 6 3 2 4" xfId="4894"/>
    <cellStyle name="Separador de milhares 3 6 3 2 4 2" xfId="23528"/>
    <cellStyle name="Separador de milhares 3 6 3 2 4 2 2" xfId="49764"/>
    <cellStyle name="Separador de milhares 3 6 3 2 4 3" xfId="31141"/>
    <cellStyle name="Separador de milhares 3 6 3 2 5" xfId="17614"/>
    <cellStyle name="Separador de milhares 3 6 3 2 5 2" xfId="43856"/>
    <cellStyle name="Separador de milhares 3 6 3 2 6" xfId="11283"/>
    <cellStyle name="Separador de milhares 3 6 3 2 6 2" xfId="37525"/>
    <cellStyle name="Separador de milhares 3 6 3 2 7" xfId="29443"/>
    <cellStyle name="Separador de milhares 3 6 3 3" xfId="849"/>
    <cellStyle name="Separador de milhares 3 6 3 3 2" xfId="6697"/>
    <cellStyle name="Separador de milhares 3 6 3 3 2 2" xfId="9844"/>
    <cellStyle name="Separador de milhares 3 6 3 3 2 2 2" xfId="28058"/>
    <cellStyle name="Separador de milhares 3 6 3 3 2 2 2 2" xfId="54288"/>
    <cellStyle name="Separador de milhares 3 6 3 3 2 2 3" xfId="22144"/>
    <cellStyle name="Separador de milhares 3 6 3 3 2 2 3 2" xfId="48380"/>
    <cellStyle name="Separador de milhares 3 6 3 3 2 2 4" xfId="16230"/>
    <cellStyle name="Separador de milhares 3 6 3 3 2 2 4 2" xfId="42472"/>
    <cellStyle name="Separador de milhares 3 6 3 3 2 2 5" xfId="36086"/>
    <cellStyle name="Separador de milhares 3 6 3 3 2 3" xfId="25101"/>
    <cellStyle name="Separador de milhares 3 6 3 3 2 3 2" xfId="51334"/>
    <cellStyle name="Separador de milhares 3 6 3 3 2 4" xfId="19187"/>
    <cellStyle name="Separador de milhares 3 6 3 3 2 4 2" xfId="45426"/>
    <cellStyle name="Separador de milhares 3 6 3 3 2 5" xfId="13086"/>
    <cellStyle name="Separador de milhares 3 6 3 3 2 5 2" xfId="39328"/>
    <cellStyle name="Separador de milhares 3 6 3 3 2 6" xfId="32942"/>
    <cellStyle name="Separador de milhares 3 6 3 3 3" xfId="8376"/>
    <cellStyle name="Separador de milhares 3 6 3 3 3 2" xfId="26590"/>
    <cellStyle name="Separador de milhares 3 6 3 3 3 2 2" xfId="52820"/>
    <cellStyle name="Separador de milhares 3 6 3 3 3 3" xfId="20676"/>
    <cellStyle name="Separador de milhares 3 6 3 3 3 3 2" xfId="46912"/>
    <cellStyle name="Separador de milhares 3 6 3 3 3 4" xfId="14762"/>
    <cellStyle name="Separador de milhares 3 6 3 3 3 4 2" xfId="41004"/>
    <cellStyle name="Separador de milhares 3 6 3 3 3 5" xfId="34618"/>
    <cellStyle name="Separador de milhares 3 6 3 3 4" xfId="4998"/>
    <cellStyle name="Separador de milhares 3 6 3 3 4 2" xfId="23633"/>
    <cellStyle name="Separador de milhares 3 6 3 3 4 2 2" xfId="49866"/>
    <cellStyle name="Separador de milhares 3 6 3 3 4 3" xfId="31243"/>
    <cellStyle name="Separador de milhares 3 6 3 3 5" xfId="17719"/>
    <cellStyle name="Separador de milhares 3 6 3 3 5 2" xfId="43958"/>
    <cellStyle name="Separador de milhares 3 6 3 3 6" xfId="11385"/>
    <cellStyle name="Separador de milhares 3 6 3 3 6 2" xfId="37627"/>
    <cellStyle name="Separador de milhares 3 6 3 3 7" xfId="29545"/>
    <cellStyle name="Separador de milhares 3 6 3 4" xfId="1200"/>
    <cellStyle name="Separador de milhares 3 6 3 4 2" xfId="6795"/>
    <cellStyle name="Separador de milhares 3 6 3 4 2 2" xfId="9942"/>
    <cellStyle name="Separador de milhares 3 6 3 4 2 2 2" xfId="28156"/>
    <cellStyle name="Separador de milhares 3 6 3 4 2 2 2 2" xfId="54386"/>
    <cellStyle name="Separador de milhares 3 6 3 4 2 2 3" xfId="22242"/>
    <cellStyle name="Separador de milhares 3 6 3 4 2 2 3 2" xfId="48478"/>
    <cellStyle name="Separador de milhares 3 6 3 4 2 2 4" xfId="16328"/>
    <cellStyle name="Separador de milhares 3 6 3 4 2 2 4 2" xfId="42570"/>
    <cellStyle name="Separador de milhares 3 6 3 4 2 2 5" xfId="36184"/>
    <cellStyle name="Separador de milhares 3 6 3 4 2 3" xfId="25199"/>
    <cellStyle name="Separador de milhares 3 6 3 4 2 3 2" xfId="51432"/>
    <cellStyle name="Separador de milhares 3 6 3 4 2 4" xfId="19285"/>
    <cellStyle name="Separador de milhares 3 6 3 4 2 4 2" xfId="45524"/>
    <cellStyle name="Separador de milhares 3 6 3 4 2 5" xfId="13184"/>
    <cellStyle name="Separador de milhares 3 6 3 4 2 5 2" xfId="39426"/>
    <cellStyle name="Separador de milhares 3 6 3 4 2 6" xfId="33040"/>
    <cellStyle name="Separador de milhares 3 6 3 4 3" xfId="8474"/>
    <cellStyle name="Separador de milhares 3 6 3 4 3 2" xfId="26688"/>
    <cellStyle name="Separador de milhares 3 6 3 4 3 2 2" xfId="52918"/>
    <cellStyle name="Separador de milhares 3 6 3 4 3 3" xfId="20774"/>
    <cellStyle name="Separador de milhares 3 6 3 4 3 3 2" xfId="47010"/>
    <cellStyle name="Separador de milhares 3 6 3 4 3 4" xfId="14860"/>
    <cellStyle name="Separador de milhares 3 6 3 4 3 4 2" xfId="41102"/>
    <cellStyle name="Separador de milhares 3 6 3 4 3 5" xfId="34716"/>
    <cellStyle name="Separador de milhares 3 6 3 4 4" xfId="5096"/>
    <cellStyle name="Separador de milhares 3 6 3 4 4 2" xfId="23731"/>
    <cellStyle name="Separador de milhares 3 6 3 4 4 2 2" xfId="49964"/>
    <cellStyle name="Separador de milhares 3 6 3 4 4 3" xfId="31341"/>
    <cellStyle name="Separador de milhares 3 6 3 4 5" xfId="17817"/>
    <cellStyle name="Separador de milhares 3 6 3 4 5 2" xfId="44056"/>
    <cellStyle name="Separador de milhares 3 6 3 4 6" xfId="11483"/>
    <cellStyle name="Separador de milhares 3 6 3 4 6 2" xfId="37725"/>
    <cellStyle name="Separador de milhares 3 6 3 4 7" xfId="29643"/>
    <cellStyle name="Separador de milhares 3 6 3 5" xfId="1635"/>
    <cellStyle name="Separador de milhares 3 6 3 5 2" xfId="6914"/>
    <cellStyle name="Separador de milhares 3 6 3 5 2 2" xfId="10061"/>
    <cellStyle name="Separador de milhares 3 6 3 5 2 2 2" xfId="28275"/>
    <cellStyle name="Separador de milhares 3 6 3 5 2 2 2 2" xfId="54505"/>
    <cellStyle name="Separador de milhares 3 6 3 5 2 2 3" xfId="22361"/>
    <cellStyle name="Separador de milhares 3 6 3 5 2 2 3 2" xfId="48597"/>
    <cellStyle name="Separador de milhares 3 6 3 5 2 2 4" xfId="16447"/>
    <cellStyle name="Separador de milhares 3 6 3 5 2 2 4 2" xfId="42689"/>
    <cellStyle name="Separador de milhares 3 6 3 5 2 2 5" xfId="36303"/>
    <cellStyle name="Separador de milhares 3 6 3 5 2 3" xfId="25318"/>
    <cellStyle name="Separador de milhares 3 6 3 5 2 3 2" xfId="51551"/>
    <cellStyle name="Separador de milhares 3 6 3 5 2 4" xfId="19404"/>
    <cellStyle name="Separador de milhares 3 6 3 5 2 4 2" xfId="45643"/>
    <cellStyle name="Separador de milhares 3 6 3 5 2 5" xfId="13303"/>
    <cellStyle name="Separador de milhares 3 6 3 5 2 5 2" xfId="39545"/>
    <cellStyle name="Separador de milhares 3 6 3 5 2 6" xfId="33159"/>
    <cellStyle name="Separador de milhares 3 6 3 5 3" xfId="8593"/>
    <cellStyle name="Separador de milhares 3 6 3 5 3 2" xfId="26807"/>
    <cellStyle name="Separador de milhares 3 6 3 5 3 2 2" xfId="53037"/>
    <cellStyle name="Separador de milhares 3 6 3 5 3 3" xfId="20893"/>
    <cellStyle name="Separador de milhares 3 6 3 5 3 3 2" xfId="47129"/>
    <cellStyle name="Separador de milhares 3 6 3 5 3 4" xfId="14979"/>
    <cellStyle name="Separador de milhares 3 6 3 5 3 4 2" xfId="41221"/>
    <cellStyle name="Separador de milhares 3 6 3 5 3 5" xfId="34835"/>
    <cellStyle name="Separador de milhares 3 6 3 5 4" xfId="5215"/>
    <cellStyle name="Separador de milhares 3 6 3 5 4 2" xfId="23850"/>
    <cellStyle name="Separador de milhares 3 6 3 5 4 2 2" xfId="50083"/>
    <cellStyle name="Separador de milhares 3 6 3 5 4 3" xfId="31460"/>
    <cellStyle name="Separador de milhares 3 6 3 5 5" xfId="17936"/>
    <cellStyle name="Separador de milhares 3 6 3 5 5 2" xfId="44175"/>
    <cellStyle name="Separador de milhares 3 6 3 5 6" xfId="11602"/>
    <cellStyle name="Separador de milhares 3 6 3 5 6 2" xfId="37844"/>
    <cellStyle name="Separador de milhares 3 6 3 5 7" xfId="29762"/>
    <cellStyle name="Separador de milhares 3 6 3 6" xfId="2165"/>
    <cellStyle name="Separador de milhares 3 6 3 6 2" xfId="7064"/>
    <cellStyle name="Separador de milhares 3 6 3 6 2 2" xfId="10208"/>
    <cellStyle name="Separador de milhares 3 6 3 6 2 2 2" xfId="28422"/>
    <cellStyle name="Separador de milhares 3 6 3 6 2 2 2 2" xfId="54652"/>
    <cellStyle name="Separador de milhares 3 6 3 6 2 2 3" xfId="22508"/>
    <cellStyle name="Separador de milhares 3 6 3 6 2 2 3 2" xfId="48744"/>
    <cellStyle name="Separador de milhares 3 6 3 6 2 2 4" xfId="16594"/>
    <cellStyle name="Separador de milhares 3 6 3 6 2 2 4 2" xfId="42836"/>
    <cellStyle name="Separador de milhares 3 6 3 6 2 2 5" xfId="36450"/>
    <cellStyle name="Separador de milhares 3 6 3 6 2 3" xfId="25465"/>
    <cellStyle name="Separador de milhares 3 6 3 6 2 3 2" xfId="51698"/>
    <cellStyle name="Separador de milhares 3 6 3 6 2 4" xfId="19551"/>
    <cellStyle name="Separador de milhares 3 6 3 6 2 4 2" xfId="45790"/>
    <cellStyle name="Separador de milhares 3 6 3 6 2 5" xfId="13453"/>
    <cellStyle name="Separador de milhares 3 6 3 6 2 5 2" xfId="39695"/>
    <cellStyle name="Separador de milhares 3 6 3 6 2 6" xfId="33309"/>
    <cellStyle name="Separador de milhares 3 6 3 6 3" xfId="8740"/>
    <cellStyle name="Separador de milhares 3 6 3 6 3 2" xfId="26954"/>
    <cellStyle name="Separador de milhares 3 6 3 6 3 2 2" xfId="53184"/>
    <cellStyle name="Separador de milhares 3 6 3 6 3 3" xfId="21040"/>
    <cellStyle name="Separador de milhares 3 6 3 6 3 3 2" xfId="47276"/>
    <cellStyle name="Separador de milhares 3 6 3 6 3 4" xfId="15126"/>
    <cellStyle name="Separador de milhares 3 6 3 6 3 4 2" xfId="41368"/>
    <cellStyle name="Separador de milhares 3 6 3 6 3 5" xfId="34982"/>
    <cellStyle name="Separador de milhares 3 6 3 6 4" xfId="5365"/>
    <cellStyle name="Separador de milhares 3 6 3 6 4 2" xfId="23997"/>
    <cellStyle name="Separador de milhares 3 6 3 6 4 2 2" xfId="50230"/>
    <cellStyle name="Separador de milhares 3 6 3 6 4 3" xfId="31610"/>
    <cellStyle name="Separador de milhares 3 6 3 6 5" xfId="18083"/>
    <cellStyle name="Separador de milhares 3 6 3 6 5 2" xfId="44322"/>
    <cellStyle name="Separador de milhares 3 6 3 6 6" xfId="11752"/>
    <cellStyle name="Separador de milhares 3 6 3 6 6 2" xfId="37994"/>
    <cellStyle name="Separador de milhares 3 6 3 6 7" xfId="29912"/>
    <cellStyle name="Separador de milhares 3 6 3 7" xfId="2692"/>
    <cellStyle name="Separador de milhares 3 6 3 7 2" xfId="7211"/>
    <cellStyle name="Separador de milhares 3 6 3 7 2 2" xfId="10355"/>
    <cellStyle name="Separador de milhares 3 6 3 7 2 2 2" xfId="28569"/>
    <cellStyle name="Separador de milhares 3 6 3 7 2 2 2 2" xfId="54799"/>
    <cellStyle name="Separador de milhares 3 6 3 7 2 2 3" xfId="22655"/>
    <cellStyle name="Separador de milhares 3 6 3 7 2 2 3 2" xfId="48891"/>
    <cellStyle name="Separador de milhares 3 6 3 7 2 2 4" xfId="16741"/>
    <cellStyle name="Separador de milhares 3 6 3 7 2 2 4 2" xfId="42983"/>
    <cellStyle name="Separador de milhares 3 6 3 7 2 2 5" xfId="36597"/>
    <cellStyle name="Separador de milhares 3 6 3 7 2 3" xfId="25612"/>
    <cellStyle name="Separador de milhares 3 6 3 7 2 3 2" xfId="51845"/>
    <cellStyle name="Separador de milhares 3 6 3 7 2 4" xfId="19698"/>
    <cellStyle name="Separador de milhares 3 6 3 7 2 4 2" xfId="45937"/>
    <cellStyle name="Separador de milhares 3 6 3 7 2 5" xfId="13600"/>
    <cellStyle name="Separador de milhares 3 6 3 7 2 5 2" xfId="39842"/>
    <cellStyle name="Separador de milhares 3 6 3 7 2 6" xfId="33456"/>
    <cellStyle name="Separador de milhares 3 6 3 7 3" xfId="8887"/>
    <cellStyle name="Separador de milhares 3 6 3 7 3 2" xfId="27101"/>
    <cellStyle name="Separador de milhares 3 6 3 7 3 2 2" xfId="53331"/>
    <cellStyle name="Separador de milhares 3 6 3 7 3 3" xfId="21187"/>
    <cellStyle name="Separador de milhares 3 6 3 7 3 3 2" xfId="47423"/>
    <cellStyle name="Separador de milhares 3 6 3 7 3 4" xfId="15273"/>
    <cellStyle name="Separador de milhares 3 6 3 7 3 4 2" xfId="41515"/>
    <cellStyle name="Separador de milhares 3 6 3 7 3 5" xfId="35129"/>
    <cellStyle name="Separador de milhares 3 6 3 7 4" xfId="5512"/>
    <cellStyle name="Separador de milhares 3 6 3 7 4 2" xfId="24144"/>
    <cellStyle name="Separador de milhares 3 6 3 7 4 2 2" xfId="50377"/>
    <cellStyle name="Separador de milhares 3 6 3 7 4 3" xfId="31757"/>
    <cellStyle name="Separador de milhares 3 6 3 7 5" xfId="18230"/>
    <cellStyle name="Separador de milhares 3 6 3 7 5 2" xfId="44469"/>
    <cellStyle name="Separador de milhares 3 6 3 7 6" xfId="11899"/>
    <cellStyle name="Separador de milhares 3 6 3 7 6 2" xfId="38141"/>
    <cellStyle name="Separador de milhares 3 6 3 7 7" xfId="30059"/>
    <cellStyle name="Separador de milhares 3 6 3 8" xfId="3219"/>
    <cellStyle name="Separador de milhares 3 6 3 8 2" xfId="7358"/>
    <cellStyle name="Separador de milhares 3 6 3 8 2 2" xfId="10502"/>
    <cellStyle name="Separador de milhares 3 6 3 8 2 2 2" xfId="28716"/>
    <cellStyle name="Separador de milhares 3 6 3 8 2 2 2 2" xfId="54946"/>
    <cellStyle name="Separador de milhares 3 6 3 8 2 2 3" xfId="22802"/>
    <cellStyle name="Separador de milhares 3 6 3 8 2 2 3 2" xfId="49038"/>
    <cellStyle name="Separador de milhares 3 6 3 8 2 2 4" xfId="16888"/>
    <cellStyle name="Separador de milhares 3 6 3 8 2 2 4 2" xfId="43130"/>
    <cellStyle name="Separador de milhares 3 6 3 8 2 2 5" xfId="36744"/>
    <cellStyle name="Separador de milhares 3 6 3 8 2 3" xfId="25759"/>
    <cellStyle name="Separador de milhares 3 6 3 8 2 3 2" xfId="51992"/>
    <cellStyle name="Separador de milhares 3 6 3 8 2 4" xfId="19845"/>
    <cellStyle name="Separador de milhares 3 6 3 8 2 4 2" xfId="46084"/>
    <cellStyle name="Separador de milhares 3 6 3 8 2 5" xfId="13747"/>
    <cellStyle name="Separador de milhares 3 6 3 8 2 5 2" xfId="39989"/>
    <cellStyle name="Separador de milhares 3 6 3 8 2 6" xfId="33603"/>
    <cellStyle name="Separador de milhares 3 6 3 8 3" xfId="9034"/>
    <cellStyle name="Separador de milhares 3 6 3 8 3 2" xfId="27248"/>
    <cellStyle name="Separador de milhares 3 6 3 8 3 2 2" xfId="53478"/>
    <cellStyle name="Separador de milhares 3 6 3 8 3 3" xfId="21334"/>
    <cellStyle name="Separador de milhares 3 6 3 8 3 3 2" xfId="47570"/>
    <cellStyle name="Separador de milhares 3 6 3 8 3 4" xfId="15420"/>
    <cellStyle name="Separador de milhares 3 6 3 8 3 4 2" xfId="41662"/>
    <cellStyle name="Separador de milhares 3 6 3 8 3 5" xfId="35276"/>
    <cellStyle name="Separador de milhares 3 6 3 8 4" xfId="5659"/>
    <cellStyle name="Separador de milhares 3 6 3 8 4 2" xfId="24291"/>
    <cellStyle name="Separador de milhares 3 6 3 8 4 2 2" xfId="50524"/>
    <cellStyle name="Separador de milhares 3 6 3 8 4 3" xfId="31904"/>
    <cellStyle name="Separador de milhares 3 6 3 8 5" xfId="18377"/>
    <cellStyle name="Separador de milhares 3 6 3 8 5 2" xfId="44616"/>
    <cellStyle name="Separador de milhares 3 6 3 8 6" xfId="12046"/>
    <cellStyle name="Separador de milhares 3 6 3 8 6 2" xfId="38288"/>
    <cellStyle name="Separador de milhares 3 6 3 8 7" xfId="30206"/>
    <cellStyle name="Separador de milhares 3 6 3 9" xfId="3746"/>
    <cellStyle name="Separador de milhares 3 6 3 9 2" xfId="7505"/>
    <cellStyle name="Separador de milhares 3 6 3 9 2 2" xfId="10649"/>
    <cellStyle name="Separador de milhares 3 6 3 9 2 2 2" xfId="28863"/>
    <cellStyle name="Separador de milhares 3 6 3 9 2 2 2 2" xfId="55093"/>
    <cellStyle name="Separador de milhares 3 6 3 9 2 2 3" xfId="22949"/>
    <cellStyle name="Separador de milhares 3 6 3 9 2 2 3 2" xfId="49185"/>
    <cellStyle name="Separador de milhares 3 6 3 9 2 2 4" xfId="17035"/>
    <cellStyle name="Separador de milhares 3 6 3 9 2 2 4 2" xfId="43277"/>
    <cellStyle name="Separador de milhares 3 6 3 9 2 2 5" xfId="36891"/>
    <cellStyle name="Separador de milhares 3 6 3 9 2 3" xfId="25906"/>
    <cellStyle name="Separador de milhares 3 6 3 9 2 3 2" xfId="52139"/>
    <cellStyle name="Separador de milhares 3 6 3 9 2 4" xfId="19992"/>
    <cellStyle name="Separador de milhares 3 6 3 9 2 4 2" xfId="46231"/>
    <cellStyle name="Separador de milhares 3 6 3 9 2 5" xfId="13894"/>
    <cellStyle name="Separador de milhares 3 6 3 9 2 5 2" xfId="40136"/>
    <cellStyle name="Separador de milhares 3 6 3 9 2 6" xfId="33750"/>
    <cellStyle name="Separador de milhares 3 6 3 9 3" xfId="9181"/>
    <cellStyle name="Separador de milhares 3 6 3 9 3 2" xfId="27395"/>
    <cellStyle name="Separador de milhares 3 6 3 9 3 2 2" xfId="53625"/>
    <cellStyle name="Separador de milhares 3 6 3 9 3 3" xfId="21481"/>
    <cellStyle name="Separador de milhares 3 6 3 9 3 3 2" xfId="47717"/>
    <cellStyle name="Separador de milhares 3 6 3 9 3 4" xfId="15567"/>
    <cellStyle name="Separador de milhares 3 6 3 9 3 4 2" xfId="41809"/>
    <cellStyle name="Separador de milhares 3 6 3 9 3 5" xfId="35423"/>
    <cellStyle name="Separador de milhares 3 6 3 9 4" xfId="5806"/>
    <cellStyle name="Separador de milhares 3 6 3 9 4 2" xfId="24438"/>
    <cellStyle name="Separador de milhares 3 6 3 9 4 2 2" xfId="50671"/>
    <cellStyle name="Separador de milhares 3 6 3 9 4 3" xfId="32051"/>
    <cellStyle name="Separador de milhares 3 6 3 9 5" xfId="18524"/>
    <cellStyle name="Separador de milhares 3 6 3 9 5 2" xfId="44763"/>
    <cellStyle name="Separador de milhares 3 6 3 9 6" xfId="12193"/>
    <cellStyle name="Separador de milhares 3 6 3 9 6 2" xfId="38435"/>
    <cellStyle name="Separador de milhares 3 6 3 9 7" xfId="30353"/>
    <cellStyle name="Separador de milhares 3 6 4" xfId="382"/>
    <cellStyle name="Separador de milhares 3 6 4 10" xfId="6552"/>
    <cellStyle name="Separador de milhares 3 6 4 10 2" xfId="9700"/>
    <cellStyle name="Separador de milhares 3 6 4 10 2 2" xfId="27914"/>
    <cellStyle name="Separador de milhares 3 6 4 10 2 2 2" xfId="54144"/>
    <cellStyle name="Separador de milhares 3 6 4 10 2 3" xfId="22000"/>
    <cellStyle name="Separador de milhares 3 6 4 10 2 3 2" xfId="48236"/>
    <cellStyle name="Separador de milhares 3 6 4 10 2 4" xfId="16086"/>
    <cellStyle name="Separador de milhares 3 6 4 10 2 4 2" xfId="42328"/>
    <cellStyle name="Separador de milhares 3 6 4 10 2 5" xfId="35942"/>
    <cellStyle name="Separador de milhares 3 6 4 10 3" xfId="24957"/>
    <cellStyle name="Separador de milhares 3 6 4 10 3 2" xfId="51190"/>
    <cellStyle name="Separador de milhares 3 6 4 10 4" xfId="19043"/>
    <cellStyle name="Separador de milhares 3 6 4 10 4 2" xfId="45282"/>
    <cellStyle name="Separador de milhares 3 6 4 10 5" xfId="12941"/>
    <cellStyle name="Separador de milhares 3 6 4 10 5 2" xfId="39183"/>
    <cellStyle name="Separador de milhares 3 6 4 10 6" xfId="32797"/>
    <cellStyle name="Separador de milhares 3 6 4 11" xfId="8229"/>
    <cellStyle name="Separador de milhares 3 6 4 11 2" xfId="26443"/>
    <cellStyle name="Separador de milhares 3 6 4 11 2 2" xfId="52676"/>
    <cellStyle name="Separador de milhares 3 6 4 11 3" xfId="20529"/>
    <cellStyle name="Separador de milhares 3 6 4 11 3 2" xfId="46768"/>
    <cellStyle name="Separador de milhares 3 6 4 11 4" xfId="14618"/>
    <cellStyle name="Separador de milhares 3 6 4 11 4 2" xfId="40860"/>
    <cellStyle name="Separador de milhares 3 6 4 11 5" xfId="34474"/>
    <cellStyle name="Separador de milhares 3 6 4 12" xfId="4851"/>
    <cellStyle name="Separador de milhares 3 6 4 12 2" xfId="23486"/>
    <cellStyle name="Separador de milhares 3 6 4 12 2 2" xfId="49722"/>
    <cellStyle name="Separador de milhares 3 6 4 12 3" xfId="31098"/>
    <cellStyle name="Separador de milhares 3 6 4 13" xfId="17572"/>
    <cellStyle name="Separador de milhares 3 6 4 13 2" xfId="43814"/>
    <cellStyle name="Separador de milhares 3 6 4 14" xfId="11240"/>
    <cellStyle name="Separador de milhares 3 6 4 14 2" xfId="37482"/>
    <cellStyle name="Separador de milhares 3 6 4 15" xfId="29400"/>
    <cellStyle name="Separador de milhares 3 6 4 2" xfId="1027"/>
    <cellStyle name="Separador de milhares 3 6 4 2 2" xfId="6749"/>
    <cellStyle name="Separador de milhares 3 6 4 2 2 2" xfId="9896"/>
    <cellStyle name="Separador de milhares 3 6 4 2 2 2 2" xfId="28110"/>
    <cellStyle name="Separador de milhares 3 6 4 2 2 2 2 2" xfId="54340"/>
    <cellStyle name="Separador de milhares 3 6 4 2 2 2 3" xfId="22196"/>
    <cellStyle name="Separador de milhares 3 6 4 2 2 2 3 2" xfId="48432"/>
    <cellStyle name="Separador de milhares 3 6 4 2 2 2 4" xfId="16282"/>
    <cellStyle name="Separador de milhares 3 6 4 2 2 2 4 2" xfId="42524"/>
    <cellStyle name="Separador de milhares 3 6 4 2 2 2 5" xfId="36138"/>
    <cellStyle name="Separador de milhares 3 6 4 2 2 3" xfId="25153"/>
    <cellStyle name="Separador de milhares 3 6 4 2 2 3 2" xfId="51386"/>
    <cellStyle name="Separador de milhares 3 6 4 2 2 4" xfId="19239"/>
    <cellStyle name="Separador de milhares 3 6 4 2 2 4 2" xfId="45478"/>
    <cellStyle name="Separador de milhares 3 6 4 2 2 5" xfId="13138"/>
    <cellStyle name="Separador de milhares 3 6 4 2 2 5 2" xfId="39380"/>
    <cellStyle name="Separador de milhares 3 6 4 2 2 6" xfId="32994"/>
    <cellStyle name="Separador de milhares 3 6 4 2 3" xfId="8428"/>
    <cellStyle name="Separador de milhares 3 6 4 2 3 2" xfId="26642"/>
    <cellStyle name="Separador de milhares 3 6 4 2 3 2 2" xfId="52872"/>
    <cellStyle name="Separador de milhares 3 6 4 2 3 3" xfId="20728"/>
    <cellStyle name="Separador de milhares 3 6 4 2 3 3 2" xfId="46964"/>
    <cellStyle name="Separador de milhares 3 6 4 2 3 4" xfId="14814"/>
    <cellStyle name="Separador de milhares 3 6 4 2 3 4 2" xfId="41056"/>
    <cellStyle name="Separador de milhares 3 6 4 2 3 5" xfId="34670"/>
    <cellStyle name="Separador de milhares 3 6 4 2 4" xfId="5050"/>
    <cellStyle name="Separador de milhares 3 6 4 2 4 2" xfId="23685"/>
    <cellStyle name="Separador de milhares 3 6 4 2 4 2 2" xfId="49918"/>
    <cellStyle name="Separador de milhares 3 6 4 2 4 3" xfId="31295"/>
    <cellStyle name="Separador de milhares 3 6 4 2 5" xfId="17771"/>
    <cellStyle name="Separador de milhares 3 6 4 2 5 2" xfId="44010"/>
    <cellStyle name="Separador de milhares 3 6 4 2 6" xfId="11437"/>
    <cellStyle name="Separador de milhares 3 6 4 2 6 2" xfId="37679"/>
    <cellStyle name="Separador de milhares 3 6 4 2 7" xfId="29597"/>
    <cellStyle name="Separador de milhares 3 6 4 3" xfId="1378"/>
    <cellStyle name="Separador de milhares 3 6 4 3 2" xfId="6847"/>
    <cellStyle name="Separador de milhares 3 6 4 3 2 2" xfId="9994"/>
    <cellStyle name="Separador de milhares 3 6 4 3 2 2 2" xfId="28208"/>
    <cellStyle name="Separador de milhares 3 6 4 3 2 2 2 2" xfId="54438"/>
    <cellStyle name="Separador de milhares 3 6 4 3 2 2 3" xfId="22294"/>
    <cellStyle name="Separador de milhares 3 6 4 3 2 2 3 2" xfId="48530"/>
    <cellStyle name="Separador de milhares 3 6 4 3 2 2 4" xfId="16380"/>
    <cellStyle name="Separador de milhares 3 6 4 3 2 2 4 2" xfId="42622"/>
    <cellStyle name="Separador de milhares 3 6 4 3 2 2 5" xfId="36236"/>
    <cellStyle name="Separador de milhares 3 6 4 3 2 3" xfId="25251"/>
    <cellStyle name="Separador de milhares 3 6 4 3 2 3 2" xfId="51484"/>
    <cellStyle name="Separador de milhares 3 6 4 3 2 4" xfId="19337"/>
    <cellStyle name="Separador de milhares 3 6 4 3 2 4 2" xfId="45576"/>
    <cellStyle name="Separador de milhares 3 6 4 3 2 5" xfId="13236"/>
    <cellStyle name="Separador de milhares 3 6 4 3 2 5 2" xfId="39478"/>
    <cellStyle name="Separador de milhares 3 6 4 3 2 6" xfId="33092"/>
    <cellStyle name="Separador de milhares 3 6 4 3 3" xfId="8526"/>
    <cellStyle name="Separador de milhares 3 6 4 3 3 2" xfId="26740"/>
    <cellStyle name="Separador de milhares 3 6 4 3 3 2 2" xfId="52970"/>
    <cellStyle name="Separador de milhares 3 6 4 3 3 3" xfId="20826"/>
    <cellStyle name="Separador de milhares 3 6 4 3 3 3 2" xfId="47062"/>
    <cellStyle name="Separador de milhares 3 6 4 3 3 4" xfId="14912"/>
    <cellStyle name="Separador de milhares 3 6 4 3 3 4 2" xfId="41154"/>
    <cellStyle name="Separador de milhares 3 6 4 3 3 5" xfId="34768"/>
    <cellStyle name="Separador de milhares 3 6 4 3 4" xfId="5148"/>
    <cellStyle name="Separador de milhares 3 6 4 3 4 2" xfId="23783"/>
    <cellStyle name="Separador de milhares 3 6 4 3 4 2 2" xfId="50016"/>
    <cellStyle name="Separador de milhares 3 6 4 3 4 3" xfId="31393"/>
    <cellStyle name="Separador de milhares 3 6 4 3 5" xfId="17869"/>
    <cellStyle name="Separador de milhares 3 6 4 3 5 2" xfId="44108"/>
    <cellStyle name="Separador de milhares 3 6 4 3 6" xfId="11535"/>
    <cellStyle name="Separador de milhares 3 6 4 3 6 2" xfId="37777"/>
    <cellStyle name="Separador de milhares 3 6 4 3 7" xfId="29695"/>
    <cellStyle name="Separador de milhares 3 6 4 4" xfId="1813"/>
    <cellStyle name="Separador de milhares 3 6 4 4 2" xfId="6966"/>
    <cellStyle name="Separador de milhares 3 6 4 4 2 2" xfId="10113"/>
    <cellStyle name="Separador de milhares 3 6 4 4 2 2 2" xfId="28327"/>
    <cellStyle name="Separador de milhares 3 6 4 4 2 2 2 2" xfId="54557"/>
    <cellStyle name="Separador de milhares 3 6 4 4 2 2 3" xfId="22413"/>
    <cellStyle name="Separador de milhares 3 6 4 4 2 2 3 2" xfId="48649"/>
    <cellStyle name="Separador de milhares 3 6 4 4 2 2 4" xfId="16499"/>
    <cellStyle name="Separador de milhares 3 6 4 4 2 2 4 2" xfId="42741"/>
    <cellStyle name="Separador de milhares 3 6 4 4 2 2 5" xfId="36355"/>
    <cellStyle name="Separador de milhares 3 6 4 4 2 3" xfId="25370"/>
    <cellStyle name="Separador de milhares 3 6 4 4 2 3 2" xfId="51603"/>
    <cellStyle name="Separador de milhares 3 6 4 4 2 4" xfId="19456"/>
    <cellStyle name="Separador de milhares 3 6 4 4 2 4 2" xfId="45695"/>
    <cellStyle name="Separador de milhares 3 6 4 4 2 5" xfId="13355"/>
    <cellStyle name="Separador de milhares 3 6 4 4 2 5 2" xfId="39597"/>
    <cellStyle name="Separador de milhares 3 6 4 4 2 6" xfId="33211"/>
    <cellStyle name="Separador de milhares 3 6 4 4 3" xfId="8645"/>
    <cellStyle name="Separador de milhares 3 6 4 4 3 2" xfId="26859"/>
    <cellStyle name="Separador de milhares 3 6 4 4 3 2 2" xfId="53089"/>
    <cellStyle name="Separador de milhares 3 6 4 4 3 3" xfId="20945"/>
    <cellStyle name="Separador de milhares 3 6 4 4 3 3 2" xfId="47181"/>
    <cellStyle name="Separador de milhares 3 6 4 4 3 4" xfId="15031"/>
    <cellStyle name="Separador de milhares 3 6 4 4 3 4 2" xfId="41273"/>
    <cellStyle name="Separador de milhares 3 6 4 4 3 5" xfId="34887"/>
    <cellStyle name="Separador de milhares 3 6 4 4 4" xfId="5267"/>
    <cellStyle name="Separador de milhares 3 6 4 4 4 2" xfId="23902"/>
    <cellStyle name="Separador de milhares 3 6 4 4 4 2 2" xfId="50135"/>
    <cellStyle name="Separador de milhares 3 6 4 4 4 3" xfId="31512"/>
    <cellStyle name="Separador de milhares 3 6 4 4 5" xfId="17988"/>
    <cellStyle name="Separador de milhares 3 6 4 4 5 2" xfId="44227"/>
    <cellStyle name="Separador de milhares 3 6 4 4 6" xfId="11654"/>
    <cellStyle name="Separador de milhares 3 6 4 4 6 2" xfId="37896"/>
    <cellStyle name="Separador de milhares 3 6 4 4 7" xfId="29814"/>
    <cellStyle name="Separador de milhares 3 6 4 5" xfId="2343"/>
    <cellStyle name="Separador de milhares 3 6 4 5 2" xfId="7116"/>
    <cellStyle name="Separador de milhares 3 6 4 5 2 2" xfId="10260"/>
    <cellStyle name="Separador de milhares 3 6 4 5 2 2 2" xfId="28474"/>
    <cellStyle name="Separador de milhares 3 6 4 5 2 2 2 2" xfId="54704"/>
    <cellStyle name="Separador de milhares 3 6 4 5 2 2 3" xfId="22560"/>
    <cellStyle name="Separador de milhares 3 6 4 5 2 2 3 2" xfId="48796"/>
    <cellStyle name="Separador de milhares 3 6 4 5 2 2 4" xfId="16646"/>
    <cellStyle name="Separador de milhares 3 6 4 5 2 2 4 2" xfId="42888"/>
    <cellStyle name="Separador de milhares 3 6 4 5 2 2 5" xfId="36502"/>
    <cellStyle name="Separador de milhares 3 6 4 5 2 3" xfId="25517"/>
    <cellStyle name="Separador de milhares 3 6 4 5 2 3 2" xfId="51750"/>
    <cellStyle name="Separador de milhares 3 6 4 5 2 4" xfId="19603"/>
    <cellStyle name="Separador de milhares 3 6 4 5 2 4 2" xfId="45842"/>
    <cellStyle name="Separador de milhares 3 6 4 5 2 5" xfId="13505"/>
    <cellStyle name="Separador de milhares 3 6 4 5 2 5 2" xfId="39747"/>
    <cellStyle name="Separador de milhares 3 6 4 5 2 6" xfId="33361"/>
    <cellStyle name="Separador de milhares 3 6 4 5 3" xfId="8792"/>
    <cellStyle name="Separador de milhares 3 6 4 5 3 2" xfId="27006"/>
    <cellStyle name="Separador de milhares 3 6 4 5 3 2 2" xfId="53236"/>
    <cellStyle name="Separador de milhares 3 6 4 5 3 3" xfId="21092"/>
    <cellStyle name="Separador de milhares 3 6 4 5 3 3 2" xfId="47328"/>
    <cellStyle name="Separador de milhares 3 6 4 5 3 4" xfId="15178"/>
    <cellStyle name="Separador de milhares 3 6 4 5 3 4 2" xfId="41420"/>
    <cellStyle name="Separador de milhares 3 6 4 5 3 5" xfId="35034"/>
    <cellStyle name="Separador de milhares 3 6 4 5 4" xfId="5417"/>
    <cellStyle name="Separador de milhares 3 6 4 5 4 2" xfId="24049"/>
    <cellStyle name="Separador de milhares 3 6 4 5 4 2 2" xfId="50282"/>
    <cellStyle name="Separador de milhares 3 6 4 5 4 3" xfId="31662"/>
    <cellStyle name="Separador de milhares 3 6 4 5 5" xfId="18135"/>
    <cellStyle name="Separador de milhares 3 6 4 5 5 2" xfId="44374"/>
    <cellStyle name="Separador de milhares 3 6 4 5 6" xfId="11804"/>
    <cellStyle name="Separador de milhares 3 6 4 5 6 2" xfId="38046"/>
    <cellStyle name="Separador de milhares 3 6 4 5 7" xfId="29964"/>
    <cellStyle name="Separador de milhares 3 6 4 6" xfId="2870"/>
    <cellStyle name="Separador de milhares 3 6 4 6 2" xfId="7263"/>
    <cellStyle name="Separador de milhares 3 6 4 6 2 2" xfId="10407"/>
    <cellStyle name="Separador de milhares 3 6 4 6 2 2 2" xfId="28621"/>
    <cellStyle name="Separador de milhares 3 6 4 6 2 2 2 2" xfId="54851"/>
    <cellStyle name="Separador de milhares 3 6 4 6 2 2 3" xfId="22707"/>
    <cellStyle name="Separador de milhares 3 6 4 6 2 2 3 2" xfId="48943"/>
    <cellStyle name="Separador de milhares 3 6 4 6 2 2 4" xfId="16793"/>
    <cellStyle name="Separador de milhares 3 6 4 6 2 2 4 2" xfId="43035"/>
    <cellStyle name="Separador de milhares 3 6 4 6 2 2 5" xfId="36649"/>
    <cellStyle name="Separador de milhares 3 6 4 6 2 3" xfId="25664"/>
    <cellStyle name="Separador de milhares 3 6 4 6 2 3 2" xfId="51897"/>
    <cellStyle name="Separador de milhares 3 6 4 6 2 4" xfId="19750"/>
    <cellStyle name="Separador de milhares 3 6 4 6 2 4 2" xfId="45989"/>
    <cellStyle name="Separador de milhares 3 6 4 6 2 5" xfId="13652"/>
    <cellStyle name="Separador de milhares 3 6 4 6 2 5 2" xfId="39894"/>
    <cellStyle name="Separador de milhares 3 6 4 6 2 6" xfId="33508"/>
    <cellStyle name="Separador de milhares 3 6 4 6 3" xfId="8939"/>
    <cellStyle name="Separador de milhares 3 6 4 6 3 2" xfId="27153"/>
    <cellStyle name="Separador de milhares 3 6 4 6 3 2 2" xfId="53383"/>
    <cellStyle name="Separador de milhares 3 6 4 6 3 3" xfId="21239"/>
    <cellStyle name="Separador de milhares 3 6 4 6 3 3 2" xfId="47475"/>
    <cellStyle name="Separador de milhares 3 6 4 6 3 4" xfId="15325"/>
    <cellStyle name="Separador de milhares 3 6 4 6 3 4 2" xfId="41567"/>
    <cellStyle name="Separador de milhares 3 6 4 6 3 5" xfId="35181"/>
    <cellStyle name="Separador de milhares 3 6 4 6 4" xfId="5564"/>
    <cellStyle name="Separador de milhares 3 6 4 6 4 2" xfId="24196"/>
    <cellStyle name="Separador de milhares 3 6 4 6 4 2 2" xfId="50429"/>
    <cellStyle name="Separador de milhares 3 6 4 6 4 3" xfId="31809"/>
    <cellStyle name="Separador de milhares 3 6 4 6 5" xfId="18282"/>
    <cellStyle name="Separador de milhares 3 6 4 6 5 2" xfId="44521"/>
    <cellStyle name="Separador de milhares 3 6 4 6 6" xfId="11951"/>
    <cellStyle name="Separador de milhares 3 6 4 6 6 2" xfId="38193"/>
    <cellStyle name="Separador de milhares 3 6 4 6 7" xfId="30111"/>
    <cellStyle name="Separador de milhares 3 6 4 7" xfId="3397"/>
    <cellStyle name="Separador de milhares 3 6 4 7 2" xfId="7410"/>
    <cellStyle name="Separador de milhares 3 6 4 7 2 2" xfId="10554"/>
    <cellStyle name="Separador de milhares 3 6 4 7 2 2 2" xfId="28768"/>
    <cellStyle name="Separador de milhares 3 6 4 7 2 2 2 2" xfId="54998"/>
    <cellStyle name="Separador de milhares 3 6 4 7 2 2 3" xfId="22854"/>
    <cellStyle name="Separador de milhares 3 6 4 7 2 2 3 2" xfId="49090"/>
    <cellStyle name="Separador de milhares 3 6 4 7 2 2 4" xfId="16940"/>
    <cellStyle name="Separador de milhares 3 6 4 7 2 2 4 2" xfId="43182"/>
    <cellStyle name="Separador de milhares 3 6 4 7 2 2 5" xfId="36796"/>
    <cellStyle name="Separador de milhares 3 6 4 7 2 3" xfId="25811"/>
    <cellStyle name="Separador de milhares 3 6 4 7 2 3 2" xfId="52044"/>
    <cellStyle name="Separador de milhares 3 6 4 7 2 4" xfId="19897"/>
    <cellStyle name="Separador de milhares 3 6 4 7 2 4 2" xfId="46136"/>
    <cellStyle name="Separador de milhares 3 6 4 7 2 5" xfId="13799"/>
    <cellStyle name="Separador de milhares 3 6 4 7 2 5 2" xfId="40041"/>
    <cellStyle name="Separador de milhares 3 6 4 7 2 6" xfId="33655"/>
    <cellStyle name="Separador de milhares 3 6 4 7 3" xfId="9086"/>
    <cellStyle name="Separador de milhares 3 6 4 7 3 2" xfId="27300"/>
    <cellStyle name="Separador de milhares 3 6 4 7 3 2 2" xfId="53530"/>
    <cellStyle name="Separador de milhares 3 6 4 7 3 3" xfId="21386"/>
    <cellStyle name="Separador de milhares 3 6 4 7 3 3 2" xfId="47622"/>
    <cellStyle name="Separador de milhares 3 6 4 7 3 4" xfId="15472"/>
    <cellStyle name="Separador de milhares 3 6 4 7 3 4 2" xfId="41714"/>
    <cellStyle name="Separador de milhares 3 6 4 7 3 5" xfId="35328"/>
    <cellStyle name="Separador de milhares 3 6 4 7 4" xfId="5711"/>
    <cellStyle name="Separador de milhares 3 6 4 7 4 2" xfId="24343"/>
    <cellStyle name="Separador de milhares 3 6 4 7 4 2 2" xfId="50576"/>
    <cellStyle name="Separador de milhares 3 6 4 7 4 3" xfId="31956"/>
    <cellStyle name="Separador de milhares 3 6 4 7 5" xfId="18429"/>
    <cellStyle name="Separador de milhares 3 6 4 7 5 2" xfId="44668"/>
    <cellStyle name="Separador de milhares 3 6 4 7 6" xfId="12098"/>
    <cellStyle name="Separador de milhares 3 6 4 7 6 2" xfId="38340"/>
    <cellStyle name="Separador de milhares 3 6 4 7 7" xfId="30258"/>
    <cellStyle name="Separador de milhares 3 6 4 8" xfId="3924"/>
    <cellStyle name="Separador de milhares 3 6 4 8 2" xfId="7557"/>
    <cellStyle name="Separador de milhares 3 6 4 8 2 2" xfId="10701"/>
    <cellStyle name="Separador de milhares 3 6 4 8 2 2 2" xfId="28915"/>
    <cellStyle name="Separador de milhares 3 6 4 8 2 2 2 2" xfId="55145"/>
    <cellStyle name="Separador de milhares 3 6 4 8 2 2 3" xfId="23001"/>
    <cellStyle name="Separador de milhares 3 6 4 8 2 2 3 2" xfId="49237"/>
    <cellStyle name="Separador de milhares 3 6 4 8 2 2 4" xfId="17087"/>
    <cellStyle name="Separador de milhares 3 6 4 8 2 2 4 2" xfId="43329"/>
    <cellStyle name="Separador de milhares 3 6 4 8 2 2 5" xfId="36943"/>
    <cellStyle name="Separador de milhares 3 6 4 8 2 3" xfId="25958"/>
    <cellStyle name="Separador de milhares 3 6 4 8 2 3 2" xfId="52191"/>
    <cellStyle name="Separador de milhares 3 6 4 8 2 4" xfId="20044"/>
    <cellStyle name="Separador de milhares 3 6 4 8 2 4 2" xfId="46283"/>
    <cellStyle name="Separador de milhares 3 6 4 8 2 5" xfId="13946"/>
    <cellStyle name="Separador de milhares 3 6 4 8 2 5 2" xfId="40188"/>
    <cellStyle name="Separador de milhares 3 6 4 8 2 6" xfId="33802"/>
    <cellStyle name="Separador de milhares 3 6 4 8 3" xfId="9233"/>
    <cellStyle name="Separador de milhares 3 6 4 8 3 2" xfId="27447"/>
    <cellStyle name="Separador de milhares 3 6 4 8 3 2 2" xfId="53677"/>
    <cellStyle name="Separador de milhares 3 6 4 8 3 3" xfId="21533"/>
    <cellStyle name="Separador de milhares 3 6 4 8 3 3 2" xfId="47769"/>
    <cellStyle name="Separador de milhares 3 6 4 8 3 4" xfId="15619"/>
    <cellStyle name="Separador de milhares 3 6 4 8 3 4 2" xfId="41861"/>
    <cellStyle name="Separador de milhares 3 6 4 8 3 5" xfId="35475"/>
    <cellStyle name="Separador de milhares 3 6 4 8 4" xfId="5858"/>
    <cellStyle name="Separador de milhares 3 6 4 8 4 2" xfId="24490"/>
    <cellStyle name="Separador de milhares 3 6 4 8 4 2 2" xfId="50723"/>
    <cellStyle name="Separador de milhares 3 6 4 8 4 3" xfId="32103"/>
    <cellStyle name="Separador de milhares 3 6 4 8 5" xfId="18576"/>
    <cellStyle name="Separador de milhares 3 6 4 8 5 2" xfId="44815"/>
    <cellStyle name="Separador de milhares 3 6 4 8 6" xfId="12245"/>
    <cellStyle name="Separador de milhares 3 6 4 8 6 2" xfId="38487"/>
    <cellStyle name="Separador de milhares 3 6 4 8 7" xfId="30405"/>
    <cellStyle name="Separador de milhares 3 6 4 9" xfId="716"/>
    <cellStyle name="Separador de milhares 3 6 4 9 2" xfId="6651"/>
    <cellStyle name="Separador de milhares 3 6 4 9 2 2" xfId="9798"/>
    <cellStyle name="Separador de milhares 3 6 4 9 2 2 2" xfId="28012"/>
    <cellStyle name="Separador de milhares 3 6 4 9 2 2 2 2" xfId="54242"/>
    <cellStyle name="Separador de milhares 3 6 4 9 2 2 3" xfId="22098"/>
    <cellStyle name="Separador de milhares 3 6 4 9 2 2 3 2" xfId="48334"/>
    <cellStyle name="Separador de milhares 3 6 4 9 2 2 4" xfId="16184"/>
    <cellStyle name="Separador de milhares 3 6 4 9 2 2 4 2" xfId="42426"/>
    <cellStyle name="Separador de milhares 3 6 4 9 2 2 5" xfId="36040"/>
    <cellStyle name="Separador de milhares 3 6 4 9 2 3" xfId="25055"/>
    <cellStyle name="Separador de milhares 3 6 4 9 2 3 2" xfId="51288"/>
    <cellStyle name="Separador de milhares 3 6 4 9 2 4" xfId="19141"/>
    <cellStyle name="Separador de milhares 3 6 4 9 2 4 2" xfId="45380"/>
    <cellStyle name="Separador de milhares 3 6 4 9 2 5" xfId="13040"/>
    <cellStyle name="Separador de milhares 3 6 4 9 2 5 2" xfId="39282"/>
    <cellStyle name="Separador de milhares 3 6 4 9 2 6" xfId="32896"/>
    <cellStyle name="Separador de milhares 3 6 4 9 3" xfId="8330"/>
    <cellStyle name="Separador de milhares 3 6 4 9 3 2" xfId="26544"/>
    <cellStyle name="Separador de milhares 3 6 4 9 3 2 2" xfId="52774"/>
    <cellStyle name="Separador de milhares 3 6 4 9 3 3" xfId="20630"/>
    <cellStyle name="Separador de milhares 3 6 4 9 3 3 2" xfId="46866"/>
    <cellStyle name="Separador de milhares 3 6 4 9 3 4" xfId="14716"/>
    <cellStyle name="Separador de milhares 3 6 4 9 3 4 2" xfId="40958"/>
    <cellStyle name="Separador de milhares 3 6 4 9 3 5" xfId="34572"/>
    <cellStyle name="Separador de milhares 3 6 4 9 4" xfId="4952"/>
    <cellStyle name="Separador de milhares 3 6 4 9 4 2" xfId="23587"/>
    <cellStyle name="Separador de milhares 3 6 4 9 4 2 2" xfId="49820"/>
    <cellStyle name="Separador de milhares 3 6 4 9 4 3" xfId="31197"/>
    <cellStyle name="Separador de milhares 3 6 4 9 5" xfId="17673"/>
    <cellStyle name="Separador de milhares 3 6 4 9 5 2" xfId="43912"/>
    <cellStyle name="Separador de milhares 3 6 4 9 6" xfId="11339"/>
    <cellStyle name="Separador de milhares 3 6 4 9 6 2" xfId="37581"/>
    <cellStyle name="Separador de milhares 3 6 4 9 7" xfId="29499"/>
    <cellStyle name="Separador de milhares 3 6 5" xfId="639"/>
    <cellStyle name="Separador de milhares 3 6 5 10" xfId="4916"/>
    <cellStyle name="Separador de milhares 3 6 5 10 2" xfId="23550"/>
    <cellStyle name="Separador de milhares 3 6 5 10 2 2" xfId="49786"/>
    <cellStyle name="Separador de milhares 3 6 5 10 3" xfId="31163"/>
    <cellStyle name="Separador de milhares 3 6 5 11" xfId="17636"/>
    <cellStyle name="Separador de milhares 3 6 5 11 2" xfId="43878"/>
    <cellStyle name="Separador de milhares 3 6 5 12" xfId="11305"/>
    <cellStyle name="Separador de milhares 3 6 5 12 2" xfId="37547"/>
    <cellStyle name="Separador de milhares 3 6 5 13" xfId="29465"/>
    <cellStyle name="Separador de milhares 3 6 5 2" xfId="1462"/>
    <cellStyle name="Separador de milhares 3 6 5 2 2" xfId="6868"/>
    <cellStyle name="Separador de milhares 3 6 5 2 2 2" xfId="10015"/>
    <cellStyle name="Separador de milhares 3 6 5 2 2 2 2" xfId="28229"/>
    <cellStyle name="Separador de milhares 3 6 5 2 2 2 2 2" xfId="54459"/>
    <cellStyle name="Separador de milhares 3 6 5 2 2 2 3" xfId="22315"/>
    <cellStyle name="Separador de milhares 3 6 5 2 2 2 3 2" xfId="48551"/>
    <cellStyle name="Separador de milhares 3 6 5 2 2 2 4" xfId="16401"/>
    <cellStyle name="Separador de milhares 3 6 5 2 2 2 4 2" xfId="42643"/>
    <cellStyle name="Separador de milhares 3 6 5 2 2 2 5" xfId="36257"/>
    <cellStyle name="Separador de milhares 3 6 5 2 2 3" xfId="25272"/>
    <cellStyle name="Separador de milhares 3 6 5 2 2 3 2" xfId="51505"/>
    <cellStyle name="Separador de milhares 3 6 5 2 2 4" xfId="19358"/>
    <cellStyle name="Separador de milhares 3 6 5 2 2 4 2" xfId="45597"/>
    <cellStyle name="Separador de milhares 3 6 5 2 2 5" xfId="13257"/>
    <cellStyle name="Separador de milhares 3 6 5 2 2 5 2" xfId="39499"/>
    <cellStyle name="Separador de milhares 3 6 5 2 2 6" xfId="33113"/>
    <cellStyle name="Separador de milhares 3 6 5 2 3" xfId="8547"/>
    <cellStyle name="Separador de milhares 3 6 5 2 3 2" xfId="26761"/>
    <cellStyle name="Separador de milhares 3 6 5 2 3 2 2" xfId="52991"/>
    <cellStyle name="Separador de milhares 3 6 5 2 3 3" xfId="20847"/>
    <cellStyle name="Separador de milhares 3 6 5 2 3 3 2" xfId="47083"/>
    <cellStyle name="Separador de milhares 3 6 5 2 3 4" xfId="14933"/>
    <cellStyle name="Separador de milhares 3 6 5 2 3 4 2" xfId="41175"/>
    <cellStyle name="Separador de milhares 3 6 5 2 3 5" xfId="34789"/>
    <cellStyle name="Separador de milhares 3 6 5 2 4" xfId="5169"/>
    <cellStyle name="Separador de milhares 3 6 5 2 4 2" xfId="23804"/>
    <cellStyle name="Separador de milhares 3 6 5 2 4 2 2" xfId="50037"/>
    <cellStyle name="Separador de milhares 3 6 5 2 4 3" xfId="31414"/>
    <cellStyle name="Separador de milhares 3 6 5 2 5" xfId="17890"/>
    <cellStyle name="Separador de milhares 3 6 5 2 5 2" xfId="44129"/>
    <cellStyle name="Separador de milhares 3 6 5 2 6" xfId="11556"/>
    <cellStyle name="Separador de milhares 3 6 5 2 6 2" xfId="37798"/>
    <cellStyle name="Separador de milhares 3 6 5 2 7" xfId="29716"/>
    <cellStyle name="Separador de milhares 3 6 5 3" xfId="1897"/>
    <cellStyle name="Separador de milhares 3 6 5 3 2" xfId="6987"/>
    <cellStyle name="Separador de milhares 3 6 5 3 2 2" xfId="10134"/>
    <cellStyle name="Separador de milhares 3 6 5 3 2 2 2" xfId="28348"/>
    <cellStyle name="Separador de milhares 3 6 5 3 2 2 2 2" xfId="54578"/>
    <cellStyle name="Separador de milhares 3 6 5 3 2 2 3" xfId="22434"/>
    <cellStyle name="Separador de milhares 3 6 5 3 2 2 3 2" xfId="48670"/>
    <cellStyle name="Separador de milhares 3 6 5 3 2 2 4" xfId="16520"/>
    <cellStyle name="Separador de milhares 3 6 5 3 2 2 4 2" xfId="42762"/>
    <cellStyle name="Separador de milhares 3 6 5 3 2 2 5" xfId="36376"/>
    <cellStyle name="Separador de milhares 3 6 5 3 2 3" xfId="25391"/>
    <cellStyle name="Separador de milhares 3 6 5 3 2 3 2" xfId="51624"/>
    <cellStyle name="Separador de milhares 3 6 5 3 2 4" xfId="19477"/>
    <cellStyle name="Separador de milhares 3 6 5 3 2 4 2" xfId="45716"/>
    <cellStyle name="Separador de milhares 3 6 5 3 2 5" xfId="13376"/>
    <cellStyle name="Separador de milhares 3 6 5 3 2 5 2" xfId="39618"/>
    <cellStyle name="Separador de milhares 3 6 5 3 2 6" xfId="33232"/>
    <cellStyle name="Separador de milhares 3 6 5 3 3" xfId="8666"/>
    <cellStyle name="Separador de milhares 3 6 5 3 3 2" xfId="26880"/>
    <cellStyle name="Separador de milhares 3 6 5 3 3 2 2" xfId="53110"/>
    <cellStyle name="Separador de milhares 3 6 5 3 3 3" xfId="20966"/>
    <cellStyle name="Separador de milhares 3 6 5 3 3 3 2" xfId="47202"/>
    <cellStyle name="Separador de milhares 3 6 5 3 3 4" xfId="15052"/>
    <cellStyle name="Separador de milhares 3 6 5 3 3 4 2" xfId="41294"/>
    <cellStyle name="Separador de milhares 3 6 5 3 3 5" xfId="34908"/>
    <cellStyle name="Separador de milhares 3 6 5 3 4" xfId="5288"/>
    <cellStyle name="Separador de milhares 3 6 5 3 4 2" xfId="23923"/>
    <cellStyle name="Separador de milhares 3 6 5 3 4 2 2" xfId="50156"/>
    <cellStyle name="Separador de milhares 3 6 5 3 4 3" xfId="31533"/>
    <cellStyle name="Separador de milhares 3 6 5 3 5" xfId="18009"/>
    <cellStyle name="Separador de milhares 3 6 5 3 5 2" xfId="44248"/>
    <cellStyle name="Separador de milhares 3 6 5 3 6" xfId="11675"/>
    <cellStyle name="Separador de milhares 3 6 5 3 6 2" xfId="37917"/>
    <cellStyle name="Separador de milhares 3 6 5 3 7" xfId="29835"/>
    <cellStyle name="Separador de milhares 3 6 5 4" xfId="2427"/>
    <cellStyle name="Separador de milhares 3 6 5 4 2" xfId="7137"/>
    <cellStyle name="Separador de milhares 3 6 5 4 2 2" xfId="10281"/>
    <cellStyle name="Separador de milhares 3 6 5 4 2 2 2" xfId="28495"/>
    <cellStyle name="Separador de milhares 3 6 5 4 2 2 2 2" xfId="54725"/>
    <cellStyle name="Separador de milhares 3 6 5 4 2 2 3" xfId="22581"/>
    <cellStyle name="Separador de milhares 3 6 5 4 2 2 3 2" xfId="48817"/>
    <cellStyle name="Separador de milhares 3 6 5 4 2 2 4" xfId="16667"/>
    <cellStyle name="Separador de milhares 3 6 5 4 2 2 4 2" xfId="42909"/>
    <cellStyle name="Separador de milhares 3 6 5 4 2 2 5" xfId="36523"/>
    <cellStyle name="Separador de milhares 3 6 5 4 2 3" xfId="25538"/>
    <cellStyle name="Separador de milhares 3 6 5 4 2 3 2" xfId="51771"/>
    <cellStyle name="Separador de milhares 3 6 5 4 2 4" xfId="19624"/>
    <cellStyle name="Separador de milhares 3 6 5 4 2 4 2" xfId="45863"/>
    <cellStyle name="Separador de milhares 3 6 5 4 2 5" xfId="13526"/>
    <cellStyle name="Separador de milhares 3 6 5 4 2 5 2" xfId="39768"/>
    <cellStyle name="Separador de milhares 3 6 5 4 2 6" xfId="33382"/>
    <cellStyle name="Separador de milhares 3 6 5 4 3" xfId="8813"/>
    <cellStyle name="Separador de milhares 3 6 5 4 3 2" xfId="27027"/>
    <cellStyle name="Separador de milhares 3 6 5 4 3 2 2" xfId="53257"/>
    <cellStyle name="Separador de milhares 3 6 5 4 3 3" xfId="21113"/>
    <cellStyle name="Separador de milhares 3 6 5 4 3 3 2" xfId="47349"/>
    <cellStyle name="Separador de milhares 3 6 5 4 3 4" xfId="15199"/>
    <cellStyle name="Separador de milhares 3 6 5 4 3 4 2" xfId="41441"/>
    <cellStyle name="Separador de milhares 3 6 5 4 3 5" xfId="35055"/>
    <cellStyle name="Separador de milhares 3 6 5 4 4" xfId="5438"/>
    <cellStyle name="Separador de milhares 3 6 5 4 4 2" xfId="24070"/>
    <cellStyle name="Separador de milhares 3 6 5 4 4 2 2" xfId="50303"/>
    <cellStyle name="Separador de milhares 3 6 5 4 4 3" xfId="31683"/>
    <cellStyle name="Separador de milhares 3 6 5 4 5" xfId="18156"/>
    <cellStyle name="Separador de milhares 3 6 5 4 5 2" xfId="44395"/>
    <cellStyle name="Separador de milhares 3 6 5 4 6" xfId="11825"/>
    <cellStyle name="Separador de milhares 3 6 5 4 6 2" xfId="38067"/>
    <cellStyle name="Separador de milhares 3 6 5 4 7" xfId="29985"/>
    <cellStyle name="Separador de milhares 3 6 5 5" xfId="2954"/>
    <cellStyle name="Separador de milhares 3 6 5 5 2" xfId="7284"/>
    <cellStyle name="Separador de milhares 3 6 5 5 2 2" xfId="10428"/>
    <cellStyle name="Separador de milhares 3 6 5 5 2 2 2" xfId="28642"/>
    <cellStyle name="Separador de milhares 3 6 5 5 2 2 2 2" xfId="54872"/>
    <cellStyle name="Separador de milhares 3 6 5 5 2 2 3" xfId="22728"/>
    <cellStyle name="Separador de milhares 3 6 5 5 2 2 3 2" xfId="48964"/>
    <cellStyle name="Separador de milhares 3 6 5 5 2 2 4" xfId="16814"/>
    <cellStyle name="Separador de milhares 3 6 5 5 2 2 4 2" xfId="43056"/>
    <cellStyle name="Separador de milhares 3 6 5 5 2 2 5" xfId="36670"/>
    <cellStyle name="Separador de milhares 3 6 5 5 2 3" xfId="25685"/>
    <cellStyle name="Separador de milhares 3 6 5 5 2 3 2" xfId="51918"/>
    <cellStyle name="Separador de milhares 3 6 5 5 2 4" xfId="19771"/>
    <cellStyle name="Separador de milhares 3 6 5 5 2 4 2" xfId="46010"/>
    <cellStyle name="Separador de milhares 3 6 5 5 2 5" xfId="13673"/>
    <cellStyle name="Separador de milhares 3 6 5 5 2 5 2" xfId="39915"/>
    <cellStyle name="Separador de milhares 3 6 5 5 2 6" xfId="33529"/>
    <cellStyle name="Separador de milhares 3 6 5 5 3" xfId="8960"/>
    <cellStyle name="Separador de milhares 3 6 5 5 3 2" xfId="27174"/>
    <cellStyle name="Separador de milhares 3 6 5 5 3 2 2" xfId="53404"/>
    <cellStyle name="Separador de milhares 3 6 5 5 3 3" xfId="21260"/>
    <cellStyle name="Separador de milhares 3 6 5 5 3 3 2" xfId="47496"/>
    <cellStyle name="Separador de milhares 3 6 5 5 3 4" xfId="15346"/>
    <cellStyle name="Separador de milhares 3 6 5 5 3 4 2" xfId="41588"/>
    <cellStyle name="Separador de milhares 3 6 5 5 3 5" xfId="35202"/>
    <cellStyle name="Separador de milhares 3 6 5 5 4" xfId="5585"/>
    <cellStyle name="Separador de milhares 3 6 5 5 4 2" xfId="24217"/>
    <cellStyle name="Separador de milhares 3 6 5 5 4 2 2" xfId="50450"/>
    <cellStyle name="Separador de milhares 3 6 5 5 4 3" xfId="31830"/>
    <cellStyle name="Separador de milhares 3 6 5 5 5" xfId="18303"/>
    <cellStyle name="Separador de milhares 3 6 5 5 5 2" xfId="44542"/>
    <cellStyle name="Separador de milhares 3 6 5 5 6" xfId="11972"/>
    <cellStyle name="Separador de milhares 3 6 5 5 6 2" xfId="38214"/>
    <cellStyle name="Separador de milhares 3 6 5 5 7" xfId="30132"/>
    <cellStyle name="Separador de milhares 3 6 5 6" xfId="3481"/>
    <cellStyle name="Separador de milhares 3 6 5 6 2" xfId="7431"/>
    <cellStyle name="Separador de milhares 3 6 5 6 2 2" xfId="10575"/>
    <cellStyle name="Separador de milhares 3 6 5 6 2 2 2" xfId="28789"/>
    <cellStyle name="Separador de milhares 3 6 5 6 2 2 2 2" xfId="55019"/>
    <cellStyle name="Separador de milhares 3 6 5 6 2 2 3" xfId="22875"/>
    <cellStyle name="Separador de milhares 3 6 5 6 2 2 3 2" xfId="49111"/>
    <cellStyle name="Separador de milhares 3 6 5 6 2 2 4" xfId="16961"/>
    <cellStyle name="Separador de milhares 3 6 5 6 2 2 4 2" xfId="43203"/>
    <cellStyle name="Separador de milhares 3 6 5 6 2 2 5" xfId="36817"/>
    <cellStyle name="Separador de milhares 3 6 5 6 2 3" xfId="25832"/>
    <cellStyle name="Separador de milhares 3 6 5 6 2 3 2" xfId="52065"/>
    <cellStyle name="Separador de milhares 3 6 5 6 2 4" xfId="19918"/>
    <cellStyle name="Separador de milhares 3 6 5 6 2 4 2" xfId="46157"/>
    <cellStyle name="Separador de milhares 3 6 5 6 2 5" xfId="13820"/>
    <cellStyle name="Separador de milhares 3 6 5 6 2 5 2" xfId="40062"/>
    <cellStyle name="Separador de milhares 3 6 5 6 2 6" xfId="33676"/>
    <cellStyle name="Separador de milhares 3 6 5 6 3" xfId="9107"/>
    <cellStyle name="Separador de milhares 3 6 5 6 3 2" xfId="27321"/>
    <cellStyle name="Separador de milhares 3 6 5 6 3 2 2" xfId="53551"/>
    <cellStyle name="Separador de milhares 3 6 5 6 3 3" xfId="21407"/>
    <cellStyle name="Separador de milhares 3 6 5 6 3 3 2" xfId="47643"/>
    <cellStyle name="Separador de milhares 3 6 5 6 3 4" xfId="15493"/>
    <cellStyle name="Separador de milhares 3 6 5 6 3 4 2" xfId="41735"/>
    <cellStyle name="Separador de milhares 3 6 5 6 3 5" xfId="35349"/>
    <cellStyle name="Separador de milhares 3 6 5 6 4" xfId="5732"/>
    <cellStyle name="Separador de milhares 3 6 5 6 4 2" xfId="24364"/>
    <cellStyle name="Separador de milhares 3 6 5 6 4 2 2" xfId="50597"/>
    <cellStyle name="Separador de milhares 3 6 5 6 4 3" xfId="31977"/>
    <cellStyle name="Separador de milhares 3 6 5 6 5" xfId="18450"/>
    <cellStyle name="Separador de milhares 3 6 5 6 5 2" xfId="44689"/>
    <cellStyle name="Separador de milhares 3 6 5 6 6" xfId="12119"/>
    <cellStyle name="Separador de milhares 3 6 5 6 6 2" xfId="38361"/>
    <cellStyle name="Separador de milhares 3 6 5 6 7" xfId="30279"/>
    <cellStyle name="Separador de milhares 3 6 5 7" xfId="4008"/>
    <cellStyle name="Separador de milhares 3 6 5 7 2" xfId="7578"/>
    <cellStyle name="Separador de milhares 3 6 5 7 2 2" xfId="10722"/>
    <cellStyle name="Separador de milhares 3 6 5 7 2 2 2" xfId="28936"/>
    <cellStyle name="Separador de milhares 3 6 5 7 2 2 2 2" xfId="55166"/>
    <cellStyle name="Separador de milhares 3 6 5 7 2 2 3" xfId="23022"/>
    <cellStyle name="Separador de milhares 3 6 5 7 2 2 3 2" xfId="49258"/>
    <cellStyle name="Separador de milhares 3 6 5 7 2 2 4" xfId="17108"/>
    <cellStyle name="Separador de milhares 3 6 5 7 2 2 4 2" xfId="43350"/>
    <cellStyle name="Separador de milhares 3 6 5 7 2 2 5" xfId="36964"/>
    <cellStyle name="Separador de milhares 3 6 5 7 2 3" xfId="25979"/>
    <cellStyle name="Separador de milhares 3 6 5 7 2 3 2" xfId="52212"/>
    <cellStyle name="Separador de milhares 3 6 5 7 2 4" xfId="20065"/>
    <cellStyle name="Separador de milhares 3 6 5 7 2 4 2" xfId="46304"/>
    <cellStyle name="Separador de milhares 3 6 5 7 2 5" xfId="13967"/>
    <cellStyle name="Separador de milhares 3 6 5 7 2 5 2" xfId="40209"/>
    <cellStyle name="Separador de milhares 3 6 5 7 2 6" xfId="33823"/>
    <cellStyle name="Separador de milhares 3 6 5 7 3" xfId="9254"/>
    <cellStyle name="Separador de milhares 3 6 5 7 3 2" xfId="27468"/>
    <cellStyle name="Separador de milhares 3 6 5 7 3 2 2" xfId="53698"/>
    <cellStyle name="Separador de milhares 3 6 5 7 3 3" xfId="21554"/>
    <cellStyle name="Separador de milhares 3 6 5 7 3 3 2" xfId="47790"/>
    <cellStyle name="Separador de milhares 3 6 5 7 3 4" xfId="15640"/>
    <cellStyle name="Separador de milhares 3 6 5 7 3 4 2" xfId="41882"/>
    <cellStyle name="Separador de milhares 3 6 5 7 3 5" xfId="35496"/>
    <cellStyle name="Separador de milhares 3 6 5 7 4" xfId="5879"/>
    <cellStyle name="Separador de milhares 3 6 5 7 4 2" xfId="24511"/>
    <cellStyle name="Separador de milhares 3 6 5 7 4 2 2" xfId="50744"/>
    <cellStyle name="Separador de milhares 3 6 5 7 4 3" xfId="32124"/>
    <cellStyle name="Separador de milhares 3 6 5 7 5" xfId="18597"/>
    <cellStyle name="Separador de milhares 3 6 5 7 5 2" xfId="44836"/>
    <cellStyle name="Separador de milhares 3 6 5 7 6" xfId="12266"/>
    <cellStyle name="Separador de milhares 3 6 5 7 6 2" xfId="38508"/>
    <cellStyle name="Separador de milhares 3 6 5 7 7" xfId="30426"/>
    <cellStyle name="Separador de milhares 3 6 5 8" xfId="6617"/>
    <cellStyle name="Separador de milhares 3 6 5 8 2" xfId="9764"/>
    <cellStyle name="Separador de milhares 3 6 5 8 2 2" xfId="27978"/>
    <cellStyle name="Separador de milhares 3 6 5 8 2 2 2" xfId="54208"/>
    <cellStyle name="Separador de milhares 3 6 5 8 2 3" xfId="22064"/>
    <cellStyle name="Separador de milhares 3 6 5 8 2 3 2" xfId="48300"/>
    <cellStyle name="Separador de milhares 3 6 5 8 2 4" xfId="16150"/>
    <cellStyle name="Separador de milhares 3 6 5 8 2 4 2" xfId="42392"/>
    <cellStyle name="Separador de milhares 3 6 5 8 2 5" xfId="36006"/>
    <cellStyle name="Separador de milhares 3 6 5 8 3" xfId="25021"/>
    <cellStyle name="Separador de milhares 3 6 5 8 3 2" xfId="51254"/>
    <cellStyle name="Separador de milhares 3 6 5 8 4" xfId="19107"/>
    <cellStyle name="Separador de milhares 3 6 5 8 4 2" xfId="45346"/>
    <cellStyle name="Separador de milhares 3 6 5 8 5" xfId="13006"/>
    <cellStyle name="Separador de milhares 3 6 5 8 5 2" xfId="39248"/>
    <cellStyle name="Separador de milhares 3 6 5 8 6" xfId="32862"/>
    <cellStyle name="Separador de milhares 3 6 5 9" xfId="8293"/>
    <cellStyle name="Separador de milhares 3 6 5 9 2" xfId="26507"/>
    <cellStyle name="Separador de milhares 3 6 5 9 2 2" xfId="52740"/>
    <cellStyle name="Separador de milhares 3 6 5 9 3" xfId="20593"/>
    <cellStyle name="Separador de milhares 3 6 5 9 3 2" xfId="46832"/>
    <cellStyle name="Separador de milhares 3 6 5 9 4" xfId="14682"/>
    <cellStyle name="Separador de milhares 3 6 5 9 4 2" xfId="40924"/>
    <cellStyle name="Separador de milhares 3 6 5 9 5" xfId="34538"/>
    <cellStyle name="Separador de milhares 3 6 6" xfId="760"/>
    <cellStyle name="Separador de milhares 3 6 6 2" xfId="4184"/>
    <cellStyle name="Separador de milhares 3 6 6 2 2" xfId="7627"/>
    <cellStyle name="Separador de milhares 3 6 6 2 2 2" xfId="10771"/>
    <cellStyle name="Separador de milhares 3 6 6 2 2 2 2" xfId="28985"/>
    <cellStyle name="Separador de milhares 3 6 6 2 2 2 2 2" xfId="55215"/>
    <cellStyle name="Separador de milhares 3 6 6 2 2 2 3" xfId="23071"/>
    <cellStyle name="Separador de milhares 3 6 6 2 2 2 3 2" xfId="49307"/>
    <cellStyle name="Separador de milhares 3 6 6 2 2 2 4" xfId="17157"/>
    <cellStyle name="Separador de milhares 3 6 6 2 2 2 4 2" xfId="43399"/>
    <cellStyle name="Separador de milhares 3 6 6 2 2 2 5" xfId="37013"/>
    <cellStyle name="Separador de milhares 3 6 6 2 2 3" xfId="26028"/>
    <cellStyle name="Separador de milhares 3 6 6 2 2 3 2" xfId="52261"/>
    <cellStyle name="Separador de milhares 3 6 6 2 2 4" xfId="20114"/>
    <cellStyle name="Separador de milhares 3 6 6 2 2 4 2" xfId="46353"/>
    <cellStyle name="Separador de milhares 3 6 6 2 2 5" xfId="14016"/>
    <cellStyle name="Separador de milhares 3 6 6 2 2 5 2" xfId="40258"/>
    <cellStyle name="Separador de milhares 3 6 6 2 2 6" xfId="33872"/>
    <cellStyle name="Separador de milhares 3 6 6 2 3" xfId="9303"/>
    <cellStyle name="Separador de milhares 3 6 6 2 3 2" xfId="27517"/>
    <cellStyle name="Separador de milhares 3 6 6 2 3 2 2" xfId="53747"/>
    <cellStyle name="Separador de milhares 3 6 6 2 3 3" xfId="21603"/>
    <cellStyle name="Separador de milhares 3 6 6 2 3 3 2" xfId="47839"/>
    <cellStyle name="Separador de milhares 3 6 6 2 3 4" xfId="15689"/>
    <cellStyle name="Separador de milhares 3 6 6 2 3 4 2" xfId="41931"/>
    <cellStyle name="Separador de milhares 3 6 6 2 3 5" xfId="35545"/>
    <cellStyle name="Separador de milhares 3 6 6 2 4" xfId="5928"/>
    <cellStyle name="Separador de milhares 3 6 6 2 4 2" xfId="24560"/>
    <cellStyle name="Separador de milhares 3 6 6 2 4 2 2" xfId="50793"/>
    <cellStyle name="Separador de milhares 3 6 6 2 4 3" xfId="32173"/>
    <cellStyle name="Separador de milhares 3 6 6 2 5" xfId="18646"/>
    <cellStyle name="Separador de milhares 3 6 6 2 5 2" xfId="44885"/>
    <cellStyle name="Separador de milhares 3 6 6 2 6" xfId="12315"/>
    <cellStyle name="Separador de milhares 3 6 6 2 6 2" xfId="38557"/>
    <cellStyle name="Separador de milhares 3 6 6 2 7" xfId="30475"/>
    <cellStyle name="Separador de milhares 3 6 6 3" xfId="6672"/>
    <cellStyle name="Separador de milhares 3 6 6 3 2" xfId="9819"/>
    <cellStyle name="Separador de milhares 3 6 6 3 2 2" xfId="28033"/>
    <cellStyle name="Separador de milhares 3 6 6 3 2 2 2" xfId="54263"/>
    <cellStyle name="Separador de milhares 3 6 6 3 2 3" xfId="22119"/>
    <cellStyle name="Separador de milhares 3 6 6 3 2 3 2" xfId="48355"/>
    <cellStyle name="Separador de milhares 3 6 6 3 2 4" xfId="16205"/>
    <cellStyle name="Separador de milhares 3 6 6 3 2 4 2" xfId="42447"/>
    <cellStyle name="Separador de milhares 3 6 6 3 2 5" xfId="36061"/>
    <cellStyle name="Separador de milhares 3 6 6 3 3" xfId="25076"/>
    <cellStyle name="Separador de milhares 3 6 6 3 3 2" xfId="51309"/>
    <cellStyle name="Separador de milhares 3 6 6 3 4" xfId="19162"/>
    <cellStyle name="Separador de milhares 3 6 6 3 4 2" xfId="45401"/>
    <cellStyle name="Separador de milhares 3 6 6 3 5" xfId="13061"/>
    <cellStyle name="Separador de milhares 3 6 6 3 5 2" xfId="39303"/>
    <cellStyle name="Separador de milhares 3 6 6 3 6" xfId="32917"/>
    <cellStyle name="Separador de milhares 3 6 6 4" xfId="8351"/>
    <cellStyle name="Separador de milhares 3 6 6 4 2" xfId="26565"/>
    <cellStyle name="Separador de milhares 3 6 6 4 2 2" xfId="52795"/>
    <cellStyle name="Separador de milhares 3 6 6 4 3" xfId="20651"/>
    <cellStyle name="Separador de milhares 3 6 6 4 3 2" xfId="46887"/>
    <cellStyle name="Separador de milhares 3 6 6 4 4" xfId="14737"/>
    <cellStyle name="Separador de milhares 3 6 6 4 4 2" xfId="40979"/>
    <cellStyle name="Separador de milhares 3 6 6 4 5" xfId="34593"/>
    <cellStyle name="Separador de milhares 3 6 6 5" xfId="4973"/>
    <cellStyle name="Separador de milhares 3 6 6 5 2" xfId="23608"/>
    <cellStyle name="Separador de milhares 3 6 6 5 2 2" xfId="49841"/>
    <cellStyle name="Separador de milhares 3 6 6 5 3" xfId="31218"/>
    <cellStyle name="Separador de milhares 3 6 6 6" xfId="17694"/>
    <cellStyle name="Separador de milhares 3 6 6 6 2" xfId="43933"/>
    <cellStyle name="Separador de milhares 3 6 6 7" xfId="11360"/>
    <cellStyle name="Separador de milhares 3 6 6 7 2" xfId="37602"/>
    <cellStyle name="Separador de milhares 3 6 6 8" xfId="29520"/>
    <cellStyle name="Separador de milhares 3 6 7" xfId="1111"/>
    <cellStyle name="Separador de milhares 3 6 7 2" xfId="6770"/>
    <cellStyle name="Separador de milhares 3 6 7 2 2" xfId="9917"/>
    <cellStyle name="Separador de milhares 3 6 7 2 2 2" xfId="28131"/>
    <cellStyle name="Separador de milhares 3 6 7 2 2 2 2" xfId="54361"/>
    <cellStyle name="Separador de milhares 3 6 7 2 2 3" xfId="22217"/>
    <cellStyle name="Separador de milhares 3 6 7 2 2 3 2" xfId="48453"/>
    <cellStyle name="Separador de milhares 3 6 7 2 2 4" xfId="16303"/>
    <cellStyle name="Separador de milhares 3 6 7 2 2 4 2" xfId="42545"/>
    <cellStyle name="Separador de milhares 3 6 7 2 2 5" xfId="36159"/>
    <cellStyle name="Separador de milhares 3 6 7 2 3" xfId="25174"/>
    <cellStyle name="Separador de milhares 3 6 7 2 3 2" xfId="51407"/>
    <cellStyle name="Separador de milhares 3 6 7 2 4" xfId="19260"/>
    <cellStyle name="Separador de milhares 3 6 7 2 4 2" xfId="45499"/>
    <cellStyle name="Separador de milhares 3 6 7 2 5" xfId="13159"/>
    <cellStyle name="Separador de milhares 3 6 7 2 5 2" xfId="39401"/>
    <cellStyle name="Separador de milhares 3 6 7 2 6" xfId="33015"/>
    <cellStyle name="Separador de milhares 3 6 7 3" xfId="8449"/>
    <cellStyle name="Separador de milhares 3 6 7 3 2" xfId="26663"/>
    <cellStyle name="Separador de milhares 3 6 7 3 2 2" xfId="52893"/>
    <cellStyle name="Separador de milhares 3 6 7 3 3" xfId="20749"/>
    <cellStyle name="Separador de milhares 3 6 7 3 3 2" xfId="46985"/>
    <cellStyle name="Separador de milhares 3 6 7 3 4" xfId="14835"/>
    <cellStyle name="Separador de milhares 3 6 7 3 4 2" xfId="41077"/>
    <cellStyle name="Separador de milhares 3 6 7 3 5" xfId="34691"/>
    <cellStyle name="Separador de milhares 3 6 7 4" xfId="5071"/>
    <cellStyle name="Separador de milhares 3 6 7 4 2" xfId="23706"/>
    <cellStyle name="Separador de milhares 3 6 7 4 2 2" xfId="49939"/>
    <cellStyle name="Separador de milhares 3 6 7 4 3" xfId="31316"/>
    <cellStyle name="Separador de milhares 3 6 7 5" xfId="17792"/>
    <cellStyle name="Separador de milhares 3 6 7 5 2" xfId="44031"/>
    <cellStyle name="Separador de milhares 3 6 7 6" xfId="11458"/>
    <cellStyle name="Separador de milhares 3 6 7 6 2" xfId="37700"/>
    <cellStyle name="Separador de milhares 3 6 7 7" xfId="29618"/>
    <cellStyle name="Separador de milhares 3 6 8" xfId="1546"/>
    <cellStyle name="Separador de milhares 3 6 8 2" xfId="6889"/>
    <cellStyle name="Separador de milhares 3 6 8 2 2" xfId="10036"/>
    <cellStyle name="Separador de milhares 3 6 8 2 2 2" xfId="28250"/>
    <cellStyle name="Separador de milhares 3 6 8 2 2 2 2" xfId="54480"/>
    <cellStyle name="Separador de milhares 3 6 8 2 2 3" xfId="22336"/>
    <cellStyle name="Separador de milhares 3 6 8 2 2 3 2" xfId="48572"/>
    <cellStyle name="Separador de milhares 3 6 8 2 2 4" xfId="16422"/>
    <cellStyle name="Separador de milhares 3 6 8 2 2 4 2" xfId="42664"/>
    <cellStyle name="Separador de milhares 3 6 8 2 2 5" xfId="36278"/>
    <cellStyle name="Separador de milhares 3 6 8 2 3" xfId="25293"/>
    <cellStyle name="Separador de milhares 3 6 8 2 3 2" xfId="51526"/>
    <cellStyle name="Separador de milhares 3 6 8 2 4" xfId="19379"/>
    <cellStyle name="Separador de milhares 3 6 8 2 4 2" xfId="45618"/>
    <cellStyle name="Separador de milhares 3 6 8 2 5" xfId="13278"/>
    <cellStyle name="Separador de milhares 3 6 8 2 5 2" xfId="39520"/>
    <cellStyle name="Separador de milhares 3 6 8 2 6" xfId="33134"/>
    <cellStyle name="Separador de milhares 3 6 8 3" xfId="8568"/>
    <cellStyle name="Separador de milhares 3 6 8 3 2" xfId="26782"/>
    <cellStyle name="Separador de milhares 3 6 8 3 2 2" xfId="53012"/>
    <cellStyle name="Separador de milhares 3 6 8 3 3" xfId="20868"/>
    <cellStyle name="Separador de milhares 3 6 8 3 3 2" xfId="47104"/>
    <cellStyle name="Separador de milhares 3 6 8 3 4" xfId="14954"/>
    <cellStyle name="Separador de milhares 3 6 8 3 4 2" xfId="41196"/>
    <cellStyle name="Separador de milhares 3 6 8 3 5" xfId="34810"/>
    <cellStyle name="Separador de milhares 3 6 8 4" xfId="5190"/>
    <cellStyle name="Separador de milhares 3 6 8 4 2" xfId="23825"/>
    <cellStyle name="Separador de milhares 3 6 8 4 2 2" xfId="50058"/>
    <cellStyle name="Separador de milhares 3 6 8 4 3" xfId="31435"/>
    <cellStyle name="Separador de milhares 3 6 8 5" xfId="17911"/>
    <cellStyle name="Separador de milhares 3 6 8 5 2" xfId="44150"/>
    <cellStyle name="Separador de milhares 3 6 8 6" xfId="11577"/>
    <cellStyle name="Separador de milhares 3 6 8 6 2" xfId="37819"/>
    <cellStyle name="Separador de milhares 3 6 8 7" xfId="29737"/>
    <cellStyle name="Separador de milhares 3 6 9" xfId="2076"/>
    <cellStyle name="Separador de milhares 3 6 9 2" xfId="7039"/>
    <cellStyle name="Separador de milhares 3 6 9 2 2" xfId="10183"/>
    <cellStyle name="Separador de milhares 3 6 9 2 2 2" xfId="28397"/>
    <cellStyle name="Separador de milhares 3 6 9 2 2 2 2" xfId="54627"/>
    <cellStyle name="Separador de milhares 3 6 9 2 2 3" xfId="22483"/>
    <cellStyle name="Separador de milhares 3 6 9 2 2 3 2" xfId="48719"/>
    <cellStyle name="Separador de milhares 3 6 9 2 2 4" xfId="16569"/>
    <cellStyle name="Separador de milhares 3 6 9 2 2 4 2" xfId="42811"/>
    <cellStyle name="Separador de milhares 3 6 9 2 2 5" xfId="36425"/>
    <cellStyle name="Separador de milhares 3 6 9 2 3" xfId="25440"/>
    <cellStyle name="Separador de milhares 3 6 9 2 3 2" xfId="51673"/>
    <cellStyle name="Separador de milhares 3 6 9 2 4" xfId="19526"/>
    <cellStyle name="Separador de milhares 3 6 9 2 4 2" xfId="45765"/>
    <cellStyle name="Separador de milhares 3 6 9 2 5" xfId="13428"/>
    <cellStyle name="Separador de milhares 3 6 9 2 5 2" xfId="39670"/>
    <cellStyle name="Separador de milhares 3 6 9 2 6" xfId="33284"/>
    <cellStyle name="Separador de milhares 3 6 9 3" xfId="8715"/>
    <cellStyle name="Separador de milhares 3 6 9 3 2" xfId="26929"/>
    <cellStyle name="Separador de milhares 3 6 9 3 2 2" xfId="53159"/>
    <cellStyle name="Separador de milhares 3 6 9 3 3" xfId="21015"/>
    <cellStyle name="Separador de milhares 3 6 9 3 3 2" xfId="47251"/>
    <cellStyle name="Separador de milhares 3 6 9 3 4" xfId="15101"/>
    <cellStyle name="Separador de milhares 3 6 9 3 4 2" xfId="41343"/>
    <cellStyle name="Separador de milhares 3 6 9 3 5" xfId="34957"/>
    <cellStyle name="Separador de milhares 3 6 9 4" xfId="5340"/>
    <cellStyle name="Separador de milhares 3 6 9 4 2" xfId="23972"/>
    <cellStyle name="Separador de milhares 3 6 9 4 2 2" xfId="50205"/>
    <cellStyle name="Separador de milhares 3 6 9 4 3" xfId="31585"/>
    <cellStyle name="Separador de milhares 3 6 9 5" xfId="18058"/>
    <cellStyle name="Separador de milhares 3 6 9 5 2" xfId="44297"/>
    <cellStyle name="Separador de milhares 3 6 9 6" xfId="11727"/>
    <cellStyle name="Separador de milhares 3 6 9 6 2" xfId="37969"/>
    <cellStyle name="Separador de milhares 3 6 9 7" xfId="29887"/>
    <cellStyle name="Separador de milhares 3 7" xfId="104"/>
    <cellStyle name="Separador de milhares 3 7 10" xfId="2607"/>
    <cellStyle name="Separador de milhares 3 7 10 2" xfId="7187"/>
    <cellStyle name="Separador de milhares 3 7 10 2 2" xfId="10331"/>
    <cellStyle name="Separador de milhares 3 7 10 2 2 2" xfId="28545"/>
    <cellStyle name="Separador de milhares 3 7 10 2 2 2 2" xfId="54775"/>
    <cellStyle name="Separador de milhares 3 7 10 2 2 3" xfId="22631"/>
    <cellStyle name="Separador de milhares 3 7 10 2 2 3 2" xfId="48867"/>
    <cellStyle name="Separador de milhares 3 7 10 2 2 4" xfId="16717"/>
    <cellStyle name="Separador de milhares 3 7 10 2 2 4 2" xfId="42959"/>
    <cellStyle name="Separador de milhares 3 7 10 2 2 5" xfId="36573"/>
    <cellStyle name="Separador de milhares 3 7 10 2 3" xfId="25588"/>
    <cellStyle name="Separador de milhares 3 7 10 2 3 2" xfId="51821"/>
    <cellStyle name="Separador de milhares 3 7 10 2 4" xfId="19674"/>
    <cellStyle name="Separador de milhares 3 7 10 2 4 2" xfId="45913"/>
    <cellStyle name="Separador de milhares 3 7 10 2 5" xfId="13576"/>
    <cellStyle name="Separador de milhares 3 7 10 2 5 2" xfId="39818"/>
    <cellStyle name="Separador de milhares 3 7 10 2 6" xfId="33432"/>
    <cellStyle name="Separador de milhares 3 7 10 3" xfId="8863"/>
    <cellStyle name="Separador de milhares 3 7 10 3 2" xfId="27077"/>
    <cellStyle name="Separador de milhares 3 7 10 3 2 2" xfId="53307"/>
    <cellStyle name="Separador de milhares 3 7 10 3 3" xfId="21163"/>
    <cellStyle name="Separador de milhares 3 7 10 3 3 2" xfId="47399"/>
    <cellStyle name="Separador de milhares 3 7 10 3 4" xfId="15249"/>
    <cellStyle name="Separador de milhares 3 7 10 3 4 2" xfId="41491"/>
    <cellStyle name="Separador de milhares 3 7 10 3 5" xfId="35105"/>
    <cellStyle name="Separador de milhares 3 7 10 4" xfId="5488"/>
    <cellStyle name="Separador de milhares 3 7 10 4 2" xfId="24120"/>
    <cellStyle name="Separador de milhares 3 7 10 4 2 2" xfId="50353"/>
    <cellStyle name="Separador de milhares 3 7 10 4 3" xfId="31733"/>
    <cellStyle name="Separador de milhares 3 7 10 5" xfId="18206"/>
    <cellStyle name="Separador de milhares 3 7 10 5 2" xfId="44445"/>
    <cellStyle name="Separador de milhares 3 7 10 6" xfId="11875"/>
    <cellStyle name="Separador de milhares 3 7 10 6 2" xfId="38117"/>
    <cellStyle name="Separador de milhares 3 7 10 7" xfId="30035"/>
    <cellStyle name="Separador de milhares 3 7 11" xfId="3134"/>
    <cellStyle name="Separador de milhares 3 7 11 2" xfId="7334"/>
    <cellStyle name="Separador de milhares 3 7 11 2 2" xfId="10478"/>
    <cellStyle name="Separador de milhares 3 7 11 2 2 2" xfId="28692"/>
    <cellStyle name="Separador de milhares 3 7 11 2 2 2 2" xfId="54922"/>
    <cellStyle name="Separador de milhares 3 7 11 2 2 3" xfId="22778"/>
    <cellStyle name="Separador de milhares 3 7 11 2 2 3 2" xfId="49014"/>
    <cellStyle name="Separador de milhares 3 7 11 2 2 4" xfId="16864"/>
    <cellStyle name="Separador de milhares 3 7 11 2 2 4 2" xfId="43106"/>
    <cellStyle name="Separador de milhares 3 7 11 2 2 5" xfId="36720"/>
    <cellStyle name="Separador de milhares 3 7 11 2 3" xfId="25735"/>
    <cellStyle name="Separador de milhares 3 7 11 2 3 2" xfId="51968"/>
    <cellStyle name="Separador de milhares 3 7 11 2 4" xfId="19821"/>
    <cellStyle name="Separador de milhares 3 7 11 2 4 2" xfId="46060"/>
    <cellStyle name="Separador de milhares 3 7 11 2 5" xfId="13723"/>
    <cellStyle name="Separador de milhares 3 7 11 2 5 2" xfId="39965"/>
    <cellStyle name="Separador de milhares 3 7 11 2 6" xfId="33579"/>
    <cellStyle name="Separador de milhares 3 7 11 3" xfId="9010"/>
    <cellStyle name="Separador de milhares 3 7 11 3 2" xfId="27224"/>
    <cellStyle name="Separador de milhares 3 7 11 3 2 2" xfId="53454"/>
    <cellStyle name="Separador de milhares 3 7 11 3 3" xfId="21310"/>
    <cellStyle name="Separador de milhares 3 7 11 3 3 2" xfId="47546"/>
    <cellStyle name="Separador de milhares 3 7 11 3 4" xfId="15396"/>
    <cellStyle name="Separador de milhares 3 7 11 3 4 2" xfId="41638"/>
    <cellStyle name="Separador de milhares 3 7 11 3 5" xfId="35252"/>
    <cellStyle name="Separador de milhares 3 7 11 4" xfId="5635"/>
    <cellStyle name="Separador de milhares 3 7 11 4 2" xfId="24267"/>
    <cellStyle name="Separador de milhares 3 7 11 4 2 2" xfId="50500"/>
    <cellStyle name="Separador de milhares 3 7 11 4 3" xfId="31880"/>
    <cellStyle name="Separador de milhares 3 7 11 5" xfId="18353"/>
    <cellStyle name="Separador de milhares 3 7 11 5 2" xfId="44592"/>
    <cellStyle name="Separador de milhares 3 7 11 6" xfId="12022"/>
    <cellStyle name="Separador de milhares 3 7 11 6 2" xfId="38264"/>
    <cellStyle name="Separador de milhares 3 7 11 7" xfId="30182"/>
    <cellStyle name="Separador de milhares 3 7 12" xfId="3661"/>
    <cellStyle name="Separador de milhares 3 7 12 2" xfId="7481"/>
    <cellStyle name="Separador de milhares 3 7 12 2 2" xfId="10625"/>
    <cellStyle name="Separador de milhares 3 7 12 2 2 2" xfId="28839"/>
    <cellStyle name="Separador de milhares 3 7 12 2 2 2 2" xfId="55069"/>
    <cellStyle name="Separador de milhares 3 7 12 2 2 3" xfId="22925"/>
    <cellStyle name="Separador de milhares 3 7 12 2 2 3 2" xfId="49161"/>
    <cellStyle name="Separador de milhares 3 7 12 2 2 4" xfId="17011"/>
    <cellStyle name="Separador de milhares 3 7 12 2 2 4 2" xfId="43253"/>
    <cellStyle name="Separador de milhares 3 7 12 2 2 5" xfId="36867"/>
    <cellStyle name="Separador de milhares 3 7 12 2 3" xfId="25882"/>
    <cellStyle name="Separador de milhares 3 7 12 2 3 2" xfId="52115"/>
    <cellStyle name="Separador de milhares 3 7 12 2 4" xfId="19968"/>
    <cellStyle name="Separador de milhares 3 7 12 2 4 2" xfId="46207"/>
    <cellStyle name="Separador de milhares 3 7 12 2 5" xfId="13870"/>
    <cellStyle name="Separador de milhares 3 7 12 2 5 2" xfId="40112"/>
    <cellStyle name="Separador de milhares 3 7 12 2 6" xfId="33726"/>
    <cellStyle name="Separador de milhares 3 7 12 3" xfId="9157"/>
    <cellStyle name="Separador de milhares 3 7 12 3 2" xfId="27371"/>
    <cellStyle name="Separador de milhares 3 7 12 3 2 2" xfId="53601"/>
    <cellStyle name="Separador de milhares 3 7 12 3 3" xfId="21457"/>
    <cellStyle name="Separador de milhares 3 7 12 3 3 2" xfId="47693"/>
    <cellStyle name="Separador de milhares 3 7 12 3 4" xfId="15543"/>
    <cellStyle name="Separador de milhares 3 7 12 3 4 2" xfId="41785"/>
    <cellStyle name="Separador de milhares 3 7 12 3 5" xfId="35399"/>
    <cellStyle name="Separador de milhares 3 7 12 4" xfId="5782"/>
    <cellStyle name="Separador de milhares 3 7 12 4 2" xfId="24414"/>
    <cellStyle name="Separador de milhares 3 7 12 4 2 2" xfId="50647"/>
    <cellStyle name="Separador de milhares 3 7 12 4 3" xfId="32027"/>
    <cellStyle name="Separador de milhares 3 7 12 5" xfId="18500"/>
    <cellStyle name="Separador de milhares 3 7 12 5 2" xfId="44739"/>
    <cellStyle name="Separador de milhares 3 7 12 6" xfId="12169"/>
    <cellStyle name="Separador de milhares 3 7 12 6 2" xfId="38411"/>
    <cellStyle name="Separador de milhares 3 7 12 7" xfId="30329"/>
    <cellStyle name="Separador de milhares 3 7 13" xfId="6465"/>
    <cellStyle name="Separador de milhares 3 7 13 2" xfId="9621"/>
    <cellStyle name="Separador de milhares 3 7 13 2 2" xfId="27835"/>
    <cellStyle name="Separador de milhares 3 7 13 2 2 2" xfId="54065"/>
    <cellStyle name="Separador de milhares 3 7 13 2 3" xfId="21921"/>
    <cellStyle name="Separador de milhares 3 7 13 2 3 2" xfId="48157"/>
    <cellStyle name="Separador de milhares 3 7 13 2 4" xfId="16007"/>
    <cellStyle name="Separador de milhares 3 7 13 2 4 2" xfId="42249"/>
    <cellStyle name="Separador de milhares 3 7 13 2 5" xfId="35863"/>
    <cellStyle name="Separador de milhares 3 7 13 3" xfId="24878"/>
    <cellStyle name="Separador de milhares 3 7 13 3 2" xfId="51111"/>
    <cellStyle name="Separador de milhares 3 7 13 4" xfId="18964"/>
    <cellStyle name="Separador de milhares 3 7 13 4 2" xfId="45203"/>
    <cellStyle name="Separador de milhares 3 7 13 5" xfId="12854"/>
    <cellStyle name="Separador de milhares 3 7 13 5 2" xfId="39096"/>
    <cellStyle name="Separador de milhares 3 7 13 6" xfId="32710"/>
    <cellStyle name="Separador de milhares 3 7 14" xfId="8150"/>
    <cellStyle name="Separador de milhares 3 7 14 2" xfId="26364"/>
    <cellStyle name="Separador de milhares 3 7 14 2 2" xfId="52597"/>
    <cellStyle name="Separador de milhares 3 7 14 3" xfId="20450"/>
    <cellStyle name="Separador de milhares 3 7 14 3 2" xfId="46689"/>
    <cellStyle name="Separador de milhares 3 7 14 4" xfId="14539"/>
    <cellStyle name="Separador de milhares 3 7 14 4 2" xfId="40781"/>
    <cellStyle name="Separador de milhares 3 7 14 5" xfId="34395"/>
    <cellStyle name="Separador de milhares 3 7 15" xfId="4763"/>
    <cellStyle name="Separador de milhares 3 7 15 2" xfId="23407"/>
    <cellStyle name="Separador de milhares 3 7 15 2 2" xfId="49643"/>
    <cellStyle name="Separador de milhares 3 7 15 3" xfId="31011"/>
    <cellStyle name="Separador de milhares 3 7 16" xfId="17493"/>
    <cellStyle name="Separador de milhares 3 7 16 2" xfId="43735"/>
    <cellStyle name="Separador de milhares 3 7 17" xfId="11153"/>
    <cellStyle name="Separador de milhares 3 7 17 2" xfId="37395"/>
    <cellStyle name="Separador de milhares 3 7 18" xfId="29313"/>
    <cellStyle name="Separador de milhares 3 7 2" xfId="198"/>
    <cellStyle name="Separador de milhares 3 7 2 10" xfId="6494"/>
    <cellStyle name="Separador de milhares 3 7 2 10 2" xfId="9648"/>
    <cellStyle name="Separador de milhares 3 7 2 10 2 2" xfId="27862"/>
    <cellStyle name="Separador de milhares 3 7 2 10 2 2 2" xfId="54092"/>
    <cellStyle name="Separador de milhares 3 7 2 10 2 3" xfId="21948"/>
    <cellStyle name="Separador de milhares 3 7 2 10 2 3 2" xfId="48184"/>
    <cellStyle name="Separador de milhares 3 7 2 10 2 4" xfId="16034"/>
    <cellStyle name="Separador de milhares 3 7 2 10 2 4 2" xfId="42276"/>
    <cellStyle name="Separador de milhares 3 7 2 10 2 5" xfId="35890"/>
    <cellStyle name="Separador de milhares 3 7 2 10 3" xfId="24905"/>
    <cellStyle name="Separador de milhares 3 7 2 10 3 2" xfId="51138"/>
    <cellStyle name="Separador de milhares 3 7 2 10 4" xfId="18991"/>
    <cellStyle name="Separador de milhares 3 7 2 10 4 2" xfId="45230"/>
    <cellStyle name="Separador de milhares 3 7 2 10 5" xfId="12883"/>
    <cellStyle name="Separador de milhares 3 7 2 10 5 2" xfId="39125"/>
    <cellStyle name="Separador de milhares 3 7 2 10 6" xfId="32739"/>
    <cellStyle name="Separador de milhares 3 7 2 11" xfId="8177"/>
    <cellStyle name="Separador de milhares 3 7 2 11 2" xfId="26391"/>
    <cellStyle name="Separador de milhares 3 7 2 11 2 2" xfId="52624"/>
    <cellStyle name="Separador de milhares 3 7 2 11 3" xfId="20477"/>
    <cellStyle name="Separador de milhares 3 7 2 11 3 2" xfId="46716"/>
    <cellStyle name="Separador de milhares 3 7 2 11 4" xfId="14566"/>
    <cellStyle name="Separador de milhares 3 7 2 11 4 2" xfId="40808"/>
    <cellStyle name="Separador de milhares 3 7 2 11 5" xfId="34422"/>
    <cellStyle name="Separador de milhares 3 7 2 12" xfId="4793"/>
    <cellStyle name="Separador de milhares 3 7 2 12 2" xfId="23434"/>
    <cellStyle name="Separador de milhares 3 7 2 12 2 2" xfId="49670"/>
    <cellStyle name="Separador de milhares 3 7 2 12 3" xfId="31040"/>
    <cellStyle name="Separador de milhares 3 7 2 13" xfId="17520"/>
    <cellStyle name="Separador de milhares 3 7 2 13 2" xfId="43762"/>
    <cellStyle name="Separador de milhares 3 7 2 14" xfId="11182"/>
    <cellStyle name="Separador de milhares 3 7 2 14 2" xfId="37424"/>
    <cellStyle name="Separador de milhares 3 7 2 15" xfId="29343"/>
    <cellStyle name="Separador de milhares 3 7 2 2" xfId="471"/>
    <cellStyle name="Separador de milhares 3 7 2 2 10" xfId="17594"/>
    <cellStyle name="Separador de milhares 3 7 2 2 10 2" xfId="43836"/>
    <cellStyle name="Separador de milhares 3 7 2 2 11" xfId="11263"/>
    <cellStyle name="Separador de milhares 3 7 2 2 11 2" xfId="37505"/>
    <cellStyle name="Separador de milhares 3 7 2 2 12" xfId="29423"/>
    <cellStyle name="Separador de milhares 3 7 2 2 2" xfId="1990"/>
    <cellStyle name="Separador de milhares 3 7 2 2 2 2" xfId="7013"/>
    <cellStyle name="Separador de milhares 3 7 2 2 2 2 2" xfId="10160"/>
    <cellStyle name="Separador de milhares 3 7 2 2 2 2 2 2" xfId="28374"/>
    <cellStyle name="Separador de milhares 3 7 2 2 2 2 2 2 2" xfId="54604"/>
    <cellStyle name="Separador de milhares 3 7 2 2 2 2 2 3" xfId="22460"/>
    <cellStyle name="Separador de milhares 3 7 2 2 2 2 2 3 2" xfId="48696"/>
    <cellStyle name="Separador de milhares 3 7 2 2 2 2 2 4" xfId="16546"/>
    <cellStyle name="Separador de milhares 3 7 2 2 2 2 2 4 2" xfId="42788"/>
    <cellStyle name="Separador de milhares 3 7 2 2 2 2 2 5" xfId="36402"/>
    <cellStyle name="Separador de milhares 3 7 2 2 2 2 3" xfId="25417"/>
    <cellStyle name="Separador de milhares 3 7 2 2 2 2 3 2" xfId="51650"/>
    <cellStyle name="Separador de milhares 3 7 2 2 2 2 4" xfId="19503"/>
    <cellStyle name="Separador de milhares 3 7 2 2 2 2 4 2" xfId="45742"/>
    <cellStyle name="Separador de milhares 3 7 2 2 2 2 5" xfId="13402"/>
    <cellStyle name="Separador de milhares 3 7 2 2 2 2 5 2" xfId="39644"/>
    <cellStyle name="Separador de milhares 3 7 2 2 2 2 6" xfId="33258"/>
    <cellStyle name="Separador de milhares 3 7 2 2 2 3" xfId="8692"/>
    <cellStyle name="Separador de milhares 3 7 2 2 2 3 2" xfId="26906"/>
    <cellStyle name="Separador de milhares 3 7 2 2 2 3 2 2" xfId="53136"/>
    <cellStyle name="Separador de milhares 3 7 2 2 2 3 3" xfId="20992"/>
    <cellStyle name="Separador de milhares 3 7 2 2 2 3 3 2" xfId="47228"/>
    <cellStyle name="Separador de milhares 3 7 2 2 2 3 4" xfId="15078"/>
    <cellStyle name="Separador de milhares 3 7 2 2 2 3 4 2" xfId="41320"/>
    <cellStyle name="Separador de milhares 3 7 2 2 2 3 5" xfId="34934"/>
    <cellStyle name="Separador de milhares 3 7 2 2 2 4" xfId="5314"/>
    <cellStyle name="Separador de milhares 3 7 2 2 2 4 2" xfId="23949"/>
    <cellStyle name="Separador de milhares 3 7 2 2 2 4 2 2" xfId="50182"/>
    <cellStyle name="Separador de milhares 3 7 2 2 2 4 3" xfId="31559"/>
    <cellStyle name="Separador de milhares 3 7 2 2 2 5" xfId="18035"/>
    <cellStyle name="Separador de milhares 3 7 2 2 2 5 2" xfId="44274"/>
    <cellStyle name="Separador de milhares 3 7 2 2 2 6" xfId="11701"/>
    <cellStyle name="Separador de milhares 3 7 2 2 2 6 2" xfId="37943"/>
    <cellStyle name="Separador de milhares 3 7 2 2 2 7" xfId="29861"/>
    <cellStyle name="Separador de milhares 3 7 2 2 3" xfId="2520"/>
    <cellStyle name="Separador de milhares 3 7 2 2 3 2" xfId="7163"/>
    <cellStyle name="Separador de milhares 3 7 2 2 3 2 2" xfId="10307"/>
    <cellStyle name="Separador de milhares 3 7 2 2 3 2 2 2" xfId="28521"/>
    <cellStyle name="Separador de milhares 3 7 2 2 3 2 2 2 2" xfId="54751"/>
    <cellStyle name="Separador de milhares 3 7 2 2 3 2 2 3" xfId="22607"/>
    <cellStyle name="Separador de milhares 3 7 2 2 3 2 2 3 2" xfId="48843"/>
    <cellStyle name="Separador de milhares 3 7 2 2 3 2 2 4" xfId="16693"/>
    <cellStyle name="Separador de milhares 3 7 2 2 3 2 2 4 2" xfId="42935"/>
    <cellStyle name="Separador de milhares 3 7 2 2 3 2 2 5" xfId="36549"/>
    <cellStyle name="Separador de milhares 3 7 2 2 3 2 3" xfId="25564"/>
    <cellStyle name="Separador de milhares 3 7 2 2 3 2 3 2" xfId="51797"/>
    <cellStyle name="Separador de milhares 3 7 2 2 3 2 4" xfId="19650"/>
    <cellStyle name="Separador de milhares 3 7 2 2 3 2 4 2" xfId="45889"/>
    <cellStyle name="Separador de milhares 3 7 2 2 3 2 5" xfId="13552"/>
    <cellStyle name="Separador de milhares 3 7 2 2 3 2 5 2" xfId="39794"/>
    <cellStyle name="Separador de milhares 3 7 2 2 3 2 6" xfId="33408"/>
    <cellStyle name="Separador de milhares 3 7 2 2 3 3" xfId="8839"/>
    <cellStyle name="Separador de milhares 3 7 2 2 3 3 2" xfId="27053"/>
    <cellStyle name="Separador de milhares 3 7 2 2 3 3 2 2" xfId="53283"/>
    <cellStyle name="Separador de milhares 3 7 2 2 3 3 3" xfId="21139"/>
    <cellStyle name="Separador de milhares 3 7 2 2 3 3 3 2" xfId="47375"/>
    <cellStyle name="Separador de milhares 3 7 2 2 3 3 4" xfId="15225"/>
    <cellStyle name="Separador de milhares 3 7 2 2 3 3 4 2" xfId="41467"/>
    <cellStyle name="Separador de milhares 3 7 2 2 3 3 5" xfId="35081"/>
    <cellStyle name="Separador de milhares 3 7 2 2 3 4" xfId="5464"/>
    <cellStyle name="Separador de milhares 3 7 2 2 3 4 2" xfId="24096"/>
    <cellStyle name="Separador de milhares 3 7 2 2 3 4 2 2" xfId="50329"/>
    <cellStyle name="Separador de milhares 3 7 2 2 3 4 3" xfId="31709"/>
    <cellStyle name="Separador de milhares 3 7 2 2 3 5" xfId="18182"/>
    <cellStyle name="Separador de milhares 3 7 2 2 3 5 2" xfId="44421"/>
    <cellStyle name="Separador de milhares 3 7 2 2 3 6" xfId="11851"/>
    <cellStyle name="Separador de milhares 3 7 2 2 3 6 2" xfId="38093"/>
    <cellStyle name="Separador de milhares 3 7 2 2 3 7" xfId="30011"/>
    <cellStyle name="Separador de milhares 3 7 2 2 4" xfId="3047"/>
    <cellStyle name="Separador de milhares 3 7 2 2 4 2" xfId="7310"/>
    <cellStyle name="Separador de milhares 3 7 2 2 4 2 2" xfId="10454"/>
    <cellStyle name="Separador de milhares 3 7 2 2 4 2 2 2" xfId="28668"/>
    <cellStyle name="Separador de milhares 3 7 2 2 4 2 2 2 2" xfId="54898"/>
    <cellStyle name="Separador de milhares 3 7 2 2 4 2 2 3" xfId="22754"/>
    <cellStyle name="Separador de milhares 3 7 2 2 4 2 2 3 2" xfId="48990"/>
    <cellStyle name="Separador de milhares 3 7 2 2 4 2 2 4" xfId="16840"/>
    <cellStyle name="Separador de milhares 3 7 2 2 4 2 2 4 2" xfId="43082"/>
    <cellStyle name="Separador de milhares 3 7 2 2 4 2 2 5" xfId="36696"/>
    <cellStyle name="Separador de milhares 3 7 2 2 4 2 3" xfId="25711"/>
    <cellStyle name="Separador de milhares 3 7 2 2 4 2 3 2" xfId="51944"/>
    <cellStyle name="Separador de milhares 3 7 2 2 4 2 4" xfId="19797"/>
    <cellStyle name="Separador de milhares 3 7 2 2 4 2 4 2" xfId="46036"/>
    <cellStyle name="Separador de milhares 3 7 2 2 4 2 5" xfId="13699"/>
    <cellStyle name="Separador de milhares 3 7 2 2 4 2 5 2" xfId="39941"/>
    <cellStyle name="Separador de milhares 3 7 2 2 4 2 6" xfId="33555"/>
    <cellStyle name="Separador de milhares 3 7 2 2 4 3" xfId="8986"/>
    <cellStyle name="Separador de milhares 3 7 2 2 4 3 2" xfId="27200"/>
    <cellStyle name="Separador de milhares 3 7 2 2 4 3 2 2" xfId="53430"/>
    <cellStyle name="Separador de milhares 3 7 2 2 4 3 3" xfId="21286"/>
    <cellStyle name="Separador de milhares 3 7 2 2 4 3 3 2" xfId="47522"/>
    <cellStyle name="Separador de milhares 3 7 2 2 4 3 4" xfId="15372"/>
    <cellStyle name="Separador de milhares 3 7 2 2 4 3 4 2" xfId="41614"/>
    <cellStyle name="Separador de milhares 3 7 2 2 4 3 5" xfId="35228"/>
    <cellStyle name="Separador de milhares 3 7 2 2 4 4" xfId="5611"/>
    <cellStyle name="Separador de milhares 3 7 2 2 4 4 2" xfId="24243"/>
    <cellStyle name="Separador de milhares 3 7 2 2 4 4 2 2" xfId="50476"/>
    <cellStyle name="Separador de milhares 3 7 2 2 4 4 3" xfId="31856"/>
    <cellStyle name="Separador de milhares 3 7 2 2 4 5" xfId="18329"/>
    <cellStyle name="Separador de milhares 3 7 2 2 4 5 2" xfId="44568"/>
    <cellStyle name="Separador de milhares 3 7 2 2 4 6" xfId="11998"/>
    <cellStyle name="Separador de milhares 3 7 2 2 4 6 2" xfId="38240"/>
    <cellStyle name="Separador de milhares 3 7 2 2 4 7" xfId="30158"/>
    <cellStyle name="Separador de milhares 3 7 2 2 5" xfId="3574"/>
    <cellStyle name="Separador de milhares 3 7 2 2 5 2" xfId="7457"/>
    <cellStyle name="Separador de milhares 3 7 2 2 5 2 2" xfId="10601"/>
    <cellStyle name="Separador de milhares 3 7 2 2 5 2 2 2" xfId="28815"/>
    <cellStyle name="Separador de milhares 3 7 2 2 5 2 2 2 2" xfId="55045"/>
    <cellStyle name="Separador de milhares 3 7 2 2 5 2 2 3" xfId="22901"/>
    <cellStyle name="Separador de milhares 3 7 2 2 5 2 2 3 2" xfId="49137"/>
    <cellStyle name="Separador de milhares 3 7 2 2 5 2 2 4" xfId="16987"/>
    <cellStyle name="Separador de milhares 3 7 2 2 5 2 2 4 2" xfId="43229"/>
    <cellStyle name="Separador de milhares 3 7 2 2 5 2 2 5" xfId="36843"/>
    <cellStyle name="Separador de milhares 3 7 2 2 5 2 3" xfId="25858"/>
    <cellStyle name="Separador de milhares 3 7 2 2 5 2 3 2" xfId="52091"/>
    <cellStyle name="Separador de milhares 3 7 2 2 5 2 4" xfId="19944"/>
    <cellStyle name="Separador de milhares 3 7 2 2 5 2 4 2" xfId="46183"/>
    <cellStyle name="Separador de milhares 3 7 2 2 5 2 5" xfId="13846"/>
    <cellStyle name="Separador de milhares 3 7 2 2 5 2 5 2" xfId="40088"/>
    <cellStyle name="Separador de milhares 3 7 2 2 5 2 6" xfId="33702"/>
    <cellStyle name="Separador de milhares 3 7 2 2 5 3" xfId="9133"/>
    <cellStyle name="Separador de milhares 3 7 2 2 5 3 2" xfId="27347"/>
    <cellStyle name="Separador de milhares 3 7 2 2 5 3 2 2" xfId="53577"/>
    <cellStyle name="Separador de milhares 3 7 2 2 5 3 3" xfId="21433"/>
    <cellStyle name="Separador de milhares 3 7 2 2 5 3 3 2" xfId="47669"/>
    <cellStyle name="Separador de milhares 3 7 2 2 5 3 4" xfId="15519"/>
    <cellStyle name="Separador de milhares 3 7 2 2 5 3 4 2" xfId="41761"/>
    <cellStyle name="Separador de milhares 3 7 2 2 5 3 5" xfId="35375"/>
    <cellStyle name="Separador de milhares 3 7 2 2 5 4" xfId="5758"/>
    <cellStyle name="Separador de milhares 3 7 2 2 5 4 2" xfId="24390"/>
    <cellStyle name="Separador de milhares 3 7 2 2 5 4 2 2" xfId="50623"/>
    <cellStyle name="Separador de milhares 3 7 2 2 5 4 3" xfId="32003"/>
    <cellStyle name="Separador de milhares 3 7 2 2 5 5" xfId="18476"/>
    <cellStyle name="Separador de milhares 3 7 2 2 5 5 2" xfId="44715"/>
    <cellStyle name="Separador de milhares 3 7 2 2 5 6" xfId="12145"/>
    <cellStyle name="Separador de milhares 3 7 2 2 5 6 2" xfId="38387"/>
    <cellStyle name="Separador de milhares 3 7 2 2 5 7" xfId="30305"/>
    <cellStyle name="Separador de milhares 3 7 2 2 6" xfId="4101"/>
    <cellStyle name="Separador de milhares 3 7 2 2 6 2" xfId="7604"/>
    <cellStyle name="Separador de milhares 3 7 2 2 6 2 2" xfId="10748"/>
    <cellStyle name="Separador de milhares 3 7 2 2 6 2 2 2" xfId="28962"/>
    <cellStyle name="Separador de milhares 3 7 2 2 6 2 2 2 2" xfId="55192"/>
    <cellStyle name="Separador de milhares 3 7 2 2 6 2 2 3" xfId="23048"/>
    <cellStyle name="Separador de milhares 3 7 2 2 6 2 2 3 2" xfId="49284"/>
    <cellStyle name="Separador de milhares 3 7 2 2 6 2 2 4" xfId="17134"/>
    <cellStyle name="Separador de milhares 3 7 2 2 6 2 2 4 2" xfId="43376"/>
    <cellStyle name="Separador de milhares 3 7 2 2 6 2 2 5" xfId="36990"/>
    <cellStyle name="Separador de milhares 3 7 2 2 6 2 3" xfId="26005"/>
    <cellStyle name="Separador de milhares 3 7 2 2 6 2 3 2" xfId="52238"/>
    <cellStyle name="Separador de milhares 3 7 2 2 6 2 4" xfId="20091"/>
    <cellStyle name="Separador de milhares 3 7 2 2 6 2 4 2" xfId="46330"/>
    <cellStyle name="Separador de milhares 3 7 2 2 6 2 5" xfId="13993"/>
    <cellStyle name="Separador de milhares 3 7 2 2 6 2 5 2" xfId="40235"/>
    <cellStyle name="Separador de milhares 3 7 2 2 6 2 6" xfId="33849"/>
    <cellStyle name="Separador de milhares 3 7 2 2 6 3" xfId="9280"/>
    <cellStyle name="Separador de milhares 3 7 2 2 6 3 2" xfId="27494"/>
    <cellStyle name="Separador de milhares 3 7 2 2 6 3 2 2" xfId="53724"/>
    <cellStyle name="Separador de milhares 3 7 2 2 6 3 3" xfId="21580"/>
    <cellStyle name="Separador de milhares 3 7 2 2 6 3 3 2" xfId="47816"/>
    <cellStyle name="Separador de milhares 3 7 2 2 6 3 4" xfId="15666"/>
    <cellStyle name="Separador de milhares 3 7 2 2 6 3 4 2" xfId="41908"/>
    <cellStyle name="Separador de milhares 3 7 2 2 6 3 5" xfId="35522"/>
    <cellStyle name="Separador de milhares 3 7 2 2 6 4" xfId="5905"/>
    <cellStyle name="Separador de milhares 3 7 2 2 6 4 2" xfId="24537"/>
    <cellStyle name="Separador de milhares 3 7 2 2 6 4 2 2" xfId="50770"/>
    <cellStyle name="Separador de milhares 3 7 2 2 6 4 3" xfId="32150"/>
    <cellStyle name="Separador de milhares 3 7 2 2 6 5" xfId="18623"/>
    <cellStyle name="Separador de milhares 3 7 2 2 6 5 2" xfId="44862"/>
    <cellStyle name="Separador de milhares 3 7 2 2 6 6" xfId="12292"/>
    <cellStyle name="Separador de milhares 3 7 2 2 6 6 2" xfId="38534"/>
    <cellStyle name="Separador de milhares 3 7 2 2 6 7" xfId="30452"/>
    <cellStyle name="Separador de milhares 3 7 2 2 7" xfId="6575"/>
    <cellStyle name="Separador de milhares 3 7 2 2 7 2" xfId="9722"/>
    <cellStyle name="Separador de milhares 3 7 2 2 7 2 2" xfId="27936"/>
    <cellStyle name="Separador de milhares 3 7 2 2 7 2 2 2" xfId="54166"/>
    <cellStyle name="Separador de milhares 3 7 2 2 7 2 3" xfId="22022"/>
    <cellStyle name="Separador de milhares 3 7 2 2 7 2 3 2" xfId="48258"/>
    <cellStyle name="Separador de milhares 3 7 2 2 7 2 4" xfId="16108"/>
    <cellStyle name="Separador de milhares 3 7 2 2 7 2 4 2" xfId="42350"/>
    <cellStyle name="Separador de milhares 3 7 2 2 7 2 5" xfId="35964"/>
    <cellStyle name="Separador de milhares 3 7 2 2 7 3" xfId="24979"/>
    <cellStyle name="Separador de milhares 3 7 2 2 7 3 2" xfId="51212"/>
    <cellStyle name="Separador de milhares 3 7 2 2 7 4" xfId="19065"/>
    <cellStyle name="Separador de milhares 3 7 2 2 7 4 2" xfId="45304"/>
    <cellStyle name="Separador de milhares 3 7 2 2 7 5" xfId="12964"/>
    <cellStyle name="Separador de milhares 3 7 2 2 7 5 2" xfId="39206"/>
    <cellStyle name="Separador de milhares 3 7 2 2 7 6" xfId="32820"/>
    <cellStyle name="Separador de milhares 3 7 2 2 8" xfId="8251"/>
    <cellStyle name="Separador de milhares 3 7 2 2 8 2" xfId="26465"/>
    <cellStyle name="Separador de milhares 3 7 2 2 8 2 2" xfId="52698"/>
    <cellStyle name="Separador de milhares 3 7 2 2 8 3" xfId="20551"/>
    <cellStyle name="Separador de milhares 3 7 2 2 8 3 2" xfId="46790"/>
    <cellStyle name="Separador de milhares 3 7 2 2 8 4" xfId="14640"/>
    <cellStyle name="Separador de milhares 3 7 2 2 8 4 2" xfId="40882"/>
    <cellStyle name="Separador de milhares 3 7 2 2 8 5" xfId="34496"/>
    <cellStyle name="Separador de milhares 3 7 2 2 9" xfId="4874"/>
    <cellStyle name="Separador de milhares 3 7 2 2 9 2" xfId="23508"/>
    <cellStyle name="Separador de milhares 3 7 2 2 9 2 2" xfId="49744"/>
    <cellStyle name="Separador de milhares 3 7 2 2 9 3" xfId="31121"/>
    <cellStyle name="Separador de milhares 3 7 2 3" xfId="944"/>
    <cellStyle name="Separador de milhares 3 7 2 3 2" xfId="6726"/>
    <cellStyle name="Separador de milhares 3 7 2 3 2 2" xfId="9873"/>
    <cellStyle name="Separador de milhares 3 7 2 3 2 2 2" xfId="28087"/>
    <cellStyle name="Separador de milhares 3 7 2 3 2 2 2 2" xfId="54317"/>
    <cellStyle name="Separador de milhares 3 7 2 3 2 2 3" xfId="22173"/>
    <cellStyle name="Separador de milhares 3 7 2 3 2 2 3 2" xfId="48409"/>
    <cellStyle name="Separador de milhares 3 7 2 3 2 2 4" xfId="16259"/>
    <cellStyle name="Separador de milhares 3 7 2 3 2 2 4 2" xfId="42501"/>
    <cellStyle name="Separador de milhares 3 7 2 3 2 2 5" xfId="36115"/>
    <cellStyle name="Separador de milhares 3 7 2 3 2 3" xfId="25130"/>
    <cellStyle name="Separador de milhares 3 7 2 3 2 3 2" xfId="51363"/>
    <cellStyle name="Separador de milhares 3 7 2 3 2 4" xfId="19216"/>
    <cellStyle name="Separador de milhares 3 7 2 3 2 4 2" xfId="45455"/>
    <cellStyle name="Separador de milhares 3 7 2 3 2 5" xfId="13115"/>
    <cellStyle name="Separador de milhares 3 7 2 3 2 5 2" xfId="39357"/>
    <cellStyle name="Separador de milhares 3 7 2 3 2 6" xfId="32971"/>
    <cellStyle name="Separador de milhares 3 7 2 3 3" xfId="8405"/>
    <cellStyle name="Separador de milhares 3 7 2 3 3 2" xfId="26619"/>
    <cellStyle name="Separador de milhares 3 7 2 3 3 2 2" xfId="52849"/>
    <cellStyle name="Separador de milhares 3 7 2 3 3 3" xfId="20705"/>
    <cellStyle name="Separador de milhares 3 7 2 3 3 3 2" xfId="46941"/>
    <cellStyle name="Separador de milhares 3 7 2 3 3 4" xfId="14791"/>
    <cellStyle name="Separador de milhares 3 7 2 3 3 4 2" xfId="41033"/>
    <cellStyle name="Separador de milhares 3 7 2 3 3 5" xfId="34647"/>
    <cellStyle name="Separador de milhares 3 7 2 3 4" xfId="5027"/>
    <cellStyle name="Separador de milhares 3 7 2 3 4 2" xfId="23662"/>
    <cellStyle name="Separador de milhares 3 7 2 3 4 2 2" xfId="49895"/>
    <cellStyle name="Separador de milhares 3 7 2 3 4 3" xfId="31272"/>
    <cellStyle name="Separador de milhares 3 7 2 3 5" xfId="17748"/>
    <cellStyle name="Separador de milhares 3 7 2 3 5 2" xfId="43987"/>
    <cellStyle name="Separador de milhares 3 7 2 3 6" xfId="11414"/>
    <cellStyle name="Separador de milhares 3 7 2 3 6 2" xfId="37656"/>
    <cellStyle name="Separador de milhares 3 7 2 3 7" xfId="29574"/>
    <cellStyle name="Separador de milhares 3 7 2 4" xfId="1295"/>
    <cellStyle name="Separador de milhares 3 7 2 4 2" xfId="6824"/>
    <cellStyle name="Separador de milhares 3 7 2 4 2 2" xfId="9971"/>
    <cellStyle name="Separador de milhares 3 7 2 4 2 2 2" xfId="28185"/>
    <cellStyle name="Separador de milhares 3 7 2 4 2 2 2 2" xfId="54415"/>
    <cellStyle name="Separador de milhares 3 7 2 4 2 2 3" xfId="22271"/>
    <cellStyle name="Separador de milhares 3 7 2 4 2 2 3 2" xfId="48507"/>
    <cellStyle name="Separador de milhares 3 7 2 4 2 2 4" xfId="16357"/>
    <cellStyle name="Separador de milhares 3 7 2 4 2 2 4 2" xfId="42599"/>
    <cellStyle name="Separador de milhares 3 7 2 4 2 2 5" xfId="36213"/>
    <cellStyle name="Separador de milhares 3 7 2 4 2 3" xfId="25228"/>
    <cellStyle name="Separador de milhares 3 7 2 4 2 3 2" xfId="51461"/>
    <cellStyle name="Separador de milhares 3 7 2 4 2 4" xfId="19314"/>
    <cellStyle name="Separador de milhares 3 7 2 4 2 4 2" xfId="45553"/>
    <cellStyle name="Separador de milhares 3 7 2 4 2 5" xfId="13213"/>
    <cellStyle name="Separador de milhares 3 7 2 4 2 5 2" xfId="39455"/>
    <cellStyle name="Separador de milhares 3 7 2 4 2 6" xfId="33069"/>
    <cellStyle name="Separador de milhares 3 7 2 4 3" xfId="8503"/>
    <cellStyle name="Separador de milhares 3 7 2 4 3 2" xfId="26717"/>
    <cellStyle name="Separador de milhares 3 7 2 4 3 2 2" xfId="52947"/>
    <cellStyle name="Separador de milhares 3 7 2 4 3 3" xfId="20803"/>
    <cellStyle name="Separador de milhares 3 7 2 4 3 3 2" xfId="47039"/>
    <cellStyle name="Separador de milhares 3 7 2 4 3 4" xfId="14889"/>
    <cellStyle name="Separador de milhares 3 7 2 4 3 4 2" xfId="41131"/>
    <cellStyle name="Separador de milhares 3 7 2 4 3 5" xfId="34745"/>
    <cellStyle name="Separador de milhares 3 7 2 4 4" xfId="5125"/>
    <cellStyle name="Separador de milhares 3 7 2 4 4 2" xfId="23760"/>
    <cellStyle name="Separador de milhares 3 7 2 4 4 2 2" xfId="49993"/>
    <cellStyle name="Separador de milhares 3 7 2 4 4 3" xfId="31370"/>
    <cellStyle name="Separador de milhares 3 7 2 4 5" xfId="17846"/>
    <cellStyle name="Separador de milhares 3 7 2 4 5 2" xfId="44085"/>
    <cellStyle name="Separador de milhares 3 7 2 4 6" xfId="11512"/>
    <cellStyle name="Separador de milhares 3 7 2 4 6 2" xfId="37754"/>
    <cellStyle name="Separador de milhares 3 7 2 4 7" xfId="29672"/>
    <cellStyle name="Separador de milhares 3 7 2 5" xfId="1730"/>
    <cellStyle name="Separador de milhares 3 7 2 5 2" xfId="6943"/>
    <cellStyle name="Separador de milhares 3 7 2 5 2 2" xfId="10090"/>
    <cellStyle name="Separador de milhares 3 7 2 5 2 2 2" xfId="28304"/>
    <cellStyle name="Separador de milhares 3 7 2 5 2 2 2 2" xfId="54534"/>
    <cellStyle name="Separador de milhares 3 7 2 5 2 2 3" xfId="22390"/>
    <cellStyle name="Separador de milhares 3 7 2 5 2 2 3 2" xfId="48626"/>
    <cellStyle name="Separador de milhares 3 7 2 5 2 2 4" xfId="16476"/>
    <cellStyle name="Separador de milhares 3 7 2 5 2 2 4 2" xfId="42718"/>
    <cellStyle name="Separador de milhares 3 7 2 5 2 2 5" xfId="36332"/>
    <cellStyle name="Separador de milhares 3 7 2 5 2 3" xfId="25347"/>
    <cellStyle name="Separador de milhares 3 7 2 5 2 3 2" xfId="51580"/>
    <cellStyle name="Separador de milhares 3 7 2 5 2 4" xfId="19433"/>
    <cellStyle name="Separador de milhares 3 7 2 5 2 4 2" xfId="45672"/>
    <cellStyle name="Separador de milhares 3 7 2 5 2 5" xfId="13332"/>
    <cellStyle name="Separador de milhares 3 7 2 5 2 5 2" xfId="39574"/>
    <cellStyle name="Separador de milhares 3 7 2 5 2 6" xfId="33188"/>
    <cellStyle name="Separador de milhares 3 7 2 5 3" xfId="8622"/>
    <cellStyle name="Separador de milhares 3 7 2 5 3 2" xfId="26836"/>
    <cellStyle name="Separador de milhares 3 7 2 5 3 2 2" xfId="53066"/>
    <cellStyle name="Separador de milhares 3 7 2 5 3 3" xfId="20922"/>
    <cellStyle name="Separador de milhares 3 7 2 5 3 3 2" xfId="47158"/>
    <cellStyle name="Separador de milhares 3 7 2 5 3 4" xfId="15008"/>
    <cellStyle name="Separador de milhares 3 7 2 5 3 4 2" xfId="41250"/>
    <cellStyle name="Separador de milhares 3 7 2 5 3 5" xfId="34864"/>
    <cellStyle name="Separador de milhares 3 7 2 5 4" xfId="5244"/>
    <cellStyle name="Separador de milhares 3 7 2 5 4 2" xfId="23879"/>
    <cellStyle name="Separador de milhares 3 7 2 5 4 2 2" xfId="50112"/>
    <cellStyle name="Separador de milhares 3 7 2 5 4 3" xfId="31489"/>
    <cellStyle name="Separador de milhares 3 7 2 5 5" xfId="17965"/>
    <cellStyle name="Separador de milhares 3 7 2 5 5 2" xfId="44204"/>
    <cellStyle name="Separador de milhares 3 7 2 5 6" xfId="11631"/>
    <cellStyle name="Separador de milhares 3 7 2 5 6 2" xfId="37873"/>
    <cellStyle name="Separador de milhares 3 7 2 5 7" xfId="29791"/>
    <cellStyle name="Separador de milhares 3 7 2 6" xfId="2260"/>
    <cellStyle name="Separador de milhares 3 7 2 6 2" xfId="7093"/>
    <cellStyle name="Separador de milhares 3 7 2 6 2 2" xfId="10237"/>
    <cellStyle name="Separador de milhares 3 7 2 6 2 2 2" xfId="28451"/>
    <cellStyle name="Separador de milhares 3 7 2 6 2 2 2 2" xfId="54681"/>
    <cellStyle name="Separador de milhares 3 7 2 6 2 2 3" xfId="22537"/>
    <cellStyle name="Separador de milhares 3 7 2 6 2 2 3 2" xfId="48773"/>
    <cellStyle name="Separador de milhares 3 7 2 6 2 2 4" xfId="16623"/>
    <cellStyle name="Separador de milhares 3 7 2 6 2 2 4 2" xfId="42865"/>
    <cellStyle name="Separador de milhares 3 7 2 6 2 2 5" xfId="36479"/>
    <cellStyle name="Separador de milhares 3 7 2 6 2 3" xfId="25494"/>
    <cellStyle name="Separador de milhares 3 7 2 6 2 3 2" xfId="51727"/>
    <cellStyle name="Separador de milhares 3 7 2 6 2 4" xfId="19580"/>
    <cellStyle name="Separador de milhares 3 7 2 6 2 4 2" xfId="45819"/>
    <cellStyle name="Separador de milhares 3 7 2 6 2 5" xfId="13482"/>
    <cellStyle name="Separador de milhares 3 7 2 6 2 5 2" xfId="39724"/>
    <cellStyle name="Separador de milhares 3 7 2 6 2 6" xfId="33338"/>
    <cellStyle name="Separador de milhares 3 7 2 6 3" xfId="8769"/>
    <cellStyle name="Separador de milhares 3 7 2 6 3 2" xfId="26983"/>
    <cellStyle name="Separador de milhares 3 7 2 6 3 2 2" xfId="53213"/>
    <cellStyle name="Separador de milhares 3 7 2 6 3 3" xfId="21069"/>
    <cellStyle name="Separador de milhares 3 7 2 6 3 3 2" xfId="47305"/>
    <cellStyle name="Separador de milhares 3 7 2 6 3 4" xfId="15155"/>
    <cellStyle name="Separador de milhares 3 7 2 6 3 4 2" xfId="41397"/>
    <cellStyle name="Separador de milhares 3 7 2 6 3 5" xfId="35011"/>
    <cellStyle name="Separador de milhares 3 7 2 6 4" xfId="5394"/>
    <cellStyle name="Separador de milhares 3 7 2 6 4 2" xfId="24026"/>
    <cellStyle name="Separador de milhares 3 7 2 6 4 2 2" xfId="50259"/>
    <cellStyle name="Separador de milhares 3 7 2 6 4 3" xfId="31639"/>
    <cellStyle name="Separador de milhares 3 7 2 6 5" xfId="18112"/>
    <cellStyle name="Separador de milhares 3 7 2 6 5 2" xfId="44351"/>
    <cellStyle name="Separador de milhares 3 7 2 6 6" xfId="11781"/>
    <cellStyle name="Separador de milhares 3 7 2 6 6 2" xfId="38023"/>
    <cellStyle name="Separador de milhares 3 7 2 6 7" xfId="29941"/>
    <cellStyle name="Separador de milhares 3 7 2 7" xfId="2787"/>
    <cellStyle name="Separador de milhares 3 7 2 7 2" xfId="7240"/>
    <cellStyle name="Separador de milhares 3 7 2 7 2 2" xfId="10384"/>
    <cellStyle name="Separador de milhares 3 7 2 7 2 2 2" xfId="28598"/>
    <cellStyle name="Separador de milhares 3 7 2 7 2 2 2 2" xfId="54828"/>
    <cellStyle name="Separador de milhares 3 7 2 7 2 2 3" xfId="22684"/>
    <cellStyle name="Separador de milhares 3 7 2 7 2 2 3 2" xfId="48920"/>
    <cellStyle name="Separador de milhares 3 7 2 7 2 2 4" xfId="16770"/>
    <cellStyle name="Separador de milhares 3 7 2 7 2 2 4 2" xfId="43012"/>
    <cellStyle name="Separador de milhares 3 7 2 7 2 2 5" xfId="36626"/>
    <cellStyle name="Separador de milhares 3 7 2 7 2 3" xfId="25641"/>
    <cellStyle name="Separador de milhares 3 7 2 7 2 3 2" xfId="51874"/>
    <cellStyle name="Separador de milhares 3 7 2 7 2 4" xfId="19727"/>
    <cellStyle name="Separador de milhares 3 7 2 7 2 4 2" xfId="45966"/>
    <cellStyle name="Separador de milhares 3 7 2 7 2 5" xfId="13629"/>
    <cellStyle name="Separador de milhares 3 7 2 7 2 5 2" xfId="39871"/>
    <cellStyle name="Separador de milhares 3 7 2 7 2 6" xfId="33485"/>
    <cellStyle name="Separador de milhares 3 7 2 7 3" xfId="8916"/>
    <cellStyle name="Separador de milhares 3 7 2 7 3 2" xfId="27130"/>
    <cellStyle name="Separador de milhares 3 7 2 7 3 2 2" xfId="53360"/>
    <cellStyle name="Separador de milhares 3 7 2 7 3 3" xfId="21216"/>
    <cellStyle name="Separador de milhares 3 7 2 7 3 3 2" xfId="47452"/>
    <cellStyle name="Separador de milhares 3 7 2 7 3 4" xfId="15302"/>
    <cellStyle name="Separador de milhares 3 7 2 7 3 4 2" xfId="41544"/>
    <cellStyle name="Separador de milhares 3 7 2 7 3 5" xfId="35158"/>
    <cellStyle name="Separador de milhares 3 7 2 7 4" xfId="5541"/>
    <cellStyle name="Separador de milhares 3 7 2 7 4 2" xfId="24173"/>
    <cellStyle name="Separador de milhares 3 7 2 7 4 2 2" xfId="50406"/>
    <cellStyle name="Separador de milhares 3 7 2 7 4 3" xfId="31786"/>
    <cellStyle name="Separador de milhares 3 7 2 7 5" xfId="18259"/>
    <cellStyle name="Separador de milhares 3 7 2 7 5 2" xfId="44498"/>
    <cellStyle name="Separador de milhares 3 7 2 7 6" xfId="11928"/>
    <cellStyle name="Separador de milhares 3 7 2 7 6 2" xfId="38170"/>
    <cellStyle name="Separador de milhares 3 7 2 7 7" xfId="30088"/>
    <cellStyle name="Separador de milhares 3 7 2 8" xfId="3314"/>
    <cellStyle name="Separador de milhares 3 7 2 8 2" xfId="7387"/>
    <cellStyle name="Separador de milhares 3 7 2 8 2 2" xfId="10531"/>
    <cellStyle name="Separador de milhares 3 7 2 8 2 2 2" xfId="28745"/>
    <cellStyle name="Separador de milhares 3 7 2 8 2 2 2 2" xfId="54975"/>
    <cellStyle name="Separador de milhares 3 7 2 8 2 2 3" xfId="22831"/>
    <cellStyle name="Separador de milhares 3 7 2 8 2 2 3 2" xfId="49067"/>
    <cellStyle name="Separador de milhares 3 7 2 8 2 2 4" xfId="16917"/>
    <cellStyle name="Separador de milhares 3 7 2 8 2 2 4 2" xfId="43159"/>
    <cellStyle name="Separador de milhares 3 7 2 8 2 2 5" xfId="36773"/>
    <cellStyle name="Separador de milhares 3 7 2 8 2 3" xfId="25788"/>
    <cellStyle name="Separador de milhares 3 7 2 8 2 3 2" xfId="52021"/>
    <cellStyle name="Separador de milhares 3 7 2 8 2 4" xfId="19874"/>
    <cellStyle name="Separador de milhares 3 7 2 8 2 4 2" xfId="46113"/>
    <cellStyle name="Separador de milhares 3 7 2 8 2 5" xfId="13776"/>
    <cellStyle name="Separador de milhares 3 7 2 8 2 5 2" xfId="40018"/>
    <cellStyle name="Separador de milhares 3 7 2 8 2 6" xfId="33632"/>
    <cellStyle name="Separador de milhares 3 7 2 8 3" xfId="9063"/>
    <cellStyle name="Separador de milhares 3 7 2 8 3 2" xfId="27277"/>
    <cellStyle name="Separador de milhares 3 7 2 8 3 2 2" xfId="53507"/>
    <cellStyle name="Separador de milhares 3 7 2 8 3 3" xfId="21363"/>
    <cellStyle name="Separador de milhares 3 7 2 8 3 3 2" xfId="47599"/>
    <cellStyle name="Separador de milhares 3 7 2 8 3 4" xfId="15449"/>
    <cellStyle name="Separador de milhares 3 7 2 8 3 4 2" xfId="41691"/>
    <cellStyle name="Separador de milhares 3 7 2 8 3 5" xfId="35305"/>
    <cellStyle name="Separador de milhares 3 7 2 8 4" xfId="5688"/>
    <cellStyle name="Separador de milhares 3 7 2 8 4 2" xfId="24320"/>
    <cellStyle name="Separador de milhares 3 7 2 8 4 2 2" xfId="50553"/>
    <cellStyle name="Separador de milhares 3 7 2 8 4 3" xfId="31933"/>
    <cellStyle name="Separador de milhares 3 7 2 8 5" xfId="18406"/>
    <cellStyle name="Separador de milhares 3 7 2 8 5 2" xfId="44645"/>
    <cellStyle name="Separador de milhares 3 7 2 8 6" xfId="12075"/>
    <cellStyle name="Separador de milhares 3 7 2 8 6 2" xfId="38317"/>
    <cellStyle name="Separador de milhares 3 7 2 8 7" xfId="30235"/>
    <cellStyle name="Separador de milhares 3 7 2 9" xfId="3841"/>
    <cellStyle name="Separador de milhares 3 7 2 9 2" xfId="7534"/>
    <cellStyle name="Separador de milhares 3 7 2 9 2 2" xfId="10678"/>
    <cellStyle name="Separador de milhares 3 7 2 9 2 2 2" xfId="28892"/>
    <cellStyle name="Separador de milhares 3 7 2 9 2 2 2 2" xfId="55122"/>
    <cellStyle name="Separador de milhares 3 7 2 9 2 2 3" xfId="22978"/>
    <cellStyle name="Separador de milhares 3 7 2 9 2 2 3 2" xfId="49214"/>
    <cellStyle name="Separador de milhares 3 7 2 9 2 2 4" xfId="17064"/>
    <cellStyle name="Separador de milhares 3 7 2 9 2 2 4 2" xfId="43306"/>
    <cellStyle name="Separador de milhares 3 7 2 9 2 2 5" xfId="36920"/>
    <cellStyle name="Separador de milhares 3 7 2 9 2 3" xfId="25935"/>
    <cellStyle name="Separador de milhares 3 7 2 9 2 3 2" xfId="52168"/>
    <cellStyle name="Separador de milhares 3 7 2 9 2 4" xfId="20021"/>
    <cellStyle name="Separador de milhares 3 7 2 9 2 4 2" xfId="46260"/>
    <cellStyle name="Separador de milhares 3 7 2 9 2 5" xfId="13923"/>
    <cellStyle name="Separador de milhares 3 7 2 9 2 5 2" xfId="40165"/>
    <cellStyle name="Separador de milhares 3 7 2 9 2 6" xfId="33779"/>
    <cellStyle name="Separador de milhares 3 7 2 9 3" xfId="9210"/>
    <cellStyle name="Separador de milhares 3 7 2 9 3 2" xfId="27424"/>
    <cellStyle name="Separador de milhares 3 7 2 9 3 2 2" xfId="53654"/>
    <cellStyle name="Separador de milhares 3 7 2 9 3 3" xfId="21510"/>
    <cellStyle name="Separador de milhares 3 7 2 9 3 3 2" xfId="47746"/>
    <cellStyle name="Separador de milhares 3 7 2 9 3 4" xfId="15596"/>
    <cellStyle name="Separador de milhares 3 7 2 9 3 4 2" xfId="41838"/>
    <cellStyle name="Separador de milhares 3 7 2 9 3 5" xfId="35452"/>
    <cellStyle name="Separador de milhares 3 7 2 9 4" xfId="5835"/>
    <cellStyle name="Separador de milhares 3 7 2 9 4 2" xfId="24467"/>
    <cellStyle name="Separador de milhares 3 7 2 9 4 2 2" xfId="50700"/>
    <cellStyle name="Separador de milhares 3 7 2 9 4 3" xfId="32080"/>
    <cellStyle name="Separador de milhares 3 7 2 9 5" xfId="18553"/>
    <cellStyle name="Separador de milhares 3 7 2 9 5 2" xfId="44792"/>
    <cellStyle name="Separador de milhares 3 7 2 9 6" xfId="12222"/>
    <cellStyle name="Separador de milhares 3 7 2 9 6 2" xfId="38464"/>
    <cellStyle name="Separador de milhares 3 7 2 9 7" xfId="30382"/>
    <cellStyle name="Separador de milhares 3 7 3" xfId="293"/>
    <cellStyle name="Separador de milhares 3 7 3 10" xfId="6525"/>
    <cellStyle name="Separador de milhares 3 7 3 10 2" xfId="9676"/>
    <cellStyle name="Separador de milhares 3 7 3 10 2 2" xfId="27890"/>
    <cellStyle name="Separador de milhares 3 7 3 10 2 2 2" xfId="54120"/>
    <cellStyle name="Separador de milhares 3 7 3 10 2 3" xfId="21976"/>
    <cellStyle name="Separador de milhares 3 7 3 10 2 3 2" xfId="48212"/>
    <cellStyle name="Separador de milhares 3 7 3 10 2 4" xfId="16062"/>
    <cellStyle name="Separador de milhares 3 7 3 10 2 4 2" xfId="42304"/>
    <cellStyle name="Separador de milhares 3 7 3 10 2 5" xfId="35918"/>
    <cellStyle name="Separador de milhares 3 7 3 10 3" xfId="24933"/>
    <cellStyle name="Separador de milhares 3 7 3 10 3 2" xfId="51166"/>
    <cellStyle name="Separador de milhares 3 7 3 10 4" xfId="19019"/>
    <cellStyle name="Separador de milhares 3 7 3 10 4 2" xfId="45258"/>
    <cellStyle name="Separador de milhares 3 7 3 10 5" xfId="12914"/>
    <cellStyle name="Separador de milhares 3 7 3 10 5 2" xfId="39156"/>
    <cellStyle name="Separador de milhares 3 7 3 10 6" xfId="32770"/>
    <cellStyle name="Separador de milhares 3 7 3 11" xfId="8205"/>
    <cellStyle name="Separador de milhares 3 7 3 11 2" xfId="26419"/>
    <cellStyle name="Separador de milhares 3 7 3 11 2 2" xfId="52652"/>
    <cellStyle name="Separador de milhares 3 7 3 11 3" xfId="20505"/>
    <cellStyle name="Separador de milhares 3 7 3 11 3 2" xfId="46744"/>
    <cellStyle name="Separador de milhares 3 7 3 11 4" xfId="14594"/>
    <cellStyle name="Separador de milhares 3 7 3 11 4 2" xfId="40836"/>
    <cellStyle name="Separador de milhares 3 7 3 11 5" xfId="34450"/>
    <cellStyle name="Separador de milhares 3 7 3 12" xfId="4824"/>
    <cellStyle name="Separador de milhares 3 7 3 12 2" xfId="23462"/>
    <cellStyle name="Separador de milhares 3 7 3 12 2 2" xfId="49698"/>
    <cellStyle name="Separador de milhares 3 7 3 12 3" xfId="31071"/>
    <cellStyle name="Separador de milhares 3 7 3 13" xfId="17548"/>
    <cellStyle name="Separador de milhares 3 7 3 13 2" xfId="43790"/>
    <cellStyle name="Separador de milhares 3 7 3 14" xfId="11213"/>
    <cellStyle name="Separador de milhares 3 7 3 14 2" xfId="37455"/>
    <cellStyle name="Separador de milhares 3 7 3 15" xfId="29373"/>
    <cellStyle name="Separador de milhares 3 7 3 2" xfId="556"/>
    <cellStyle name="Separador de milhares 3 7 3 2 2" xfId="6596"/>
    <cellStyle name="Separador de milhares 3 7 3 2 2 2" xfId="9743"/>
    <cellStyle name="Separador de milhares 3 7 3 2 2 2 2" xfId="27957"/>
    <cellStyle name="Separador de milhares 3 7 3 2 2 2 2 2" xfId="54187"/>
    <cellStyle name="Separador de milhares 3 7 3 2 2 2 3" xfId="22043"/>
    <cellStyle name="Separador de milhares 3 7 3 2 2 2 3 2" xfId="48279"/>
    <cellStyle name="Separador de milhares 3 7 3 2 2 2 4" xfId="16129"/>
    <cellStyle name="Separador de milhares 3 7 3 2 2 2 4 2" xfId="42371"/>
    <cellStyle name="Separador de milhares 3 7 3 2 2 2 5" xfId="35985"/>
    <cellStyle name="Separador de milhares 3 7 3 2 2 3" xfId="25000"/>
    <cellStyle name="Separador de milhares 3 7 3 2 2 3 2" xfId="51233"/>
    <cellStyle name="Separador de milhares 3 7 3 2 2 4" xfId="19086"/>
    <cellStyle name="Separador de milhares 3 7 3 2 2 4 2" xfId="45325"/>
    <cellStyle name="Separador de milhares 3 7 3 2 2 5" xfId="12985"/>
    <cellStyle name="Separador de milhares 3 7 3 2 2 5 2" xfId="39227"/>
    <cellStyle name="Separador de milhares 3 7 3 2 2 6" xfId="32841"/>
    <cellStyle name="Separador de milhares 3 7 3 2 3" xfId="8272"/>
    <cellStyle name="Separador de milhares 3 7 3 2 3 2" xfId="26486"/>
    <cellStyle name="Separador de milhares 3 7 3 2 3 2 2" xfId="52719"/>
    <cellStyle name="Separador de milhares 3 7 3 2 3 3" xfId="20572"/>
    <cellStyle name="Separador de milhares 3 7 3 2 3 3 2" xfId="46811"/>
    <cellStyle name="Separador de milhares 3 7 3 2 3 4" xfId="14661"/>
    <cellStyle name="Separador de milhares 3 7 3 2 3 4 2" xfId="40903"/>
    <cellStyle name="Separador de milhares 3 7 3 2 3 5" xfId="34517"/>
    <cellStyle name="Separador de milhares 3 7 3 2 4" xfId="4895"/>
    <cellStyle name="Separador de milhares 3 7 3 2 4 2" xfId="23529"/>
    <cellStyle name="Separador de milhares 3 7 3 2 4 2 2" xfId="49765"/>
    <cellStyle name="Separador de milhares 3 7 3 2 4 3" xfId="31142"/>
    <cellStyle name="Separador de milhares 3 7 3 2 5" xfId="17615"/>
    <cellStyle name="Separador de milhares 3 7 3 2 5 2" xfId="43857"/>
    <cellStyle name="Separador de milhares 3 7 3 2 6" xfId="11284"/>
    <cellStyle name="Separador de milhares 3 7 3 2 6 2" xfId="37526"/>
    <cellStyle name="Separador de milhares 3 7 3 2 7" xfId="29444"/>
    <cellStyle name="Separador de milhares 3 7 3 3" xfId="853"/>
    <cellStyle name="Separador de milhares 3 7 3 3 2" xfId="6698"/>
    <cellStyle name="Separador de milhares 3 7 3 3 2 2" xfId="9845"/>
    <cellStyle name="Separador de milhares 3 7 3 3 2 2 2" xfId="28059"/>
    <cellStyle name="Separador de milhares 3 7 3 3 2 2 2 2" xfId="54289"/>
    <cellStyle name="Separador de milhares 3 7 3 3 2 2 3" xfId="22145"/>
    <cellStyle name="Separador de milhares 3 7 3 3 2 2 3 2" xfId="48381"/>
    <cellStyle name="Separador de milhares 3 7 3 3 2 2 4" xfId="16231"/>
    <cellStyle name="Separador de milhares 3 7 3 3 2 2 4 2" xfId="42473"/>
    <cellStyle name="Separador de milhares 3 7 3 3 2 2 5" xfId="36087"/>
    <cellStyle name="Separador de milhares 3 7 3 3 2 3" xfId="25102"/>
    <cellStyle name="Separador de milhares 3 7 3 3 2 3 2" xfId="51335"/>
    <cellStyle name="Separador de milhares 3 7 3 3 2 4" xfId="19188"/>
    <cellStyle name="Separador de milhares 3 7 3 3 2 4 2" xfId="45427"/>
    <cellStyle name="Separador de milhares 3 7 3 3 2 5" xfId="13087"/>
    <cellStyle name="Separador de milhares 3 7 3 3 2 5 2" xfId="39329"/>
    <cellStyle name="Separador de milhares 3 7 3 3 2 6" xfId="32943"/>
    <cellStyle name="Separador de milhares 3 7 3 3 3" xfId="8377"/>
    <cellStyle name="Separador de milhares 3 7 3 3 3 2" xfId="26591"/>
    <cellStyle name="Separador de milhares 3 7 3 3 3 2 2" xfId="52821"/>
    <cellStyle name="Separador de milhares 3 7 3 3 3 3" xfId="20677"/>
    <cellStyle name="Separador de milhares 3 7 3 3 3 3 2" xfId="46913"/>
    <cellStyle name="Separador de milhares 3 7 3 3 3 4" xfId="14763"/>
    <cellStyle name="Separador de milhares 3 7 3 3 3 4 2" xfId="41005"/>
    <cellStyle name="Separador de milhares 3 7 3 3 3 5" xfId="34619"/>
    <cellStyle name="Separador de milhares 3 7 3 3 4" xfId="4999"/>
    <cellStyle name="Separador de milhares 3 7 3 3 4 2" xfId="23634"/>
    <cellStyle name="Separador de milhares 3 7 3 3 4 2 2" xfId="49867"/>
    <cellStyle name="Separador de milhares 3 7 3 3 4 3" xfId="31244"/>
    <cellStyle name="Separador de milhares 3 7 3 3 5" xfId="17720"/>
    <cellStyle name="Separador de milhares 3 7 3 3 5 2" xfId="43959"/>
    <cellStyle name="Separador de milhares 3 7 3 3 6" xfId="11386"/>
    <cellStyle name="Separador de milhares 3 7 3 3 6 2" xfId="37628"/>
    <cellStyle name="Separador de milhares 3 7 3 3 7" xfId="29546"/>
    <cellStyle name="Separador de milhares 3 7 3 4" xfId="1204"/>
    <cellStyle name="Separador de milhares 3 7 3 4 2" xfId="6796"/>
    <cellStyle name="Separador de milhares 3 7 3 4 2 2" xfId="9943"/>
    <cellStyle name="Separador de milhares 3 7 3 4 2 2 2" xfId="28157"/>
    <cellStyle name="Separador de milhares 3 7 3 4 2 2 2 2" xfId="54387"/>
    <cellStyle name="Separador de milhares 3 7 3 4 2 2 3" xfId="22243"/>
    <cellStyle name="Separador de milhares 3 7 3 4 2 2 3 2" xfId="48479"/>
    <cellStyle name="Separador de milhares 3 7 3 4 2 2 4" xfId="16329"/>
    <cellStyle name="Separador de milhares 3 7 3 4 2 2 4 2" xfId="42571"/>
    <cellStyle name="Separador de milhares 3 7 3 4 2 2 5" xfId="36185"/>
    <cellStyle name="Separador de milhares 3 7 3 4 2 3" xfId="25200"/>
    <cellStyle name="Separador de milhares 3 7 3 4 2 3 2" xfId="51433"/>
    <cellStyle name="Separador de milhares 3 7 3 4 2 4" xfId="19286"/>
    <cellStyle name="Separador de milhares 3 7 3 4 2 4 2" xfId="45525"/>
    <cellStyle name="Separador de milhares 3 7 3 4 2 5" xfId="13185"/>
    <cellStyle name="Separador de milhares 3 7 3 4 2 5 2" xfId="39427"/>
    <cellStyle name="Separador de milhares 3 7 3 4 2 6" xfId="33041"/>
    <cellStyle name="Separador de milhares 3 7 3 4 3" xfId="8475"/>
    <cellStyle name="Separador de milhares 3 7 3 4 3 2" xfId="26689"/>
    <cellStyle name="Separador de milhares 3 7 3 4 3 2 2" xfId="52919"/>
    <cellStyle name="Separador de milhares 3 7 3 4 3 3" xfId="20775"/>
    <cellStyle name="Separador de milhares 3 7 3 4 3 3 2" xfId="47011"/>
    <cellStyle name="Separador de milhares 3 7 3 4 3 4" xfId="14861"/>
    <cellStyle name="Separador de milhares 3 7 3 4 3 4 2" xfId="41103"/>
    <cellStyle name="Separador de milhares 3 7 3 4 3 5" xfId="34717"/>
    <cellStyle name="Separador de milhares 3 7 3 4 4" xfId="5097"/>
    <cellStyle name="Separador de milhares 3 7 3 4 4 2" xfId="23732"/>
    <cellStyle name="Separador de milhares 3 7 3 4 4 2 2" xfId="49965"/>
    <cellStyle name="Separador de milhares 3 7 3 4 4 3" xfId="31342"/>
    <cellStyle name="Separador de milhares 3 7 3 4 5" xfId="17818"/>
    <cellStyle name="Separador de milhares 3 7 3 4 5 2" xfId="44057"/>
    <cellStyle name="Separador de milhares 3 7 3 4 6" xfId="11484"/>
    <cellStyle name="Separador de milhares 3 7 3 4 6 2" xfId="37726"/>
    <cellStyle name="Separador de milhares 3 7 3 4 7" xfId="29644"/>
    <cellStyle name="Separador de milhares 3 7 3 5" xfId="1639"/>
    <cellStyle name="Separador de milhares 3 7 3 5 2" xfId="6915"/>
    <cellStyle name="Separador de milhares 3 7 3 5 2 2" xfId="10062"/>
    <cellStyle name="Separador de milhares 3 7 3 5 2 2 2" xfId="28276"/>
    <cellStyle name="Separador de milhares 3 7 3 5 2 2 2 2" xfId="54506"/>
    <cellStyle name="Separador de milhares 3 7 3 5 2 2 3" xfId="22362"/>
    <cellStyle name="Separador de milhares 3 7 3 5 2 2 3 2" xfId="48598"/>
    <cellStyle name="Separador de milhares 3 7 3 5 2 2 4" xfId="16448"/>
    <cellStyle name="Separador de milhares 3 7 3 5 2 2 4 2" xfId="42690"/>
    <cellStyle name="Separador de milhares 3 7 3 5 2 2 5" xfId="36304"/>
    <cellStyle name="Separador de milhares 3 7 3 5 2 3" xfId="25319"/>
    <cellStyle name="Separador de milhares 3 7 3 5 2 3 2" xfId="51552"/>
    <cellStyle name="Separador de milhares 3 7 3 5 2 4" xfId="19405"/>
    <cellStyle name="Separador de milhares 3 7 3 5 2 4 2" xfId="45644"/>
    <cellStyle name="Separador de milhares 3 7 3 5 2 5" xfId="13304"/>
    <cellStyle name="Separador de milhares 3 7 3 5 2 5 2" xfId="39546"/>
    <cellStyle name="Separador de milhares 3 7 3 5 2 6" xfId="33160"/>
    <cellStyle name="Separador de milhares 3 7 3 5 3" xfId="8594"/>
    <cellStyle name="Separador de milhares 3 7 3 5 3 2" xfId="26808"/>
    <cellStyle name="Separador de milhares 3 7 3 5 3 2 2" xfId="53038"/>
    <cellStyle name="Separador de milhares 3 7 3 5 3 3" xfId="20894"/>
    <cellStyle name="Separador de milhares 3 7 3 5 3 3 2" xfId="47130"/>
    <cellStyle name="Separador de milhares 3 7 3 5 3 4" xfId="14980"/>
    <cellStyle name="Separador de milhares 3 7 3 5 3 4 2" xfId="41222"/>
    <cellStyle name="Separador de milhares 3 7 3 5 3 5" xfId="34836"/>
    <cellStyle name="Separador de milhares 3 7 3 5 4" xfId="5216"/>
    <cellStyle name="Separador de milhares 3 7 3 5 4 2" xfId="23851"/>
    <cellStyle name="Separador de milhares 3 7 3 5 4 2 2" xfId="50084"/>
    <cellStyle name="Separador de milhares 3 7 3 5 4 3" xfId="31461"/>
    <cellStyle name="Separador de milhares 3 7 3 5 5" xfId="17937"/>
    <cellStyle name="Separador de milhares 3 7 3 5 5 2" xfId="44176"/>
    <cellStyle name="Separador de milhares 3 7 3 5 6" xfId="11603"/>
    <cellStyle name="Separador de milhares 3 7 3 5 6 2" xfId="37845"/>
    <cellStyle name="Separador de milhares 3 7 3 5 7" xfId="29763"/>
    <cellStyle name="Separador de milhares 3 7 3 6" xfId="2169"/>
    <cellStyle name="Separador de milhares 3 7 3 6 2" xfId="7065"/>
    <cellStyle name="Separador de milhares 3 7 3 6 2 2" xfId="10209"/>
    <cellStyle name="Separador de milhares 3 7 3 6 2 2 2" xfId="28423"/>
    <cellStyle name="Separador de milhares 3 7 3 6 2 2 2 2" xfId="54653"/>
    <cellStyle name="Separador de milhares 3 7 3 6 2 2 3" xfId="22509"/>
    <cellStyle name="Separador de milhares 3 7 3 6 2 2 3 2" xfId="48745"/>
    <cellStyle name="Separador de milhares 3 7 3 6 2 2 4" xfId="16595"/>
    <cellStyle name="Separador de milhares 3 7 3 6 2 2 4 2" xfId="42837"/>
    <cellStyle name="Separador de milhares 3 7 3 6 2 2 5" xfId="36451"/>
    <cellStyle name="Separador de milhares 3 7 3 6 2 3" xfId="25466"/>
    <cellStyle name="Separador de milhares 3 7 3 6 2 3 2" xfId="51699"/>
    <cellStyle name="Separador de milhares 3 7 3 6 2 4" xfId="19552"/>
    <cellStyle name="Separador de milhares 3 7 3 6 2 4 2" xfId="45791"/>
    <cellStyle name="Separador de milhares 3 7 3 6 2 5" xfId="13454"/>
    <cellStyle name="Separador de milhares 3 7 3 6 2 5 2" xfId="39696"/>
    <cellStyle name="Separador de milhares 3 7 3 6 2 6" xfId="33310"/>
    <cellStyle name="Separador de milhares 3 7 3 6 3" xfId="8741"/>
    <cellStyle name="Separador de milhares 3 7 3 6 3 2" xfId="26955"/>
    <cellStyle name="Separador de milhares 3 7 3 6 3 2 2" xfId="53185"/>
    <cellStyle name="Separador de milhares 3 7 3 6 3 3" xfId="21041"/>
    <cellStyle name="Separador de milhares 3 7 3 6 3 3 2" xfId="47277"/>
    <cellStyle name="Separador de milhares 3 7 3 6 3 4" xfId="15127"/>
    <cellStyle name="Separador de milhares 3 7 3 6 3 4 2" xfId="41369"/>
    <cellStyle name="Separador de milhares 3 7 3 6 3 5" xfId="34983"/>
    <cellStyle name="Separador de milhares 3 7 3 6 4" xfId="5366"/>
    <cellStyle name="Separador de milhares 3 7 3 6 4 2" xfId="23998"/>
    <cellStyle name="Separador de milhares 3 7 3 6 4 2 2" xfId="50231"/>
    <cellStyle name="Separador de milhares 3 7 3 6 4 3" xfId="31611"/>
    <cellStyle name="Separador de milhares 3 7 3 6 5" xfId="18084"/>
    <cellStyle name="Separador de milhares 3 7 3 6 5 2" xfId="44323"/>
    <cellStyle name="Separador de milhares 3 7 3 6 6" xfId="11753"/>
    <cellStyle name="Separador de milhares 3 7 3 6 6 2" xfId="37995"/>
    <cellStyle name="Separador de milhares 3 7 3 6 7" xfId="29913"/>
    <cellStyle name="Separador de milhares 3 7 3 7" xfId="2696"/>
    <cellStyle name="Separador de milhares 3 7 3 7 2" xfId="7212"/>
    <cellStyle name="Separador de milhares 3 7 3 7 2 2" xfId="10356"/>
    <cellStyle name="Separador de milhares 3 7 3 7 2 2 2" xfId="28570"/>
    <cellStyle name="Separador de milhares 3 7 3 7 2 2 2 2" xfId="54800"/>
    <cellStyle name="Separador de milhares 3 7 3 7 2 2 3" xfId="22656"/>
    <cellStyle name="Separador de milhares 3 7 3 7 2 2 3 2" xfId="48892"/>
    <cellStyle name="Separador de milhares 3 7 3 7 2 2 4" xfId="16742"/>
    <cellStyle name="Separador de milhares 3 7 3 7 2 2 4 2" xfId="42984"/>
    <cellStyle name="Separador de milhares 3 7 3 7 2 2 5" xfId="36598"/>
    <cellStyle name="Separador de milhares 3 7 3 7 2 3" xfId="25613"/>
    <cellStyle name="Separador de milhares 3 7 3 7 2 3 2" xfId="51846"/>
    <cellStyle name="Separador de milhares 3 7 3 7 2 4" xfId="19699"/>
    <cellStyle name="Separador de milhares 3 7 3 7 2 4 2" xfId="45938"/>
    <cellStyle name="Separador de milhares 3 7 3 7 2 5" xfId="13601"/>
    <cellStyle name="Separador de milhares 3 7 3 7 2 5 2" xfId="39843"/>
    <cellStyle name="Separador de milhares 3 7 3 7 2 6" xfId="33457"/>
    <cellStyle name="Separador de milhares 3 7 3 7 3" xfId="8888"/>
    <cellStyle name="Separador de milhares 3 7 3 7 3 2" xfId="27102"/>
    <cellStyle name="Separador de milhares 3 7 3 7 3 2 2" xfId="53332"/>
    <cellStyle name="Separador de milhares 3 7 3 7 3 3" xfId="21188"/>
    <cellStyle name="Separador de milhares 3 7 3 7 3 3 2" xfId="47424"/>
    <cellStyle name="Separador de milhares 3 7 3 7 3 4" xfId="15274"/>
    <cellStyle name="Separador de milhares 3 7 3 7 3 4 2" xfId="41516"/>
    <cellStyle name="Separador de milhares 3 7 3 7 3 5" xfId="35130"/>
    <cellStyle name="Separador de milhares 3 7 3 7 4" xfId="5513"/>
    <cellStyle name="Separador de milhares 3 7 3 7 4 2" xfId="24145"/>
    <cellStyle name="Separador de milhares 3 7 3 7 4 2 2" xfId="50378"/>
    <cellStyle name="Separador de milhares 3 7 3 7 4 3" xfId="31758"/>
    <cellStyle name="Separador de milhares 3 7 3 7 5" xfId="18231"/>
    <cellStyle name="Separador de milhares 3 7 3 7 5 2" xfId="44470"/>
    <cellStyle name="Separador de milhares 3 7 3 7 6" xfId="11900"/>
    <cellStyle name="Separador de milhares 3 7 3 7 6 2" xfId="38142"/>
    <cellStyle name="Separador de milhares 3 7 3 7 7" xfId="30060"/>
    <cellStyle name="Separador de milhares 3 7 3 8" xfId="3223"/>
    <cellStyle name="Separador de milhares 3 7 3 8 2" xfId="7359"/>
    <cellStyle name="Separador de milhares 3 7 3 8 2 2" xfId="10503"/>
    <cellStyle name="Separador de milhares 3 7 3 8 2 2 2" xfId="28717"/>
    <cellStyle name="Separador de milhares 3 7 3 8 2 2 2 2" xfId="54947"/>
    <cellStyle name="Separador de milhares 3 7 3 8 2 2 3" xfId="22803"/>
    <cellStyle name="Separador de milhares 3 7 3 8 2 2 3 2" xfId="49039"/>
    <cellStyle name="Separador de milhares 3 7 3 8 2 2 4" xfId="16889"/>
    <cellStyle name="Separador de milhares 3 7 3 8 2 2 4 2" xfId="43131"/>
    <cellStyle name="Separador de milhares 3 7 3 8 2 2 5" xfId="36745"/>
    <cellStyle name="Separador de milhares 3 7 3 8 2 3" xfId="25760"/>
    <cellStyle name="Separador de milhares 3 7 3 8 2 3 2" xfId="51993"/>
    <cellStyle name="Separador de milhares 3 7 3 8 2 4" xfId="19846"/>
    <cellStyle name="Separador de milhares 3 7 3 8 2 4 2" xfId="46085"/>
    <cellStyle name="Separador de milhares 3 7 3 8 2 5" xfId="13748"/>
    <cellStyle name="Separador de milhares 3 7 3 8 2 5 2" xfId="39990"/>
    <cellStyle name="Separador de milhares 3 7 3 8 2 6" xfId="33604"/>
    <cellStyle name="Separador de milhares 3 7 3 8 3" xfId="9035"/>
    <cellStyle name="Separador de milhares 3 7 3 8 3 2" xfId="27249"/>
    <cellStyle name="Separador de milhares 3 7 3 8 3 2 2" xfId="53479"/>
    <cellStyle name="Separador de milhares 3 7 3 8 3 3" xfId="21335"/>
    <cellStyle name="Separador de milhares 3 7 3 8 3 3 2" xfId="47571"/>
    <cellStyle name="Separador de milhares 3 7 3 8 3 4" xfId="15421"/>
    <cellStyle name="Separador de milhares 3 7 3 8 3 4 2" xfId="41663"/>
    <cellStyle name="Separador de milhares 3 7 3 8 3 5" xfId="35277"/>
    <cellStyle name="Separador de milhares 3 7 3 8 4" xfId="5660"/>
    <cellStyle name="Separador de milhares 3 7 3 8 4 2" xfId="24292"/>
    <cellStyle name="Separador de milhares 3 7 3 8 4 2 2" xfId="50525"/>
    <cellStyle name="Separador de milhares 3 7 3 8 4 3" xfId="31905"/>
    <cellStyle name="Separador de milhares 3 7 3 8 5" xfId="18378"/>
    <cellStyle name="Separador de milhares 3 7 3 8 5 2" xfId="44617"/>
    <cellStyle name="Separador de milhares 3 7 3 8 6" xfId="12047"/>
    <cellStyle name="Separador de milhares 3 7 3 8 6 2" xfId="38289"/>
    <cellStyle name="Separador de milhares 3 7 3 8 7" xfId="30207"/>
    <cellStyle name="Separador de milhares 3 7 3 9" xfId="3750"/>
    <cellStyle name="Separador de milhares 3 7 3 9 2" xfId="7506"/>
    <cellStyle name="Separador de milhares 3 7 3 9 2 2" xfId="10650"/>
    <cellStyle name="Separador de milhares 3 7 3 9 2 2 2" xfId="28864"/>
    <cellStyle name="Separador de milhares 3 7 3 9 2 2 2 2" xfId="55094"/>
    <cellStyle name="Separador de milhares 3 7 3 9 2 2 3" xfId="22950"/>
    <cellStyle name="Separador de milhares 3 7 3 9 2 2 3 2" xfId="49186"/>
    <cellStyle name="Separador de milhares 3 7 3 9 2 2 4" xfId="17036"/>
    <cellStyle name="Separador de milhares 3 7 3 9 2 2 4 2" xfId="43278"/>
    <cellStyle name="Separador de milhares 3 7 3 9 2 2 5" xfId="36892"/>
    <cellStyle name="Separador de milhares 3 7 3 9 2 3" xfId="25907"/>
    <cellStyle name="Separador de milhares 3 7 3 9 2 3 2" xfId="52140"/>
    <cellStyle name="Separador de milhares 3 7 3 9 2 4" xfId="19993"/>
    <cellStyle name="Separador de milhares 3 7 3 9 2 4 2" xfId="46232"/>
    <cellStyle name="Separador de milhares 3 7 3 9 2 5" xfId="13895"/>
    <cellStyle name="Separador de milhares 3 7 3 9 2 5 2" xfId="40137"/>
    <cellStyle name="Separador de milhares 3 7 3 9 2 6" xfId="33751"/>
    <cellStyle name="Separador de milhares 3 7 3 9 3" xfId="9182"/>
    <cellStyle name="Separador de milhares 3 7 3 9 3 2" xfId="27396"/>
    <cellStyle name="Separador de milhares 3 7 3 9 3 2 2" xfId="53626"/>
    <cellStyle name="Separador de milhares 3 7 3 9 3 3" xfId="21482"/>
    <cellStyle name="Separador de milhares 3 7 3 9 3 3 2" xfId="47718"/>
    <cellStyle name="Separador de milhares 3 7 3 9 3 4" xfId="15568"/>
    <cellStyle name="Separador de milhares 3 7 3 9 3 4 2" xfId="41810"/>
    <cellStyle name="Separador de milhares 3 7 3 9 3 5" xfId="35424"/>
    <cellStyle name="Separador de milhares 3 7 3 9 4" xfId="5807"/>
    <cellStyle name="Separador de milhares 3 7 3 9 4 2" xfId="24439"/>
    <cellStyle name="Separador de milhares 3 7 3 9 4 2 2" xfId="50672"/>
    <cellStyle name="Separador de milhares 3 7 3 9 4 3" xfId="32052"/>
    <cellStyle name="Separador de milhares 3 7 3 9 5" xfId="18525"/>
    <cellStyle name="Separador de milhares 3 7 3 9 5 2" xfId="44764"/>
    <cellStyle name="Separador de milhares 3 7 3 9 6" xfId="12194"/>
    <cellStyle name="Separador de milhares 3 7 3 9 6 2" xfId="38436"/>
    <cellStyle name="Separador de milhares 3 7 3 9 7" xfId="30354"/>
    <cellStyle name="Separador de milhares 3 7 4" xfId="386"/>
    <cellStyle name="Separador de milhares 3 7 4 10" xfId="6553"/>
    <cellStyle name="Separador de milhares 3 7 4 10 2" xfId="9701"/>
    <cellStyle name="Separador de milhares 3 7 4 10 2 2" xfId="27915"/>
    <cellStyle name="Separador de milhares 3 7 4 10 2 2 2" xfId="54145"/>
    <cellStyle name="Separador de milhares 3 7 4 10 2 3" xfId="22001"/>
    <cellStyle name="Separador de milhares 3 7 4 10 2 3 2" xfId="48237"/>
    <cellStyle name="Separador de milhares 3 7 4 10 2 4" xfId="16087"/>
    <cellStyle name="Separador de milhares 3 7 4 10 2 4 2" xfId="42329"/>
    <cellStyle name="Separador de milhares 3 7 4 10 2 5" xfId="35943"/>
    <cellStyle name="Separador de milhares 3 7 4 10 3" xfId="24958"/>
    <cellStyle name="Separador de milhares 3 7 4 10 3 2" xfId="51191"/>
    <cellStyle name="Separador de milhares 3 7 4 10 4" xfId="19044"/>
    <cellStyle name="Separador de milhares 3 7 4 10 4 2" xfId="45283"/>
    <cellStyle name="Separador de milhares 3 7 4 10 5" xfId="12942"/>
    <cellStyle name="Separador de milhares 3 7 4 10 5 2" xfId="39184"/>
    <cellStyle name="Separador de milhares 3 7 4 10 6" xfId="32798"/>
    <cellStyle name="Separador de milhares 3 7 4 11" xfId="8230"/>
    <cellStyle name="Separador de milhares 3 7 4 11 2" xfId="26444"/>
    <cellStyle name="Separador de milhares 3 7 4 11 2 2" xfId="52677"/>
    <cellStyle name="Separador de milhares 3 7 4 11 3" xfId="20530"/>
    <cellStyle name="Separador de milhares 3 7 4 11 3 2" xfId="46769"/>
    <cellStyle name="Separador de milhares 3 7 4 11 4" xfId="14619"/>
    <cellStyle name="Separador de milhares 3 7 4 11 4 2" xfId="40861"/>
    <cellStyle name="Separador de milhares 3 7 4 11 5" xfId="34475"/>
    <cellStyle name="Separador de milhares 3 7 4 12" xfId="4852"/>
    <cellStyle name="Separador de milhares 3 7 4 12 2" xfId="23487"/>
    <cellStyle name="Separador de milhares 3 7 4 12 2 2" xfId="49723"/>
    <cellStyle name="Separador de milhares 3 7 4 12 3" xfId="31099"/>
    <cellStyle name="Separador de milhares 3 7 4 13" xfId="17573"/>
    <cellStyle name="Separador de milhares 3 7 4 13 2" xfId="43815"/>
    <cellStyle name="Separador de milhares 3 7 4 14" xfId="11241"/>
    <cellStyle name="Separador de milhares 3 7 4 14 2" xfId="37483"/>
    <cellStyle name="Separador de milhares 3 7 4 15" xfId="29401"/>
    <cellStyle name="Separador de milhares 3 7 4 2" xfId="1031"/>
    <cellStyle name="Separador de milhares 3 7 4 2 2" xfId="6750"/>
    <cellStyle name="Separador de milhares 3 7 4 2 2 2" xfId="9897"/>
    <cellStyle name="Separador de milhares 3 7 4 2 2 2 2" xfId="28111"/>
    <cellStyle name="Separador de milhares 3 7 4 2 2 2 2 2" xfId="54341"/>
    <cellStyle name="Separador de milhares 3 7 4 2 2 2 3" xfId="22197"/>
    <cellStyle name="Separador de milhares 3 7 4 2 2 2 3 2" xfId="48433"/>
    <cellStyle name="Separador de milhares 3 7 4 2 2 2 4" xfId="16283"/>
    <cellStyle name="Separador de milhares 3 7 4 2 2 2 4 2" xfId="42525"/>
    <cellStyle name="Separador de milhares 3 7 4 2 2 2 5" xfId="36139"/>
    <cellStyle name="Separador de milhares 3 7 4 2 2 3" xfId="25154"/>
    <cellStyle name="Separador de milhares 3 7 4 2 2 3 2" xfId="51387"/>
    <cellStyle name="Separador de milhares 3 7 4 2 2 4" xfId="19240"/>
    <cellStyle name="Separador de milhares 3 7 4 2 2 4 2" xfId="45479"/>
    <cellStyle name="Separador de milhares 3 7 4 2 2 5" xfId="13139"/>
    <cellStyle name="Separador de milhares 3 7 4 2 2 5 2" xfId="39381"/>
    <cellStyle name="Separador de milhares 3 7 4 2 2 6" xfId="32995"/>
    <cellStyle name="Separador de milhares 3 7 4 2 3" xfId="8429"/>
    <cellStyle name="Separador de milhares 3 7 4 2 3 2" xfId="26643"/>
    <cellStyle name="Separador de milhares 3 7 4 2 3 2 2" xfId="52873"/>
    <cellStyle name="Separador de milhares 3 7 4 2 3 3" xfId="20729"/>
    <cellStyle name="Separador de milhares 3 7 4 2 3 3 2" xfId="46965"/>
    <cellStyle name="Separador de milhares 3 7 4 2 3 4" xfId="14815"/>
    <cellStyle name="Separador de milhares 3 7 4 2 3 4 2" xfId="41057"/>
    <cellStyle name="Separador de milhares 3 7 4 2 3 5" xfId="34671"/>
    <cellStyle name="Separador de milhares 3 7 4 2 4" xfId="5051"/>
    <cellStyle name="Separador de milhares 3 7 4 2 4 2" xfId="23686"/>
    <cellStyle name="Separador de milhares 3 7 4 2 4 2 2" xfId="49919"/>
    <cellStyle name="Separador de milhares 3 7 4 2 4 3" xfId="31296"/>
    <cellStyle name="Separador de milhares 3 7 4 2 5" xfId="17772"/>
    <cellStyle name="Separador de milhares 3 7 4 2 5 2" xfId="44011"/>
    <cellStyle name="Separador de milhares 3 7 4 2 6" xfId="11438"/>
    <cellStyle name="Separador de milhares 3 7 4 2 6 2" xfId="37680"/>
    <cellStyle name="Separador de milhares 3 7 4 2 7" xfId="29598"/>
    <cellStyle name="Separador de milhares 3 7 4 3" xfId="1382"/>
    <cellStyle name="Separador de milhares 3 7 4 3 2" xfId="6848"/>
    <cellStyle name="Separador de milhares 3 7 4 3 2 2" xfId="9995"/>
    <cellStyle name="Separador de milhares 3 7 4 3 2 2 2" xfId="28209"/>
    <cellStyle name="Separador de milhares 3 7 4 3 2 2 2 2" xfId="54439"/>
    <cellStyle name="Separador de milhares 3 7 4 3 2 2 3" xfId="22295"/>
    <cellStyle name="Separador de milhares 3 7 4 3 2 2 3 2" xfId="48531"/>
    <cellStyle name="Separador de milhares 3 7 4 3 2 2 4" xfId="16381"/>
    <cellStyle name="Separador de milhares 3 7 4 3 2 2 4 2" xfId="42623"/>
    <cellStyle name="Separador de milhares 3 7 4 3 2 2 5" xfId="36237"/>
    <cellStyle name="Separador de milhares 3 7 4 3 2 3" xfId="25252"/>
    <cellStyle name="Separador de milhares 3 7 4 3 2 3 2" xfId="51485"/>
    <cellStyle name="Separador de milhares 3 7 4 3 2 4" xfId="19338"/>
    <cellStyle name="Separador de milhares 3 7 4 3 2 4 2" xfId="45577"/>
    <cellStyle name="Separador de milhares 3 7 4 3 2 5" xfId="13237"/>
    <cellStyle name="Separador de milhares 3 7 4 3 2 5 2" xfId="39479"/>
    <cellStyle name="Separador de milhares 3 7 4 3 2 6" xfId="33093"/>
    <cellStyle name="Separador de milhares 3 7 4 3 3" xfId="8527"/>
    <cellStyle name="Separador de milhares 3 7 4 3 3 2" xfId="26741"/>
    <cellStyle name="Separador de milhares 3 7 4 3 3 2 2" xfId="52971"/>
    <cellStyle name="Separador de milhares 3 7 4 3 3 3" xfId="20827"/>
    <cellStyle name="Separador de milhares 3 7 4 3 3 3 2" xfId="47063"/>
    <cellStyle name="Separador de milhares 3 7 4 3 3 4" xfId="14913"/>
    <cellStyle name="Separador de milhares 3 7 4 3 3 4 2" xfId="41155"/>
    <cellStyle name="Separador de milhares 3 7 4 3 3 5" xfId="34769"/>
    <cellStyle name="Separador de milhares 3 7 4 3 4" xfId="5149"/>
    <cellStyle name="Separador de milhares 3 7 4 3 4 2" xfId="23784"/>
    <cellStyle name="Separador de milhares 3 7 4 3 4 2 2" xfId="50017"/>
    <cellStyle name="Separador de milhares 3 7 4 3 4 3" xfId="31394"/>
    <cellStyle name="Separador de milhares 3 7 4 3 5" xfId="17870"/>
    <cellStyle name="Separador de milhares 3 7 4 3 5 2" xfId="44109"/>
    <cellStyle name="Separador de milhares 3 7 4 3 6" xfId="11536"/>
    <cellStyle name="Separador de milhares 3 7 4 3 6 2" xfId="37778"/>
    <cellStyle name="Separador de milhares 3 7 4 3 7" xfId="29696"/>
    <cellStyle name="Separador de milhares 3 7 4 4" xfId="1817"/>
    <cellStyle name="Separador de milhares 3 7 4 4 2" xfId="6967"/>
    <cellStyle name="Separador de milhares 3 7 4 4 2 2" xfId="10114"/>
    <cellStyle name="Separador de milhares 3 7 4 4 2 2 2" xfId="28328"/>
    <cellStyle name="Separador de milhares 3 7 4 4 2 2 2 2" xfId="54558"/>
    <cellStyle name="Separador de milhares 3 7 4 4 2 2 3" xfId="22414"/>
    <cellStyle name="Separador de milhares 3 7 4 4 2 2 3 2" xfId="48650"/>
    <cellStyle name="Separador de milhares 3 7 4 4 2 2 4" xfId="16500"/>
    <cellStyle name="Separador de milhares 3 7 4 4 2 2 4 2" xfId="42742"/>
    <cellStyle name="Separador de milhares 3 7 4 4 2 2 5" xfId="36356"/>
    <cellStyle name="Separador de milhares 3 7 4 4 2 3" xfId="25371"/>
    <cellStyle name="Separador de milhares 3 7 4 4 2 3 2" xfId="51604"/>
    <cellStyle name="Separador de milhares 3 7 4 4 2 4" xfId="19457"/>
    <cellStyle name="Separador de milhares 3 7 4 4 2 4 2" xfId="45696"/>
    <cellStyle name="Separador de milhares 3 7 4 4 2 5" xfId="13356"/>
    <cellStyle name="Separador de milhares 3 7 4 4 2 5 2" xfId="39598"/>
    <cellStyle name="Separador de milhares 3 7 4 4 2 6" xfId="33212"/>
    <cellStyle name="Separador de milhares 3 7 4 4 3" xfId="8646"/>
    <cellStyle name="Separador de milhares 3 7 4 4 3 2" xfId="26860"/>
    <cellStyle name="Separador de milhares 3 7 4 4 3 2 2" xfId="53090"/>
    <cellStyle name="Separador de milhares 3 7 4 4 3 3" xfId="20946"/>
    <cellStyle name="Separador de milhares 3 7 4 4 3 3 2" xfId="47182"/>
    <cellStyle name="Separador de milhares 3 7 4 4 3 4" xfId="15032"/>
    <cellStyle name="Separador de milhares 3 7 4 4 3 4 2" xfId="41274"/>
    <cellStyle name="Separador de milhares 3 7 4 4 3 5" xfId="34888"/>
    <cellStyle name="Separador de milhares 3 7 4 4 4" xfId="5268"/>
    <cellStyle name="Separador de milhares 3 7 4 4 4 2" xfId="23903"/>
    <cellStyle name="Separador de milhares 3 7 4 4 4 2 2" xfId="50136"/>
    <cellStyle name="Separador de milhares 3 7 4 4 4 3" xfId="31513"/>
    <cellStyle name="Separador de milhares 3 7 4 4 5" xfId="17989"/>
    <cellStyle name="Separador de milhares 3 7 4 4 5 2" xfId="44228"/>
    <cellStyle name="Separador de milhares 3 7 4 4 6" xfId="11655"/>
    <cellStyle name="Separador de milhares 3 7 4 4 6 2" xfId="37897"/>
    <cellStyle name="Separador de milhares 3 7 4 4 7" xfId="29815"/>
    <cellStyle name="Separador de milhares 3 7 4 5" xfId="2347"/>
    <cellStyle name="Separador de milhares 3 7 4 5 2" xfId="7117"/>
    <cellStyle name="Separador de milhares 3 7 4 5 2 2" xfId="10261"/>
    <cellStyle name="Separador de milhares 3 7 4 5 2 2 2" xfId="28475"/>
    <cellStyle name="Separador de milhares 3 7 4 5 2 2 2 2" xfId="54705"/>
    <cellStyle name="Separador de milhares 3 7 4 5 2 2 3" xfId="22561"/>
    <cellStyle name="Separador de milhares 3 7 4 5 2 2 3 2" xfId="48797"/>
    <cellStyle name="Separador de milhares 3 7 4 5 2 2 4" xfId="16647"/>
    <cellStyle name="Separador de milhares 3 7 4 5 2 2 4 2" xfId="42889"/>
    <cellStyle name="Separador de milhares 3 7 4 5 2 2 5" xfId="36503"/>
    <cellStyle name="Separador de milhares 3 7 4 5 2 3" xfId="25518"/>
    <cellStyle name="Separador de milhares 3 7 4 5 2 3 2" xfId="51751"/>
    <cellStyle name="Separador de milhares 3 7 4 5 2 4" xfId="19604"/>
    <cellStyle name="Separador de milhares 3 7 4 5 2 4 2" xfId="45843"/>
    <cellStyle name="Separador de milhares 3 7 4 5 2 5" xfId="13506"/>
    <cellStyle name="Separador de milhares 3 7 4 5 2 5 2" xfId="39748"/>
    <cellStyle name="Separador de milhares 3 7 4 5 2 6" xfId="33362"/>
    <cellStyle name="Separador de milhares 3 7 4 5 3" xfId="8793"/>
    <cellStyle name="Separador de milhares 3 7 4 5 3 2" xfId="27007"/>
    <cellStyle name="Separador de milhares 3 7 4 5 3 2 2" xfId="53237"/>
    <cellStyle name="Separador de milhares 3 7 4 5 3 3" xfId="21093"/>
    <cellStyle name="Separador de milhares 3 7 4 5 3 3 2" xfId="47329"/>
    <cellStyle name="Separador de milhares 3 7 4 5 3 4" xfId="15179"/>
    <cellStyle name="Separador de milhares 3 7 4 5 3 4 2" xfId="41421"/>
    <cellStyle name="Separador de milhares 3 7 4 5 3 5" xfId="35035"/>
    <cellStyle name="Separador de milhares 3 7 4 5 4" xfId="5418"/>
    <cellStyle name="Separador de milhares 3 7 4 5 4 2" xfId="24050"/>
    <cellStyle name="Separador de milhares 3 7 4 5 4 2 2" xfId="50283"/>
    <cellStyle name="Separador de milhares 3 7 4 5 4 3" xfId="31663"/>
    <cellStyle name="Separador de milhares 3 7 4 5 5" xfId="18136"/>
    <cellStyle name="Separador de milhares 3 7 4 5 5 2" xfId="44375"/>
    <cellStyle name="Separador de milhares 3 7 4 5 6" xfId="11805"/>
    <cellStyle name="Separador de milhares 3 7 4 5 6 2" xfId="38047"/>
    <cellStyle name="Separador de milhares 3 7 4 5 7" xfId="29965"/>
    <cellStyle name="Separador de milhares 3 7 4 6" xfId="2874"/>
    <cellStyle name="Separador de milhares 3 7 4 6 2" xfId="7264"/>
    <cellStyle name="Separador de milhares 3 7 4 6 2 2" xfId="10408"/>
    <cellStyle name="Separador de milhares 3 7 4 6 2 2 2" xfId="28622"/>
    <cellStyle name="Separador de milhares 3 7 4 6 2 2 2 2" xfId="54852"/>
    <cellStyle name="Separador de milhares 3 7 4 6 2 2 3" xfId="22708"/>
    <cellStyle name="Separador de milhares 3 7 4 6 2 2 3 2" xfId="48944"/>
    <cellStyle name="Separador de milhares 3 7 4 6 2 2 4" xfId="16794"/>
    <cellStyle name="Separador de milhares 3 7 4 6 2 2 4 2" xfId="43036"/>
    <cellStyle name="Separador de milhares 3 7 4 6 2 2 5" xfId="36650"/>
    <cellStyle name="Separador de milhares 3 7 4 6 2 3" xfId="25665"/>
    <cellStyle name="Separador de milhares 3 7 4 6 2 3 2" xfId="51898"/>
    <cellStyle name="Separador de milhares 3 7 4 6 2 4" xfId="19751"/>
    <cellStyle name="Separador de milhares 3 7 4 6 2 4 2" xfId="45990"/>
    <cellStyle name="Separador de milhares 3 7 4 6 2 5" xfId="13653"/>
    <cellStyle name="Separador de milhares 3 7 4 6 2 5 2" xfId="39895"/>
    <cellStyle name="Separador de milhares 3 7 4 6 2 6" xfId="33509"/>
    <cellStyle name="Separador de milhares 3 7 4 6 3" xfId="8940"/>
    <cellStyle name="Separador de milhares 3 7 4 6 3 2" xfId="27154"/>
    <cellStyle name="Separador de milhares 3 7 4 6 3 2 2" xfId="53384"/>
    <cellStyle name="Separador de milhares 3 7 4 6 3 3" xfId="21240"/>
    <cellStyle name="Separador de milhares 3 7 4 6 3 3 2" xfId="47476"/>
    <cellStyle name="Separador de milhares 3 7 4 6 3 4" xfId="15326"/>
    <cellStyle name="Separador de milhares 3 7 4 6 3 4 2" xfId="41568"/>
    <cellStyle name="Separador de milhares 3 7 4 6 3 5" xfId="35182"/>
    <cellStyle name="Separador de milhares 3 7 4 6 4" xfId="5565"/>
    <cellStyle name="Separador de milhares 3 7 4 6 4 2" xfId="24197"/>
    <cellStyle name="Separador de milhares 3 7 4 6 4 2 2" xfId="50430"/>
    <cellStyle name="Separador de milhares 3 7 4 6 4 3" xfId="31810"/>
    <cellStyle name="Separador de milhares 3 7 4 6 5" xfId="18283"/>
    <cellStyle name="Separador de milhares 3 7 4 6 5 2" xfId="44522"/>
    <cellStyle name="Separador de milhares 3 7 4 6 6" xfId="11952"/>
    <cellStyle name="Separador de milhares 3 7 4 6 6 2" xfId="38194"/>
    <cellStyle name="Separador de milhares 3 7 4 6 7" xfId="30112"/>
    <cellStyle name="Separador de milhares 3 7 4 7" xfId="3401"/>
    <cellStyle name="Separador de milhares 3 7 4 7 2" xfId="7411"/>
    <cellStyle name="Separador de milhares 3 7 4 7 2 2" xfId="10555"/>
    <cellStyle name="Separador de milhares 3 7 4 7 2 2 2" xfId="28769"/>
    <cellStyle name="Separador de milhares 3 7 4 7 2 2 2 2" xfId="54999"/>
    <cellStyle name="Separador de milhares 3 7 4 7 2 2 3" xfId="22855"/>
    <cellStyle name="Separador de milhares 3 7 4 7 2 2 3 2" xfId="49091"/>
    <cellStyle name="Separador de milhares 3 7 4 7 2 2 4" xfId="16941"/>
    <cellStyle name="Separador de milhares 3 7 4 7 2 2 4 2" xfId="43183"/>
    <cellStyle name="Separador de milhares 3 7 4 7 2 2 5" xfId="36797"/>
    <cellStyle name="Separador de milhares 3 7 4 7 2 3" xfId="25812"/>
    <cellStyle name="Separador de milhares 3 7 4 7 2 3 2" xfId="52045"/>
    <cellStyle name="Separador de milhares 3 7 4 7 2 4" xfId="19898"/>
    <cellStyle name="Separador de milhares 3 7 4 7 2 4 2" xfId="46137"/>
    <cellStyle name="Separador de milhares 3 7 4 7 2 5" xfId="13800"/>
    <cellStyle name="Separador de milhares 3 7 4 7 2 5 2" xfId="40042"/>
    <cellStyle name="Separador de milhares 3 7 4 7 2 6" xfId="33656"/>
    <cellStyle name="Separador de milhares 3 7 4 7 3" xfId="9087"/>
    <cellStyle name="Separador de milhares 3 7 4 7 3 2" xfId="27301"/>
    <cellStyle name="Separador de milhares 3 7 4 7 3 2 2" xfId="53531"/>
    <cellStyle name="Separador de milhares 3 7 4 7 3 3" xfId="21387"/>
    <cellStyle name="Separador de milhares 3 7 4 7 3 3 2" xfId="47623"/>
    <cellStyle name="Separador de milhares 3 7 4 7 3 4" xfId="15473"/>
    <cellStyle name="Separador de milhares 3 7 4 7 3 4 2" xfId="41715"/>
    <cellStyle name="Separador de milhares 3 7 4 7 3 5" xfId="35329"/>
    <cellStyle name="Separador de milhares 3 7 4 7 4" xfId="5712"/>
    <cellStyle name="Separador de milhares 3 7 4 7 4 2" xfId="24344"/>
    <cellStyle name="Separador de milhares 3 7 4 7 4 2 2" xfId="50577"/>
    <cellStyle name="Separador de milhares 3 7 4 7 4 3" xfId="31957"/>
    <cellStyle name="Separador de milhares 3 7 4 7 5" xfId="18430"/>
    <cellStyle name="Separador de milhares 3 7 4 7 5 2" xfId="44669"/>
    <cellStyle name="Separador de milhares 3 7 4 7 6" xfId="12099"/>
    <cellStyle name="Separador de milhares 3 7 4 7 6 2" xfId="38341"/>
    <cellStyle name="Separador de milhares 3 7 4 7 7" xfId="30259"/>
    <cellStyle name="Separador de milhares 3 7 4 8" xfId="3928"/>
    <cellStyle name="Separador de milhares 3 7 4 8 2" xfId="7558"/>
    <cellStyle name="Separador de milhares 3 7 4 8 2 2" xfId="10702"/>
    <cellStyle name="Separador de milhares 3 7 4 8 2 2 2" xfId="28916"/>
    <cellStyle name="Separador de milhares 3 7 4 8 2 2 2 2" xfId="55146"/>
    <cellStyle name="Separador de milhares 3 7 4 8 2 2 3" xfId="23002"/>
    <cellStyle name="Separador de milhares 3 7 4 8 2 2 3 2" xfId="49238"/>
    <cellStyle name="Separador de milhares 3 7 4 8 2 2 4" xfId="17088"/>
    <cellStyle name="Separador de milhares 3 7 4 8 2 2 4 2" xfId="43330"/>
    <cellStyle name="Separador de milhares 3 7 4 8 2 2 5" xfId="36944"/>
    <cellStyle name="Separador de milhares 3 7 4 8 2 3" xfId="25959"/>
    <cellStyle name="Separador de milhares 3 7 4 8 2 3 2" xfId="52192"/>
    <cellStyle name="Separador de milhares 3 7 4 8 2 4" xfId="20045"/>
    <cellStyle name="Separador de milhares 3 7 4 8 2 4 2" xfId="46284"/>
    <cellStyle name="Separador de milhares 3 7 4 8 2 5" xfId="13947"/>
    <cellStyle name="Separador de milhares 3 7 4 8 2 5 2" xfId="40189"/>
    <cellStyle name="Separador de milhares 3 7 4 8 2 6" xfId="33803"/>
    <cellStyle name="Separador de milhares 3 7 4 8 3" xfId="9234"/>
    <cellStyle name="Separador de milhares 3 7 4 8 3 2" xfId="27448"/>
    <cellStyle name="Separador de milhares 3 7 4 8 3 2 2" xfId="53678"/>
    <cellStyle name="Separador de milhares 3 7 4 8 3 3" xfId="21534"/>
    <cellStyle name="Separador de milhares 3 7 4 8 3 3 2" xfId="47770"/>
    <cellStyle name="Separador de milhares 3 7 4 8 3 4" xfId="15620"/>
    <cellStyle name="Separador de milhares 3 7 4 8 3 4 2" xfId="41862"/>
    <cellStyle name="Separador de milhares 3 7 4 8 3 5" xfId="35476"/>
    <cellStyle name="Separador de milhares 3 7 4 8 4" xfId="5859"/>
    <cellStyle name="Separador de milhares 3 7 4 8 4 2" xfId="24491"/>
    <cellStyle name="Separador de milhares 3 7 4 8 4 2 2" xfId="50724"/>
    <cellStyle name="Separador de milhares 3 7 4 8 4 3" xfId="32104"/>
    <cellStyle name="Separador de milhares 3 7 4 8 5" xfId="18577"/>
    <cellStyle name="Separador de milhares 3 7 4 8 5 2" xfId="44816"/>
    <cellStyle name="Separador de milhares 3 7 4 8 6" xfId="12246"/>
    <cellStyle name="Separador de milhares 3 7 4 8 6 2" xfId="38488"/>
    <cellStyle name="Separador de milhares 3 7 4 8 7" xfId="30406"/>
    <cellStyle name="Separador de milhares 3 7 4 9" xfId="717"/>
    <cellStyle name="Separador de milhares 3 7 4 9 2" xfId="6652"/>
    <cellStyle name="Separador de milhares 3 7 4 9 2 2" xfId="9799"/>
    <cellStyle name="Separador de milhares 3 7 4 9 2 2 2" xfId="28013"/>
    <cellStyle name="Separador de milhares 3 7 4 9 2 2 2 2" xfId="54243"/>
    <cellStyle name="Separador de milhares 3 7 4 9 2 2 3" xfId="22099"/>
    <cellStyle name="Separador de milhares 3 7 4 9 2 2 3 2" xfId="48335"/>
    <cellStyle name="Separador de milhares 3 7 4 9 2 2 4" xfId="16185"/>
    <cellStyle name="Separador de milhares 3 7 4 9 2 2 4 2" xfId="42427"/>
    <cellStyle name="Separador de milhares 3 7 4 9 2 2 5" xfId="36041"/>
    <cellStyle name="Separador de milhares 3 7 4 9 2 3" xfId="25056"/>
    <cellStyle name="Separador de milhares 3 7 4 9 2 3 2" xfId="51289"/>
    <cellStyle name="Separador de milhares 3 7 4 9 2 4" xfId="19142"/>
    <cellStyle name="Separador de milhares 3 7 4 9 2 4 2" xfId="45381"/>
    <cellStyle name="Separador de milhares 3 7 4 9 2 5" xfId="13041"/>
    <cellStyle name="Separador de milhares 3 7 4 9 2 5 2" xfId="39283"/>
    <cellStyle name="Separador de milhares 3 7 4 9 2 6" xfId="32897"/>
    <cellStyle name="Separador de milhares 3 7 4 9 3" xfId="8331"/>
    <cellStyle name="Separador de milhares 3 7 4 9 3 2" xfId="26545"/>
    <cellStyle name="Separador de milhares 3 7 4 9 3 2 2" xfId="52775"/>
    <cellStyle name="Separador de milhares 3 7 4 9 3 3" xfId="20631"/>
    <cellStyle name="Separador de milhares 3 7 4 9 3 3 2" xfId="46867"/>
    <cellStyle name="Separador de milhares 3 7 4 9 3 4" xfId="14717"/>
    <cellStyle name="Separador de milhares 3 7 4 9 3 4 2" xfId="40959"/>
    <cellStyle name="Separador de milhares 3 7 4 9 3 5" xfId="34573"/>
    <cellStyle name="Separador de milhares 3 7 4 9 4" xfId="4953"/>
    <cellStyle name="Separador de milhares 3 7 4 9 4 2" xfId="23588"/>
    <cellStyle name="Separador de milhares 3 7 4 9 4 2 2" xfId="49821"/>
    <cellStyle name="Separador de milhares 3 7 4 9 4 3" xfId="31198"/>
    <cellStyle name="Separador de milhares 3 7 4 9 5" xfId="17674"/>
    <cellStyle name="Separador de milhares 3 7 4 9 5 2" xfId="43913"/>
    <cellStyle name="Separador de milhares 3 7 4 9 6" xfId="11340"/>
    <cellStyle name="Separador de milhares 3 7 4 9 6 2" xfId="37582"/>
    <cellStyle name="Separador de milhares 3 7 4 9 7" xfId="29500"/>
    <cellStyle name="Separador de milhares 3 7 5" xfId="643"/>
    <cellStyle name="Separador de milhares 3 7 5 10" xfId="4917"/>
    <cellStyle name="Separador de milhares 3 7 5 10 2" xfId="23551"/>
    <cellStyle name="Separador de milhares 3 7 5 10 2 2" xfId="49787"/>
    <cellStyle name="Separador de milhares 3 7 5 10 3" xfId="31164"/>
    <cellStyle name="Separador de milhares 3 7 5 11" xfId="17637"/>
    <cellStyle name="Separador de milhares 3 7 5 11 2" xfId="43879"/>
    <cellStyle name="Separador de milhares 3 7 5 12" xfId="11306"/>
    <cellStyle name="Separador de milhares 3 7 5 12 2" xfId="37548"/>
    <cellStyle name="Separador de milhares 3 7 5 13" xfId="29466"/>
    <cellStyle name="Separador de milhares 3 7 5 2" xfId="1466"/>
    <cellStyle name="Separador de milhares 3 7 5 2 2" xfId="6869"/>
    <cellStyle name="Separador de milhares 3 7 5 2 2 2" xfId="10016"/>
    <cellStyle name="Separador de milhares 3 7 5 2 2 2 2" xfId="28230"/>
    <cellStyle name="Separador de milhares 3 7 5 2 2 2 2 2" xfId="54460"/>
    <cellStyle name="Separador de milhares 3 7 5 2 2 2 3" xfId="22316"/>
    <cellStyle name="Separador de milhares 3 7 5 2 2 2 3 2" xfId="48552"/>
    <cellStyle name="Separador de milhares 3 7 5 2 2 2 4" xfId="16402"/>
    <cellStyle name="Separador de milhares 3 7 5 2 2 2 4 2" xfId="42644"/>
    <cellStyle name="Separador de milhares 3 7 5 2 2 2 5" xfId="36258"/>
    <cellStyle name="Separador de milhares 3 7 5 2 2 3" xfId="25273"/>
    <cellStyle name="Separador de milhares 3 7 5 2 2 3 2" xfId="51506"/>
    <cellStyle name="Separador de milhares 3 7 5 2 2 4" xfId="19359"/>
    <cellStyle name="Separador de milhares 3 7 5 2 2 4 2" xfId="45598"/>
    <cellStyle name="Separador de milhares 3 7 5 2 2 5" xfId="13258"/>
    <cellStyle name="Separador de milhares 3 7 5 2 2 5 2" xfId="39500"/>
    <cellStyle name="Separador de milhares 3 7 5 2 2 6" xfId="33114"/>
    <cellStyle name="Separador de milhares 3 7 5 2 3" xfId="8548"/>
    <cellStyle name="Separador de milhares 3 7 5 2 3 2" xfId="26762"/>
    <cellStyle name="Separador de milhares 3 7 5 2 3 2 2" xfId="52992"/>
    <cellStyle name="Separador de milhares 3 7 5 2 3 3" xfId="20848"/>
    <cellStyle name="Separador de milhares 3 7 5 2 3 3 2" xfId="47084"/>
    <cellStyle name="Separador de milhares 3 7 5 2 3 4" xfId="14934"/>
    <cellStyle name="Separador de milhares 3 7 5 2 3 4 2" xfId="41176"/>
    <cellStyle name="Separador de milhares 3 7 5 2 3 5" xfId="34790"/>
    <cellStyle name="Separador de milhares 3 7 5 2 4" xfId="5170"/>
    <cellStyle name="Separador de milhares 3 7 5 2 4 2" xfId="23805"/>
    <cellStyle name="Separador de milhares 3 7 5 2 4 2 2" xfId="50038"/>
    <cellStyle name="Separador de milhares 3 7 5 2 4 3" xfId="31415"/>
    <cellStyle name="Separador de milhares 3 7 5 2 5" xfId="17891"/>
    <cellStyle name="Separador de milhares 3 7 5 2 5 2" xfId="44130"/>
    <cellStyle name="Separador de milhares 3 7 5 2 6" xfId="11557"/>
    <cellStyle name="Separador de milhares 3 7 5 2 6 2" xfId="37799"/>
    <cellStyle name="Separador de milhares 3 7 5 2 7" xfId="29717"/>
    <cellStyle name="Separador de milhares 3 7 5 3" xfId="1901"/>
    <cellStyle name="Separador de milhares 3 7 5 3 2" xfId="6988"/>
    <cellStyle name="Separador de milhares 3 7 5 3 2 2" xfId="10135"/>
    <cellStyle name="Separador de milhares 3 7 5 3 2 2 2" xfId="28349"/>
    <cellStyle name="Separador de milhares 3 7 5 3 2 2 2 2" xfId="54579"/>
    <cellStyle name="Separador de milhares 3 7 5 3 2 2 3" xfId="22435"/>
    <cellStyle name="Separador de milhares 3 7 5 3 2 2 3 2" xfId="48671"/>
    <cellStyle name="Separador de milhares 3 7 5 3 2 2 4" xfId="16521"/>
    <cellStyle name="Separador de milhares 3 7 5 3 2 2 4 2" xfId="42763"/>
    <cellStyle name="Separador de milhares 3 7 5 3 2 2 5" xfId="36377"/>
    <cellStyle name="Separador de milhares 3 7 5 3 2 3" xfId="25392"/>
    <cellStyle name="Separador de milhares 3 7 5 3 2 3 2" xfId="51625"/>
    <cellStyle name="Separador de milhares 3 7 5 3 2 4" xfId="19478"/>
    <cellStyle name="Separador de milhares 3 7 5 3 2 4 2" xfId="45717"/>
    <cellStyle name="Separador de milhares 3 7 5 3 2 5" xfId="13377"/>
    <cellStyle name="Separador de milhares 3 7 5 3 2 5 2" xfId="39619"/>
    <cellStyle name="Separador de milhares 3 7 5 3 2 6" xfId="33233"/>
    <cellStyle name="Separador de milhares 3 7 5 3 3" xfId="8667"/>
    <cellStyle name="Separador de milhares 3 7 5 3 3 2" xfId="26881"/>
    <cellStyle name="Separador de milhares 3 7 5 3 3 2 2" xfId="53111"/>
    <cellStyle name="Separador de milhares 3 7 5 3 3 3" xfId="20967"/>
    <cellStyle name="Separador de milhares 3 7 5 3 3 3 2" xfId="47203"/>
    <cellStyle name="Separador de milhares 3 7 5 3 3 4" xfId="15053"/>
    <cellStyle name="Separador de milhares 3 7 5 3 3 4 2" xfId="41295"/>
    <cellStyle name="Separador de milhares 3 7 5 3 3 5" xfId="34909"/>
    <cellStyle name="Separador de milhares 3 7 5 3 4" xfId="5289"/>
    <cellStyle name="Separador de milhares 3 7 5 3 4 2" xfId="23924"/>
    <cellStyle name="Separador de milhares 3 7 5 3 4 2 2" xfId="50157"/>
    <cellStyle name="Separador de milhares 3 7 5 3 4 3" xfId="31534"/>
    <cellStyle name="Separador de milhares 3 7 5 3 5" xfId="18010"/>
    <cellStyle name="Separador de milhares 3 7 5 3 5 2" xfId="44249"/>
    <cellStyle name="Separador de milhares 3 7 5 3 6" xfId="11676"/>
    <cellStyle name="Separador de milhares 3 7 5 3 6 2" xfId="37918"/>
    <cellStyle name="Separador de milhares 3 7 5 3 7" xfId="29836"/>
    <cellStyle name="Separador de milhares 3 7 5 4" xfId="2431"/>
    <cellStyle name="Separador de milhares 3 7 5 4 2" xfId="7138"/>
    <cellStyle name="Separador de milhares 3 7 5 4 2 2" xfId="10282"/>
    <cellStyle name="Separador de milhares 3 7 5 4 2 2 2" xfId="28496"/>
    <cellStyle name="Separador de milhares 3 7 5 4 2 2 2 2" xfId="54726"/>
    <cellStyle name="Separador de milhares 3 7 5 4 2 2 3" xfId="22582"/>
    <cellStyle name="Separador de milhares 3 7 5 4 2 2 3 2" xfId="48818"/>
    <cellStyle name="Separador de milhares 3 7 5 4 2 2 4" xfId="16668"/>
    <cellStyle name="Separador de milhares 3 7 5 4 2 2 4 2" xfId="42910"/>
    <cellStyle name="Separador de milhares 3 7 5 4 2 2 5" xfId="36524"/>
    <cellStyle name="Separador de milhares 3 7 5 4 2 3" xfId="25539"/>
    <cellStyle name="Separador de milhares 3 7 5 4 2 3 2" xfId="51772"/>
    <cellStyle name="Separador de milhares 3 7 5 4 2 4" xfId="19625"/>
    <cellStyle name="Separador de milhares 3 7 5 4 2 4 2" xfId="45864"/>
    <cellStyle name="Separador de milhares 3 7 5 4 2 5" xfId="13527"/>
    <cellStyle name="Separador de milhares 3 7 5 4 2 5 2" xfId="39769"/>
    <cellStyle name="Separador de milhares 3 7 5 4 2 6" xfId="33383"/>
    <cellStyle name="Separador de milhares 3 7 5 4 3" xfId="8814"/>
    <cellStyle name="Separador de milhares 3 7 5 4 3 2" xfId="27028"/>
    <cellStyle name="Separador de milhares 3 7 5 4 3 2 2" xfId="53258"/>
    <cellStyle name="Separador de milhares 3 7 5 4 3 3" xfId="21114"/>
    <cellStyle name="Separador de milhares 3 7 5 4 3 3 2" xfId="47350"/>
    <cellStyle name="Separador de milhares 3 7 5 4 3 4" xfId="15200"/>
    <cellStyle name="Separador de milhares 3 7 5 4 3 4 2" xfId="41442"/>
    <cellStyle name="Separador de milhares 3 7 5 4 3 5" xfId="35056"/>
    <cellStyle name="Separador de milhares 3 7 5 4 4" xfId="5439"/>
    <cellStyle name="Separador de milhares 3 7 5 4 4 2" xfId="24071"/>
    <cellStyle name="Separador de milhares 3 7 5 4 4 2 2" xfId="50304"/>
    <cellStyle name="Separador de milhares 3 7 5 4 4 3" xfId="31684"/>
    <cellStyle name="Separador de milhares 3 7 5 4 5" xfId="18157"/>
    <cellStyle name="Separador de milhares 3 7 5 4 5 2" xfId="44396"/>
    <cellStyle name="Separador de milhares 3 7 5 4 6" xfId="11826"/>
    <cellStyle name="Separador de milhares 3 7 5 4 6 2" xfId="38068"/>
    <cellStyle name="Separador de milhares 3 7 5 4 7" xfId="29986"/>
    <cellStyle name="Separador de milhares 3 7 5 5" xfId="2958"/>
    <cellStyle name="Separador de milhares 3 7 5 5 2" xfId="7285"/>
    <cellStyle name="Separador de milhares 3 7 5 5 2 2" xfId="10429"/>
    <cellStyle name="Separador de milhares 3 7 5 5 2 2 2" xfId="28643"/>
    <cellStyle name="Separador de milhares 3 7 5 5 2 2 2 2" xfId="54873"/>
    <cellStyle name="Separador de milhares 3 7 5 5 2 2 3" xfId="22729"/>
    <cellStyle name="Separador de milhares 3 7 5 5 2 2 3 2" xfId="48965"/>
    <cellStyle name="Separador de milhares 3 7 5 5 2 2 4" xfId="16815"/>
    <cellStyle name="Separador de milhares 3 7 5 5 2 2 4 2" xfId="43057"/>
    <cellStyle name="Separador de milhares 3 7 5 5 2 2 5" xfId="36671"/>
    <cellStyle name="Separador de milhares 3 7 5 5 2 3" xfId="25686"/>
    <cellStyle name="Separador de milhares 3 7 5 5 2 3 2" xfId="51919"/>
    <cellStyle name="Separador de milhares 3 7 5 5 2 4" xfId="19772"/>
    <cellStyle name="Separador de milhares 3 7 5 5 2 4 2" xfId="46011"/>
    <cellStyle name="Separador de milhares 3 7 5 5 2 5" xfId="13674"/>
    <cellStyle name="Separador de milhares 3 7 5 5 2 5 2" xfId="39916"/>
    <cellStyle name="Separador de milhares 3 7 5 5 2 6" xfId="33530"/>
    <cellStyle name="Separador de milhares 3 7 5 5 3" xfId="8961"/>
    <cellStyle name="Separador de milhares 3 7 5 5 3 2" xfId="27175"/>
    <cellStyle name="Separador de milhares 3 7 5 5 3 2 2" xfId="53405"/>
    <cellStyle name="Separador de milhares 3 7 5 5 3 3" xfId="21261"/>
    <cellStyle name="Separador de milhares 3 7 5 5 3 3 2" xfId="47497"/>
    <cellStyle name="Separador de milhares 3 7 5 5 3 4" xfId="15347"/>
    <cellStyle name="Separador de milhares 3 7 5 5 3 4 2" xfId="41589"/>
    <cellStyle name="Separador de milhares 3 7 5 5 3 5" xfId="35203"/>
    <cellStyle name="Separador de milhares 3 7 5 5 4" xfId="5586"/>
    <cellStyle name="Separador de milhares 3 7 5 5 4 2" xfId="24218"/>
    <cellStyle name="Separador de milhares 3 7 5 5 4 2 2" xfId="50451"/>
    <cellStyle name="Separador de milhares 3 7 5 5 4 3" xfId="31831"/>
    <cellStyle name="Separador de milhares 3 7 5 5 5" xfId="18304"/>
    <cellStyle name="Separador de milhares 3 7 5 5 5 2" xfId="44543"/>
    <cellStyle name="Separador de milhares 3 7 5 5 6" xfId="11973"/>
    <cellStyle name="Separador de milhares 3 7 5 5 6 2" xfId="38215"/>
    <cellStyle name="Separador de milhares 3 7 5 5 7" xfId="30133"/>
    <cellStyle name="Separador de milhares 3 7 5 6" xfId="3485"/>
    <cellStyle name="Separador de milhares 3 7 5 6 2" xfId="7432"/>
    <cellStyle name="Separador de milhares 3 7 5 6 2 2" xfId="10576"/>
    <cellStyle name="Separador de milhares 3 7 5 6 2 2 2" xfId="28790"/>
    <cellStyle name="Separador de milhares 3 7 5 6 2 2 2 2" xfId="55020"/>
    <cellStyle name="Separador de milhares 3 7 5 6 2 2 3" xfId="22876"/>
    <cellStyle name="Separador de milhares 3 7 5 6 2 2 3 2" xfId="49112"/>
    <cellStyle name="Separador de milhares 3 7 5 6 2 2 4" xfId="16962"/>
    <cellStyle name="Separador de milhares 3 7 5 6 2 2 4 2" xfId="43204"/>
    <cellStyle name="Separador de milhares 3 7 5 6 2 2 5" xfId="36818"/>
    <cellStyle name="Separador de milhares 3 7 5 6 2 3" xfId="25833"/>
    <cellStyle name="Separador de milhares 3 7 5 6 2 3 2" xfId="52066"/>
    <cellStyle name="Separador de milhares 3 7 5 6 2 4" xfId="19919"/>
    <cellStyle name="Separador de milhares 3 7 5 6 2 4 2" xfId="46158"/>
    <cellStyle name="Separador de milhares 3 7 5 6 2 5" xfId="13821"/>
    <cellStyle name="Separador de milhares 3 7 5 6 2 5 2" xfId="40063"/>
    <cellStyle name="Separador de milhares 3 7 5 6 2 6" xfId="33677"/>
    <cellStyle name="Separador de milhares 3 7 5 6 3" xfId="9108"/>
    <cellStyle name="Separador de milhares 3 7 5 6 3 2" xfId="27322"/>
    <cellStyle name="Separador de milhares 3 7 5 6 3 2 2" xfId="53552"/>
    <cellStyle name="Separador de milhares 3 7 5 6 3 3" xfId="21408"/>
    <cellStyle name="Separador de milhares 3 7 5 6 3 3 2" xfId="47644"/>
    <cellStyle name="Separador de milhares 3 7 5 6 3 4" xfId="15494"/>
    <cellStyle name="Separador de milhares 3 7 5 6 3 4 2" xfId="41736"/>
    <cellStyle name="Separador de milhares 3 7 5 6 3 5" xfId="35350"/>
    <cellStyle name="Separador de milhares 3 7 5 6 4" xfId="5733"/>
    <cellStyle name="Separador de milhares 3 7 5 6 4 2" xfId="24365"/>
    <cellStyle name="Separador de milhares 3 7 5 6 4 2 2" xfId="50598"/>
    <cellStyle name="Separador de milhares 3 7 5 6 4 3" xfId="31978"/>
    <cellStyle name="Separador de milhares 3 7 5 6 5" xfId="18451"/>
    <cellStyle name="Separador de milhares 3 7 5 6 5 2" xfId="44690"/>
    <cellStyle name="Separador de milhares 3 7 5 6 6" xfId="12120"/>
    <cellStyle name="Separador de milhares 3 7 5 6 6 2" xfId="38362"/>
    <cellStyle name="Separador de milhares 3 7 5 6 7" xfId="30280"/>
    <cellStyle name="Separador de milhares 3 7 5 7" xfId="4012"/>
    <cellStyle name="Separador de milhares 3 7 5 7 2" xfId="7579"/>
    <cellStyle name="Separador de milhares 3 7 5 7 2 2" xfId="10723"/>
    <cellStyle name="Separador de milhares 3 7 5 7 2 2 2" xfId="28937"/>
    <cellStyle name="Separador de milhares 3 7 5 7 2 2 2 2" xfId="55167"/>
    <cellStyle name="Separador de milhares 3 7 5 7 2 2 3" xfId="23023"/>
    <cellStyle name="Separador de milhares 3 7 5 7 2 2 3 2" xfId="49259"/>
    <cellStyle name="Separador de milhares 3 7 5 7 2 2 4" xfId="17109"/>
    <cellStyle name="Separador de milhares 3 7 5 7 2 2 4 2" xfId="43351"/>
    <cellStyle name="Separador de milhares 3 7 5 7 2 2 5" xfId="36965"/>
    <cellStyle name="Separador de milhares 3 7 5 7 2 3" xfId="25980"/>
    <cellStyle name="Separador de milhares 3 7 5 7 2 3 2" xfId="52213"/>
    <cellStyle name="Separador de milhares 3 7 5 7 2 4" xfId="20066"/>
    <cellStyle name="Separador de milhares 3 7 5 7 2 4 2" xfId="46305"/>
    <cellStyle name="Separador de milhares 3 7 5 7 2 5" xfId="13968"/>
    <cellStyle name="Separador de milhares 3 7 5 7 2 5 2" xfId="40210"/>
    <cellStyle name="Separador de milhares 3 7 5 7 2 6" xfId="33824"/>
    <cellStyle name="Separador de milhares 3 7 5 7 3" xfId="9255"/>
    <cellStyle name="Separador de milhares 3 7 5 7 3 2" xfId="27469"/>
    <cellStyle name="Separador de milhares 3 7 5 7 3 2 2" xfId="53699"/>
    <cellStyle name="Separador de milhares 3 7 5 7 3 3" xfId="21555"/>
    <cellStyle name="Separador de milhares 3 7 5 7 3 3 2" xfId="47791"/>
    <cellStyle name="Separador de milhares 3 7 5 7 3 4" xfId="15641"/>
    <cellStyle name="Separador de milhares 3 7 5 7 3 4 2" xfId="41883"/>
    <cellStyle name="Separador de milhares 3 7 5 7 3 5" xfId="35497"/>
    <cellStyle name="Separador de milhares 3 7 5 7 4" xfId="5880"/>
    <cellStyle name="Separador de milhares 3 7 5 7 4 2" xfId="24512"/>
    <cellStyle name="Separador de milhares 3 7 5 7 4 2 2" xfId="50745"/>
    <cellStyle name="Separador de milhares 3 7 5 7 4 3" xfId="32125"/>
    <cellStyle name="Separador de milhares 3 7 5 7 5" xfId="18598"/>
    <cellStyle name="Separador de milhares 3 7 5 7 5 2" xfId="44837"/>
    <cellStyle name="Separador de milhares 3 7 5 7 6" xfId="12267"/>
    <cellStyle name="Separador de milhares 3 7 5 7 6 2" xfId="38509"/>
    <cellStyle name="Separador de milhares 3 7 5 7 7" xfId="30427"/>
    <cellStyle name="Separador de milhares 3 7 5 8" xfId="6618"/>
    <cellStyle name="Separador de milhares 3 7 5 8 2" xfId="9765"/>
    <cellStyle name="Separador de milhares 3 7 5 8 2 2" xfId="27979"/>
    <cellStyle name="Separador de milhares 3 7 5 8 2 2 2" xfId="54209"/>
    <cellStyle name="Separador de milhares 3 7 5 8 2 3" xfId="22065"/>
    <cellStyle name="Separador de milhares 3 7 5 8 2 3 2" xfId="48301"/>
    <cellStyle name="Separador de milhares 3 7 5 8 2 4" xfId="16151"/>
    <cellStyle name="Separador de milhares 3 7 5 8 2 4 2" xfId="42393"/>
    <cellStyle name="Separador de milhares 3 7 5 8 2 5" xfId="36007"/>
    <cellStyle name="Separador de milhares 3 7 5 8 3" xfId="25022"/>
    <cellStyle name="Separador de milhares 3 7 5 8 3 2" xfId="51255"/>
    <cellStyle name="Separador de milhares 3 7 5 8 4" xfId="19108"/>
    <cellStyle name="Separador de milhares 3 7 5 8 4 2" xfId="45347"/>
    <cellStyle name="Separador de milhares 3 7 5 8 5" xfId="13007"/>
    <cellStyle name="Separador de milhares 3 7 5 8 5 2" xfId="39249"/>
    <cellStyle name="Separador de milhares 3 7 5 8 6" xfId="32863"/>
    <cellStyle name="Separador de milhares 3 7 5 9" xfId="8294"/>
    <cellStyle name="Separador de milhares 3 7 5 9 2" xfId="26508"/>
    <cellStyle name="Separador de milhares 3 7 5 9 2 2" xfId="52741"/>
    <cellStyle name="Separador de milhares 3 7 5 9 3" xfId="20594"/>
    <cellStyle name="Separador de milhares 3 7 5 9 3 2" xfId="46833"/>
    <cellStyle name="Separador de milhares 3 7 5 9 4" xfId="14683"/>
    <cellStyle name="Separador de milhares 3 7 5 9 4 2" xfId="40925"/>
    <cellStyle name="Separador de milhares 3 7 5 9 5" xfId="34539"/>
    <cellStyle name="Separador de milhares 3 7 6" xfId="764"/>
    <cellStyle name="Separador de milhares 3 7 6 2" xfId="4188"/>
    <cellStyle name="Separador de milhares 3 7 6 2 2" xfId="7628"/>
    <cellStyle name="Separador de milhares 3 7 6 2 2 2" xfId="10772"/>
    <cellStyle name="Separador de milhares 3 7 6 2 2 2 2" xfId="28986"/>
    <cellStyle name="Separador de milhares 3 7 6 2 2 2 2 2" xfId="55216"/>
    <cellStyle name="Separador de milhares 3 7 6 2 2 2 3" xfId="23072"/>
    <cellStyle name="Separador de milhares 3 7 6 2 2 2 3 2" xfId="49308"/>
    <cellStyle name="Separador de milhares 3 7 6 2 2 2 4" xfId="17158"/>
    <cellStyle name="Separador de milhares 3 7 6 2 2 2 4 2" xfId="43400"/>
    <cellStyle name="Separador de milhares 3 7 6 2 2 2 5" xfId="37014"/>
    <cellStyle name="Separador de milhares 3 7 6 2 2 3" xfId="26029"/>
    <cellStyle name="Separador de milhares 3 7 6 2 2 3 2" xfId="52262"/>
    <cellStyle name="Separador de milhares 3 7 6 2 2 4" xfId="20115"/>
    <cellStyle name="Separador de milhares 3 7 6 2 2 4 2" xfId="46354"/>
    <cellStyle name="Separador de milhares 3 7 6 2 2 5" xfId="14017"/>
    <cellStyle name="Separador de milhares 3 7 6 2 2 5 2" xfId="40259"/>
    <cellStyle name="Separador de milhares 3 7 6 2 2 6" xfId="33873"/>
    <cellStyle name="Separador de milhares 3 7 6 2 3" xfId="9304"/>
    <cellStyle name="Separador de milhares 3 7 6 2 3 2" xfId="27518"/>
    <cellStyle name="Separador de milhares 3 7 6 2 3 2 2" xfId="53748"/>
    <cellStyle name="Separador de milhares 3 7 6 2 3 3" xfId="21604"/>
    <cellStyle name="Separador de milhares 3 7 6 2 3 3 2" xfId="47840"/>
    <cellStyle name="Separador de milhares 3 7 6 2 3 4" xfId="15690"/>
    <cellStyle name="Separador de milhares 3 7 6 2 3 4 2" xfId="41932"/>
    <cellStyle name="Separador de milhares 3 7 6 2 3 5" xfId="35546"/>
    <cellStyle name="Separador de milhares 3 7 6 2 4" xfId="5929"/>
    <cellStyle name="Separador de milhares 3 7 6 2 4 2" xfId="24561"/>
    <cellStyle name="Separador de milhares 3 7 6 2 4 2 2" xfId="50794"/>
    <cellStyle name="Separador de milhares 3 7 6 2 4 3" xfId="32174"/>
    <cellStyle name="Separador de milhares 3 7 6 2 5" xfId="18647"/>
    <cellStyle name="Separador de milhares 3 7 6 2 5 2" xfId="44886"/>
    <cellStyle name="Separador de milhares 3 7 6 2 6" xfId="12316"/>
    <cellStyle name="Separador de milhares 3 7 6 2 6 2" xfId="38558"/>
    <cellStyle name="Separador de milhares 3 7 6 2 7" xfId="30476"/>
    <cellStyle name="Separador de milhares 3 7 6 3" xfId="6673"/>
    <cellStyle name="Separador de milhares 3 7 6 3 2" xfId="9820"/>
    <cellStyle name="Separador de milhares 3 7 6 3 2 2" xfId="28034"/>
    <cellStyle name="Separador de milhares 3 7 6 3 2 2 2" xfId="54264"/>
    <cellStyle name="Separador de milhares 3 7 6 3 2 3" xfId="22120"/>
    <cellStyle name="Separador de milhares 3 7 6 3 2 3 2" xfId="48356"/>
    <cellStyle name="Separador de milhares 3 7 6 3 2 4" xfId="16206"/>
    <cellStyle name="Separador de milhares 3 7 6 3 2 4 2" xfId="42448"/>
    <cellStyle name="Separador de milhares 3 7 6 3 2 5" xfId="36062"/>
    <cellStyle name="Separador de milhares 3 7 6 3 3" xfId="25077"/>
    <cellStyle name="Separador de milhares 3 7 6 3 3 2" xfId="51310"/>
    <cellStyle name="Separador de milhares 3 7 6 3 4" xfId="19163"/>
    <cellStyle name="Separador de milhares 3 7 6 3 4 2" xfId="45402"/>
    <cellStyle name="Separador de milhares 3 7 6 3 5" xfId="13062"/>
    <cellStyle name="Separador de milhares 3 7 6 3 5 2" xfId="39304"/>
    <cellStyle name="Separador de milhares 3 7 6 3 6" xfId="32918"/>
    <cellStyle name="Separador de milhares 3 7 6 4" xfId="8352"/>
    <cellStyle name="Separador de milhares 3 7 6 4 2" xfId="26566"/>
    <cellStyle name="Separador de milhares 3 7 6 4 2 2" xfId="52796"/>
    <cellStyle name="Separador de milhares 3 7 6 4 3" xfId="20652"/>
    <cellStyle name="Separador de milhares 3 7 6 4 3 2" xfId="46888"/>
    <cellStyle name="Separador de milhares 3 7 6 4 4" xfId="14738"/>
    <cellStyle name="Separador de milhares 3 7 6 4 4 2" xfId="40980"/>
    <cellStyle name="Separador de milhares 3 7 6 4 5" xfId="34594"/>
    <cellStyle name="Separador de milhares 3 7 6 5" xfId="4974"/>
    <cellStyle name="Separador de milhares 3 7 6 5 2" xfId="23609"/>
    <cellStyle name="Separador de milhares 3 7 6 5 2 2" xfId="49842"/>
    <cellStyle name="Separador de milhares 3 7 6 5 3" xfId="31219"/>
    <cellStyle name="Separador de milhares 3 7 6 6" xfId="17695"/>
    <cellStyle name="Separador de milhares 3 7 6 6 2" xfId="43934"/>
    <cellStyle name="Separador de milhares 3 7 6 7" xfId="11361"/>
    <cellStyle name="Separador de milhares 3 7 6 7 2" xfId="37603"/>
    <cellStyle name="Separador de milhares 3 7 6 8" xfId="29521"/>
    <cellStyle name="Separador de milhares 3 7 7" xfId="1115"/>
    <cellStyle name="Separador de milhares 3 7 7 2" xfId="6771"/>
    <cellStyle name="Separador de milhares 3 7 7 2 2" xfId="9918"/>
    <cellStyle name="Separador de milhares 3 7 7 2 2 2" xfId="28132"/>
    <cellStyle name="Separador de milhares 3 7 7 2 2 2 2" xfId="54362"/>
    <cellStyle name="Separador de milhares 3 7 7 2 2 3" xfId="22218"/>
    <cellStyle name="Separador de milhares 3 7 7 2 2 3 2" xfId="48454"/>
    <cellStyle name="Separador de milhares 3 7 7 2 2 4" xfId="16304"/>
    <cellStyle name="Separador de milhares 3 7 7 2 2 4 2" xfId="42546"/>
    <cellStyle name="Separador de milhares 3 7 7 2 2 5" xfId="36160"/>
    <cellStyle name="Separador de milhares 3 7 7 2 3" xfId="25175"/>
    <cellStyle name="Separador de milhares 3 7 7 2 3 2" xfId="51408"/>
    <cellStyle name="Separador de milhares 3 7 7 2 4" xfId="19261"/>
    <cellStyle name="Separador de milhares 3 7 7 2 4 2" xfId="45500"/>
    <cellStyle name="Separador de milhares 3 7 7 2 5" xfId="13160"/>
    <cellStyle name="Separador de milhares 3 7 7 2 5 2" xfId="39402"/>
    <cellStyle name="Separador de milhares 3 7 7 2 6" xfId="33016"/>
    <cellStyle name="Separador de milhares 3 7 7 3" xfId="8450"/>
    <cellStyle name="Separador de milhares 3 7 7 3 2" xfId="26664"/>
    <cellStyle name="Separador de milhares 3 7 7 3 2 2" xfId="52894"/>
    <cellStyle name="Separador de milhares 3 7 7 3 3" xfId="20750"/>
    <cellStyle name="Separador de milhares 3 7 7 3 3 2" xfId="46986"/>
    <cellStyle name="Separador de milhares 3 7 7 3 4" xfId="14836"/>
    <cellStyle name="Separador de milhares 3 7 7 3 4 2" xfId="41078"/>
    <cellStyle name="Separador de milhares 3 7 7 3 5" xfId="34692"/>
    <cellStyle name="Separador de milhares 3 7 7 4" xfId="5072"/>
    <cellStyle name="Separador de milhares 3 7 7 4 2" xfId="23707"/>
    <cellStyle name="Separador de milhares 3 7 7 4 2 2" xfId="49940"/>
    <cellStyle name="Separador de milhares 3 7 7 4 3" xfId="31317"/>
    <cellStyle name="Separador de milhares 3 7 7 5" xfId="17793"/>
    <cellStyle name="Separador de milhares 3 7 7 5 2" xfId="44032"/>
    <cellStyle name="Separador de milhares 3 7 7 6" xfId="11459"/>
    <cellStyle name="Separador de milhares 3 7 7 6 2" xfId="37701"/>
    <cellStyle name="Separador de milhares 3 7 7 7" xfId="29619"/>
    <cellStyle name="Separador de milhares 3 7 8" xfId="1550"/>
    <cellStyle name="Separador de milhares 3 7 8 2" xfId="6890"/>
    <cellStyle name="Separador de milhares 3 7 8 2 2" xfId="10037"/>
    <cellStyle name="Separador de milhares 3 7 8 2 2 2" xfId="28251"/>
    <cellStyle name="Separador de milhares 3 7 8 2 2 2 2" xfId="54481"/>
    <cellStyle name="Separador de milhares 3 7 8 2 2 3" xfId="22337"/>
    <cellStyle name="Separador de milhares 3 7 8 2 2 3 2" xfId="48573"/>
    <cellStyle name="Separador de milhares 3 7 8 2 2 4" xfId="16423"/>
    <cellStyle name="Separador de milhares 3 7 8 2 2 4 2" xfId="42665"/>
    <cellStyle name="Separador de milhares 3 7 8 2 2 5" xfId="36279"/>
    <cellStyle name="Separador de milhares 3 7 8 2 3" xfId="25294"/>
    <cellStyle name="Separador de milhares 3 7 8 2 3 2" xfId="51527"/>
    <cellStyle name="Separador de milhares 3 7 8 2 4" xfId="19380"/>
    <cellStyle name="Separador de milhares 3 7 8 2 4 2" xfId="45619"/>
    <cellStyle name="Separador de milhares 3 7 8 2 5" xfId="13279"/>
    <cellStyle name="Separador de milhares 3 7 8 2 5 2" xfId="39521"/>
    <cellStyle name="Separador de milhares 3 7 8 2 6" xfId="33135"/>
    <cellStyle name="Separador de milhares 3 7 8 3" xfId="8569"/>
    <cellStyle name="Separador de milhares 3 7 8 3 2" xfId="26783"/>
    <cellStyle name="Separador de milhares 3 7 8 3 2 2" xfId="53013"/>
    <cellStyle name="Separador de milhares 3 7 8 3 3" xfId="20869"/>
    <cellStyle name="Separador de milhares 3 7 8 3 3 2" xfId="47105"/>
    <cellStyle name="Separador de milhares 3 7 8 3 4" xfId="14955"/>
    <cellStyle name="Separador de milhares 3 7 8 3 4 2" xfId="41197"/>
    <cellStyle name="Separador de milhares 3 7 8 3 5" xfId="34811"/>
    <cellStyle name="Separador de milhares 3 7 8 4" xfId="5191"/>
    <cellStyle name="Separador de milhares 3 7 8 4 2" xfId="23826"/>
    <cellStyle name="Separador de milhares 3 7 8 4 2 2" xfId="50059"/>
    <cellStyle name="Separador de milhares 3 7 8 4 3" xfId="31436"/>
    <cellStyle name="Separador de milhares 3 7 8 5" xfId="17912"/>
    <cellStyle name="Separador de milhares 3 7 8 5 2" xfId="44151"/>
    <cellStyle name="Separador de milhares 3 7 8 6" xfId="11578"/>
    <cellStyle name="Separador de milhares 3 7 8 6 2" xfId="37820"/>
    <cellStyle name="Separador de milhares 3 7 8 7" xfId="29738"/>
    <cellStyle name="Separador de milhares 3 7 9" xfId="2080"/>
    <cellStyle name="Separador de milhares 3 7 9 2" xfId="7040"/>
    <cellStyle name="Separador de milhares 3 7 9 2 2" xfId="10184"/>
    <cellStyle name="Separador de milhares 3 7 9 2 2 2" xfId="28398"/>
    <cellStyle name="Separador de milhares 3 7 9 2 2 2 2" xfId="54628"/>
    <cellStyle name="Separador de milhares 3 7 9 2 2 3" xfId="22484"/>
    <cellStyle name="Separador de milhares 3 7 9 2 2 3 2" xfId="48720"/>
    <cellStyle name="Separador de milhares 3 7 9 2 2 4" xfId="16570"/>
    <cellStyle name="Separador de milhares 3 7 9 2 2 4 2" xfId="42812"/>
    <cellStyle name="Separador de milhares 3 7 9 2 2 5" xfId="36426"/>
    <cellStyle name="Separador de milhares 3 7 9 2 3" xfId="25441"/>
    <cellStyle name="Separador de milhares 3 7 9 2 3 2" xfId="51674"/>
    <cellStyle name="Separador de milhares 3 7 9 2 4" xfId="19527"/>
    <cellStyle name="Separador de milhares 3 7 9 2 4 2" xfId="45766"/>
    <cellStyle name="Separador de milhares 3 7 9 2 5" xfId="13429"/>
    <cellStyle name="Separador de milhares 3 7 9 2 5 2" xfId="39671"/>
    <cellStyle name="Separador de milhares 3 7 9 2 6" xfId="33285"/>
    <cellStyle name="Separador de milhares 3 7 9 3" xfId="8716"/>
    <cellStyle name="Separador de milhares 3 7 9 3 2" xfId="26930"/>
    <cellStyle name="Separador de milhares 3 7 9 3 2 2" xfId="53160"/>
    <cellStyle name="Separador de milhares 3 7 9 3 3" xfId="21016"/>
    <cellStyle name="Separador de milhares 3 7 9 3 3 2" xfId="47252"/>
    <cellStyle name="Separador de milhares 3 7 9 3 4" xfId="15102"/>
    <cellStyle name="Separador de milhares 3 7 9 3 4 2" xfId="41344"/>
    <cellStyle name="Separador de milhares 3 7 9 3 5" xfId="34958"/>
    <cellStyle name="Separador de milhares 3 7 9 4" xfId="5341"/>
    <cellStyle name="Separador de milhares 3 7 9 4 2" xfId="23973"/>
    <cellStyle name="Separador de milhares 3 7 9 4 2 2" xfId="50206"/>
    <cellStyle name="Separador de milhares 3 7 9 4 3" xfId="31586"/>
    <cellStyle name="Separador de milhares 3 7 9 5" xfId="18059"/>
    <cellStyle name="Separador de milhares 3 7 9 5 2" xfId="44298"/>
    <cellStyle name="Separador de milhares 3 7 9 6" xfId="11728"/>
    <cellStyle name="Separador de milhares 3 7 9 6 2" xfId="37970"/>
    <cellStyle name="Separador de milhares 3 7 9 7" xfId="29888"/>
    <cellStyle name="Separador de milhares 3 8" xfId="108"/>
    <cellStyle name="Separador de milhares 3 8 10" xfId="2611"/>
    <cellStyle name="Separador de milhares 3 8 10 2" xfId="7188"/>
    <cellStyle name="Separador de milhares 3 8 10 2 2" xfId="10332"/>
    <cellStyle name="Separador de milhares 3 8 10 2 2 2" xfId="28546"/>
    <cellStyle name="Separador de milhares 3 8 10 2 2 2 2" xfId="54776"/>
    <cellStyle name="Separador de milhares 3 8 10 2 2 3" xfId="22632"/>
    <cellStyle name="Separador de milhares 3 8 10 2 2 3 2" xfId="48868"/>
    <cellStyle name="Separador de milhares 3 8 10 2 2 4" xfId="16718"/>
    <cellStyle name="Separador de milhares 3 8 10 2 2 4 2" xfId="42960"/>
    <cellStyle name="Separador de milhares 3 8 10 2 2 5" xfId="36574"/>
    <cellStyle name="Separador de milhares 3 8 10 2 3" xfId="25589"/>
    <cellStyle name="Separador de milhares 3 8 10 2 3 2" xfId="51822"/>
    <cellStyle name="Separador de milhares 3 8 10 2 4" xfId="19675"/>
    <cellStyle name="Separador de milhares 3 8 10 2 4 2" xfId="45914"/>
    <cellStyle name="Separador de milhares 3 8 10 2 5" xfId="13577"/>
    <cellStyle name="Separador de milhares 3 8 10 2 5 2" xfId="39819"/>
    <cellStyle name="Separador de milhares 3 8 10 2 6" xfId="33433"/>
    <cellStyle name="Separador de milhares 3 8 10 3" xfId="8864"/>
    <cellStyle name="Separador de milhares 3 8 10 3 2" xfId="27078"/>
    <cellStyle name="Separador de milhares 3 8 10 3 2 2" xfId="53308"/>
    <cellStyle name="Separador de milhares 3 8 10 3 3" xfId="21164"/>
    <cellStyle name="Separador de milhares 3 8 10 3 3 2" xfId="47400"/>
    <cellStyle name="Separador de milhares 3 8 10 3 4" xfId="15250"/>
    <cellStyle name="Separador de milhares 3 8 10 3 4 2" xfId="41492"/>
    <cellStyle name="Separador de milhares 3 8 10 3 5" xfId="35106"/>
    <cellStyle name="Separador de milhares 3 8 10 4" xfId="5489"/>
    <cellStyle name="Separador de milhares 3 8 10 4 2" xfId="24121"/>
    <cellStyle name="Separador de milhares 3 8 10 4 2 2" xfId="50354"/>
    <cellStyle name="Separador de milhares 3 8 10 4 3" xfId="31734"/>
    <cellStyle name="Separador de milhares 3 8 10 5" xfId="18207"/>
    <cellStyle name="Separador de milhares 3 8 10 5 2" xfId="44446"/>
    <cellStyle name="Separador de milhares 3 8 10 6" xfId="11876"/>
    <cellStyle name="Separador de milhares 3 8 10 6 2" xfId="38118"/>
    <cellStyle name="Separador de milhares 3 8 10 7" xfId="30036"/>
    <cellStyle name="Separador de milhares 3 8 11" xfId="3138"/>
    <cellStyle name="Separador de milhares 3 8 11 2" xfId="7335"/>
    <cellStyle name="Separador de milhares 3 8 11 2 2" xfId="10479"/>
    <cellStyle name="Separador de milhares 3 8 11 2 2 2" xfId="28693"/>
    <cellStyle name="Separador de milhares 3 8 11 2 2 2 2" xfId="54923"/>
    <cellStyle name="Separador de milhares 3 8 11 2 2 3" xfId="22779"/>
    <cellStyle name="Separador de milhares 3 8 11 2 2 3 2" xfId="49015"/>
    <cellStyle name="Separador de milhares 3 8 11 2 2 4" xfId="16865"/>
    <cellStyle name="Separador de milhares 3 8 11 2 2 4 2" xfId="43107"/>
    <cellStyle name="Separador de milhares 3 8 11 2 2 5" xfId="36721"/>
    <cellStyle name="Separador de milhares 3 8 11 2 3" xfId="25736"/>
    <cellStyle name="Separador de milhares 3 8 11 2 3 2" xfId="51969"/>
    <cellStyle name="Separador de milhares 3 8 11 2 4" xfId="19822"/>
    <cellStyle name="Separador de milhares 3 8 11 2 4 2" xfId="46061"/>
    <cellStyle name="Separador de milhares 3 8 11 2 5" xfId="13724"/>
    <cellStyle name="Separador de milhares 3 8 11 2 5 2" xfId="39966"/>
    <cellStyle name="Separador de milhares 3 8 11 2 6" xfId="33580"/>
    <cellStyle name="Separador de milhares 3 8 11 3" xfId="9011"/>
    <cellStyle name="Separador de milhares 3 8 11 3 2" xfId="27225"/>
    <cellStyle name="Separador de milhares 3 8 11 3 2 2" xfId="53455"/>
    <cellStyle name="Separador de milhares 3 8 11 3 3" xfId="21311"/>
    <cellStyle name="Separador de milhares 3 8 11 3 3 2" xfId="47547"/>
    <cellStyle name="Separador de milhares 3 8 11 3 4" xfId="15397"/>
    <cellStyle name="Separador de milhares 3 8 11 3 4 2" xfId="41639"/>
    <cellStyle name="Separador de milhares 3 8 11 3 5" xfId="35253"/>
    <cellStyle name="Separador de milhares 3 8 11 4" xfId="5636"/>
    <cellStyle name="Separador de milhares 3 8 11 4 2" xfId="24268"/>
    <cellStyle name="Separador de milhares 3 8 11 4 2 2" xfId="50501"/>
    <cellStyle name="Separador de milhares 3 8 11 4 3" xfId="31881"/>
    <cellStyle name="Separador de milhares 3 8 11 5" xfId="18354"/>
    <cellStyle name="Separador de milhares 3 8 11 5 2" xfId="44593"/>
    <cellStyle name="Separador de milhares 3 8 11 6" xfId="12023"/>
    <cellStyle name="Separador de milhares 3 8 11 6 2" xfId="38265"/>
    <cellStyle name="Separador de milhares 3 8 11 7" xfId="30183"/>
    <cellStyle name="Separador de milhares 3 8 12" xfId="3665"/>
    <cellStyle name="Separador de milhares 3 8 12 2" xfId="7482"/>
    <cellStyle name="Separador de milhares 3 8 12 2 2" xfId="10626"/>
    <cellStyle name="Separador de milhares 3 8 12 2 2 2" xfId="28840"/>
    <cellStyle name="Separador de milhares 3 8 12 2 2 2 2" xfId="55070"/>
    <cellStyle name="Separador de milhares 3 8 12 2 2 3" xfId="22926"/>
    <cellStyle name="Separador de milhares 3 8 12 2 2 3 2" xfId="49162"/>
    <cellStyle name="Separador de milhares 3 8 12 2 2 4" xfId="17012"/>
    <cellStyle name="Separador de milhares 3 8 12 2 2 4 2" xfId="43254"/>
    <cellStyle name="Separador de milhares 3 8 12 2 2 5" xfId="36868"/>
    <cellStyle name="Separador de milhares 3 8 12 2 3" xfId="25883"/>
    <cellStyle name="Separador de milhares 3 8 12 2 3 2" xfId="52116"/>
    <cellStyle name="Separador de milhares 3 8 12 2 4" xfId="19969"/>
    <cellStyle name="Separador de milhares 3 8 12 2 4 2" xfId="46208"/>
    <cellStyle name="Separador de milhares 3 8 12 2 5" xfId="13871"/>
    <cellStyle name="Separador de milhares 3 8 12 2 5 2" xfId="40113"/>
    <cellStyle name="Separador de milhares 3 8 12 2 6" xfId="33727"/>
    <cellStyle name="Separador de milhares 3 8 12 3" xfId="9158"/>
    <cellStyle name="Separador de milhares 3 8 12 3 2" xfId="27372"/>
    <cellStyle name="Separador de milhares 3 8 12 3 2 2" xfId="53602"/>
    <cellStyle name="Separador de milhares 3 8 12 3 3" xfId="21458"/>
    <cellStyle name="Separador de milhares 3 8 12 3 3 2" xfId="47694"/>
    <cellStyle name="Separador de milhares 3 8 12 3 4" xfId="15544"/>
    <cellStyle name="Separador de milhares 3 8 12 3 4 2" xfId="41786"/>
    <cellStyle name="Separador de milhares 3 8 12 3 5" xfId="35400"/>
    <cellStyle name="Separador de milhares 3 8 12 4" xfId="5783"/>
    <cellStyle name="Separador de milhares 3 8 12 4 2" xfId="24415"/>
    <cellStyle name="Separador de milhares 3 8 12 4 2 2" xfId="50648"/>
    <cellStyle name="Separador de milhares 3 8 12 4 3" xfId="32028"/>
    <cellStyle name="Separador de milhares 3 8 12 5" xfId="18501"/>
    <cellStyle name="Separador de milhares 3 8 12 5 2" xfId="44740"/>
    <cellStyle name="Separador de milhares 3 8 12 6" xfId="12170"/>
    <cellStyle name="Separador de milhares 3 8 12 6 2" xfId="38412"/>
    <cellStyle name="Separador de milhares 3 8 12 7" xfId="30330"/>
    <cellStyle name="Separador de milhares 3 8 13" xfId="6466"/>
    <cellStyle name="Separador de milhares 3 8 13 2" xfId="9622"/>
    <cellStyle name="Separador de milhares 3 8 13 2 2" xfId="27836"/>
    <cellStyle name="Separador de milhares 3 8 13 2 2 2" xfId="54066"/>
    <cellStyle name="Separador de milhares 3 8 13 2 3" xfId="21922"/>
    <cellStyle name="Separador de milhares 3 8 13 2 3 2" xfId="48158"/>
    <cellStyle name="Separador de milhares 3 8 13 2 4" xfId="16008"/>
    <cellStyle name="Separador de milhares 3 8 13 2 4 2" xfId="42250"/>
    <cellStyle name="Separador de milhares 3 8 13 2 5" xfId="35864"/>
    <cellStyle name="Separador de milhares 3 8 13 3" xfId="24879"/>
    <cellStyle name="Separador de milhares 3 8 13 3 2" xfId="51112"/>
    <cellStyle name="Separador de milhares 3 8 13 4" xfId="18965"/>
    <cellStyle name="Separador de milhares 3 8 13 4 2" xfId="45204"/>
    <cellStyle name="Separador de milhares 3 8 13 5" xfId="12855"/>
    <cellStyle name="Separador de milhares 3 8 13 5 2" xfId="39097"/>
    <cellStyle name="Separador de milhares 3 8 13 6" xfId="32711"/>
    <cellStyle name="Separador de milhares 3 8 14" xfId="8151"/>
    <cellStyle name="Separador de milhares 3 8 14 2" xfId="26365"/>
    <cellStyle name="Separador de milhares 3 8 14 2 2" xfId="52598"/>
    <cellStyle name="Separador de milhares 3 8 14 3" xfId="20451"/>
    <cellStyle name="Separador de milhares 3 8 14 3 2" xfId="46690"/>
    <cellStyle name="Separador de milhares 3 8 14 4" xfId="14540"/>
    <cellStyle name="Separador de milhares 3 8 14 4 2" xfId="40782"/>
    <cellStyle name="Separador de milhares 3 8 14 5" xfId="34396"/>
    <cellStyle name="Separador de milhares 3 8 15" xfId="4764"/>
    <cellStyle name="Separador de milhares 3 8 15 2" xfId="23408"/>
    <cellStyle name="Separador de milhares 3 8 15 2 2" xfId="49644"/>
    <cellStyle name="Separador de milhares 3 8 15 3" xfId="31012"/>
    <cellStyle name="Separador de milhares 3 8 16" xfId="17494"/>
    <cellStyle name="Separador de milhares 3 8 16 2" xfId="43736"/>
    <cellStyle name="Separador de milhares 3 8 17" xfId="11154"/>
    <cellStyle name="Separador de milhares 3 8 17 2" xfId="37396"/>
    <cellStyle name="Separador de milhares 3 8 18" xfId="29314"/>
    <cellStyle name="Separador de milhares 3 8 2" xfId="202"/>
    <cellStyle name="Separador de milhares 3 8 2 10" xfId="6495"/>
    <cellStyle name="Separador de milhares 3 8 2 10 2" xfId="9649"/>
    <cellStyle name="Separador de milhares 3 8 2 10 2 2" xfId="27863"/>
    <cellStyle name="Separador de milhares 3 8 2 10 2 2 2" xfId="54093"/>
    <cellStyle name="Separador de milhares 3 8 2 10 2 3" xfId="21949"/>
    <cellStyle name="Separador de milhares 3 8 2 10 2 3 2" xfId="48185"/>
    <cellStyle name="Separador de milhares 3 8 2 10 2 4" xfId="16035"/>
    <cellStyle name="Separador de milhares 3 8 2 10 2 4 2" xfId="42277"/>
    <cellStyle name="Separador de milhares 3 8 2 10 2 5" xfId="35891"/>
    <cellStyle name="Separador de milhares 3 8 2 10 3" xfId="24906"/>
    <cellStyle name="Separador de milhares 3 8 2 10 3 2" xfId="51139"/>
    <cellStyle name="Separador de milhares 3 8 2 10 4" xfId="18992"/>
    <cellStyle name="Separador de milhares 3 8 2 10 4 2" xfId="45231"/>
    <cellStyle name="Separador de milhares 3 8 2 10 5" xfId="12884"/>
    <cellStyle name="Separador de milhares 3 8 2 10 5 2" xfId="39126"/>
    <cellStyle name="Separador de milhares 3 8 2 10 6" xfId="32740"/>
    <cellStyle name="Separador de milhares 3 8 2 11" xfId="8178"/>
    <cellStyle name="Separador de milhares 3 8 2 11 2" xfId="26392"/>
    <cellStyle name="Separador de milhares 3 8 2 11 2 2" xfId="52625"/>
    <cellStyle name="Separador de milhares 3 8 2 11 3" xfId="20478"/>
    <cellStyle name="Separador de milhares 3 8 2 11 3 2" xfId="46717"/>
    <cellStyle name="Separador de milhares 3 8 2 11 4" xfId="14567"/>
    <cellStyle name="Separador de milhares 3 8 2 11 4 2" xfId="40809"/>
    <cellStyle name="Separador de milhares 3 8 2 11 5" xfId="34423"/>
    <cellStyle name="Separador de milhares 3 8 2 12" xfId="4794"/>
    <cellStyle name="Separador de milhares 3 8 2 12 2" xfId="23435"/>
    <cellStyle name="Separador de milhares 3 8 2 12 2 2" xfId="49671"/>
    <cellStyle name="Separador de milhares 3 8 2 12 3" xfId="31041"/>
    <cellStyle name="Separador de milhares 3 8 2 13" xfId="17521"/>
    <cellStyle name="Separador de milhares 3 8 2 13 2" xfId="43763"/>
    <cellStyle name="Separador de milhares 3 8 2 14" xfId="11183"/>
    <cellStyle name="Separador de milhares 3 8 2 14 2" xfId="37425"/>
    <cellStyle name="Separador de milhares 3 8 2 15" xfId="29344"/>
    <cellStyle name="Separador de milhares 3 8 2 2" xfId="475"/>
    <cellStyle name="Separador de milhares 3 8 2 2 10" xfId="17595"/>
    <cellStyle name="Separador de milhares 3 8 2 2 10 2" xfId="43837"/>
    <cellStyle name="Separador de milhares 3 8 2 2 11" xfId="11264"/>
    <cellStyle name="Separador de milhares 3 8 2 2 11 2" xfId="37506"/>
    <cellStyle name="Separador de milhares 3 8 2 2 12" xfId="29424"/>
    <cellStyle name="Separador de milhares 3 8 2 2 2" xfId="1994"/>
    <cellStyle name="Separador de milhares 3 8 2 2 2 2" xfId="7014"/>
    <cellStyle name="Separador de milhares 3 8 2 2 2 2 2" xfId="10161"/>
    <cellStyle name="Separador de milhares 3 8 2 2 2 2 2 2" xfId="28375"/>
    <cellStyle name="Separador de milhares 3 8 2 2 2 2 2 2 2" xfId="54605"/>
    <cellStyle name="Separador de milhares 3 8 2 2 2 2 2 3" xfId="22461"/>
    <cellStyle name="Separador de milhares 3 8 2 2 2 2 2 3 2" xfId="48697"/>
    <cellStyle name="Separador de milhares 3 8 2 2 2 2 2 4" xfId="16547"/>
    <cellStyle name="Separador de milhares 3 8 2 2 2 2 2 4 2" xfId="42789"/>
    <cellStyle name="Separador de milhares 3 8 2 2 2 2 2 5" xfId="36403"/>
    <cellStyle name="Separador de milhares 3 8 2 2 2 2 3" xfId="25418"/>
    <cellStyle name="Separador de milhares 3 8 2 2 2 2 3 2" xfId="51651"/>
    <cellStyle name="Separador de milhares 3 8 2 2 2 2 4" xfId="19504"/>
    <cellStyle name="Separador de milhares 3 8 2 2 2 2 4 2" xfId="45743"/>
    <cellStyle name="Separador de milhares 3 8 2 2 2 2 5" xfId="13403"/>
    <cellStyle name="Separador de milhares 3 8 2 2 2 2 5 2" xfId="39645"/>
    <cellStyle name="Separador de milhares 3 8 2 2 2 2 6" xfId="33259"/>
    <cellStyle name="Separador de milhares 3 8 2 2 2 3" xfId="8693"/>
    <cellStyle name="Separador de milhares 3 8 2 2 2 3 2" xfId="26907"/>
    <cellStyle name="Separador de milhares 3 8 2 2 2 3 2 2" xfId="53137"/>
    <cellStyle name="Separador de milhares 3 8 2 2 2 3 3" xfId="20993"/>
    <cellStyle name="Separador de milhares 3 8 2 2 2 3 3 2" xfId="47229"/>
    <cellStyle name="Separador de milhares 3 8 2 2 2 3 4" xfId="15079"/>
    <cellStyle name="Separador de milhares 3 8 2 2 2 3 4 2" xfId="41321"/>
    <cellStyle name="Separador de milhares 3 8 2 2 2 3 5" xfId="34935"/>
    <cellStyle name="Separador de milhares 3 8 2 2 2 4" xfId="5315"/>
    <cellStyle name="Separador de milhares 3 8 2 2 2 4 2" xfId="23950"/>
    <cellStyle name="Separador de milhares 3 8 2 2 2 4 2 2" xfId="50183"/>
    <cellStyle name="Separador de milhares 3 8 2 2 2 4 3" xfId="31560"/>
    <cellStyle name="Separador de milhares 3 8 2 2 2 5" xfId="18036"/>
    <cellStyle name="Separador de milhares 3 8 2 2 2 5 2" xfId="44275"/>
    <cellStyle name="Separador de milhares 3 8 2 2 2 6" xfId="11702"/>
    <cellStyle name="Separador de milhares 3 8 2 2 2 6 2" xfId="37944"/>
    <cellStyle name="Separador de milhares 3 8 2 2 2 7" xfId="29862"/>
    <cellStyle name="Separador de milhares 3 8 2 2 3" xfId="2524"/>
    <cellStyle name="Separador de milhares 3 8 2 2 3 2" xfId="7164"/>
    <cellStyle name="Separador de milhares 3 8 2 2 3 2 2" xfId="10308"/>
    <cellStyle name="Separador de milhares 3 8 2 2 3 2 2 2" xfId="28522"/>
    <cellStyle name="Separador de milhares 3 8 2 2 3 2 2 2 2" xfId="54752"/>
    <cellStyle name="Separador de milhares 3 8 2 2 3 2 2 3" xfId="22608"/>
    <cellStyle name="Separador de milhares 3 8 2 2 3 2 2 3 2" xfId="48844"/>
    <cellStyle name="Separador de milhares 3 8 2 2 3 2 2 4" xfId="16694"/>
    <cellStyle name="Separador de milhares 3 8 2 2 3 2 2 4 2" xfId="42936"/>
    <cellStyle name="Separador de milhares 3 8 2 2 3 2 2 5" xfId="36550"/>
    <cellStyle name="Separador de milhares 3 8 2 2 3 2 3" xfId="25565"/>
    <cellStyle name="Separador de milhares 3 8 2 2 3 2 3 2" xfId="51798"/>
    <cellStyle name="Separador de milhares 3 8 2 2 3 2 4" xfId="19651"/>
    <cellStyle name="Separador de milhares 3 8 2 2 3 2 4 2" xfId="45890"/>
    <cellStyle name="Separador de milhares 3 8 2 2 3 2 5" xfId="13553"/>
    <cellStyle name="Separador de milhares 3 8 2 2 3 2 5 2" xfId="39795"/>
    <cellStyle name="Separador de milhares 3 8 2 2 3 2 6" xfId="33409"/>
    <cellStyle name="Separador de milhares 3 8 2 2 3 3" xfId="8840"/>
    <cellStyle name="Separador de milhares 3 8 2 2 3 3 2" xfId="27054"/>
    <cellStyle name="Separador de milhares 3 8 2 2 3 3 2 2" xfId="53284"/>
    <cellStyle name="Separador de milhares 3 8 2 2 3 3 3" xfId="21140"/>
    <cellStyle name="Separador de milhares 3 8 2 2 3 3 3 2" xfId="47376"/>
    <cellStyle name="Separador de milhares 3 8 2 2 3 3 4" xfId="15226"/>
    <cellStyle name="Separador de milhares 3 8 2 2 3 3 4 2" xfId="41468"/>
    <cellStyle name="Separador de milhares 3 8 2 2 3 3 5" xfId="35082"/>
    <cellStyle name="Separador de milhares 3 8 2 2 3 4" xfId="5465"/>
    <cellStyle name="Separador de milhares 3 8 2 2 3 4 2" xfId="24097"/>
    <cellStyle name="Separador de milhares 3 8 2 2 3 4 2 2" xfId="50330"/>
    <cellStyle name="Separador de milhares 3 8 2 2 3 4 3" xfId="31710"/>
    <cellStyle name="Separador de milhares 3 8 2 2 3 5" xfId="18183"/>
    <cellStyle name="Separador de milhares 3 8 2 2 3 5 2" xfId="44422"/>
    <cellStyle name="Separador de milhares 3 8 2 2 3 6" xfId="11852"/>
    <cellStyle name="Separador de milhares 3 8 2 2 3 6 2" xfId="38094"/>
    <cellStyle name="Separador de milhares 3 8 2 2 3 7" xfId="30012"/>
    <cellStyle name="Separador de milhares 3 8 2 2 4" xfId="3051"/>
    <cellStyle name="Separador de milhares 3 8 2 2 4 2" xfId="7311"/>
    <cellStyle name="Separador de milhares 3 8 2 2 4 2 2" xfId="10455"/>
    <cellStyle name="Separador de milhares 3 8 2 2 4 2 2 2" xfId="28669"/>
    <cellStyle name="Separador de milhares 3 8 2 2 4 2 2 2 2" xfId="54899"/>
    <cellStyle name="Separador de milhares 3 8 2 2 4 2 2 3" xfId="22755"/>
    <cellStyle name="Separador de milhares 3 8 2 2 4 2 2 3 2" xfId="48991"/>
    <cellStyle name="Separador de milhares 3 8 2 2 4 2 2 4" xfId="16841"/>
    <cellStyle name="Separador de milhares 3 8 2 2 4 2 2 4 2" xfId="43083"/>
    <cellStyle name="Separador de milhares 3 8 2 2 4 2 2 5" xfId="36697"/>
    <cellStyle name="Separador de milhares 3 8 2 2 4 2 3" xfId="25712"/>
    <cellStyle name="Separador de milhares 3 8 2 2 4 2 3 2" xfId="51945"/>
    <cellStyle name="Separador de milhares 3 8 2 2 4 2 4" xfId="19798"/>
    <cellStyle name="Separador de milhares 3 8 2 2 4 2 4 2" xfId="46037"/>
    <cellStyle name="Separador de milhares 3 8 2 2 4 2 5" xfId="13700"/>
    <cellStyle name="Separador de milhares 3 8 2 2 4 2 5 2" xfId="39942"/>
    <cellStyle name="Separador de milhares 3 8 2 2 4 2 6" xfId="33556"/>
    <cellStyle name="Separador de milhares 3 8 2 2 4 3" xfId="8987"/>
    <cellStyle name="Separador de milhares 3 8 2 2 4 3 2" xfId="27201"/>
    <cellStyle name="Separador de milhares 3 8 2 2 4 3 2 2" xfId="53431"/>
    <cellStyle name="Separador de milhares 3 8 2 2 4 3 3" xfId="21287"/>
    <cellStyle name="Separador de milhares 3 8 2 2 4 3 3 2" xfId="47523"/>
    <cellStyle name="Separador de milhares 3 8 2 2 4 3 4" xfId="15373"/>
    <cellStyle name="Separador de milhares 3 8 2 2 4 3 4 2" xfId="41615"/>
    <cellStyle name="Separador de milhares 3 8 2 2 4 3 5" xfId="35229"/>
    <cellStyle name="Separador de milhares 3 8 2 2 4 4" xfId="5612"/>
    <cellStyle name="Separador de milhares 3 8 2 2 4 4 2" xfId="24244"/>
    <cellStyle name="Separador de milhares 3 8 2 2 4 4 2 2" xfId="50477"/>
    <cellStyle name="Separador de milhares 3 8 2 2 4 4 3" xfId="31857"/>
    <cellStyle name="Separador de milhares 3 8 2 2 4 5" xfId="18330"/>
    <cellStyle name="Separador de milhares 3 8 2 2 4 5 2" xfId="44569"/>
    <cellStyle name="Separador de milhares 3 8 2 2 4 6" xfId="11999"/>
    <cellStyle name="Separador de milhares 3 8 2 2 4 6 2" xfId="38241"/>
    <cellStyle name="Separador de milhares 3 8 2 2 4 7" xfId="30159"/>
    <cellStyle name="Separador de milhares 3 8 2 2 5" xfId="3578"/>
    <cellStyle name="Separador de milhares 3 8 2 2 5 2" xfId="7458"/>
    <cellStyle name="Separador de milhares 3 8 2 2 5 2 2" xfId="10602"/>
    <cellStyle name="Separador de milhares 3 8 2 2 5 2 2 2" xfId="28816"/>
    <cellStyle name="Separador de milhares 3 8 2 2 5 2 2 2 2" xfId="55046"/>
    <cellStyle name="Separador de milhares 3 8 2 2 5 2 2 3" xfId="22902"/>
    <cellStyle name="Separador de milhares 3 8 2 2 5 2 2 3 2" xfId="49138"/>
    <cellStyle name="Separador de milhares 3 8 2 2 5 2 2 4" xfId="16988"/>
    <cellStyle name="Separador de milhares 3 8 2 2 5 2 2 4 2" xfId="43230"/>
    <cellStyle name="Separador de milhares 3 8 2 2 5 2 2 5" xfId="36844"/>
    <cellStyle name="Separador de milhares 3 8 2 2 5 2 3" xfId="25859"/>
    <cellStyle name="Separador de milhares 3 8 2 2 5 2 3 2" xfId="52092"/>
    <cellStyle name="Separador de milhares 3 8 2 2 5 2 4" xfId="19945"/>
    <cellStyle name="Separador de milhares 3 8 2 2 5 2 4 2" xfId="46184"/>
    <cellStyle name="Separador de milhares 3 8 2 2 5 2 5" xfId="13847"/>
    <cellStyle name="Separador de milhares 3 8 2 2 5 2 5 2" xfId="40089"/>
    <cellStyle name="Separador de milhares 3 8 2 2 5 2 6" xfId="33703"/>
    <cellStyle name="Separador de milhares 3 8 2 2 5 3" xfId="9134"/>
    <cellStyle name="Separador de milhares 3 8 2 2 5 3 2" xfId="27348"/>
    <cellStyle name="Separador de milhares 3 8 2 2 5 3 2 2" xfId="53578"/>
    <cellStyle name="Separador de milhares 3 8 2 2 5 3 3" xfId="21434"/>
    <cellStyle name="Separador de milhares 3 8 2 2 5 3 3 2" xfId="47670"/>
    <cellStyle name="Separador de milhares 3 8 2 2 5 3 4" xfId="15520"/>
    <cellStyle name="Separador de milhares 3 8 2 2 5 3 4 2" xfId="41762"/>
    <cellStyle name="Separador de milhares 3 8 2 2 5 3 5" xfId="35376"/>
    <cellStyle name="Separador de milhares 3 8 2 2 5 4" xfId="5759"/>
    <cellStyle name="Separador de milhares 3 8 2 2 5 4 2" xfId="24391"/>
    <cellStyle name="Separador de milhares 3 8 2 2 5 4 2 2" xfId="50624"/>
    <cellStyle name="Separador de milhares 3 8 2 2 5 4 3" xfId="32004"/>
    <cellStyle name="Separador de milhares 3 8 2 2 5 5" xfId="18477"/>
    <cellStyle name="Separador de milhares 3 8 2 2 5 5 2" xfId="44716"/>
    <cellStyle name="Separador de milhares 3 8 2 2 5 6" xfId="12146"/>
    <cellStyle name="Separador de milhares 3 8 2 2 5 6 2" xfId="38388"/>
    <cellStyle name="Separador de milhares 3 8 2 2 5 7" xfId="30306"/>
    <cellStyle name="Separador de milhares 3 8 2 2 6" xfId="4105"/>
    <cellStyle name="Separador de milhares 3 8 2 2 6 2" xfId="7605"/>
    <cellStyle name="Separador de milhares 3 8 2 2 6 2 2" xfId="10749"/>
    <cellStyle name="Separador de milhares 3 8 2 2 6 2 2 2" xfId="28963"/>
    <cellStyle name="Separador de milhares 3 8 2 2 6 2 2 2 2" xfId="55193"/>
    <cellStyle name="Separador de milhares 3 8 2 2 6 2 2 3" xfId="23049"/>
    <cellStyle name="Separador de milhares 3 8 2 2 6 2 2 3 2" xfId="49285"/>
    <cellStyle name="Separador de milhares 3 8 2 2 6 2 2 4" xfId="17135"/>
    <cellStyle name="Separador de milhares 3 8 2 2 6 2 2 4 2" xfId="43377"/>
    <cellStyle name="Separador de milhares 3 8 2 2 6 2 2 5" xfId="36991"/>
    <cellStyle name="Separador de milhares 3 8 2 2 6 2 3" xfId="26006"/>
    <cellStyle name="Separador de milhares 3 8 2 2 6 2 3 2" xfId="52239"/>
    <cellStyle name="Separador de milhares 3 8 2 2 6 2 4" xfId="20092"/>
    <cellStyle name="Separador de milhares 3 8 2 2 6 2 4 2" xfId="46331"/>
    <cellStyle name="Separador de milhares 3 8 2 2 6 2 5" xfId="13994"/>
    <cellStyle name="Separador de milhares 3 8 2 2 6 2 5 2" xfId="40236"/>
    <cellStyle name="Separador de milhares 3 8 2 2 6 2 6" xfId="33850"/>
    <cellStyle name="Separador de milhares 3 8 2 2 6 3" xfId="9281"/>
    <cellStyle name="Separador de milhares 3 8 2 2 6 3 2" xfId="27495"/>
    <cellStyle name="Separador de milhares 3 8 2 2 6 3 2 2" xfId="53725"/>
    <cellStyle name="Separador de milhares 3 8 2 2 6 3 3" xfId="21581"/>
    <cellStyle name="Separador de milhares 3 8 2 2 6 3 3 2" xfId="47817"/>
    <cellStyle name="Separador de milhares 3 8 2 2 6 3 4" xfId="15667"/>
    <cellStyle name="Separador de milhares 3 8 2 2 6 3 4 2" xfId="41909"/>
    <cellStyle name="Separador de milhares 3 8 2 2 6 3 5" xfId="35523"/>
    <cellStyle name="Separador de milhares 3 8 2 2 6 4" xfId="5906"/>
    <cellStyle name="Separador de milhares 3 8 2 2 6 4 2" xfId="24538"/>
    <cellStyle name="Separador de milhares 3 8 2 2 6 4 2 2" xfId="50771"/>
    <cellStyle name="Separador de milhares 3 8 2 2 6 4 3" xfId="32151"/>
    <cellStyle name="Separador de milhares 3 8 2 2 6 5" xfId="18624"/>
    <cellStyle name="Separador de milhares 3 8 2 2 6 5 2" xfId="44863"/>
    <cellStyle name="Separador de milhares 3 8 2 2 6 6" xfId="12293"/>
    <cellStyle name="Separador de milhares 3 8 2 2 6 6 2" xfId="38535"/>
    <cellStyle name="Separador de milhares 3 8 2 2 6 7" xfId="30453"/>
    <cellStyle name="Separador de milhares 3 8 2 2 7" xfId="6576"/>
    <cellStyle name="Separador de milhares 3 8 2 2 7 2" xfId="9723"/>
    <cellStyle name="Separador de milhares 3 8 2 2 7 2 2" xfId="27937"/>
    <cellStyle name="Separador de milhares 3 8 2 2 7 2 2 2" xfId="54167"/>
    <cellStyle name="Separador de milhares 3 8 2 2 7 2 3" xfId="22023"/>
    <cellStyle name="Separador de milhares 3 8 2 2 7 2 3 2" xfId="48259"/>
    <cellStyle name="Separador de milhares 3 8 2 2 7 2 4" xfId="16109"/>
    <cellStyle name="Separador de milhares 3 8 2 2 7 2 4 2" xfId="42351"/>
    <cellStyle name="Separador de milhares 3 8 2 2 7 2 5" xfId="35965"/>
    <cellStyle name="Separador de milhares 3 8 2 2 7 3" xfId="24980"/>
    <cellStyle name="Separador de milhares 3 8 2 2 7 3 2" xfId="51213"/>
    <cellStyle name="Separador de milhares 3 8 2 2 7 4" xfId="19066"/>
    <cellStyle name="Separador de milhares 3 8 2 2 7 4 2" xfId="45305"/>
    <cellStyle name="Separador de milhares 3 8 2 2 7 5" xfId="12965"/>
    <cellStyle name="Separador de milhares 3 8 2 2 7 5 2" xfId="39207"/>
    <cellStyle name="Separador de milhares 3 8 2 2 7 6" xfId="32821"/>
    <cellStyle name="Separador de milhares 3 8 2 2 8" xfId="8252"/>
    <cellStyle name="Separador de milhares 3 8 2 2 8 2" xfId="26466"/>
    <cellStyle name="Separador de milhares 3 8 2 2 8 2 2" xfId="52699"/>
    <cellStyle name="Separador de milhares 3 8 2 2 8 3" xfId="20552"/>
    <cellStyle name="Separador de milhares 3 8 2 2 8 3 2" xfId="46791"/>
    <cellStyle name="Separador de milhares 3 8 2 2 8 4" xfId="14641"/>
    <cellStyle name="Separador de milhares 3 8 2 2 8 4 2" xfId="40883"/>
    <cellStyle name="Separador de milhares 3 8 2 2 8 5" xfId="34497"/>
    <cellStyle name="Separador de milhares 3 8 2 2 9" xfId="4875"/>
    <cellStyle name="Separador de milhares 3 8 2 2 9 2" xfId="23509"/>
    <cellStyle name="Separador de milhares 3 8 2 2 9 2 2" xfId="49745"/>
    <cellStyle name="Separador de milhares 3 8 2 2 9 3" xfId="31122"/>
    <cellStyle name="Separador de milhares 3 8 2 3" xfId="948"/>
    <cellStyle name="Separador de milhares 3 8 2 3 2" xfId="6727"/>
    <cellStyle name="Separador de milhares 3 8 2 3 2 2" xfId="9874"/>
    <cellStyle name="Separador de milhares 3 8 2 3 2 2 2" xfId="28088"/>
    <cellStyle name="Separador de milhares 3 8 2 3 2 2 2 2" xfId="54318"/>
    <cellStyle name="Separador de milhares 3 8 2 3 2 2 3" xfId="22174"/>
    <cellStyle name="Separador de milhares 3 8 2 3 2 2 3 2" xfId="48410"/>
    <cellStyle name="Separador de milhares 3 8 2 3 2 2 4" xfId="16260"/>
    <cellStyle name="Separador de milhares 3 8 2 3 2 2 4 2" xfId="42502"/>
    <cellStyle name="Separador de milhares 3 8 2 3 2 2 5" xfId="36116"/>
    <cellStyle name="Separador de milhares 3 8 2 3 2 3" xfId="25131"/>
    <cellStyle name="Separador de milhares 3 8 2 3 2 3 2" xfId="51364"/>
    <cellStyle name="Separador de milhares 3 8 2 3 2 4" xfId="19217"/>
    <cellStyle name="Separador de milhares 3 8 2 3 2 4 2" xfId="45456"/>
    <cellStyle name="Separador de milhares 3 8 2 3 2 5" xfId="13116"/>
    <cellStyle name="Separador de milhares 3 8 2 3 2 5 2" xfId="39358"/>
    <cellStyle name="Separador de milhares 3 8 2 3 2 6" xfId="32972"/>
    <cellStyle name="Separador de milhares 3 8 2 3 3" xfId="8406"/>
    <cellStyle name="Separador de milhares 3 8 2 3 3 2" xfId="26620"/>
    <cellStyle name="Separador de milhares 3 8 2 3 3 2 2" xfId="52850"/>
    <cellStyle name="Separador de milhares 3 8 2 3 3 3" xfId="20706"/>
    <cellStyle name="Separador de milhares 3 8 2 3 3 3 2" xfId="46942"/>
    <cellStyle name="Separador de milhares 3 8 2 3 3 4" xfId="14792"/>
    <cellStyle name="Separador de milhares 3 8 2 3 3 4 2" xfId="41034"/>
    <cellStyle name="Separador de milhares 3 8 2 3 3 5" xfId="34648"/>
    <cellStyle name="Separador de milhares 3 8 2 3 4" xfId="5028"/>
    <cellStyle name="Separador de milhares 3 8 2 3 4 2" xfId="23663"/>
    <cellStyle name="Separador de milhares 3 8 2 3 4 2 2" xfId="49896"/>
    <cellStyle name="Separador de milhares 3 8 2 3 4 3" xfId="31273"/>
    <cellStyle name="Separador de milhares 3 8 2 3 5" xfId="17749"/>
    <cellStyle name="Separador de milhares 3 8 2 3 5 2" xfId="43988"/>
    <cellStyle name="Separador de milhares 3 8 2 3 6" xfId="11415"/>
    <cellStyle name="Separador de milhares 3 8 2 3 6 2" xfId="37657"/>
    <cellStyle name="Separador de milhares 3 8 2 3 7" xfId="29575"/>
    <cellStyle name="Separador de milhares 3 8 2 4" xfId="1299"/>
    <cellStyle name="Separador de milhares 3 8 2 4 2" xfId="6825"/>
    <cellStyle name="Separador de milhares 3 8 2 4 2 2" xfId="9972"/>
    <cellStyle name="Separador de milhares 3 8 2 4 2 2 2" xfId="28186"/>
    <cellStyle name="Separador de milhares 3 8 2 4 2 2 2 2" xfId="54416"/>
    <cellStyle name="Separador de milhares 3 8 2 4 2 2 3" xfId="22272"/>
    <cellStyle name="Separador de milhares 3 8 2 4 2 2 3 2" xfId="48508"/>
    <cellStyle name="Separador de milhares 3 8 2 4 2 2 4" xfId="16358"/>
    <cellStyle name="Separador de milhares 3 8 2 4 2 2 4 2" xfId="42600"/>
    <cellStyle name="Separador de milhares 3 8 2 4 2 2 5" xfId="36214"/>
    <cellStyle name="Separador de milhares 3 8 2 4 2 3" xfId="25229"/>
    <cellStyle name="Separador de milhares 3 8 2 4 2 3 2" xfId="51462"/>
    <cellStyle name="Separador de milhares 3 8 2 4 2 4" xfId="19315"/>
    <cellStyle name="Separador de milhares 3 8 2 4 2 4 2" xfId="45554"/>
    <cellStyle name="Separador de milhares 3 8 2 4 2 5" xfId="13214"/>
    <cellStyle name="Separador de milhares 3 8 2 4 2 5 2" xfId="39456"/>
    <cellStyle name="Separador de milhares 3 8 2 4 2 6" xfId="33070"/>
    <cellStyle name="Separador de milhares 3 8 2 4 3" xfId="8504"/>
    <cellStyle name="Separador de milhares 3 8 2 4 3 2" xfId="26718"/>
    <cellStyle name="Separador de milhares 3 8 2 4 3 2 2" xfId="52948"/>
    <cellStyle name="Separador de milhares 3 8 2 4 3 3" xfId="20804"/>
    <cellStyle name="Separador de milhares 3 8 2 4 3 3 2" xfId="47040"/>
    <cellStyle name="Separador de milhares 3 8 2 4 3 4" xfId="14890"/>
    <cellStyle name="Separador de milhares 3 8 2 4 3 4 2" xfId="41132"/>
    <cellStyle name="Separador de milhares 3 8 2 4 3 5" xfId="34746"/>
    <cellStyle name="Separador de milhares 3 8 2 4 4" xfId="5126"/>
    <cellStyle name="Separador de milhares 3 8 2 4 4 2" xfId="23761"/>
    <cellStyle name="Separador de milhares 3 8 2 4 4 2 2" xfId="49994"/>
    <cellStyle name="Separador de milhares 3 8 2 4 4 3" xfId="31371"/>
    <cellStyle name="Separador de milhares 3 8 2 4 5" xfId="17847"/>
    <cellStyle name="Separador de milhares 3 8 2 4 5 2" xfId="44086"/>
    <cellStyle name="Separador de milhares 3 8 2 4 6" xfId="11513"/>
    <cellStyle name="Separador de milhares 3 8 2 4 6 2" xfId="37755"/>
    <cellStyle name="Separador de milhares 3 8 2 4 7" xfId="29673"/>
    <cellStyle name="Separador de milhares 3 8 2 5" xfId="1734"/>
    <cellStyle name="Separador de milhares 3 8 2 5 2" xfId="6944"/>
    <cellStyle name="Separador de milhares 3 8 2 5 2 2" xfId="10091"/>
    <cellStyle name="Separador de milhares 3 8 2 5 2 2 2" xfId="28305"/>
    <cellStyle name="Separador de milhares 3 8 2 5 2 2 2 2" xfId="54535"/>
    <cellStyle name="Separador de milhares 3 8 2 5 2 2 3" xfId="22391"/>
    <cellStyle name="Separador de milhares 3 8 2 5 2 2 3 2" xfId="48627"/>
    <cellStyle name="Separador de milhares 3 8 2 5 2 2 4" xfId="16477"/>
    <cellStyle name="Separador de milhares 3 8 2 5 2 2 4 2" xfId="42719"/>
    <cellStyle name="Separador de milhares 3 8 2 5 2 2 5" xfId="36333"/>
    <cellStyle name="Separador de milhares 3 8 2 5 2 3" xfId="25348"/>
    <cellStyle name="Separador de milhares 3 8 2 5 2 3 2" xfId="51581"/>
    <cellStyle name="Separador de milhares 3 8 2 5 2 4" xfId="19434"/>
    <cellStyle name="Separador de milhares 3 8 2 5 2 4 2" xfId="45673"/>
    <cellStyle name="Separador de milhares 3 8 2 5 2 5" xfId="13333"/>
    <cellStyle name="Separador de milhares 3 8 2 5 2 5 2" xfId="39575"/>
    <cellStyle name="Separador de milhares 3 8 2 5 2 6" xfId="33189"/>
    <cellStyle name="Separador de milhares 3 8 2 5 3" xfId="8623"/>
    <cellStyle name="Separador de milhares 3 8 2 5 3 2" xfId="26837"/>
    <cellStyle name="Separador de milhares 3 8 2 5 3 2 2" xfId="53067"/>
    <cellStyle name="Separador de milhares 3 8 2 5 3 3" xfId="20923"/>
    <cellStyle name="Separador de milhares 3 8 2 5 3 3 2" xfId="47159"/>
    <cellStyle name="Separador de milhares 3 8 2 5 3 4" xfId="15009"/>
    <cellStyle name="Separador de milhares 3 8 2 5 3 4 2" xfId="41251"/>
    <cellStyle name="Separador de milhares 3 8 2 5 3 5" xfId="34865"/>
    <cellStyle name="Separador de milhares 3 8 2 5 4" xfId="5245"/>
    <cellStyle name="Separador de milhares 3 8 2 5 4 2" xfId="23880"/>
    <cellStyle name="Separador de milhares 3 8 2 5 4 2 2" xfId="50113"/>
    <cellStyle name="Separador de milhares 3 8 2 5 4 3" xfId="31490"/>
    <cellStyle name="Separador de milhares 3 8 2 5 5" xfId="17966"/>
    <cellStyle name="Separador de milhares 3 8 2 5 5 2" xfId="44205"/>
    <cellStyle name="Separador de milhares 3 8 2 5 6" xfId="11632"/>
    <cellStyle name="Separador de milhares 3 8 2 5 6 2" xfId="37874"/>
    <cellStyle name="Separador de milhares 3 8 2 5 7" xfId="29792"/>
    <cellStyle name="Separador de milhares 3 8 2 6" xfId="2264"/>
    <cellStyle name="Separador de milhares 3 8 2 6 2" xfId="7094"/>
    <cellStyle name="Separador de milhares 3 8 2 6 2 2" xfId="10238"/>
    <cellStyle name="Separador de milhares 3 8 2 6 2 2 2" xfId="28452"/>
    <cellStyle name="Separador de milhares 3 8 2 6 2 2 2 2" xfId="54682"/>
    <cellStyle name="Separador de milhares 3 8 2 6 2 2 3" xfId="22538"/>
    <cellStyle name="Separador de milhares 3 8 2 6 2 2 3 2" xfId="48774"/>
    <cellStyle name="Separador de milhares 3 8 2 6 2 2 4" xfId="16624"/>
    <cellStyle name="Separador de milhares 3 8 2 6 2 2 4 2" xfId="42866"/>
    <cellStyle name="Separador de milhares 3 8 2 6 2 2 5" xfId="36480"/>
    <cellStyle name="Separador de milhares 3 8 2 6 2 3" xfId="25495"/>
    <cellStyle name="Separador de milhares 3 8 2 6 2 3 2" xfId="51728"/>
    <cellStyle name="Separador de milhares 3 8 2 6 2 4" xfId="19581"/>
    <cellStyle name="Separador de milhares 3 8 2 6 2 4 2" xfId="45820"/>
    <cellStyle name="Separador de milhares 3 8 2 6 2 5" xfId="13483"/>
    <cellStyle name="Separador de milhares 3 8 2 6 2 5 2" xfId="39725"/>
    <cellStyle name="Separador de milhares 3 8 2 6 2 6" xfId="33339"/>
    <cellStyle name="Separador de milhares 3 8 2 6 3" xfId="8770"/>
    <cellStyle name="Separador de milhares 3 8 2 6 3 2" xfId="26984"/>
    <cellStyle name="Separador de milhares 3 8 2 6 3 2 2" xfId="53214"/>
    <cellStyle name="Separador de milhares 3 8 2 6 3 3" xfId="21070"/>
    <cellStyle name="Separador de milhares 3 8 2 6 3 3 2" xfId="47306"/>
    <cellStyle name="Separador de milhares 3 8 2 6 3 4" xfId="15156"/>
    <cellStyle name="Separador de milhares 3 8 2 6 3 4 2" xfId="41398"/>
    <cellStyle name="Separador de milhares 3 8 2 6 3 5" xfId="35012"/>
    <cellStyle name="Separador de milhares 3 8 2 6 4" xfId="5395"/>
    <cellStyle name="Separador de milhares 3 8 2 6 4 2" xfId="24027"/>
    <cellStyle name="Separador de milhares 3 8 2 6 4 2 2" xfId="50260"/>
    <cellStyle name="Separador de milhares 3 8 2 6 4 3" xfId="31640"/>
    <cellStyle name="Separador de milhares 3 8 2 6 5" xfId="18113"/>
    <cellStyle name="Separador de milhares 3 8 2 6 5 2" xfId="44352"/>
    <cellStyle name="Separador de milhares 3 8 2 6 6" xfId="11782"/>
    <cellStyle name="Separador de milhares 3 8 2 6 6 2" xfId="38024"/>
    <cellStyle name="Separador de milhares 3 8 2 6 7" xfId="29942"/>
    <cellStyle name="Separador de milhares 3 8 2 7" xfId="2791"/>
    <cellStyle name="Separador de milhares 3 8 2 7 2" xfId="7241"/>
    <cellStyle name="Separador de milhares 3 8 2 7 2 2" xfId="10385"/>
    <cellStyle name="Separador de milhares 3 8 2 7 2 2 2" xfId="28599"/>
    <cellStyle name="Separador de milhares 3 8 2 7 2 2 2 2" xfId="54829"/>
    <cellStyle name="Separador de milhares 3 8 2 7 2 2 3" xfId="22685"/>
    <cellStyle name="Separador de milhares 3 8 2 7 2 2 3 2" xfId="48921"/>
    <cellStyle name="Separador de milhares 3 8 2 7 2 2 4" xfId="16771"/>
    <cellStyle name="Separador de milhares 3 8 2 7 2 2 4 2" xfId="43013"/>
    <cellStyle name="Separador de milhares 3 8 2 7 2 2 5" xfId="36627"/>
    <cellStyle name="Separador de milhares 3 8 2 7 2 3" xfId="25642"/>
    <cellStyle name="Separador de milhares 3 8 2 7 2 3 2" xfId="51875"/>
    <cellStyle name="Separador de milhares 3 8 2 7 2 4" xfId="19728"/>
    <cellStyle name="Separador de milhares 3 8 2 7 2 4 2" xfId="45967"/>
    <cellStyle name="Separador de milhares 3 8 2 7 2 5" xfId="13630"/>
    <cellStyle name="Separador de milhares 3 8 2 7 2 5 2" xfId="39872"/>
    <cellStyle name="Separador de milhares 3 8 2 7 2 6" xfId="33486"/>
    <cellStyle name="Separador de milhares 3 8 2 7 3" xfId="8917"/>
    <cellStyle name="Separador de milhares 3 8 2 7 3 2" xfId="27131"/>
    <cellStyle name="Separador de milhares 3 8 2 7 3 2 2" xfId="53361"/>
    <cellStyle name="Separador de milhares 3 8 2 7 3 3" xfId="21217"/>
    <cellStyle name="Separador de milhares 3 8 2 7 3 3 2" xfId="47453"/>
    <cellStyle name="Separador de milhares 3 8 2 7 3 4" xfId="15303"/>
    <cellStyle name="Separador de milhares 3 8 2 7 3 4 2" xfId="41545"/>
    <cellStyle name="Separador de milhares 3 8 2 7 3 5" xfId="35159"/>
    <cellStyle name="Separador de milhares 3 8 2 7 4" xfId="5542"/>
    <cellStyle name="Separador de milhares 3 8 2 7 4 2" xfId="24174"/>
    <cellStyle name="Separador de milhares 3 8 2 7 4 2 2" xfId="50407"/>
    <cellStyle name="Separador de milhares 3 8 2 7 4 3" xfId="31787"/>
    <cellStyle name="Separador de milhares 3 8 2 7 5" xfId="18260"/>
    <cellStyle name="Separador de milhares 3 8 2 7 5 2" xfId="44499"/>
    <cellStyle name="Separador de milhares 3 8 2 7 6" xfId="11929"/>
    <cellStyle name="Separador de milhares 3 8 2 7 6 2" xfId="38171"/>
    <cellStyle name="Separador de milhares 3 8 2 7 7" xfId="30089"/>
    <cellStyle name="Separador de milhares 3 8 2 8" xfId="3318"/>
    <cellStyle name="Separador de milhares 3 8 2 8 2" xfId="7388"/>
    <cellStyle name="Separador de milhares 3 8 2 8 2 2" xfId="10532"/>
    <cellStyle name="Separador de milhares 3 8 2 8 2 2 2" xfId="28746"/>
    <cellStyle name="Separador de milhares 3 8 2 8 2 2 2 2" xfId="54976"/>
    <cellStyle name="Separador de milhares 3 8 2 8 2 2 3" xfId="22832"/>
    <cellStyle name="Separador de milhares 3 8 2 8 2 2 3 2" xfId="49068"/>
    <cellStyle name="Separador de milhares 3 8 2 8 2 2 4" xfId="16918"/>
    <cellStyle name="Separador de milhares 3 8 2 8 2 2 4 2" xfId="43160"/>
    <cellStyle name="Separador de milhares 3 8 2 8 2 2 5" xfId="36774"/>
    <cellStyle name="Separador de milhares 3 8 2 8 2 3" xfId="25789"/>
    <cellStyle name="Separador de milhares 3 8 2 8 2 3 2" xfId="52022"/>
    <cellStyle name="Separador de milhares 3 8 2 8 2 4" xfId="19875"/>
    <cellStyle name="Separador de milhares 3 8 2 8 2 4 2" xfId="46114"/>
    <cellStyle name="Separador de milhares 3 8 2 8 2 5" xfId="13777"/>
    <cellStyle name="Separador de milhares 3 8 2 8 2 5 2" xfId="40019"/>
    <cellStyle name="Separador de milhares 3 8 2 8 2 6" xfId="33633"/>
    <cellStyle name="Separador de milhares 3 8 2 8 3" xfId="9064"/>
    <cellStyle name="Separador de milhares 3 8 2 8 3 2" xfId="27278"/>
    <cellStyle name="Separador de milhares 3 8 2 8 3 2 2" xfId="53508"/>
    <cellStyle name="Separador de milhares 3 8 2 8 3 3" xfId="21364"/>
    <cellStyle name="Separador de milhares 3 8 2 8 3 3 2" xfId="47600"/>
    <cellStyle name="Separador de milhares 3 8 2 8 3 4" xfId="15450"/>
    <cellStyle name="Separador de milhares 3 8 2 8 3 4 2" xfId="41692"/>
    <cellStyle name="Separador de milhares 3 8 2 8 3 5" xfId="35306"/>
    <cellStyle name="Separador de milhares 3 8 2 8 4" xfId="5689"/>
    <cellStyle name="Separador de milhares 3 8 2 8 4 2" xfId="24321"/>
    <cellStyle name="Separador de milhares 3 8 2 8 4 2 2" xfId="50554"/>
    <cellStyle name="Separador de milhares 3 8 2 8 4 3" xfId="31934"/>
    <cellStyle name="Separador de milhares 3 8 2 8 5" xfId="18407"/>
    <cellStyle name="Separador de milhares 3 8 2 8 5 2" xfId="44646"/>
    <cellStyle name="Separador de milhares 3 8 2 8 6" xfId="12076"/>
    <cellStyle name="Separador de milhares 3 8 2 8 6 2" xfId="38318"/>
    <cellStyle name="Separador de milhares 3 8 2 8 7" xfId="30236"/>
    <cellStyle name="Separador de milhares 3 8 2 9" xfId="3845"/>
    <cellStyle name="Separador de milhares 3 8 2 9 2" xfId="7535"/>
    <cellStyle name="Separador de milhares 3 8 2 9 2 2" xfId="10679"/>
    <cellStyle name="Separador de milhares 3 8 2 9 2 2 2" xfId="28893"/>
    <cellStyle name="Separador de milhares 3 8 2 9 2 2 2 2" xfId="55123"/>
    <cellStyle name="Separador de milhares 3 8 2 9 2 2 3" xfId="22979"/>
    <cellStyle name="Separador de milhares 3 8 2 9 2 2 3 2" xfId="49215"/>
    <cellStyle name="Separador de milhares 3 8 2 9 2 2 4" xfId="17065"/>
    <cellStyle name="Separador de milhares 3 8 2 9 2 2 4 2" xfId="43307"/>
    <cellStyle name="Separador de milhares 3 8 2 9 2 2 5" xfId="36921"/>
    <cellStyle name="Separador de milhares 3 8 2 9 2 3" xfId="25936"/>
    <cellStyle name="Separador de milhares 3 8 2 9 2 3 2" xfId="52169"/>
    <cellStyle name="Separador de milhares 3 8 2 9 2 4" xfId="20022"/>
    <cellStyle name="Separador de milhares 3 8 2 9 2 4 2" xfId="46261"/>
    <cellStyle name="Separador de milhares 3 8 2 9 2 5" xfId="13924"/>
    <cellStyle name="Separador de milhares 3 8 2 9 2 5 2" xfId="40166"/>
    <cellStyle name="Separador de milhares 3 8 2 9 2 6" xfId="33780"/>
    <cellStyle name="Separador de milhares 3 8 2 9 3" xfId="9211"/>
    <cellStyle name="Separador de milhares 3 8 2 9 3 2" xfId="27425"/>
    <cellStyle name="Separador de milhares 3 8 2 9 3 2 2" xfId="53655"/>
    <cellStyle name="Separador de milhares 3 8 2 9 3 3" xfId="21511"/>
    <cellStyle name="Separador de milhares 3 8 2 9 3 3 2" xfId="47747"/>
    <cellStyle name="Separador de milhares 3 8 2 9 3 4" xfId="15597"/>
    <cellStyle name="Separador de milhares 3 8 2 9 3 4 2" xfId="41839"/>
    <cellStyle name="Separador de milhares 3 8 2 9 3 5" xfId="35453"/>
    <cellStyle name="Separador de milhares 3 8 2 9 4" xfId="5836"/>
    <cellStyle name="Separador de milhares 3 8 2 9 4 2" xfId="24468"/>
    <cellStyle name="Separador de milhares 3 8 2 9 4 2 2" xfId="50701"/>
    <cellStyle name="Separador de milhares 3 8 2 9 4 3" xfId="32081"/>
    <cellStyle name="Separador de milhares 3 8 2 9 5" xfId="18554"/>
    <cellStyle name="Separador de milhares 3 8 2 9 5 2" xfId="44793"/>
    <cellStyle name="Separador de milhares 3 8 2 9 6" xfId="12223"/>
    <cellStyle name="Separador de milhares 3 8 2 9 6 2" xfId="38465"/>
    <cellStyle name="Separador de milhares 3 8 2 9 7" xfId="30383"/>
    <cellStyle name="Separador de milhares 3 8 3" xfId="297"/>
    <cellStyle name="Separador de milhares 3 8 3 10" xfId="6526"/>
    <cellStyle name="Separador de milhares 3 8 3 10 2" xfId="9677"/>
    <cellStyle name="Separador de milhares 3 8 3 10 2 2" xfId="27891"/>
    <cellStyle name="Separador de milhares 3 8 3 10 2 2 2" xfId="54121"/>
    <cellStyle name="Separador de milhares 3 8 3 10 2 3" xfId="21977"/>
    <cellStyle name="Separador de milhares 3 8 3 10 2 3 2" xfId="48213"/>
    <cellStyle name="Separador de milhares 3 8 3 10 2 4" xfId="16063"/>
    <cellStyle name="Separador de milhares 3 8 3 10 2 4 2" xfId="42305"/>
    <cellStyle name="Separador de milhares 3 8 3 10 2 5" xfId="35919"/>
    <cellStyle name="Separador de milhares 3 8 3 10 3" xfId="24934"/>
    <cellStyle name="Separador de milhares 3 8 3 10 3 2" xfId="51167"/>
    <cellStyle name="Separador de milhares 3 8 3 10 4" xfId="19020"/>
    <cellStyle name="Separador de milhares 3 8 3 10 4 2" xfId="45259"/>
    <cellStyle name="Separador de milhares 3 8 3 10 5" xfId="12915"/>
    <cellStyle name="Separador de milhares 3 8 3 10 5 2" xfId="39157"/>
    <cellStyle name="Separador de milhares 3 8 3 10 6" xfId="32771"/>
    <cellStyle name="Separador de milhares 3 8 3 11" xfId="8206"/>
    <cellStyle name="Separador de milhares 3 8 3 11 2" xfId="26420"/>
    <cellStyle name="Separador de milhares 3 8 3 11 2 2" xfId="52653"/>
    <cellStyle name="Separador de milhares 3 8 3 11 3" xfId="20506"/>
    <cellStyle name="Separador de milhares 3 8 3 11 3 2" xfId="46745"/>
    <cellStyle name="Separador de milhares 3 8 3 11 4" xfId="14595"/>
    <cellStyle name="Separador de milhares 3 8 3 11 4 2" xfId="40837"/>
    <cellStyle name="Separador de milhares 3 8 3 11 5" xfId="34451"/>
    <cellStyle name="Separador de milhares 3 8 3 12" xfId="4825"/>
    <cellStyle name="Separador de milhares 3 8 3 12 2" xfId="23463"/>
    <cellStyle name="Separador de milhares 3 8 3 12 2 2" xfId="49699"/>
    <cellStyle name="Separador de milhares 3 8 3 12 3" xfId="31072"/>
    <cellStyle name="Separador de milhares 3 8 3 13" xfId="17549"/>
    <cellStyle name="Separador de milhares 3 8 3 13 2" xfId="43791"/>
    <cellStyle name="Separador de milhares 3 8 3 14" xfId="11214"/>
    <cellStyle name="Separador de milhares 3 8 3 14 2" xfId="37456"/>
    <cellStyle name="Separador de milhares 3 8 3 15" xfId="29374"/>
    <cellStyle name="Separador de milhares 3 8 3 2" xfId="560"/>
    <cellStyle name="Separador de milhares 3 8 3 2 2" xfId="6597"/>
    <cellStyle name="Separador de milhares 3 8 3 2 2 2" xfId="9744"/>
    <cellStyle name="Separador de milhares 3 8 3 2 2 2 2" xfId="27958"/>
    <cellStyle name="Separador de milhares 3 8 3 2 2 2 2 2" xfId="54188"/>
    <cellStyle name="Separador de milhares 3 8 3 2 2 2 3" xfId="22044"/>
    <cellStyle name="Separador de milhares 3 8 3 2 2 2 3 2" xfId="48280"/>
    <cellStyle name="Separador de milhares 3 8 3 2 2 2 4" xfId="16130"/>
    <cellStyle name="Separador de milhares 3 8 3 2 2 2 4 2" xfId="42372"/>
    <cellStyle name="Separador de milhares 3 8 3 2 2 2 5" xfId="35986"/>
    <cellStyle name="Separador de milhares 3 8 3 2 2 3" xfId="25001"/>
    <cellStyle name="Separador de milhares 3 8 3 2 2 3 2" xfId="51234"/>
    <cellStyle name="Separador de milhares 3 8 3 2 2 4" xfId="19087"/>
    <cellStyle name="Separador de milhares 3 8 3 2 2 4 2" xfId="45326"/>
    <cellStyle name="Separador de milhares 3 8 3 2 2 5" xfId="12986"/>
    <cellStyle name="Separador de milhares 3 8 3 2 2 5 2" xfId="39228"/>
    <cellStyle name="Separador de milhares 3 8 3 2 2 6" xfId="32842"/>
    <cellStyle name="Separador de milhares 3 8 3 2 3" xfId="8273"/>
    <cellStyle name="Separador de milhares 3 8 3 2 3 2" xfId="26487"/>
    <cellStyle name="Separador de milhares 3 8 3 2 3 2 2" xfId="52720"/>
    <cellStyle name="Separador de milhares 3 8 3 2 3 3" xfId="20573"/>
    <cellStyle name="Separador de milhares 3 8 3 2 3 3 2" xfId="46812"/>
    <cellStyle name="Separador de milhares 3 8 3 2 3 4" xfId="14662"/>
    <cellStyle name="Separador de milhares 3 8 3 2 3 4 2" xfId="40904"/>
    <cellStyle name="Separador de milhares 3 8 3 2 3 5" xfId="34518"/>
    <cellStyle name="Separador de milhares 3 8 3 2 4" xfId="4896"/>
    <cellStyle name="Separador de milhares 3 8 3 2 4 2" xfId="23530"/>
    <cellStyle name="Separador de milhares 3 8 3 2 4 2 2" xfId="49766"/>
    <cellStyle name="Separador de milhares 3 8 3 2 4 3" xfId="31143"/>
    <cellStyle name="Separador de milhares 3 8 3 2 5" xfId="17616"/>
    <cellStyle name="Separador de milhares 3 8 3 2 5 2" xfId="43858"/>
    <cellStyle name="Separador de milhares 3 8 3 2 6" xfId="11285"/>
    <cellStyle name="Separador de milhares 3 8 3 2 6 2" xfId="37527"/>
    <cellStyle name="Separador de milhares 3 8 3 2 7" xfId="29445"/>
    <cellStyle name="Separador de milhares 3 8 3 3" xfId="857"/>
    <cellStyle name="Separador de milhares 3 8 3 3 2" xfId="6699"/>
    <cellStyle name="Separador de milhares 3 8 3 3 2 2" xfId="9846"/>
    <cellStyle name="Separador de milhares 3 8 3 3 2 2 2" xfId="28060"/>
    <cellStyle name="Separador de milhares 3 8 3 3 2 2 2 2" xfId="54290"/>
    <cellStyle name="Separador de milhares 3 8 3 3 2 2 3" xfId="22146"/>
    <cellStyle name="Separador de milhares 3 8 3 3 2 2 3 2" xfId="48382"/>
    <cellStyle name="Separador de milhares 3 8 3 3 2 2 4" xfId="16232"/>
    <cellStyle name="Separador de milhares 3 8 3 3 2 2 4 2" xfId="42474"/>
    <cellStyle name="Separador de milhares 3 8 3 3 2 2 5" xfId="36088"/>
    <cellStyle name="Separador de milhares 3 8 3 3 2 3" xfId="25103"/>
    <cellStyle name="Separador de milhares 3 8 3 3 2 3 2" xfId="51336"/>
    <cellStyle name="Separador de milhares 3 8 3 3 2 4" xfId="19189"/>
    <cellStyle name="Separador de milhares 3 8 3 3 2 4 2" xfId="45428"/>
    <cellStyle name="Separador de milhares 3 8 3 3 2 5" xfId="13088"/>
    <cellStyle name="Separador de milhares 3 8 3 3 2 5 2" xfId="39330"/>
    <cellStyle name="Separador de milhares 3 8 3 3 2 6" xfId="32944"/>
    <cellStyle name="Separador de milhares 3 8 3 3 3" xfId="8378"/>
    <cellStyle name="Separador de milhares 3 8 3 3 3 2" xfId="26592"/>
    <cellStyle name="Separador de milhares 3 8 3 3 3 2 2" xfId="52822"/>
    <cellStyle name="Separador de milhares 3 8 3 3 3 3" xfId="20678"/>
    <cellStyle name="Separador de milhares 3 8 3 3 3 3 2" xfId="46914"/>
    <cellStyle name="Separador de milhares 3 8 3 3 3 4" xfId="14764"/>
    <cellStyle name="Separador de milhares 3 8 3 3 3 4 2" xfId="41006"/>
    <cellStyle name="Separador de milhares 3 8 3 3 3 5" xfId="34620"/>
    <cellStyle name="Separador de milhares 3 8 3 3 4" xfId="5000"/>
    <cellStyle name="Separador de milhares 3 8 3 3 4 2" xfId="23635"/>
    <cellStyle name="Separador de milhares 3 8 3 3 4 2 2" xfId="49868"/>
    <cellStyle name="Separador de milhares 3 8 3 3 4 3" xfId="31245"/>
    <cellStyle name="Separador de milhares 3 8 3 3 5" xfId="17721"/>
    <cellStyle name="Separador de milhares 3 8 3 3 5 2" xfId="43960"/>
    <cellStyle name="Separador de milhares 3 8 3 3 6" xfId="11387"/>
    <cellStyle name="Separador de milhares 3 8 3 3 6 2" xfId="37629"/>
    <cellStyle name="Separador de milhares 3 8 3 3 7" xfId="29547"/>
    <cellStyle name="Separador de milhares 3 8 3 4" xfId="1208"/>
    <cellStyle name="Separador de milhares 3 8 3 4 2" xfId="6797"/>
    <cellStyle name="Separador de milhares 3 8 3 4 2 2" xfId="9944"/>
    <cellStyle name="Separador de milhares 3 8 3 4 2 2 2" xfId="28158"/>
    <cellStyle name="Separador de milhares 3 8 3 4 2 2 2 2" xfId="54388"/>
    <cellStyle name="Separador de milhares 3 8 3 4 2 2 3" xfId="22244"/>
    <cellStyle name="Separador de milhares 3 8 3 4 2 2 3 2" xfId="48480"/>
    <cellStyle name="Separador de milhares 3 8 3 4 2 2 4" xfId="16330"/>
    <cellStyle name="Separador de milhares 3 8 3 4 2 2 4 2" xfId="42572"/>
    <cellStyle name="Separador de milhares 3 8 3 4 2 2 5" xfId="36186"/>
    <cellStyle name="Separador de milhares 3 8 3 4 2 3" xfId="25201"/>
    <cellStyle name="Separador de milhares 3 8 3 4 2 3 2" xfId="51434"/>
    <cellStyle name="Separador de milhares 3 8 3 4 2 4" xfId="19287"/>
    <cellStyle name="Separador de milhares 3 8 3 4 2 4 2" xfId="45526"/>
    <cellStyle name="Separador de milhares 3 8 3 4 2 5" xfId="13186"/>
    <cellStyle name="Separador de milhares 3 8 3 4 2 5 2" xfId="39428"/>
    <cellStyle name="Separador de milhares 3 8 3 4 2 6" xfId="33042"/>
    <cellStyle name="Separador de milhares 3 8 3 4 3" xfId="8476"/>
    <cellStyle name="Separador de milhares 3 8 3 4 3 2" xfId="26690"/>
    <cellStyle name="Separador de milhares 3 8 3 4 3 2 2" xfId="52920"/>
    <cellStyle name="Separador de milhares 3 8 3 4 3 3" xfId="20776"/>
    <cellStyle name="Separador de milhares 3 8 3 4 3 3 2" xfId="47012"/>
    <cellStyle name="Separador de milhares 3 8 3 4 3 4" xfId="14862"/>
    <cellStyle name="Separador de milhares 3 8 3 4 3 4 2" xfId="41104"/>
    <cellStyle name="Separador de milhares 3 8 3 4 3 5" xfId="34718"/>
    <cellStyle name="Separador de milhares 3 8 3 4 4" xfId="5098"/>
    <cellStyle name="Separador de milhares 3 8 3 4 4 2" xfId="23733"/>
    <cellStyle name="Separador de milhares 3 8 3 4 4 2 2" xfId="49966"/>
    <cellStyle name="Separador de milhares 3 8 3 4 4 3" xfId="31343"/>
    <cellStyle name="Separador de milhares 3 8 3 4 5" xfId="17819"/>
    <cellStyle name="Separador de milhares 3 8 3 4 5 2" xfId="44058"/>
    <cellStyle name="Separador de milhares 3 8 3 4 6" xfId="11485"/>
    <cellStyle name="Separador de milhares 3 8 3 4 6 2" xfId="37727"/>
    <cellStyle name="Separador de milhares 3 8 3 4 7" xfId="29645"/>
    <cellStyle name="Separador de milhares 3 8 3 5" xfId="1643"/>
    <cellStyle name="Separador de milhares 3 8 3 5 2" xfId="6916"/>
    <cellStyle name="Separador de milhares 3 8 3 5 2 2" xfId="10063"/>
    <cellStyle name="Separador de milhares 3 8 3 5 2 2 2" xfId="28277"/>
    <cellStyle name="Separador de milhares 3 8 3 5 2 2 2 2" xfId="54507"/>
    <cellStyle name="Separador de milhares 3 8 3 5 2 2 3" xfId="22363"/>
    <cellStyle name="Separador de milhares 3 8 3 5 2 2 3 2" xfId="48599"/>
    <cellStyle name="Separador de milhares 3 8 3 5 2 2 4" xfId="16449"/>
    <cellStyle name="Separador de milhares 3 8 3 5 2 2 4 2" xfId="42691"/>
    <cellStyle name="Separador de milhares 3 8 3 5 2 2 5" xfId="36305"/>
    <cellStyle name="Separador de milhares 3 8 3 5 2 3" xfId="25320"/>
    <cellStyle name="Separador de milhares 3 8 3 5 2 3 2" xfId="51553"/>
    <cellStyle name="Separador de milhares 3 8 3 5 2 4" xfId="19406"/>
    <cellStyle name="Separador de milhares 3 8 3 5 2 4 2" xfId="45645"/>
    <cellStyle name="Separador de milhares 3 8 3 5 2 5" xfId="13305"/>
    <cellStyle name="Separador de milhares 3 8 3 5 2 5 2" xfId="39547"/>
    <cellStyle name="Separador de milhares 3 8 3 5 2 6" xfId="33161"/>
    <cellStyle name="Separador de milhares 3 8 3 5 3" xfId="8595"/>
    <cellStyle name="Separador de milhares 3 8 3 5 3 2" xfId="26809"/>
    <cellStyle name="Separador de milhares 3 8 3 5 3 2 2" xfId="53039"/>
    <cellStyle name="Separador de milhares 3 8 3 5 3 3" xfId="20895"/>
    <cellStyle name="Separador de milhares 3 8 3 5 3 3 2" xfId="47131"/>
    <cellStyle name="Separador de milhares 3 8 3 5 3 4" xfId="14981"/>
    <cellStyle name="Separador de milhares 3 8 3 5 3 4 2" xfId="41223"/>
    <cellStyle name="Separador de milhares 3 8 3 5 3 5" xfId="34837"/>
    <cellStyle name="Separador de milhares 3 8 3 5 4" xfId="5217"/>
    <cellStyle name="Separador de milhares 3 8 3 5 4 2" xfId="23852"/>
    <cellStyle name="Separador de milhares 3 8 3 5 4 2 2" xfId="50085"/>
    <cellStyle name="Separador de milhares 3 8 3 5 4 3" xfId="31462"/>
    <cellStyle name="Separador de milhares 3 8 3 5 5" xfId="17938"/>
    <cellStyle name="Separador de milhares 3 8 3 5 5 2" xfId="44177"/>
    <cellStyle name="Separador de milhares 3 8 3 5 6" xfId="11604"/>
    <cellStyle name="Separador de milhares 3 8 3 5 6 2" xfId="37846"/>
    <cellStyle name="Separador de milhares 3 8 3 5 7" xfId="29764"/>
    <cellStyle name="Separador de milhares 3 8 3 6" xfId="2173"/>
    <cellStyle name="Separador de milhares 3 8 3 6 2" xfId="7066"/>
    <cellStyle name="Separador de milhares 3 8 3 6 2 2" xfId="10210"/>
    <cellStyle name="Separador de milhares 3 8 3 6 2 2 2" xfId="28424"/>
    <cellStyle name="Separador de milhares 3 8 3 6 2 2 2 2" xfId="54654"/>
    <cellStyle name="Separador de milhares 3 8 3 6 2 2 3" xfId="22510"/>
    <cellStyle name="Separador de milhares 3 8 3 6 2 2 3 2" xfId="48746"/>
    <cellStyle name="Separador de milhares 3 8 3 6 2 2 4" xfId="16596"/>
    <cellStyle name="Separador de milhares 3 8 3 6 2 2 4 2" xfId="42838"/>
    <cellStyle name="Separador de milhares 3 8 3 6 2 2 5" xfId="36452"/>
    <cellStyle name="Separador de milhares 3 8 3 6 2 3" xfId="25467"/>
    <cellStyle name="Separador de milhares 3 8 3 6 2 3 2" xfId="51700"/>
    <cellStyle name="Separador de milhares 3 8 3 6 2 4" xfId="19553"/>
    <cellStyle name="Separador de milhares 3 8 3 6 2 4 2" xfId="45792"/>
    <cellStyle name="Separador de milhares 3 8 3 6 2 5" xfId="13455"/>
    <cellStyle name="Separador de milhares 3 8 3 6 2 5 2" xfId="39697"/>
    <cellStyle name="Separador de milhares 3 8 3 6 2 6" xfId="33311"/>
    <cellStyle name="Separador de milhares 3 8 3 6 3" xfId="8742"/>
    <cellStyle name="Separador de milhares 3 8 3 6 3 2" xfId="26956"/>
    <cellStyle name="Separador de milhares 3 8 3 6 3 2 2" xfId="53186"/>
    <cellStyle name="Separador de milhares 3 8 3 6 3 3" xfId="21042"/>
    <cellStyle name="Separador de milhares 3 8 3 6 3 3 2" xfId="47278"/>
    <cellStyle name="Separador de milhares 3 8 3 6 3 4" xfId="15128"/>
    <cellStyle name="Separador de milhares 3 8 3 6 3 4 2" xfId="41370"/>
    <cellStyle name="Separador de milhares 3 8 3 6 3 5" xfId="34984"/>
    <cellStyle name="Separador de milhares 3 8 3 6 4" xfId="5367"/>
    <cellStyle name="Separador de milhares 3 8 3 6 4 2" xfId="23999"/>
    <cellStyle name="Separador de milhares 3 8 3 6 4 2 2" xfId="50232"/>
    <cellStyle name="Separador de milhares 3 8 3 6 4 3" xfId="31612"/>
    <cellStyle name="Separador de milhares 3 8 3 6 5" xfId="18085"/>
    <cellStyle name="Separador de milhares 3 8 3 6 5 2" xfId="44324"/>
    <cellStyle name="Separador de milhares 3 8 3 6 6" xfId="11754"/>
    <cellStyle name="Separador de milhares 3 8 3 6 6 2" xfId="37996"/>
    <cellStyle name="Separador de milhares 3 8 3 6 7" xfId="29914"/>
    <cellStyle name="Separador de milhares 3 8 3 7" xfId="2700"/>
    <cellStyle name="Separador de milhares 3 8 3 7 2" xfId="7213"/>
    <cellStyle name="Separador de milhares 3 8 3 7 2 2" xfId="10357"/>
    <cellStyle name="Separador de milhares 3 8 3 7 2 2 2" xfId="28571"/>
    <cellStyle name="Separador de milhares 3 8 3 7 2 2 2 2" xfId="54801"/>
    <cellStyle name="Separador de milhares 3 8 3 7 2 2 3" xfId="22657"/>
    <cellStyle name="Separador de milhares 3 8 3 7 2 2 3 2" xfId="48893"/>
    <cellStyle name="Separador de milhares 3 8 3 7 2 2 4" xfId="16743"/>
    <cellStyle name="Separador de milhares 3 8 3 7 2 2 4 2" xfId="42985"/>
    <cellStyle name="Separador de milhares 3 8 3 7 2 2 5" xfId="36599"/>
    <cellStyle name="Separador de milhares 3 8 3 7 2 3" xfId="25614"/>
    <cellStyle name="Separador de milhares 3 8 3 7 2 3 2" xfId="51847"/>
    <cellStyle name="Separador de milhares 3 8 3 7 2 4" xfId="19700"/>
    <cellStyle name="Separador de milhares 3 8 3 7 2 4 2" xfId="45939"/>
    <cellStyle name="Separador de milhares 3 8 3 7 2 5" xfId="13602"/>
    <cellStyle name="Separador de milhares 3 8 3 7 2 5 2" xfId="39844"/>
    <cellStyle name="Separador de milhares 3 8 3 7 2 6" xfId="33458"/>
    <cellStyle name="Separador de milhares 3 8 3 7 3" xfId="8889"/>
    <cellStyle name="Separador de milhares 3 8 3 7 3 2" xfId="27103"/>
    <cellStyle name="Separador de milhares 3 8 3 7 3 2 2" xfId="53333"/>
    <cellStyle name="Separador de milhares 3 8 3 7 3 3" xfId="21189"/>
    <cellStyle name="Separador de milhares 3 8 3 7 3 3 2" xfId="47425"/>
    <cellStyle name="Separador de milhares 3 8 3 7 3 4" xfId="15275"/>
    <cellStyle name="Separador de milhares 3 8 3 7 3 4 2" xfId="41517"/>
    <cellStyle name="Separador de milhares 3 8 3 7 3 5" xfId="35131"/>
    <cellStyle name="Separador de milhares 3 8 3 7 4" xfId="5514"/>
    <cellStyle name="Separador de milhares 3 8 3 7 4 2" xfId="24146"/>
    <cellStyle name="Separador de milhares 3 8 3 7 4 2 2" xfId="50379"/>
    <cellStyle name="Separador de milhares 3 8 3 7 4 3" xfId="31759"/>
    <cellStyle name="Separador de milhares 3 8 3 7 5" xfId="18232"/>
    <cellStyle name="Separador de milhares 3 8 3 7 5 2" xfId="44471"/>
    <cellStyle name="Separador de milhares 3 8 3 7 6" xfId="11901"/>
    <cellStyle name="Separador de milhares 3 8 3 7 6 2" xfId="38143"/>
    <cellStyle name="Separador de milhares 3 8 3 7 7" xfId="30061"/>
    <cellStyle name="Separador de milhares 3 8 3 8" xfId="3227"/>
    <cellStyle name="Separador de milhares 3 8 3 8 2" xfId="7360"/>
    <cellStyle name="Separador de milhares 3 8 3 8 2 2" xfId="10504"/>
    <cellStyle name="Separador de milhares 3 8 3 8 2 2 2" xfId="28718"/>
    <cellStyle name="Separador de milhares 3 8 3 8 2 2 2 2" xfId="54948"/>
    <cellStyle name="Separador de milhares 3 8 3 8 2 2 3" xfId="22804"/>
    <cellStyle name="Separador de milhares 3 8 3 8 2 2 3 2" xfId="49040"/>
    <cellStyle name="Separador de milhares 3 8 3 8 2 2 4" xfId="16890"/>
    <cellStyle name="Separador de milhares 3 8 3 8 2 2 4 2" xfId="43132"/>
    <cellStyle name="Separador de milhares 3 8 3 8 2 2 5" xfId="36746"/>
    <cellStyle name="Separador de milhares 3 8 3 8 2 3" xfId="25761"/>
    <cellStyle name="Separador de milhares 3 8 3 8 2 3 2" xfId="51994"/>
    <cellStyle name="Separador de milhares 3 8 3 8 2 4" xfId="19847"/>
    <cellStyle name="Separador de milhares 3 8 3 8 2 4 2" xfId="46086"/>
    <cellStyle name="Separador de milhares 3 8 3 8 2 5" xfId="13749"/>
    <cellStyle name="Separador de milhares 3 8 3 8 2 5 2" xfId="39991"/>
    <cellStyle name="Separador de milhares 3 8 3 8 2 6" xfId="33605"/>
    <cellStyle name="Separador de milhares 3 8 3 8 3" xfId="9036"/>
    <cellStyle name="Separador de milhares 3 8 3 8 3 2" xfId="27250"/>
    <cellStyle name="Separador de milhares 3 8 3 8 3 2 2" xfId="53480"/>
    <cellStyle name="Separador de milhares 3 8 3 8 3 3" xfId="21336"/>
    <cellStyle name="Separador de milhares 3 8 3 8 3 3 2" xfId="47572"/>
    <cellStyle name="Separador de milhares 3 8 3 8 3 4" xfId="15422"/>
    <cellStyle name="Separador de milhares 3 8 3 8 3 4 2" xfId="41664"/>
    <cellStyle name="Separador de milhares 3 8 3 8 3 5" xfId="35278"/>
    <cellStyle name="Separador de milhares 3 8 3 8 4" xfId="5661"/>
    <cellStyle name="Separador de milhares 3 8 3 8 4 2" xfId="24293"/>
    <cellStyle name="Separador de milhares 3 8 3 8 4 2 2" xfId="50526"/>
    <cellStyle name="Separador de milhares 3 8 3 8 4 3" xfId="31906"/>
    <cellStyle name="Separador de milhares 3 8 3 8 5" xfId="18379"/>
    <cellStyle name="Separador de milhares 3 8 3 8 5 2" xfId="44618"/>
    <cellStyle name="Separador de milhares 3 8 3 8 6" xfId="12048"/>
    <cellStyle name="Separador de milhares 3 8 3 8 6 2" xfId="38290"/>
    <cellStyle name="Separador de milhares 3 8 3 8 7" xfId="30208"/>
    <cellStyle name="Separador de milhares 3 8 3 9" xfId="3754"/>
    <cellStyle name="Separador de milhares 3 8 3 9 2" xfId="7507"/>
    <cellStyle name="Separador de milhares 3 8 3 9 2 2" xfId="10651"/>
    <cellStyle name="Separador de milhares 3 8 3 9 2 2 2" xfId="28865"/>
    <cellStyle name="Separador de milhares 3 8 3 9 2 2 2 2" xfId="55095"/>
    <cellStyle name="Separador de milhares 3 8 3 9 2 2 3" xfId="22951"/>
    <cellStyle name="Separador de milhares 3 8 3 9 2 2 3 2" xfId="49187"/>
    <cellStyle name="Separador de milhares 3 8 3 9 2 2 4" xfId="17037"/>
    <cellStyle name="Separador de milhares 3 8 3 9 2 2 4 2" xfId="43279"/>
    <cellStyle name="Separador de milhares 3 8 3 9 2 2 5" xfId="36893"/>
    <cellStyle name="Separador de milhares 3 8 3 9 2 3" xfId="25908"/>
    <cellStyle name="Separador de milhares 3 8 3 9 2 3 2" xfId="52141"/>
    <cellStyle name="Separador de milhares 3 8 3 9 2 4" xfId="19994"/>
    <cellStyle name="Separador de milhares 3 8 3 9 2 4 2" xfId="46233"/>
    <cellStyle name="Separador de milhares 3 8 3 9 2 5" xfId="13896"/>
    <cellStyle name="Separador de milhares 3 8 3 9 2 5 2" xfId="40138"/>
    <cellStyle name="Separador de milhares 3 8 3 9 2 6" xfId="33752"/>
    <cellStyle name="Separador de milhares 3 8 3 9 3" xfId="9183"/>
    <cellStyle name="Separador de milhares 3 8 3 9 3 2" xfId="27397"/>
    <cellStyle name="Separador de milhares 3 8 3 9 3 2 2" xfId="53627"/>
    <cellStyle name="Separador de milhares 3 8 3 9 3 3" xfId="21483"/>
    <cellStyle name="Separador de milhares 3 8 3 9 3 3 2" xfId="47719"/>
    <cellStyle name="Separador de milhares 3 8 3 9 3 4" xfId="15569"/>
    <cellStyle name="Separador de milhares 3 8 3 9 3 4 2" xfId="41811"/>
    <cellStyle name="Separador de milhares 3 8 3 9 3 5" xfId="35425"/>
    <cellStyle name="Separador de milhares 3 8 3 9 4" xfId="5808"/>
    <cellStyle name="Separador de milhares 3 8 3 9 4 2" xfId="24440"/>
    <cellStyle name="Separador de milhares 3 8 3 9 4 2 2" xfId="50673"/>
    <cellStyle name="Separador de milhares 3 8 3 9 4 3" xfId="32053"/>
    <cellStyle name="Separador de milhares 3 8 3 9 5" xfId="18526"/>
    <cellStyle name="Separador de milhares 3 8 3 9 5 2" xfId="44765"/>
    <cellStyle name="Separador de milhares 3 8 3 9 6" xfId="12195"/>
    <cellStyle name="Separador de milhares 3 8 3 9 6 2" xfId="38437"/>
    <cellStyle name="Separador de milhares 3 8 3 9 7" xfId="30355"/>
    <cellStyle name="Separador de milhares 3 8 4" xfId="390"/>
    <cellStyle name="Separador de milhares 3 8 4 10" xfId="6554"/>
    <cellStyle name="Separador de milhares 3 8 4 10 2" xfId="9702"/>
    <cellStyle name="Separador de milhares 3 8 4 10 2 2" xfId="27916"/>
    <cellStyle name="Separador de milhares 3 8 4 10 2 2 2" xfId="54146"/>
    <cellStyle name="Separador de milhares 3 8 4 10 2 3" xfId="22002"/>
    <cellStyle name="Separador de milhares 3 8 4 10 2 3 2" xfId="48238"/>
    <cellStyle name="Separador de milhares 3 8 4 10 2 4" xfId="16088"/>
    <cellStyle name="Separador de milhares 3 8 4 10 2 4 2" xfId="42330"/>
    <cellStyle name="Separador de milhares 3 8 4 10 2 5" xfId="35944"/>
    <cellStyle name="Separador de milhares 3 8 4 10 3" xfId="24959"/>
    <cellStyle name="Separador de milhares 3 8 4 10 3 2" xfId="51192"/>
    <cellStyle name="Separador de milhares 3 8 4 10 4" xfId="19045"/>
    <cellStyle name="Separador de milhares 3 8 4 10 4 2" xfId="45284"/>
    <cellStyle name="Separador de milhares 3 8 4 10 5" xfId="12943"/>
    <cellStyle name="Separador de milhares 3 8 4 10 5 2" xfId="39185"/>
    <cellStyle name="Separador de milhares 3 8 4 10 6" xfId="32799"/>
    <cellStyle name="Separador de milhares 3 8 4 11" xfId="8231"/>
    <cellStyle name="Separador de milhares 3 8 4 11 2" xfId="26445"/>
    <cellStyle name="Separador de milhares 3 8 4 11 2 2" xfId="52678"/>
    <cellStyle name="Separador de milhares 3 8 4 11 3" xfId="20531"/>
    <cellStyle name="Separador de milhares 3 8 4 11 3 2" xfId="46770"/>
    <cellStyle name="Separador de milhares 3 8 4 11 4" xfId="14620"/>
    <cellStyle name="Separador de milhares 3 8 4 11 4 2" xfId="40862"/>
    <cellStyle name="Separador de milhares 3 8 4 11 5" xfId="34476"/>
    <cellStyle name="Separador de milhares 3 8 4 12" xfId="4853"/>
    <cellStyle name="Separador de milhares 3 8 4 12 2" xfId="23488"/>
    <cellStyle name="Separador de milhares 3 8 4 12 2 2" xfId="49724"/>
    <cellStyle name="Separador de milhares 3 8 4 12 3" xfId="31100"/>
    <cellStyle name="Separador de milhares 3 8 4 13" xfId="17574"/>
    <cellStyle name="Separador de milhares 3 8 4 13 2" xfId="43816"/>
    <cellStyle name="Separador de milhares 3 8 4 14" xfId="11242"/>
    <cellStyle name="Separador de milhares 3 8 4 14 2" xfId="37484"/>
    <cellStyle name="Separador de milhares 3 8 4 15" xfId="29402"/>
    <cellStyle name="Separador de milhares 3 8 4 2" xfId="1035"/>
    <cellStyle name="Separador de milhares 3 8 4 2 2" xfId="6751"/>
    <cellStyle name="Separador de milhares 3 8 4 2 2 2" xfId="9898"/>
    <cellStyle name="Separador de milhares 3 8 4 2 2 2 2" xfId="28112"/>
    <cellStyle name="Separador de milhares 3 8 4 2 2 2 2 2" xfId="54342"/>
    <cellStyle name="Separador de milhares 3 8 4 2 2 2 3" xfId="22198"/>
    <cellStyle name="Separador de milhares 3 8 4 2 2 2 3 2" xfId="48434"/>
    <cellStyle name="Separador de milhares 3 8 4 2 2 2 4" xfId="16284"/>
    <cellStyle name="Separador de milhares 3 8 4 2 2 2 4 2" xfId="42526"/>
    <cellStyle name="Separador de milhares 3 8 4 2 2 2 5" xfId="36140"/>
    <cellStyle name="Separador de milhares 3 8 4 2 2 3" xfId="25155"/>
    <cellStyle name="Separador de milhares 3 8 4 2 2 3 2" xfId="51388"/>
    <cellStyle name="Separador de milhares 3 8 4 2 2 4" xfId="19241"/>
    <cellStyle name="Separador de milhares 3 8 4 2 2 4 2" xfId="45480"/>
    <cellStyle name="Separador de milhares 3 8 4 2 2 5" xfId="13140"/>
    <cellStyle name="Separador de milhares 3 8 4 2 2 5 2" xfId="39382"/>
    <cellStyle name="Separador de milhares 3 8 4 2 2 6" xfId="32996"/>
    <cellStyle name="Separador de milhares 3 8 4 2 3" xfId="8430"/>
    <cellStyle name="Separador de milhares 3 8 4 2 3 2" xfId="26644"/>
    <cellStyle name="Separador de milhares 3 8 4 2 3 2 2" xfId="52874"/>
    <cellStyle name="Separador de milhares 3 8 4 2 3 3" xfId="20730"/>
    <cellStyle name="Separador de milhares 3 8 4 2 3 3 2" xfId="46966"/>
    <cellStyle name="Separador de milhares 3 8 4 2 3 4" xfId="14816"/>
    <cellStyle name="Separador de milhares 3 8 4 2 3 4 2" xfId="41058"/>
    <cellStyle name="Separador de milhares 3 8 4 2 3 5" xfId="34672"/>
    <cellStyle name="Separador de milhares 3 8 4 2 4" xfId="5052"/>
    <cellStyle name="Separador de milhares 3 8 4 2 4 2" xfId="23687"/>
    <cellStyle name="Separador de milhares 3 8 4 2 4 2 2" xfId="49920"/>
    <cellStyle name="Separador de milhares 3 8 4 2 4 3" xfId="31297"/>
    <cellStyle name="Separador de milhares 3 8 4 2 5" xfId="17773"/>
    <cellStyle name="Separador de milhares 3 8 4 2 5 2" xfId="44012"/>
    <cellStyle name="Separador de milhares 3 8 4 2 6" xfId="11439"/>
    <cellStyle name="Separador de milhares 3 8 4 2 6 2" xfId="37681"/>
    <cellStyle name="Separador de milhares 3 8 4 2 7" xfId="29599"/>
    <cellStyle name="Separador de milhares 3 8 4 3" xfId="1386"/>
    <cellStyle name="Separador de milhares 3 8 4 3 2" xfId="6849"/>
    <cellStyle name="Separador de milhares 3 8 4 3 2 2" xfId="9996"/>
    <cellStyle name="Separador de milhares 3 8 4 3 2 2 2" xfId="28210"/>
    <cellStyle name="Separador de milhares 3 8 4 3 2 2 2 2" xfId="54440"/>
    <cellStyle name="Separador de milhares 3 8 4 3 2 2 3" xfId="22296"/>
    <cellStyle name="Separador de milhares 3 8 4 3 2 2 3 2" xfId="48532"/>
    <cellStyle name="Separador de milhares 3 8 4 3 2 2 4" xfId="16382"/>
    <cellStyle name="Separador de milhares 3 8 4 3 2 2 4 2" xfId="42624"/>
    <cellStyle name="Separador de milhares 3 8 4 3 2 2 5" xfId="36238"/>
    <cellStyle name="Separador de milhares 3 8 4 3 2 3" xfId="25253"/>
    <cellStyle name="Separador de milhares 3 8 4 3 2 3 2" xfId="51486"/>
    <cellStyle name="Separador de milhares 3 8 4 3 2 4" xfId="19339"/>
    <cellStyle name="Separador de milhares 3 8 4 3 2 4 2" xfId="45578"/>
    <cellStyle name="Separador de milhares 3 8 4 3 2 5" xfId="13238"/>
    <cellStyle name="Separador de milhares 3 8 4 3 2 5 2" xfId="39480"/>
    <cellStyle name="Separador de milhares 3 8 4 3 2 6" xfId="33094"/>
    <cellStyle name="Separador de milhares 3 8 4 3 3" xfId="8528"/>
    <cellStyle name="Separador de milhares 3 8 4 3 3 2" xfId="26742"/>
    <cellStyle name="Separador de milhares 3 8 4 3 3 2 2" xfId="52972"/>
    <cellStyle name="Separador de milhares 3 8 4 3 3 3" xfId="20828"/>
    <cellStyle name="Separador de milhares 3 8 4 3 3 3 2" xfId="47064"/>
    <cellStyle name="Separador de milhares 3 8 4 3 3 4" xfId="14914"/>
    <cellStyle name="Separador de milhares 3 8 4 3 3 4 2" xfId="41156"/>
    <cellStyle name="Separador de milhares 3 8 4 3 3 5" xfId="34770"/>
    <cellStyle name="Separador de milhares 3 8 4 3 4" xfId="5150"/>
    <cellStyle name="Separador de milhares 3 8 4 3 4 2" xfId="23785"/>
    <cellStyle name="Separador de milhares 3 8 4 3 4 2 2" xfId="50018"/>
    <cellStyle name="Separador de milhares 3 8 4 3 4 3" xfId="31395"/>
    <cellStyle name="Separador de milhares 3 8 4 3 5" xfId="17871"/>
    <cellStyle name="Separador de milhares 3 8 4 3 5 2" xfId="44110"/>
    <cellStyle name="Separador de milhares 3 8 4 3 6" xfId="11537"/>
    <cellStyle name="Separador de milhares 3 8 4 3 6 2" xfId="37779"/>
    <cellStyle name="Separador de milhares 3 8 4 3 7" xfId="29697"/>
    <cellStyle name="Separador de milhares 3 8 4 4" xfId="1821"/>
    <cellStyle name="Separador de milhares 3 8 4 4 2" xfId="6968"/>
    <cellStyle name="Separador de milhares 3 8 4 4 2 2" xfId="10115"/>
    <cellStyle name="Separador de milhares 3 8 4 4 2 2 2" xfId="28329"/>
    <cellStyle name="Separador de milhares 3 8 4 4 2 2 2 2" xfId="54559"/>
    <cellStyle name="Separador de milhares 3 8 4 4 2 2 3" xfId="22415"/>
    <cellStyle name="Separador de milhares 3 8 4 4 2 2 3 2" xfId="48651"/>
    <cellStyle name="Separador de milhares 3 8 4 4 2 2 4" xfId="16501"/>
    <cellStyle name="Separador de milhares 3 8 4 4 2 2 4 2" xfId="42743"/>
    <cellStyle name="Separador de milhares 3 8 4 4 2 2 5" xfId="36357"/>
    <cellStyle name="Separador de milhares 3 8 4 4 2 3" xfId="25372"/>
    <cellStyle name="Separador de milhares 3 8 4 4 2 3 2" xfId="51605"/>
    <cellStyle name="Separador de milhares 3 8 4 4 2 4" xfId="19458"/>
    <cellStyle name="Separador de milhares 3 8 4 4 2 4 2" xfId="45697"/>
    <cellStyle name="Separador de milhares 3 8 4 4 2 5" xfId="13357"/>
    <cellStyle name="Separador de milhares 3 8 4 4 2 5 2" xfId="39599"/>
    <cellStyle name="Separador de milhares 3 8 4 4 2 6" xfId="33213"/>
    <cellStyle name="Separador de milhares 3 8 4 4 3" xfId="8647"/>
    <cellStyle name="Separador de milhares 3 8 4 4 3 2" xfId="26861"/>
    <cellStyle name="Separador de milhares 3 8 4 4 3 2 2" xfId="53091"/>
    <cellStyle name="Separador de milhares 3 8 4 4 3 3" xfId="20947"/>
    <cellStyle name="Separador de milhares 3 8 4 4 3 3 2" xfId="47183"/>
    <cellStyle name="Separador de milhares 3 8 4 4 3 4" xfId="15033"/>
    <cellStyle name="Separador de milhares 3 8 4 4 3 4 2" xfId="41275"/>
    <cellStyle name="Separador de milhares 3 8 4 4 3 5" xfId="34889"/>
    <cellStyle name="Separador de milhares 3 8 4 4 4" xfId="5269"/>
    <cellStyle name="Separador de milhares 3 8 4 4 4 2" xfId="23904"/>
    <cellStyle name="Separador de milhares 3 8 4 4 4 2 2" xfId="50137"/>
    <cellStyle name="Separador de milhares 3 8 4 4 4 3" xfId="31514"/>
    <cellStyle name="Separador de milhares 3 8 4 4 5" xfId="17990"/>
    <cellStyle name="Separador de milhares 3 8 4 4 5 2" xfId="44229"/>
    <cellStyle name="Separador de milhares 3 8 4 4 6" xfId="11656"/>
    <cellStyle name="Separador de milhares 3 8 4 4 6 2" xfId="37898"/>
    <cellStyle name="Separador de milhares 3 8 4 4 7" xfId="29816"/>
    <cellStyle name="Separador de milhares 3 8 4 5" xfId="2351"/>
    <cellStyle name="Separador de milhares 3 8 4 5 2" xfId="7118"/>
    <cellStyle name="Separador de milhares 3 8 4 5 2 2" xfId="10262"/>
    <cellStyle name="Separador de milhares 3 8 4 5 2 2 2" xfId="28476"/>
    <cellStyle name="Separador de milhares 3 8 4 5 2 2 2 2" xfId="54706"/>
    <cellStyle name="Separador de milhares 3 8 4 5 2 2 3" xfId="22562"/>
    <cellStyle name="Separador de milhares 3 8 4 5 2 2 3 2" xfId="48798"/>
    <cellStyle name="Separador de milhares 3 8 4 5 2 2 4" xfId="16648"/>
    <cellStyle name="Separador de milhares 3 8 4 5 2 2 4 2" xfId="42890"/>
    <cellStyle name="Separador de milhares 3 8 4 5 2 2 5" xfId="36504"/>
    <cellStyle name="Separador de milhares 3 8 4 5 2 3" xfId="25519"/>
    <cellStyle name="Separador de milhares 3 8 4 5 2 3 2" xfId="51752"/>
    <cellStyle name="Separador de milhares 3 8 4 5 2 4" xfId="19605"/>
    <cellStyle name="Separador de milhares 3 8 4 5 2 4 2" xfId="45844"/>
    <cellStyle name="Separador de milhares 3 8 4 5 2 5" xfId="13507"/>
    <cellStyle name="Separador de milhares 3 8 4 5 2 5 2" xfId="39749"/>
    <cellStyle name="Separador de milhares 3 8 4 5 2 6" xfId="33363"/>
    <cellStyle name="Separador de milhares 3 8 4 5 3" xfId="8794"/>
    <cellStyle name="Separador de milhares 3 8 4 5 3 2" xfId="27008"/>
    <cellStyle name="Separador de milhares 3 8 4 5 3 2 2" xfId="53238"/>
    <cellStyle name="Separador de milhares 3 8 4 5 3 3" xfId="21094"/>
    <cellStyle name="Separador de milhares 3 8 4 5 3 3 2" xfId="47330"/>
    <cellStyle name="Separador de milhares 3 8 4 5 3 4" xfId="15180"/>
    <cellStyle name="Separador de milhares 3 8 4 5 3 4 2" xfId="41422"/>
    <cellStyle name="Separador de milhares 3 8 4 5 3 5" xfId="35036"/>
    <cellStyle name="Separador de milhares 3 8 4 5 4" xfId="5419"/>
    <cellStyle name="Separador de milhares 3 8 4 5 4 2" xfId="24051"/>
    <cellStyle name="Separador de milhares 3 8 4 5 4 2 2" xfId="50284"/>
    <cellStyle name="Separador de milhares 3 8 4 5 4 3" xfId="31664"/>
    <cellStyle name="Separador de milhares 3 8 4 5 5" xfId="18137"/>
    <cellStyle name="Separador de milhares 3 8 4 5 5 2" xfId="44376"/>
    <cellStyle name="Separador de milhares 3 8 4 5 6" xfId="11806"/>
    <cellStyle name="Separador de milhares 3 8 4 5 6 2" xfId="38048"/>
    <cellStyle name="Separador de milhares 3 8 4 5 7" xfId="29966"/>
    <cellStyle name="Separador de milhares 3 8 4 6" xfId="2878"/>
    <cellStyle name="Separador de milhares 3 8 4 6 2" xfId="7265"/>
    <cellStyle name="Separador de milhares 3 8 4 6 2 2" xfId="10409"/>
    <cellStyle name="Separador de milhares 3 8 4 6 2 2 2" xfId="28623"/>
    <cellStyle name="Separador de milhares 3 8 4 6 2 2 2 2" xfId="54853"/>
    <cellStyle name="Separador de milhares 3 8 4 6 2 2 3" xfId="22709"/>
    <cellStyle name="Separador de milhares 3 8 4 6 2 2 3 2" xfId="48945"/>
    <cellStyle name="Separador de milhares 3 8 4 6 2 2 4" xfId="16795"/>
    <cellStyle name="Separador de milhares 3 8 4 6 2 2 4 2" xfId="43037"/>
    <cellStyle name="Separador de milhares 3 8 4 6 2 2 5" xfId="36651"/>
    <cellStyle name="Separador de milhares 3 8 4 6 2 3" xfId="25666"/>
    <cellStyle name="Separador de milhares 3 8 4 6 2 3 2" xfId="51899"/>
    <cellStyle name="Separador de milhares 3 8 4 6 2 4" xfId="19752"/>
    <cellStyle name="Separador de milhares 3 8 4 6 2 4 2" xfId="45991"/>
    <cellStyle name="Separador de milhares 3 8 4 6 2 5" xfId="13654"/>
    <cellStyle name="Separador de milhares 3 8 4 6 2 5 2" xfId="39896"/>
    <cellStyle name="Separador de milhares 3 8 4 6 2 6" xfId="33510"/>
    <cellStyle name="Separador de milhares 3 8 4 6 3" xfId="8941"/>
    <cellStyle name="Separador de milhares 3 8 4 6 3 2" xfId="27155"/>
    <cellStyle name="Separador de milhares 3 8 4 6 3 2 2" xfId="53385"/>
    <cellStyle name="Separador de milhares 3 8 4 6 3 3" xfId="21241"/>
    <cellStyle name="Separador de milhares 3 8 4 6 3 3 2" xfId="47477"/>
    <cellStyle name="Separador de milhares 3 8 4 6 3 4" xfId="15327"/>
    <cellStyle name="Separador de milhares 3 8 4 6 3 4 2" xfId="41569"/>
    <cellStyle name="Separador de milhares 3 8 4 6 3 5" xfId="35183"/>
    <cellStyle name="Separador de milhares 3 8 4 6 4" xfId="5566"/>
    <cellStyle name="Separador de milhares 3 8 4 6 4 2" xfId="24198"/>
    <cellStyle name="Separador de milhares 3 8 4 6 4 2 2" xfId="50431"/>
    <cellStyle name="Separador de milhares 3 8 4 6 4 3" xfId="31811"/>
    <cellStyle name="Separador de milhares 3 8 4 6 5" xfId="18284"/>
    <cellStyle name="Separador de milhares 3 8 4 6 5 2" xfId="44523"/>
    <cellStyle name="Separador de milhares 3 8 4 6 6" xfId="11953"/>
    <cellStyle name="Separador de milhares 3 8 4 6 6 2" xfId="38195"/>
    <cellStyle name="Separador de milhares 3 8 4 6 7" xfId="30113"/>
    <cellStyle name="Separador de milhares 3 8 4 7" xfId="3405"/>
    <cellStyle name="Separador de milhares 3 8 4 7 2" xfId="7412"/>
    <cellStyle name="Separador de milhares 3 8 4 7 2 2" xfId="10556"/>
    <cellStyle name="Separador de milhares 3 8 4 7 2 2 2" xfId="28770"/>
    <cellStyle name="Separador de milhares 3 8 4 7 2 2 2 2" xfId="55000"/>
    <cellStyle name="Separador de milhares 3 8 4 7 2 2 3" xfId="22856"/>
    <cellStyle name="Separador de milhares 3 8 4 7 2 2 3 2" xfId="49092"/>
    <cellStyle name="Separador de milhares 3 8 4 7 2 2 4" xfId="16942"/>
    <cellStyle name="Separador de milhares 3 8 4 7 2 2 4 2" xfId="43184"/>
    <cellStyle name="Separador de milhares 3 8 4 7 2 2 5" xfId="36798"/>
    <cellStyle name="Separador de milhares 3 8 4 7 2 3" xfId="25813"/>
    <cellStyle name="Separador de milhares 3 8 4 7 2 3 2" xfId="52046"/>
    <cellStyle name="Separador de milhares 3 8 4 7 2 4" xfId="19899"/>
    <cellStyle name="Separador de milhares 3 8 4 7 2 4 2" xfId="46138"/>
    <cellStyle name="Separador de milhares 3 8 4 7 2 5" xfId="13801"/>
    <cellStyle name="Separador de milhares 3 8 4 7 2 5 2" xfId="40043"/>
    <cellStyle name="Separador de milhares 3 8 4 7 2 6" xfId="33657"/>
    <cellStyle name="Separador de milhares 3 8 4 7 3" xfId="9088"/>
    <cellStyle name="Separador de milhares 3 8 4 7 3 2" xfId="27302"/>
    <cellStyle name="Separador de milhares 3 8 4 7 3 2 2" xfId="53532"/>
    <cellStyle name="Separador de milhares 3 8 4 7 3 3" xfId="21388"/>
    <cellStyle name="Separador de milhares 3 8 4 7 3 3 2" xfId="47624"/>
    <cellStyle name="Separador de milhares 3 8 4 7 3 4" xfId="15474"/>
    <cellStyle name="Separador de milhares 3 8 4 7 3 4 2" xfId="41716"/>
    <cellStyle name="Separador de milhares 3 8 4 7 3 5" xfId="35330"/>
    <cellStyle name="Separador de milhares 3 8 4 7 4" xfId="5713"/>
    <cellStyle name="Separador de milhares 3 8 4 7 4 2" xfId="24345"/>
    <cellStyle name="Separador de milhares 3 8 4 7 4 2 2" xfId="50578"/>
    <cellStyle name="Separador de milhares 3 8 4 7 4 3" xfId="31958"/>
    <cellStyle name="Separador de milhares 3 8 4 7 5" xfId="18431"/>
    <cellStyle name="Separador de milhares 3 8 4 7 5 2" xfId="44670"/>
    <cellStyle name="Separador de milhares 3 8 4 7 6" xfId="12100"/>
    <cellStyle name="Separador de milhares 3 8 4 7 6 2" xfId="38342"/>
    <cellStyle name="Separador de milhares 3 8 4 7 7" xfId="30260"/>
    <cellStyle name="Separador de milhares 3 8 4 8" xfId="3932"/>
    <cellStyle name="Separador de milhares 3 8 4 8 2" xfId="7559"/>
    <cellStyle name="Separador de milhares 3 8 4 8 2 2" xfId="10703"/>
    <cellStyle name="Separador de milhares 3 8 4 8 2 2 2" xfId="28917"/>
    <cellStyle name="Separador de milhares 3 8 4 8 2 2 2 2" xfId="55147"/>
    <cellStyle name="Separador de milhares 3 8 4 8 2 2 3" xfId="23003"/>
    <cellStyle name="Separador de milhares 3 8 4 8 2 2 3 2" xfId="49239"/>
    <cellStyle name="Separador de milhares 3 8 4 8 2 2 4" xfId="17089"/>
    <cellStyle name="Separador de milhares 3 8 4 8 2 2 4 2" xfId="43331"/>
    <cellStyle name="Separador de milhares 3 8 4 8 2 2 5" xfId="36945"/>
    <cellStyle name="Separador de milhares 3 8 4 8 2 3" xfId="25960"/>
    <cellStyle name="Separador de milhares 3 8 4 8 2 3 2" xfId="52193"/>
    <cellStyle name="Separador de milhares 3 8 4 8 2 4" xfId="20046"/>
    <cellStyle name="Separador de milhares 3 8 4 8 2 4 2" xfId="46285"/>
    <cellStyle name="Separador de milhares 3 8 4 8 2 5" xfId="13948"/>
    <cellStyle name="Separador de milhares 3 8 4 8 2 5 2" xfId="40190"/>
    <cellStyle name="Separador de milhares 3 8 4 8 2 6" xfId="33804"/>
    <cellStyle name="Separador de milhares 3 8 4 8 3" xfId="9235"/>
    <cellStyle name="Separador de milhares 3 8 4 8 3 2" xfId="27449"/>
    <cellStyle name="Separador de milhares 3 8 4 8 3 2 2" xfId="53679"/>
    <cellStyle name="Separador de milhares 3 8 4 8 3 3" xfId="21535"/>
    <cellStyle name="Separador de milhares 3 8 4 8 3 3 2" xfId="47771"/>
    <cellStyle name="Separador de milhares 3 8 4 8 3 4" xfId="15621"/>
    <cellStyle name="Separador de milhares 3 8 4 8 3 4 2" xfId="41863"/>
    <cellStyle name="Separador de milhares 3 8 4 8 3 5" xfId="35477"/>
    <cellStyle name="Separador de milhares 3 8 4 8 4" xfId="5860"/>
    <cellStyle name="Separador de milhares 3 8 4 8 4 2" xfId="24492"/>
    <cellStyle name="Separador de milhares 3 8 4 8 4 2 2" xfId="50725"/>
    <cellStyle name="Separador de milhares 3 8 4 8 4 3" xfId="32105"/>
    <cellStyle name="Separador de milhares 3 8 4 8 5" xfId="18578"/>
    <cellStyle name="Separador de milhares 3 8 4 8 5 2" xfId="44817"/>
    <cellStyle name="Separador de milhares 3 8 4 8 6" xfId="12247"/>
    <cellStyle name="Separador de milhares 3 8 4 8 6 2" xfId="38489"/>
    <cellStyle name="Separador de milhares 3 8 4 8 7" xfId="30407"/>
    <cellStyle name="Separador de milhares 3 8 4 9" xfId="718"/>
    <cellStyle name="Separador de milhares 3 8 4 9 2" xfId="6653"/>
    <cellStyle name="Separador de milhares 3 8 4 9 2 2" xfId="9800"/>
    <cellStyle name="Separador de milhares 3 8 4 9 2 2 2" xfId="28014"/>
    <cellStyle name="Separador de milhares 3 8 4 9 2 2 2 2" xfId="54244"/>
    <cellStyle name="Separador de milhares 3 8 4 9 2 2 3" xfId="22100"/>
    <cellStyle name="Separador de milhares 3 8 4 9 2 2 3 2" xfId="48336"/>
    <cellStyle name="Separador de milhares 3 8 4 9 2 2 4" xfId="16186"/>
    <cellStyle name="Separador de milhares 3 8 4 9 2 2 4 2" xfId="42428"/>
    <cellStyle name="Separador de milhares 3 8 4 9 2 2 5" xfId="36042"/>
    <cellStyle name="Separador de milhares 3 8 4 9 2 3" xfId="25057"/>
    <cellStyle name="Separador de milhares 3 8 4 9 2 3 2" xfId="51290"/>
    <cellStyle name="Separador de milhares 3 8 4 9 2 4" xfId="19143"/>
    <cellStyle name="Separador de milhares 3 8 4 9 2 4 2" xfId="45382"/>
    <cellStyle name="Separador de milhares 3 8 4 9 2 5" xfId="13042"/>
    <cellStyle name="Separador de milhares 3 8 4 9 2 5 2" xfId="39284"/>
    <cellStyle name="Separador de milhares 3 8 4 9 2 6" xfId="32898"/>
    <cellStyle name="Separador de milhares 3 8 4 9 3" xfId="8332"/>
    <cellStyle name="Separador de milhares 3 8 4 9 3 2" xfId="26546"/>
    <cellStyle name="Separador de milhares 3 8 4 9 3 2 2" xfId="52776"/>
    <cellStyle name="Separador de milhares 3 8 4 9 3 3" xfId="20632"/>
    <cellStyle name="Separador de milhares 3 8 4 9 3 3 2" xfId="46868"/>
    <cellStyle name="Separador de milhares 3 8 4 9 3 4" xfId="14718"/>
    <cellStyle name="Separador de milhares 3 8 4 9 3 4 2" xfId="40960"/>
    <cellStyle name="Separador de milhares 3 8 4 9 3 5" xfId="34574"/>
    <cellStyle name="Separador de milhares 3 8 4 9 4" xfId="4954"/>
    <cellStyle name="Separador de milhares 3 8 4 9 4 2" xfId="23589"/>
    <cellStyle name="Separador de milhares 3 8 4 9 4 2 2" xfId="49822"/>
    <cellStyle name="Separador de milhares 3 8 4 9 4 3" xfId="31199"/>
    <cellStyle name="Separador de milhares 3 8 4 9 5" xfId="17675"/>
    <cellStyle name="Separador de milhares 3 8 4 9 5 2" xfId="43914"/>
    <cellStyle name="Separador de milhares 3 8 4 9 6" xfId="11341"/>
    <cellStyle name="Separador de milhares 3 8 4 9 6 2" xfId="37583"/>
    <cellStyle name="Separador de milhares 3 8 4 9 7" xfId="29501"/>
    <cellStyle name="Separador de milhares 3 8 5" xfId="647"/>
    <cellStyle name="Separador de milhares 3 8 5 10" xfId="4918"/>
    <cellStyle name="Separador de milhares 3 8 5 10 2" xfId="23552"/>
    <cellStyle name="Separador de milhares 3 8 5 10 2 2" xfId="49788"/>
    <cellStyle name="Separador de milhares 3 8 5 10 3" xfId="31165"/>
    <cellStyle name="Separador de milhares 3 8 5 11" xfId="17638"/>
    <cellStyle name="Separador de milhares 3 8 5 11 2" xfId="43880"/>
    <cellStyle name="Separador de milhares 3 8 5 12" xfId="11307"/>
    <cellStyle name="Separador de milhares 3 8 5 12 2" xfId="37549"/>
    <cellStyle name="Separador de milhares 3 8 5 13" xfId="29467"/>
    <cellStyle name="Separador de milhares 3 8 5 2" xfId="1470"/>
    <cellStyle name="Separador de milhares 3 8 5 2 2" xfId="6870"/>
    <cellStyle name="Separador de milhares 3 8 5 2 2 2" xfId="10017"/>
    <cellStyle name="Separador de milhares 3 8 5 2 2 2 2" xfId="28231"/>
    <cellStyle name="Separador de milhares 3 8 5 2 2 2 2 2" xfId="54461"/>
    <cellStyle name="Separador de milhares 3 8 5 2 2 2 3" xfId="22317"/>
    <cellStyle name="Separador de milhares 3 8 5 2 2 2 3 2" xfId="48553"/>
    <cellStyle name="Separador de milhares 3 8 5 2 2 2 4" xfId="16403"/>
    <cellStyle name="Separador de milhares 3 8 5 2 2 2 4 2" xfId="42645"/>
    <cellStyle name="Separador de milhares 3 8 5 2 2 2 5" xfId="36259"/>
    <cellStyle name="Separador de milhares 3 8 5 2 2 3" xfId="25274"/>
    <cellStyle name="Separador de milhares 3 8 5 2 2 3 2" xfId="51507"/>
    <cellStyle name="Separador de milhares 3 8 5 2 2 4" xfId="19360"/>
    <cellStyle name="Separador de milhares 3 8 5 2 2 4 2" xfId="45599"/>
    <cellStyle name="Separador de milhares 3 8 5 2 2 5" xfId="13259"/>
    <cellStyle name="Separador de milhares 3 8 5 2 2 5 2" xfId="39501"/>
    <cellStyle name="Separador de milhares 3 8 5 2 2 6" xfId="33115"/>
    <cellStyle name="Separador de milhares 3 8 5 2 3" xfId="8549"/>
    <cellStyle name="Separador de milhares 3 8 5 2 3 2" xfId="26763"/>
    <cellStyle name="Separador de milhares 3 8 5 2 3 2 2" xfId="52993"/>
    <cellStyle name="Separador de milhares 3 8 5 2 3 3" xfId="20849"/>
    <cellStyle name="Separador de milhares 3 8 5 2 3 3 2" xfId="47085"/>
    <cellStyle name="Separador de milhares 3 8 5 2 3 4" xfId="14935"/>
    <cellStyle name="Separador de milhares 3 8 5 2 3 4 2" xfId="41177"/>
    <cellStyle name="Separador de milhares 3 8 5 2 3 5" xfId="34791"/>
    <cellStyle name="Separador de milhares 3 8 5 2 4" xfId="5171"/>
    <cellStyle name="Separador de milhares 3 8 5 2 4 2" xfId="23806"/>
    <cellStyle name="Separador de milhares 3 8 5 2 4 2 2" xfId="50039"/>
    <cellStyle name="Separador de milhares 3 8 5 2 4 3" xfId="31416"/>
    <cellStyle name="Separador de milhares 3 8 5 2 5" xfId="17892"/>
    <cellStyle name="Separador de milhares 3 8 5 2 5 2" xfId="44131"/>
    <cellStyle name="Separador de milhares 3 8 5 2 6" xfId="11558"/>
    <cellStyle name="Separador de milhares 3 8 5 2 6 2" xfId="37800"/>
    <cellStyle name="Separador de milhares 3 8 5 2 7" xfId="29718"/>
    <cellStyle name="Separador de milhares 3 8 5 3" xfId="1905"/>
    <cellStyle name="Separador de milhares 3 8 5 3 2" xfId="6989"/>
    <cellStyle name="Separador de milhares 3 8 5 3 2 2" xfId="10136"/>
    <cellStyle name="Separador de milhares 3 8 5 3 2 2 2" xfId="28350"/>
    <cellStyle name="Separador de milhares 3 8 5 3 2 2 2 2" xfId="54580"/>
    <cellStyle name="Separador de milhares 3 8 5 3 2 2 3" xfId="22436"/>
    <cellStyle name="Separador de milhares 3 8 5 3 2 2 3 2" xfId="48672"/>
    <cellStyle name="Separador de milhares 3 8 5 3 2 2 4" xfId="16522"/>
    <cellStyle name="Separador de milhares 3 8 5 3 2 2 4 2" xfId="42764"/>
    <cellStyle name="Separador de milhares 3 8 5 3 2 2 5" xfId="36378"/>
    <cellStyle name="Separador de milhares 3 8 5 3 2 3" xfId="25393"/>
    <cellStyle name="Separador de milhares 3 8 5 3 2 3 2" xfId="51626"/>
    <cellStyle name="Separador de milhares 3 8 5 3 2 4" xfId="19479"/>
    <cellStyle name="Separador de milhares 3 8 5 3 2 4 2" xfId="45718"/>
    <cellStyle name="Separador de milhares 3 8 5 3 2 5" xfId="13378"/>
    <cellStyle name="Separador de milhares 3 8 5 3 2 5 2" xfId="39620"/>
    <cellStyle name="Separador de milhares 3 8 5 3 2 6" xfId="33234"/>
    <cellStyle name="Separador de milhares 3 8 5 3 3" xfId="8668"/>
    <cellStyle name="Separador de milhares 3 8 5 3 3 2" xfId="26882"/>
    <cellStyle name="Separador de milhares 3 8 5 3 3 2 2" xfId="53112"/>
    <cellStyle name="Separador de milhares 3 8 5 3 3 3" xfId="20968"/>
    <cellStyle name="Separador de milhares 3 8 5 3 3 3 2" xfId="47204"/>
    <cellStyle name="Separador de milhares 3 8 5 3 3 4" xfId="15054"/>
    <cellStyle name="Separador de milhares 3 8 5 3 3 4 2" xfId="41296"/>
    <cellStyle name="Separador de milhares 3 8 5 3 3 5" xfId="34910"/>
    <cellStyle name="Separador de milhares 3 8 5 3 4" xfId="5290"/>
    <cellStyle name="Separador de milhares 3 8 5 3 4 2" xfId="23925"/>
    <cellStyle name="Separador de milhares 3 8 5 3 4 2 2" xfId="50158"/>
    <cellStyle name="Separador de milhares 3 8 5 3 4 3" xfId="31535"/>
    <cellStyle name="Separador de milhares 3 8 5 3 5" xfId="18011"/>
    <cellStyle name="Separador de milhares 3 8 5 3 5 2" xfId="44250"/>
    <cellStyle name="Separador de milhares 3 8 5 3 6" xfId="11677"/>
    <cellStyle name="Separador de milhares 3 8 5 3 6 2" xfId="37919"/>
    <cellStyle name="Separador de milhares 3 8 5 3 7" xfId="29837"/>
    <cellStyle name="Separador de milhares 3 8 5 4" xfId="2435"/>
    <cellStyle name="Separador de milhares 3 8 5 4 2" xfId="7139"/>
    <cellStyle name="Separador de milhares 3 8 5 4 2 2" xfId="10283"/>
    <cellStyle name="Separador de milhares 3 8 5 4 2 2 2" xfId="28497"/>
    <cellStyle name="Separador de milhares 3 8 5 4 2 2 2 2" xfId="54727"/>
    <cellStyle name="Separador de milhares 3 8 5 4 2 2 3" xfId="22583"/>
    <cellStyle name="Separador de milhares 3 8 5 4 2 2 3 2" xfId="48819"/>
    <cellStyle name="Separador de milhares 3 8 5 4 2 2 4" xfId="16669"/>
    <cellStyle name="Separador de milhares 3 8 5 4 2 2 4 2" xfId="42911"/>
    <cellStyle name="Separador de milhares 3 8 5 4 2 2 5" xfId="36525"/>
    <cellStyle name="Separador de milhares 3 8 5 4 2 3" xfId="25540"/>
    <cellStyle name="Separador de milhares 3 8 5 4 2 3 2" xfId="51773"/>
    <cellStyle name="Separador de milhares 3 8 5 4 2 4" xfId="19626"/>
    <cellStyle name="Separador de milhares 3 8 5 4 2 4 2" xfId="45865"/>
    <cellStyle name="Separador de milhares 3 8 5 4 2 5" xfId="13528"/>
    <cellStyle name="Separador de milhares 3 8 5 4 2 5 2" xfId="39770"/>
    <cellStyle name="Separador de milhares 3 8 5 4 2 6" xfId="33384"/>
    <cellStyle name="Separador de milhares 3 8 5 4 3" xfId="8815"/>
    <cellStyle name="Separador de milhares 3 8 5 4 3 2" xfId="27029"/>
    <cellStyle name="Separador de milhares 3 8 5 4 3 2 2" xfId="53259"/>
    <cellStyle name="Separador de milhares 3 8 5 4 3 3" xfId="21115"/>
    <cellStyle name="Separador de milhares 3 8 5 4 3 3 2" xfId="47351"/>
    <cellStyle name="Separador de milhares 3 8 5 4 3 4" xfId="15201"/>
    <cellStyle name="Separador de milhares 3 8 5 4 3 4 2" xfId="41443"/>
    <cellStyle name="Separador de milhares 3 8 5 4 3 5" xfId="35057"/>
    <cellStyle name="Separador de milhares 3 8 5 4 4" xfId="5440"/>
    <cellStyle name="Separador de milhares 3 8 5 4 4 2" xfId="24072"/>
    <cellStyle name="Separador de milhares 3 8 5 4 4 2 2" xfId="50305"/>
    <cellStyle name="Separador de milhares 3 8 5 4 4 3" xfId="31685"/>
    <cellStyle name="Separador de milhares 3 8 5 4 5" xfId="18158"/>
    <cellStyle name="Separador de milhares 3 8 5 4 5 2" xfId="44397"/>
    <cellStyle name="Separador de milhares 3 8 5 4 6" xfId="11827"/>
    <cellStyle name="Separador de milhares 3 8 5 4 6 2" xfId="38069"/>
    <cellStyle name="Separador de milhares 3 8 5 4 7" xfId="29987"/>
    <cellStyle name="Separador de milhares 3 8 5 5" xfId="2962"/>
    <cellStyle name="Separador de milhares 3 8 5 5 2" xfId="7286"/>
    <cellStyle name="Separador de milhares 3 8 5 5 2 2" xfId="10430"/>
    <cellStyle name="Separador de milhares 3 8 5 5 2 2 2" xfId="28644"/>
    <cellStyle name="Separador de milhares 3 8 5 5 2 2 2 2" xfId="54874"/>
    <cellStyle name="Separador de milhares 3 8 5 5 2 2 3" xfId="22730"/>
    <cellStyle name="Separador de milhares 3 8 5 5 2 2 3 2" xfId="48966"/>
    <cellStyle name="Separador de milhares 3 8 5 5 2 2 4" xfId="16816"/>
    <cellStyle name="Separador de milhares 3 8 5 5 2 2 4 2" xfId="43058"/>
    <cellStyle name="Separador de milhares 3 8 5 5 2 2 5" xfId="36672"/>
    <cellStyle name="Separador de milhares 3 8 5 5 2 3" xfId="25687"/>
    <cellStyle name="Separador de milhares 3 8 5 5 2 3 2" xfId="51920"/>
    <cellStyle name="Separador de milhares 3 8 5 5 2 4" xfId="19773"/>
    <cellStyle name="Separador de milhares 3 8 5 5 2 4 2" xfId="46012"/>
    <cellStyle name="Separador de milhares 3 8 5 5 2 5" xfId="13675"/>
    <cellStyle name="Separador de milhares 3 8 5 5 2 5 2" xfId="39917"/>
    <cellStyle name="Separador de milhares 3 8 5 5 2 6" xfId="33531"/>
    <cellStyle name="Separador de milhares 3 8 5 5 3" xfId="8962"/>
    <cellStyle name="Separador de milhares 3 8 5 5 3 2" xfId="27176"/>
    <cellStyle name="Separador de milhares 3 8 5 5 3 2 2" xfId="53406"/>
    <cellStyle name="Separador de milhares 3 8 5 5 3 3" xfId="21262"/>
    <cellStyle name="Separador de milhares 3 8 5 5 3 3 2" xfId="47498"/>
    <cellStyle name="Separador de milhares 3 8 5 5 3 4" xfId="15348"/>
    <cellStyle name="Separador de milhares 3 8 5 5 3 4 2" xfId="41590"/>
    <cellStyle name="Separador de milhares 3 8 5 5 3 5" xfId="35204"/>
    <cellStyle name="Separador de milhares 3 8 5 5 4" xfId="5587"/>
    <cellStyle name="Separador de milhares 3 8 5 5 4 2" xfId="24219"/>
    <cellStyle name="Separador de milhares 3 8 5 5 4 2 2" xfId="50452"/>
    <cellStyle name="Separador de milhares 3 8 5 5 4 3" xfId="31832"/>
    <cellStyle name="Separador de milhares 3 8 5 5 5" xfId="18305"/>
    <cellStyle name="Separador de milhares 3 8 5 5 5 2" xfId="44544"/>
    <cellStyle name="Separador de milhares 3 8 5 5 6" xfId="11974"/>
    <cellStyle name="Separador de milhares 3 8 5 5 6 2" xfId="38216"/>
    <cellStyle name="Separador de milhares 3 8 5 5 7" xfId="30134"/>
    <cellStyle name="Separador de milhares 3 8 5 6" xfId="3489"/>
    <cellStyle name="Separador de milhares 3 8 5 6 2" xfId="7433"/>
    <cellStyle name="Separador de milhares 3 8 5 6 2 2" xfId="10577"/>
    <cellStyle name="Separador de milhares 3 8 5 6 2 2 2" xfId="28791"/>
    <cellStyle name="Separador de milhares 3 8 5 6 2 2 2 2" xfId="55021"/>
    <cellStyle name="Separador de milhares 3 8 5 6 2 2 3" xfId="22877"/>
    <cellStyle name="Separador de milhares 3 8 5 6 2 2 3 2" xfId="49113"/>
    <cellStyle name="Separador de milhares 3 8 5 6 2 2 4" xfId="16963"/>
    <cellStyle name="Separador de milhares 3 8 5 6 2 2 4 2" xfId="43205"/>
    <cellStyle name="Separador de milhares 3 8 5 6 2 2 5" xfId="36819"/>
    <cellStyle name="Separador de milhares 3 8 5 6 2 3" xfId="25834"/>
    <cellStyle name="Separador de milhares 3 8 5 6 2 3 2" xfId="52067"/>
    <cellStyle name="Separador de milhares 3 8 5 6 2 4" xfId="19920"/>
    <cellStyle name="Separador de milhares 3 8 5 6 2 4 2" xfId="46159"/>
    <cellStyle name="Separador de milhares 3 8 5 6 2 5" xfId="13822"/>
    <cellStyle name="Separador de milhares 3 8 5 6 2 5 2" xfId="40064"/>
    <cellStyle name="Separador de milhares 3 8 5 6 2 6" xfId="33678"/>
    <cellStyle name="Separador de milhares 3 8 5 6 3" xfId="9109"/>
    <cellStyle name="Separador de milhares 3 8 5 6 3 2" xfId="27323"/>
    <cellStyle name="Separador de milhares 3 8 5 6 3 2 2" xfId="53553"/>
    <cellStyle name="Separador de milhares 3 8 5 6 3 3" xfId="21409"/>
    <cellStyle name="Separador de milhares 3 8 5 6 3 3 2" xfId="47645"/>
    <cellStyle name="Separador de milhares 3 8 5 6 3 4" xfId="15495"/>
    <cellStyle name="Separador de milhares 3 8 5 6 3 4 2" xfId="41737"/>
    <cellStyle name="Separador de milhares 3 8 5 6 3 5" xfId="35351"/>
    <cellStyle name="Separador de milhares 3 8 5 6 4" xfId="5734"/>
    <cellStyle name="Separador de milhares 3 8 5 6 4 2" xfId="24366"/>
    <cellStyle name="Separador de milhares 3 8 5 6 4 2 2" xfId="50599"/>
    <cellStyle name="Separador de milhares 3 8 5 6 4 3" xfId="31979"/>
    <cellStyle name="Separador de milhares 3 8 5 6 5" xfId="18452"/>
    <cellStyle name="Separador de milhares 3 8 5 6 5 2" xfId="44691"/>
    <cellStyle name="Separador de milhares 3 8 5 6 6" xfId="12121"/>
    <cellStyle name="Separador de milhares 3 8 5 6 6 2" xfId="38363"/>
    <cellStyle name="Separador de milhares 3 8 5 6 7" xfId="30281"/>
    <cellStyle name="Separador de milhares 3 8 5 7" xfId="4016"/>
    <cellStyle name="Separador de milhares 3 8 5 7 2" xfId="7580"/>
    <cellStyle name="Separador de milhares 3 8 5 7 2 2" xfId="10724"/>
    <cellStyle name="Separador de milhares 3 8 5 7 2 2 2" xfId="28938"/>
    <cellStyle name="Separador de milhares 3 8 5 7 2 2 2 2" xfId="55168"/>
    <cellStyle name="Separador de milhares 3 8 5 7 2 2 3" xfId="23024"/>
    <cellStyle name="Separador de milhares 3 8 5 7 2 2 3 2" xfId="49260"/>
    <cellStyle name="Separador de milhares 3 8 5 7 2 2 4" xfId="17110"/>
    <cellStyle name="Separador de milhares 3 8 5 7 2 2 4 2" xfId="43352"/>
    <cellStyle name="Separador de milhares 3 8 5 7 2 2 5" xfId="36966"/>
    <cellStyle name="Separador de milhares 3 8 5 7 2 3" xfId="25981"/>
    <cellStyle name="Separador de milhares 3 8 5 7 2 3 2" xfId="52214"/>
    <cellStyle name="Separador de milhares 3 8 5 7 2 4" xfId="20067"/>
    <cellStyle name="Separador de milhares 3 8 5 7 2 4 2" xfId="46306"/>
    <cellStyle name="Separador de milhares 3 8 5 7 2 5" xfId="13969"/>
    <cellStyle name="Separador de milhares 3 8 5 7 2 5 2" xfId="40211"/>
    <cellStyle name="Separador de milhares 3 8 5 7 2 6" xfId="33825"/>
    <cellStyle name="Separador de milhares 3 8 5 7 3" xfId="9256"/>
    <cellStyle name="Separador de milhares 3 8 5 7 3 2" xfId="27470"/>
    <cellStyle name="Separador de milhares 3 8 5 7 3 2 2" xfId="53700"/>
    <cellStyle name="Separador de milhares 3 8 5 7 3 3" xfId="21556"/>
    <cellStyle name="Separador de milhares 3 8 5 7 3 3 2" xfId="47792"/>
    <cellStyle name="Separador de milhares 3 8 5 7 3 4" xfId="15642"/>
    <cellStyle name="Separador de milhares 3 8 5 7 3 4 2" xfId="41884"/>
    <cellStyle name="Separador de milhares 3 8 5 7 3 5" xfId="35498"/>
    <cellStyle name="Separador de milhares 3 8 5 7 4" xfId="5881"/>
    <cellStyle name="Separador de milhares 3 8 5 7 4 2" xfId="24513"/>
    <cellStyle name="Separador de milhares 3 8 5 7 4 2 2" xfId="50746"/>
    <cellStyle name="Separador de milhares 3 8 5 7 4 3" xfId="32126"/>
    <cellStyle name="Separador de milhares 3 8 5 7 5" xfId="18599"/>
    <cellStyle name="Separador de milhares 3 8 5 7 5 2" xfId="44838"/>
    <cellStyle name="Separador de milhares 3 8 5 7 6" xfId="12268"/>
    <cellStyle name="Separador de milhares 3 8 5 7 6 2" xfId="38510"/>
    <cellStyle name="Separador de milhares 3 8 5 7 7" xfId="30428"/>
    <cellStyle name="Separador de milhares 3 8 5 8" xfId="6619"/>
    <cellStyle name="Separador de milhares 3 8 5 8 2" xfId="9766"/>
    <cellStyle name="Separador de milhares 3 8 5 8 2 2" xfId="27980"/>
    <cellStyle name="Separador de milhares 3 8 5 8 2 2 2" xfId="54210"/>
    <cellStyle name="Separador de milhares 3 8 5 8 2 3" xfId="22066"/>
    <cellStyle name="Separador de milhares 3 8 5 8 2 3 2" xfId="48302"/>
    <cellStyle name="Separador de milhares 3 8 5 8 2 4" xfId="16152"/>
    <cellStyle name="Separador de milhares 3 8 5 8 2 4 2" xfId="42394"/>
    <cellStyle name="Separador de milhares 3 8 5 8 2 5" xfId="36008"/>
    <cellStyle name="Separador de milhares 3 8 5 8 3" xfId="25023"/>
    <cellStyle name="Separador de milhares 3 8 5 8 3 2" xfId="51256"/>
    <cellStyle name="Separador de milhares 3 8 5 8 4" xfId="19109"/>
    <cellStyle name="Separador de milhares 3 8 5 8 4 2" xfId="45348"/>
    <cellStyle name="Separador de milhares 3 8 5 8 5" xfId="13008"/>
    <cellStyle name="Separador de milhares 3 8 5 8 5 2" xfId="39250"/>
    <cellStyle name="Separador de milhares 3 8 5 8 6" xfId="32864"/>
    <cellStyle name="Separador de milhares 3 8 5 9" xfId="8295"/>
    <cellStyle name="Separador de milhares 3 8 5 9 2" xfId="26509"/>
    <cellStyle name="Separador de milhares 3 8 5 9 2 2" xfId="52742"/>
    <cellStyle name="Separador de milhares 3 8 5 9 3" xfId="20595"/>
    <cellStyle name="Separador de milhares 3 8 5 9 3 2" xfId="46834"/>
    <cellStyle name="Separador de milhares 3 8 5 9 4" xfId="14684"/>
    <cellStyle name="Separador de milhares 3 8 5 9 4 2" xfId="40926"/>
    <cellStyle name="Separador de milhares 3 8 5 9 5" xfId="34540"/>
    <cellStyle name="Separador de milhares 3 8 6" xfId="768"/>
    <cellStyle name="Separador de milhares 3 8 6 2" xfId="4192"/>
    <cellStyle name="Separador de milhares 3 8 6 2 2" xfId="7629"/>
    <cellStyle name="Separador de milhares 3 8 6 2 2 2" xfId="10773"/>
    <cellStyle name="Separador de milhares 3 8 6 2 2 2 2" xfId="28987"/>
    <cellStyle name="Separador de milhares 3 8 6 2 2 2 2 2" xfId="55217"/>
    <cellStyle name="Separador de milhares 3 8 6 2 2 2 3" xfId="23073"/>
    <cellStyle name="Separador de milhares 3 8 6 2 2 2 3 2" xfId="49309"/>
    <cellStyle name="Separador de milhares 3 8 6 2 2 2 4" xfId="17159"/>
    <cellStyle name="Separador de milhares 3 8 6 2 2 2 4 2" xfId="43401"/>
    <cellStyle name="Separador de milhares 3 8 6 2 2 2 5" xfId="37015"/>
    <cellStyle name="Separador de milhares 3 8 6 2 2 3" xfId="26030"/>
    <cellStyle name="Separador de milhares 3 8 6 2 2 3 2" xfId="52263"/>
    <cellStyle name="Separador de milhares 3 8 6 2 2 4" xfId="20116"/>
    <cellStyle name="Separador de milhares 3 8 6 2 2 4 2" xfId="46355"/>
    <cellStyle name="Separador de milhares 3 8 6 2 2 5" xfId="14018"/>
    <cellStyle name="Separador de milhares 3 8 6 2 2 5 2" xfId="40260"/>
    <cellStyle name="Separador de milhares 3 8 6 2 2 6" xfId="33874"/>
    <cellStyle name="Separador de milhares 3 8 6 2 3" xfId="9305"/>
    <cellStyle name="Separador de milhares 3 8 6 2 3 2" xfId="27519"/>
    <cellStyle name="Separador de milhares 3 8 6 2 3 2 2" xfId="53749"/>
    <cellStyle name="Separador de milhares 3 8 6 2 3 3" xfId="21605"/>
    <cellStyle name="Separador de milhares 3 8 6 2 3 3 2" xfId="47841"/>
    <cellStyle name="Separador de milhares 3 8 6 2 3 4" xfId="15691"/>
    <cellStyle name="Separador de milhares 3 8 6 2 3 4 2" xfId="41933"/>
    <cellStyle name="Separador de milhares 3 8 6 2 3 5" xfId="35547"/>
    <cellStyle name="Separador de milhares 3 8 6 2 4" xfId="5930"/>
    <cellStyle name="Separador de milhares 3 8 6 2 4 2" xfId="24562"/>
    <cellStyle name="Separador de milhares 3 8 6 2 4 2 2" xfId="50795"/>
    <cellStyle name="Separador de milhares 3 8 6 2 4 3" xfId="32175"/>
    <cellStyle name="Separador de milhares 3 8 6 2 5" xfId="18648"/>
    <cellStyle name="Separador de milhares 3 8 6 2 5 2" xfId="44887"/>
    <cellStyle name="Separador de milhares 3 8 6 2 6" xfId="12317"/>
    <cellStyle name="Separador de milhares 3 8 6 2 6 2" xfId="38559"/>
    <cellStyle name="Separador de milhares 3 8 6 2 7" xfId="30477"/>
    <cellStyle name="Separador de milhares 3 8 6 3" xfId="6674"/>
    <cellStyle name="Separador de milhares 3 8 6 3 2" xfId="9821"/>
    <cellStyle name="Separador de milhares 3 8 6 3 2 2" xfId="28035"/>
    <cellStyle name="Separador de milhares 3 8 6 3 2 2 2" xfId="54265"/>
    <cellStyle name="Separador de milhares 3 8 6 3 2 3" xfId="22121"/>
    <cellStyle name="Separador de milhares 3 8 6 3 2 3 2" xfId="48357"/>
    <cellStyle name="Separador de milhares 3 8 6 3 2 4" xfId="16207"/>
    <cellStyle name="Separador de milhares 3 8 6 3 2 4 2" xfId="42449"/>
    <cellStyle name="Separador de milhares 3 8 6 3 2 5" xfId="36063"/>
    <cellStyle name="Separador de milhares 3 8 6 3 3" xfId="25078"/>
    <cellStyle name="Separador de milhares 3 8 6 3 3 2" xfId="51311"/>
    <cellStyle name="Separador de milhares 3 8 6 3 4" xfId="19164"/>
    <cellStyle name="Separador de milhares 3 8 6 3 4 2" xfId="45403"/>
    <cellStyle name="Separador de milhares 3 8 6 3 5" xfId="13063"/>
    <cellStyle name="Separador de milhares 3 8 6 3 5 2" xfId="39305"/>
    <cellStyle name="Separador de milhares 3 8 6 3 6" xfId="32919"/>
    <cellStyle name="Separador de milhares 3 8 6 4" xfId="8353"/>
    <cellStyle name="Separador de milhares 3 8 6 4 2" xfId="26567"/>
    <cellStyle name="Separador de milhares 3 8 6 4 2 2" xfId="52797"/>
    <cellStyle name="Separador de milhares 3 8 6 4 3" xfId="20653"/>
    <cellStyle name="Separador de milhares 3 8 6 4 3 2" xfId="46889"/>
    <cellStyle name="Separador de milhares 3 8 6 4 4" xfId="14739"/>
    <cellStyle name="Separador de milhares 3 8 6 4 4 2" xfId="40981"/>
    <cellStyle name="Separador de milhares 3 8 6 4 5" xfId="34595"/>
    <cellStyle name="Separador de milhares 3 8 6 5" xfId="4975"/>
    <cellStyle name="Separador de milhares 3 8 6 5 2" xfId="23610"/>
    <cellStyle name="Separador de milhares 3 8 6 5 2 2" xfId="49843"/>
    <cellStyle name="Separador de milhares 3 8 6 5 3" xfId="31220"/>
    <cellStyle name="Separador de milhares 3 8 6 6" xfId="17696"/>
    <cellStyle name="Separador de milhares 3 8 6 6 2" xfId="43935"/>
    <cellStyle name="Separador de milhares 3 8 6 7" xfId="11362"/>
    <cellStyle name="Separador de milhares 3 8 6 7 2" xfId="37604"/>
    <cellStyle name="Separador de milhares 3 8 6 8" xfId="29522"/>
    <cellStyle name="Separador de milhares 3 8 7" xfId="1119"/>
    <cellStyle name="Separador de milhares 3 8 7 2" xfId="6772"/>
    <cellStyle name="Separador de milhares 3 8 7 2 2" xfId="9919"/>
    <cellStyle name="Separador de milhares 3 8 7 2 2 2" xfId="28133"/>
    <cellStyle name="Separador de milhares 3 8 7 2 2 2 2" xfId="54363"/>
    <cellStyle name="Separador de milhares 3 8 7 2 2 3" xfId="22219"/>
    <cellStyle name="Separador de milhares 3 8 7 2 2 3 2" xfId="48455"/>
    <cellStyle name="Separador de milhares 3 8 7 2 2 4" xfId="16305"/>
    <cellStyle name="Separador de milhares 3 8 7 2 2 4 2" xfId="42547"/>
    <cellStyle name="Separador de milhares 3 8 7 2 2 5" xfId="36161"/>
    <cellStyle name="Separador de milhares 3 8 7 2 3" xfId="25176"/>
    <cellStyle name="Separador de milhares 3 8 7 2 3 2" xfId="51409"/>
    <cellStyle name="Separador de milhares 3 8 7 2 4" xfId="19262"/>
    <cellStyle name="Separador de milhares 3 8 7 2 4 2" xfId="45501"/>
    <cellStyle name="Separador de milhares 3 8 7 2 5" xfId="13161"/>
    <cellStyle name="Separador de milhares 3 8 7 2 5 2" xfId="39403"/>
    <cellStyle name="Separador de milhares 3 8 7 2 6" xfId="33017"/>
    <cellStyle name="Separador de milhares 3 8 7 3" xfId="8451"/>
    <cellStyle name="Separador de milhares 3 8 7 3 2" xfId="26665"/>
    <cellStyle name="Separador de milhares 3 8 7 3 2 2" xfId="52895"/>
    <cellStyle name="Separador de milhares 3 8 7 3 3" xfId="20751"/>
    <cellStyle name="Separador de milhares 3 8 7 3 3 2" xfId="46987"/>
    <cellStyle name="Separador de milhares 3 8 7 3 4" xfId="14837"/>
    <cellStyle name="Separador de milhares 3 8 7 3 4 2" xfId="41079"/>
    <cellStyle name="Separador de milhares 3 8 7 3 5" xfId="34693"/>
    <cellStyle name="Separador de milhares 3 8 7 4" xfId="5073"/>
    <cellStyle name="Separador de milhares 3 8 7 4 2" xfId="23708"/>
    <cellStyle name="Separador de milhares 3 8 7 4 2 2" xfId="49941"/>
    <cellStyle name="Separador de milhares 3 8 7 4 3" xfId="31318"/>
    <cellStyle name="Separador de milhares 3 8 7 5" xfId="17794"/>
    <cellStyle name="Separador de milhares 3 8 7 5 2" xfId="44033"/>
    <cellStyle name="Separador de milhares 3 8 7 6" xfId="11460"/>
    <cellStyle name="Separador de milhares 3 8 7 6 2" xfId="37702"/>
    <cellStyle name="Separador de milhares 3 8 7 7" xfId="29620"/>
    <cellStyle name="Separador de milhares 3 8 8" xfId="1554"/>
    <cellStyle name="Separador de milhares 3 8 8 2" xfId="6891"/>
    <cellStyle name="Separador de milhares 3 8 8 2 2" xfId="10038"/>
    <cellStyle name="Separador de milhares 3 8 8 2 2 2" xfId="28252"/>
    <cellStyle name="Separador de milhares 3 8 8 2 2 2 2" xfId="54482"/>
    <cellStyle name="Separador de milhares 3 8 8 2 2 3" xfId="22338"/>
    <cellStyle name="Separador de milhares 3 8 8 2 2 3 2" xfId="48574"/>
    <cellStyle name="Separador de milhares 3 8 8 2 2 4" xfId="16424"/>
    <cellStyle name="Separador de milhares 3 8 8 2 2 4 2" xfId="42666"/>
    <cellStyle name="Separador de milhares 3 8 8 2 2 5" xfId="36280"/>
    <cellStyle name="Separador de milhares 3 8 8 2 3" xfId="25295"/>
    <cellStyle name="Separador de milhares 3 8 8 2 3 2" xfId="51528"/>
    <cellStyle name="Separador de milhares 3 8 8 2 4" xfId="19381"/>
    <cellStyle name="Separador de milhares 3 8 8 2 4 2" xfId="45620"/>
    <cellStyle name="Separador de milhares 3 8 8 2 5" xfId="13280"/>
    <cellStyle name="Separador de milhares 3 8 8 2 5 2" xfId="39522"/>
    <cellStyle name="Separador de milhares 3 8 8 2 6" xfId="33136"/>
    <cellStyle name="Separador de milhares 3 8 8 3" xfId="8570"/>
    <cellStyle name="Separador de milhares 3 8 8 3 2" xfId="26784"/>
    <cellStyle name="Separador de milhares 3 8 8 3 2 2" xfId="53014"/>
    <cellStyle name="Separador de milhares 3 8 8 3 3" xfId="20870"/>
    <cellStyle name="Separador de milhares 3 8 8 3 3 2" xfId="47106"/>
    <cellStyle name="Separador de milhares 3 8 8 3 4" xfId="14956"/>
    <cellStyle name="Separador de milhares 3 8 8 3 4 2" xfId="41198"/>
    <cellStyle name="Separador de milhares 3 8 8 3 5" xfId="34812"/>
    <cellStyle name="Separador de milhares 3 8 8 4" xfId="5192"/>
    <cellStyle name="Separador de milhares 3 8 8 4 2" xfId="23827"/>
    <cellStyle name="Separador de milhares 3 8 8 4 2 2" xfId="50060"/>
    <cellStyle name="Separador de milhares 3 8 8 4 3" xfId="31437"/>
    <cellStyle name="Separador de milhares 3 8 8 5" xfId="17913"/>
    <cellStyle name="Separador de milhares 3 8 8 5 2" xfId="44152"/>
    <cellStyle name="Separador de milhares 3 8 8 6" xfId="11579"/>
    <cellStyle name="Separador de milhares 3 8 8 6 2" xfId="37821"/>
    <cellStyle name="Separador de milhares 3 8 8 7" xfId="29739"/>
    <cellStyle name="Separador de milhares 3 8 9" xfId="2084"/>
    <cellStyle name="Separador de milhares 3 8 9 2" xfId="7041"/>
    <cellStyle name="Separador de milhares 3 8 9 2 2" xfId="10185"/>
    <cellStyle name="Separador de milhares 3 8 9 2 2 2" xfId="28399"/>
    <cellStyle name="Separador de milhares 3 8 9 2 2 2 2" xfId="54629"/>
    <cellStyle name="Separador de milhares 3 8 9 2 2 3" xfId="22485"/>
    <cellStyle name="Separador de milhares 3 8 9 2 2 3 2" xfId="48721"/>
    <cellStyle name="Separador de milhares 3 8 9 2 2 4" xfId="16571"/>
    <cellStyle name="Separador de milhares 3 8 9 2 2 4 2" xfId="42813"/>
    <cellStyle name="Separador de milhares 3 8 9 2 2 5" xfId="36427"/>
    <cellStyle name="Separador de milhares 3 8 9 2 3" xfId="25442"/>
    <cellStyle name="Separador de milhares 3 8 9 2 3 2" xfId="51675"/>
    <cellStyle name="Separador de milhares 3 8 9 2 4" xfId="19528"/>
    <cellStyle name="Separador de milhares 3 8 9 2 4 2" xfId="45767"/>
    <cellStyle name="Separador de milhares 3 8 9 2 5" xfId="13430"/>
    <cellStyle name="Separador de milhares 3 8 9 2 5 2" xfId="39672"/>
    <cellStyle name="Separador de milhares 3 8 9 2 6" xfId="33286"/>
    <cellStyle name="Separador de milhares 3 8 9 3" xfId="8717"/>
    <cellStyle name="Separador de milhares 3 8 9 3 2" xfId="26931"/>
    <cellStyle name="Separador de milhares 3 8 9 3 2 2" xfId="53161"/>
    <cellStyle name="Separador de milhares 3 8 9 3 3" xfId="21017"/>
    <cellStyle name="Separador de milhares 3 8 9 3 3 2" xfId="47253"/>
    <cellStyle name="Separador de milhares 3 8 9 3 4" xfId="15103"/>
    <cellStyle name="Separador de milhares 3 8 9 3 4 2" xfId="41345"/>
    <cellStyle name="Separador de milhares 3 8 9 3 5" xfId="34959"/>
    <cellStyle name="Separador de milhares 3 8 9 4" xfId="5342"/>
    <cellStyle name="Separador de milhares 3 8 9 4 2" xfId="23974"/>
    <cellStyle name="Separador de milhares 3 8 9 4 2 2" xfId="50207"/>
    <cellStyle name="Separador de milhares 3 8 9 4 3" xfId="31587"/>
    <cellStyle name="Separador de milhares 3 8 9 5" xfId="18060"/>
    <cellStyle name="Separador de milhares 3 8 9 5 2" xfId="44299"/>
    <cellStyle name="Separador de milhares 3 8 9 6" xfId="11729"/>
    <cellStyle name="Separador de milhares 3 8 9 6 2" xfId="37971"/>
    <cellStyle name="Separador de milhares 3 8 9 7" xfId="29889"/>
    <cellStyle name="Separador de milhares 3 9" xfId="116"/>
    <cellStyle name="Separador de milhares 3 9 10" xfId="2619"/>
    <cellStyle name="Separador de milhares 3 9 10 2" xfId="7190"/>
    <cellStyle name="Separador de milhares 3 9 10 2 2" xfId="10334"/>
    <cellStyle name="Separador de milhares 3 9 10 2 2 2" xfId="28548"/>
    <cellStyle name="Separador de milhares 3 9 10 2 2 2 2" xfId="54778"/>
    <cellStyle name="Separador de milhares 3 9 10 2 2 3" xfId="22634"/>
    <cellStyle name="Separador de milhares 3 9 10 2 2 3 2" xfId="48870"/>
    <cellStyle name="Separador de milhares 3 9 10 2 2 4" xfId="16720"/>
    <cellStyle name="Separador de milhares 3 9 10 2 2 4 2" xfId="42962"/>
    <cellStyle name="Separador de milhares 3 9 10 2 2 5" xfId="36576"/>
    <cellStyle name="Separador de milhares 3 9 10 2 3" xfId="25591"/>
    <cellStyle name="Separador de milhares 3 9 10 2 3 2" xfId="51824"/>
    <cellStyle name="Separador de milhares 3 9 10 2 4" xfId="19677"/>
    <cellStyle name="Separador de milhares 3 9 10 2 4 2" xfId="45916"/>
    <cellStyle name="Separador de milhares 3 9 10 2 5" xfId="13579"/>
    <cellStyle name="Separador de milhares 3 9 10 2 5 2" xfId="39821"/>
    <cellStyle name="Separador de milhares 3 9 10 2 6" xfId="33435"/>
    <cellStyle name="Separador de milhares 3 9 10 3" xfId="8866"/>
    <cellStyle name="Separador de milhares 3 9 10 3 2" xfId="27080"/>
    <cellStyle name="Separador de milhares 3 9 10 3 2 2" xfId="53310"/>
    <cellStyle name="Separador de milhares 3 9 10 3 3" xfId="21166"/>
    <cellStyle name="Separador de milhares 3 9 10 3 3 2" xfId="47402"/>
    <cellStyle name="Separador de milhares 3 9 10 3 4" xfId="15252"/>
    <cellStyle name="Separador de milhares 3 9 10 3 4 2" xfId="41494"/>
    <cellStyle name="Separador de milhares 3 9 10 3 5" xfId="35108"/>
    <cellStyle name="Separador de milhares 3 9 10 4" xfId="5491"/>
    <cellStyle name="Separador de milhares 3 9 10 4 2" xfId="24123"/>
    <cellStyle name="Separador de milhares 3 9 10 4 2 2" xfId="50356"/>
    <cellStyle name="Separador de milhares 3 9 10 4 3" xfId="31736"/>
    <cellStyle name="Separador de milhares 3 9 10 5" xfId="18209"/>
    <cellStyle name="Separador de milhares 3 9 10 5 2" xfId="44448"/>
    <cellStyle name="Separador de milhares 3 9 10 6" xfId="11878"/>
    <cellStyle name="Separador de milhares 3 9 10 6 2" xfId="38120"/>
    <cellStyle name="Separador de milhares 3 9 10 7" xfId="30038"/>
    <cellStyle name="Separador de milhares 3 9 11" xfId="3146"/>
    <cellStyle name="Separador de milhares 3 9 11 2" xfId="7337"/>
    <cellStyle name="Separador de milhares 3 9 11 2 2" xfId="10481"/>
    <cellStyle name="Separador de milhares 3 9 11 2 2 2" xfId="28695"/>
    <cellStyle name="Separador de milhares 3 9 11 2 2 2 2" xfId="54925"/>
    <cellStyle name="Separador de milhares 3 9 11 2 2 3" xfId="22781"/>
    <cellStyle name="Separador de milhares 3 9 11 2 2 3 2" xfId="49017"/>
    <cellStyle name="Separador de milhares 3 9 11 2 2 4" xfId="16867"/>
    <cellStyle name="Separador de milhares 3 9 11 2 2 4 2" xfId="43109"/>
    <cellStyle name="Separador de milhares 3 9 11 2 2 5" xfId="36723"/>
    <cellStyle name="Separador de milhares 3 9 11 2 3" xfId="25738"/>
    <cellStyle name="Separador de milhares 3 9 11 2 3 2" xfId="51971"/>
    <cellStyle name="Separador de milhares 3 9 11 2 4" xfId="19824"/>
    <cellStyle name="Separador de milhares 3 9 11 2 4 2" xfId="46063"/>
    <cellStyle name="Separador de milhares 3 9 11 2 5" xfId="13726"/>
    <cellStyle name="Separador de milhares 3 9 11 2 5 2" xfId="39968"/>
    <cellStyle name="Separador de milhares 3 9 11 2 6" xfId="33582"/>
    <cellStyle name="Separador de milhares 3 9 11 3" xfId="9013"/>
    <cellStyle name="Separador de milhares 3 9 11 3 2" xfId="27227"/>
    <cellStyle name="Separador de milhares 3 9 11 3 2 2" xfId="53457"/>
    <cellStyle name="Separador de milhares 3 9 11 3 3" xfId="21313"/>
    <cellStyle name="Separador de milhares 3 9 11 3 3 2" xfId="47549"/>
    <cellStyle name="Separador de milhares 3 9 11 3 4" xfId="15399"/>
    <cellStyle name="Separador de milhares 3 9 11 3 4 2" xfId="41641"/>
    <cellStyle name="Separador de milhares 3 9 11 3 5" xfId="35255"/>
    <cellStyle name="Separador de milhares 3 9 11 4" xfId="5638"/>
    <cellStyle name="Separador de milhares 3 9 11 4 2" xfId="24270"/>
    <cellStyle name="Separador de milhares 3 9 11 4 2 2" xfId="50503"/>
    <cellStyle name="Separador de milhares 3 9 11 4 3" xfId="31883"/>
    <cellStyle name="Separador de milhares 3 9 11 5" xfId="18356"/>
    <cellStyle name="Separador de milhares 3 9 11 5 2" xfId="44595"/>
    <cellStyle name="Separador de milhares 3 9 11 6" xfId="12025"/>
    <cellStyle name="Separador de milhares 3 9 11 6 2" xfId="38267"/>
    <cellStyle name="Separador de milhares 3 9 11 7" xfId="30185"/>
    <cellStyle name="Separador de milhares 3 9 12" xfId="3673"/>
    <cellStyle name="Separador de milhares 3 9 12 2" xfId="7484"/>
    <cellStyle name="Separador de milhares 3 9 12 2 2" xfId="10628"/>
    <cellStyle name="Separador de milhares 3 9 12 2 2 2" xfId="28842"/>
    <cellStyle name="Separador de milhares 3 9 12 2 2 2 2" xfId="55072"/>
    <cellStyle name="Separador de milhares 3 9 12 2 2 3" xfId="22928"/>
    <cellStyle name="Separador de milhares 3 9 12 2 2 3 2" xfId="49164"/>
    <cellStyle name="Separador de milhares 3 9 12 2 2 4" xfId="17014"/>
    <cellStyle name="Separador de milhares 3 9 12 2 2 4 2" xfId="43256"/>
    <cellStyle name="Separador de milhares 3 9 12 2 2 5" xfId="36870"/>
    <cellStyle name="Separador de milhares 3 9 12 2 3" xfId="25885"/>
    <cellStyle name="Separador de milhares 3 9 12 2 3 2" xfId="52118"/>
    <cellStyle name="Separador de milhares 3 9 12 2 4" xfId="19971"/>
    <cellStyle name="Separador de milhares 3 9 12 2 4 2" xfId="46210"/>
    <cellStyle name="Separador de milhares 3 9 12 2 5" xfId="13873"/>
    <cellStyle name="Separador de milhares 3 9 12 2 5 2" xfId="40115"/>
    <cellStyle name="Separador de milhares 3 9 12 2 6" xfId="33729"/>
    <cellStyle name="Separador de milhares 3 9 12 3" xfId="9160"/>
    <cellStyle name="Separador de milhares 3 9 12 3 2" xfId="27374"/>
    <cellStyle name="Separador de milhares 3 9 12 3 2 2" xfId="53604"/>
    <cellStyle name="Separador de milhares 3 9 12 3 3" xfId="21460"/>
    <cellStyle name="Separador de milhares 3 9 12 3 3 2" xfId="47696"/>
    <cellStyle name="Separador de milhares 3 9 12 3 4" xfId="15546"/>
    <cellStyle name="Separador de milhares 3 9 12 3 4 2" xfId="41788"/>
    <cellStyle name="Separador de milhares 3 9 12 3 5" xfId="35402"/>
    <cellStyle name="Separador de milhares 3 9 12 4" xfId="5785"/>
    <cellStyle name="Separador de milhares 3 9 12 4 2" xfId="24417"/>
    <cellStyle name="Separador de milhares 3 9 12 4 2 2" xfId="50650"/>
    <cellStyle name="Separador de milhares 3 9 12 4 3" xfId="32030"/>
    <cellStyle name="Separador de milhares 3 9 12 5" xfId="18503"/>
    <cellStyle name="Separador de milhares 3 9 12 5 2" xfId="44742"/>
    <cellStyle name="Separador de milhares 3 9 12 6" xfId="12172"/>
    <cellStyle name="Separador de milhares 3 9 12 6 2" xfId="38414"/>
    <cellStyle name="Separador de milhares 3 9 12 7" xfId="30332"/>
    <cellStyle name="Separador de milhares 3 9 13" xfId="6468"/>
    <cellStyle name="Separador de milhares 3 9 13 2" xfId="9624"/>
    <cellStyle name="Separador de milhares 3 9 13 2 2" xfId="27838"/>
    <cellStyle name="Separador de milhares 3 9 13 2 2 2" xfId="54068"/>
    <cellStyle name="Separador de milhares 3 9 13 2 3" xfId="21924"/>
    <cellStyle name="Separador de milhares 3 9 13 2 3 2" xfId="48160"/>
    <cellStyle name="Separador de milhares 3 9 13 2 4" xfId="16010"/>
    <cellStyle name="Separador de milhares 3 9 13 2 4 2" xfId="42252"/>
    <cellStyle name="Separador de milhares 3 9 13 2 5" xfId="35866"/>
    <cellStyle name="Separador de milhares 3 9 13 3" xfId="24881"/>
    <cellStyle name="Separador de milhares 3 9 13 3 2" xfId="51114"/>
    <cellStyle name="Separador de milhares 3 9 13 4" xfId="18967"/>
    <cellStyle name="Separador de milhares 3 9 13 4 2" xfId="45206"/>
    <cellStyle name="Separador de milhares 3 9 13 5" xfId="12857"/>
    <cellStyle name="Separador de milhares 3 9 13 5 2" xfId="39099"/>
    <cellStyle name="Separador de milhares 3 9 13 6" xfId="32713"/>
    <cellStyle name="Separador de milhares 3 9 14" xfId="8153"/>
    <cellStyle name="Separador de milhares 3 9 14 2" xfId="26367"/>
    <cellStyle name="Separador de milhares 3 9 14 2 2" xfId="52600"/>
    <cellStyle name="Separador de milhares 3 9 14 3" xfId="20453"/>
    <cellStyle name="Separador de milhares 3 9 14 3 2" xfId="46692"/>
    <cellStyle name="Separador de milhares 3 9 14 4" xfId="14542"/>
    <cellStyle name="Separador de milhares 3 9 14 4 2" xfId="40784"/>
    <cellStyle name="Separador de milhares 3 9 14 5" xfId="34398"/>
    <cellStyle name="Separador de milhares 3 9 15" xfId="4766"/>
    <cellStyle name="Separador de milhares 3 9 15 2" xfId="23410"/>
    <cellStyle name="Separador de milhares 3 9 15 2 2" xfId="49646"/>
    <cellStyle name="Separador de milhares 3 9 15 3" xfId="31014"/>
    <cellStyle name="Separador de milhares 3 9 16" xfId="17496"/>
    <cellStyle name="Separador de milhares 3 9 16 2" xfId="43738"/>
    <cellStyle name="Separador de milhares 3 9 17" xfId="11156"/>
    <cellStyle name="Separador de milhares 3 9 17 2" xfId="37398"/>
    <cellStyle name="Separador de milhares 3 9 18" xfId="29316"/>
    <cellStyle name="Separador de milhares 3 9 2" xfId="210"/>
    <cellStyle name="Separador de milhares 3 9 2 10" xfId="6497"/>
    <cellStyle name="Separador de milhares 3 9 2 10 2" xfId="9651"/>
    <cellStyle name="Separador de milhares 3 9 2 10 2 2" xfId="27865"/>
    <cellStyle name="Separador de milhares 3 9 2 10 2 2 2" xfId="54095"/>
    <cellStyle name="Separador de milhares 3 9 2 10 2 3" xfId="21951"/>
    <cellStyle name="Separador de milhares 3 9 2 10 2 3 2" xfId="48187"/>
    <cellStyle name="Separador de milhares 3 9 2 10 2 4" xfId="16037"/>
    <cellStyle name="Separador de milhares 3 9 2 10 2 4 2" xfId="42279"/>
    <cellStyle name="Separador de milhares 3 9 2 10 2 5" xfId="35893"/>
    <cellStyle name="Separador de milhares 3 9 2 10 3" xfId="24908"/>
    <cellStyle name="Separador de milhares 3 9 2 10 3 2" xfId="51141"/>
    <cellStyle name="Separador de milhares 3 9 2 10 4" xfId="18994"/>
    <cellStyle name="Separador de milhares 3 9 2 10 4 2" xfId="45233"/>
    <cellStyle name="Separador de milhares 3 9 2 10 5" xfId="12886"/>
    <cellStyle name="Separador de milhares 3 9 2 10 5 2" xfId="39128"/>
    <cellStyle name="Separador de milhares 3 9 2 10 6" xfId="32742"/>
    <cellStyle name="Separador de milhares 3 9 2 11" xfId="8180"/>
    <cellStyle name="Separador de milhares 3 9 2 11 2" xfId="26394"/>
    <cellStyle name="Separador de milhares 3 9 2 11 2 2" xfId="52627"/>
    <cellStyle name="Separador de milhares 3 9 2 11 3" xfId="20480"/>
    <cellStyle name="Separador de milhares 3 9 2 11 3 2" xfId="46719"/>
    <cellStyle name="Separador de milhares 3 9 2 11 4" xfId="14569"/>
    <cellStyle name="Separador de milhares 3 9 2 11 4 2" xfId="40811"/>
    <cellStyle name="Separador de milhares 3 9 2 11 5" xfId="34425"/>
    <cellStyle name="Separador de milhares 3 9 2 12" xfId="4796"/>
    <cellStyle name="Separador de milhares 3 9 2 12 2" xfId="23437"/>
    <cellStyle name="Separador de milhares 3 9 2 12 2 2" xfId="49673"/>
    <cellStyle name="Separador de milhares 3 9 2 12 3" xfId="31043"/>
    <cellStyle name="Separador de milhares 3 9 2 13" xfId="17523"/>
    <cellStyle name="Separador de milhares 3 9 2 13 2" xfId="43765"/>
    <cellStyle name="Separador de milhares 3 9 2 14" xfId="11185"/>
    <cellStyle name="Separador de milhares 3 9 2 14 2" xfId="37427"/>
    <cellStyle name="Separador de milhares 3 9 2 15" xfId="29346"/>
    <cellStyle name="Separador de milhares 3 9 2 2" xfId="483"/>
    <cellStyle name="Separador de milhares 3 9 2 2 10" xfId="17597"/>
    <cellStyle name="Separador de milhares 3 9 2 2 10 2" xfId="43839"/>
    <cellStyle name="Separador de milhares 3 9 2 2 11" xfId="11266"/>
    <cellStyle name="Separador de milhares 3 9 2 2 11 2" xfId="37508"/>
    <cellStyle name="Separador de milhares 3 9 2 2 12" xfId="29426"/>
    <cellStyle name="Separador de milhares 3 9 2 2 2" xfId="2002"/>
    <cellStyle name="Separador de milhares 3 9 2 2 2 2" xfId="7016"/>
    <cellStyle name="Separador de milhares 3 9 2 2 2 2 2" xfId="10163"/>
    <cellStyle name="Separador de milhares 3 9 2 2 2 2 2 2" xfId="28377"/>
    <cellStyle name="Separador de milhares 3 9 2 2 2 2 2 2 2" xfId="54607"/>
    <cellStyle name="Separador de milhares 3 9 2 2 2 2 2 3" xfId="22463"/>
    <cellStyle name="Separador de milhares 3 9 2 2 2 2 2 3 2" xfId="48699"/>
    <cellStyle name="Separador de milhares 3 9 2 2 2 2 2 4" xfId="16549"/>
    <cellStyle name="Separador de milhares 3 9 2 2 2 2 2 4 2" xfId="42791"/>
    <cellStyle name="Separador de milhares 3 9 2 2 2 2 2 5" xfId="36405"/>
    <cellStyle name="Separador de milhares 3 9 2 2 2 2 3" xfId="25420"/>
    <cellStyle name="Separador de milhares 3 9 2 2 2 2 3 2" xfId="51653"/>
    <cellStyle name="Separador de milhares 3 9 2 2 2 2 4" xfId="19506"/>
    <cellStyle name="Separador de milhares 3 9 2 2 2 2 4 2" xfId="45745"/>
    <cellStyle name="Separador de milhares 3 9 2 2 2 2 5" xfId="13405"/>
    <cellStyle name="Separador de milhares 3 9 2 2 2 2 5 2" xfId="39647"/>
    <cellStyle name="Separador de milhares 3 9 2 2 2 2 6" xfId="33261"/>
    <cellStyle name="Separador de milhares 3 9 2 2 2 3" xfId="8695"/>
    <cellStyle name="Separador de milhares 3 9 2 2 2 3 2" xfId="26909"/>
    <cellStyle name="Separador de milhares 3 9 2 2 2 3 2 2" xfId="53139"/>
    <cellStyle name="Separador de milhares 3 9 2 2 2 3 3" xfId="20995"/>
    <cellStyle name="Separador de milhares 3 9 2 2 2 3 3 2" xfId="47231"/>
    <cellStyle name="Separador de milhares 3 9 2 2 2 3 4" xfId="15081"/>
    <cellStyle name="Separador de milhares 3 9 2 2 2 3 4 2" xfId="41323"/>
    <cellStyle name="Separador de milhares 3 9 2 2 2 3 5" xfId="34937"/>
    <cellStyle name="Separador de milhares 3 9 2 2 2 4" xfId="5317"/>
    <cellStyle name="Separador de milhares 3 9 2 2 2 4 2" xfId="23952"/>
    <cellStyle name="Separador de milhares 3 9 2 2 2 4 2 2" xfId="50185"/>
    <cellStyle name="Separador de milhares 3 9 2 2 2 4 3" xfId="31562"/>
    <cellStyle name="Separador de milhares 3 9 2 2 2 5" xfId="18038"/>
    <cellStyle name="Separador de milhares 3 9 2 2 2 5 2" xfId="44277"/>
    <cellStyle name="Separador de milhares 3 9 2 2 2 6" xfId="11704"/>
    <cellStyle name="Separador de milhares 3 9 2 2 2 6 2" xfId="37946"/>
    <cellStyle name="Separador de milhares 3 9 2 2 2 7" xfId="29864"/>
    <cellStyle name="Separador de milhares 3 9 2 2 3" xfId="2532"/>
    <cellStyle name="Separador de milhares 3 9 2 2 3 2" xfId="7166"/>
    <cellStyle name="Separador de milhares 3 9 2 2 3 2 2" xfId="10310"/>
    <cellStyle name="Separador de milhares 3 9 2 2 3 2 2 2" xfId="28524"/>
    <cellStyle name="Separador de milhares 3 9 2 2 3 2 2 2 2" xfId="54754"/>
    <cellStyle name="Separador de milhares 3 9 2 2 3 2 2 3" xfId="22610"/>
    <cellStyle name="Separador de milhares 3 9 2 2 3 2 2 3 2" xfId="48846"/>
    <cellStyle name="Separador de milhares 3 9 2 2 3 2 2 4" xfId="16696"/>
    <cellStyle name="Separador de milhares 3 9 2 2 3 2 2 4 2" xfId="42938"/>
    <cellStyle name="Separador de milhares 3 9 2 2 3 2 2 5" xfId="36552"/>
    <cellStyle name="Separador de milhares 3 9 2 2 3 2 3" xfId="25567"/>
    <cellStyle name="Separador de milhares 3 9 2 2 3 2 3 2" xfId="51800"/>
    <cellStyle name="Separador de milhares 3 9 2 2 3 2 4" xfId="19653"/>
    <cellStyle name="Separador de milhares 3 9 2 2 3 2 4 2" xfId="45892"/>
    <cellStyle name="Separador de milhares 3 9 2 2 3 2 5" xfId="13555"/>
    <cellStyle name="Separador de milhares 3 9 2 2 3 2 5 2" xfId="39797"/>
    <cellStyle name="Separador de milhares 3 9 2 2 3 2 6" xfId="33411"/>
    <cellStyle name="Separador de milhares 3 9 2 2 3 3" xfId="8842"/>
    <cellStyle name="Separador de milhares 3 9 2 2 3 3 2" xfId="27056"/>
    <cellStyle name="Separador de milhares 3 9 2 2 3 3 2 2" xfId="53286"/>
    <cellStyle name="Separador de milhares 3 9 2 2 3 3 3" xfId="21142"/>
    <cellStyle name="Separador de milhares 3 9 2 2 3 3 3 2" xfId="47378"/>
    <cellStyle name="Separador de milhares 3 9 2 2 3 3 4" xfId="15228"/>
    <cellStyle name="Separador de milhares 3 9 2 2 3 3 4 2" xfId="41470"/>
    <cellStyle name="Separador de milhares 3 9 2 2 3 3 5" xfId="35084"/>
    <cellStyle name="Separador de milhares 3 9 2 2 3 4" xfId="5467"/>
    <cellStyle name="Separador de milhares 3 9 2 2 3 4 2" xfId="24099"/>
    <cellStyle name="Separador de milhares 3 9 2 2 3 4 2 2" xfId="50332"/>
    <cellStyle name="Separador de milhares 3 9 2 2 3 4 3" xfId="31712"/>
    <cellStyle name="Separador de milhares 3 9 2 2 3 5" xfId="18185"/>
    <cellStyle name="Separador de milhares 3 9 2 2 3 5 2" xfId="44424"/>
    <cellStyle name="Separador de milhares 3 9 2 2 3 6" xfId="11854"/>
    <cellStyle name="Separador de milhares 3 9 2 2 3 6 2" xfId="38096"/>
    <cellStyle name="Separador de milhares 3 9 2 2 3 7" xfId="30014"/>
    <cellStyle name="Separador de milhares 3 9 2 2 4" xfId="3059"/>
    <cellStyle name="Separador de milhares 3 9 2 2 4 2" xfId="7313"/>
    <cellStyle name="Separador de milhares 3 9 2 2 4 2 2" xfId="10457"/>
    <cellStyle name="Separador de milhares 3 9 2 2 4 2 2 2" xfId="28671"/>
    <cellStyle name="Separador de milhares 3 9 2 2 4 2 2 2 2" xfId="54901"/>
    <cellStyle name="Separador de milhares 3 9 2 2 4 2 2 3" xfId="22757"/>
    <cellStyle name="Separador de milhares 3 9 2 2 4 2 2 3 2" xfId="48993"/>
    <cellStyle name="Separador de milhares 3 9 2 2 4 2 2 4" xfId="16843"/>
    <cellStyle name="Separador de milhares 3 9 2 2 4 2 2 4 2" xfId="43085"/>
    <cellStyle name="Separador de milhares 3 9 2 2 4 2 2 5" xfId="36699"/>
    <cellStyle name="Separador de milhares 3 9 2 2 4 2 3" xfId="25714"/>
    <cellStyle name="Separador de milhares 3 9 2 2 4 2 3 2" xfId="51947"/>
    <cellStyle name="Separador de milhares 3 9 2 2 4 2 4" xfId="19800"/>
    <cellStyle name="Separador de milhares 3 9 2 2 4 2 4 2" xfId="46039"/>
    <cellStyle name="Separador de milhares 3 9 2 2 4 2 5" xfId="13702"/>
    <cellStyle name="Separador de milhares 3 9 2 2 4 2 5 2" xfId="39944"/>
    <cellStyle name="Separador de milhares 3 9 2 2 4 2 6" xfId="33558"/>
    <cellStyle name="Separador de milhares 3 9 2 2 4 3" xfId="8989"/>
    <cellStyle name="Separador de milhares 3 9 2 2 4 3 2" xfId="27203"/>
    <cellStyle name="Separador de milhares 3 9 2 2 4 3 2 2" xfId="53433"/>
    <cellStyle name="Separador de milhares 3 9 2 2 4 3 3" xfId="21289"/>
    <cellStyle name="Separador de milhares 3 9 2 2 4 3 3 2" xfId="47525"/>
    <cellStyle name="Separador de milhares 3 9 2 2 4 3 4" xfId="15375"/>
    <cellStyle name="Separador de milhares 3 9 2 2 4 3 4 2" xfId="41617"/>
    <cellStyle name="Separador de milhares 3 9 2 2 4 3 5" xfId="35231"/>
    <cellStyle name="Separador de milhares 3 9 2 2 4 4" xfId="5614"/>
    <cellStyle name="Separador de milhares 3 9 2 2 4 4 2" xfId="24246"/>
    <cellStyle name="Separador de milhares 3 9 2 2 4 4 2 2" xfId="50479"/>
    <cellStyle name="Separador de milhares 3 9 2 2 4 4 3" xfId="31859"/>
    <cellStyle name="Separador de milhares 3 9 2 2 4 5" xfId="18332"/>
    <cellStyle name="Separador de milhares 3 9 2 2 4 5 2" xfId="44571"/>
    <cellStyle name="Separador de milhares 3 9 2 2 4 6" xfId="12001"/>
    <cellStyle name="Separador de milhares 3 9 2 2 4 6 2" xfId="38243"/>
    <cellStyle name="Separador de milhares 3 9 2 2 4 7" xfId="30161"/>
    <cellStyle name="Separador de milhares 3 9 2 2 5" xfId="3586"/>
    <cellStyle name="Separador de milhares 3 9 2 2 5 2" xfId="7460"/>
    <cellStyle name="Separador de milhares 3 9 2 2 5 2 2" xfId="10604"/>
    <cellStyle name="Separador de milhares 3 9 2 2 5 2 2 2" xfId="28818"/>
    <cellStyle name="Separador de milhares 3 9 2 2 5 2 2 2 2" xfId="55048"/>
    <cellStyle name="Separador de milhares 3 9 2 2 5 2 2 3" xfId="22904"/>
    <cellStyle name="Separador de milhares 3 9 2 2 5 2 2 3 2" xfId="49140"/>
    <cellStyle name="Separador de milhares 3 9 2 2 5 2 2 4" xfId="16990"/>
    <cellStyle name="Separador de milhares 3 9 2 2 5 2 2 4 2" xfId="43232"/>
    <cellStyle name="Separador de milhares 3 9 2 2 5 2 2 5" xfId="36846"/>
    <cellStyle name="Separador de milhares 3 9 2 2 5 2 3" xfId="25861"/>
    <cellStyle name="Separador de milhares 3 9 2 2 5 2 3 2" xfId="52094"/>
    <cellStyle name="Separador de milhares 3 9 2 2 5 2 4" xfId="19947"/>
    <cellStyle name="Separador de milhares 3 9 2 2 5 2 4 2" xfId="46186"/>
    <cellStyle name="Separador de milhares 3 9 2 2 5 2 5" xfId="13849"/>
    <cellStyle name="Separador de milhares 3 9 2 2 5 2 5 2" xfId="40091"/>
    <cellStyle name="Separador de milhares 3 9 2 2 5 2 6" xfId="33705"/>
    <cellStyle name="Separador de milhares 3 9 2 2 5 3" xfId="9136"/>
    <cellStyle name="Separador de milhares 3 9 2 2 5 3 2" xfId="27350"/>
    <cellStyle name="Separador de milhares 3 9 2 2 5 3 2 2" xfId="53580"/>
    <cellStyle name="Separador de milhares 3 9 2 2 5 3 3" xfId="21436"/>
    <cellStyle name="Separador de milhares 3 9 2 2 5 3 3 2" xfId="47672"/>
    <cellStyle name="Separador de milhares 3 9 2 2 5 3 4" xfId="15522"/>
    <cellStyle name="Separador de milhares 3 9 2 2 5 3 4 2" xfId="41764"/>
    <cellStyle name="Separador de milhares 3 9 2 2 5 3 5" xfId="35378"/>
    <cellStyle name="Separador de milhares 3 9 2 2 5 4" xfId="5761"/>
    <cellStyle name="Separador de milhares 3 9 2 2 5 4 2" xfId="24393"/>
    <cellStyle name="Separador de milhares 3 9 2 2 5 4 2 2" xfId="50626"/>
    <cellStyle name="Separador de milhares 3 9 2 2 5 4 3" xfId="32006"/>
    <cellStyle name="Separador de milhares 3 9 2 2 5 5" xfId="18479"/>
    <cellStyle name="Separador de milhares 3 9 2 2 5 5 2" xfId="44718"/>
    <cellStyle name="Separador de milhares 3 9 2 2 5 6" xfId="12148"/>
    <cellStyle name="Separador de milhares 3 9 2 2 5 6 2" xfId="38390"/>
    <cellStyle name="Separador de milhares 3 9 2 2 5 7" xfId="30308"/>
    <cellStyle name="Separador de milhares 3 9 2 2 6" xfId="4113"/>
    <cellStyle name="Separador de milhares 3 9 2 2 6 2" xfId="7607"/>
    <cellStyle name="Separador de milhares 3 9 2 2 6 2 2" xfId="10751"/>
    <cellStyle name="Separador de milhares 3 9 2 2 6 2 2 2" xfId="28965"/>
    <cellStyle name="Separador de milhares 3 9 2 2 6 2 2 2 2" xfId="55195"/>
    <cellStyle name="Separador de milhares 3 9 2 2 6 2 2 3" xfId="23051"/>
    <cellStyle name="Separador de milhares 3 9 2 2 6 2 2 3 2" xfId="49287"/>
    <cellStyle name="Separador de milhares 3 9 2 2 6 2 2 4" xfId="17137"/>
    <cellStyle name="Separador de milhares 3 9 2 2 6 2 2 4 2" xfId="43379"/>
    <cellStyle name="Separador de milhares 3 9 2 2 6 2 2 5" xfId="36993"/>
    <cellStyle name="Separador de milhares 3 9 2 2 6 2 3" xfId="26008"/>
    <cellStyle name="Separador de milhares 3 9 2 2 6 2 3 2" xfId="52241"/>
    <cellStyle name="Separador de milhares 3 9 2 2 6 2 4" xfId="20094"/>
    <cellStyle name="Separador de milhares 3 9 2 2 6 2 4 2" xfId="46333"/>
    <cellStyle name="Separador de milhares 3 9 2 2 6 2 5" xfId="13996"/>
    <cellStyle name="Separador de milhares 3 9 2 2 6 2 5 2" xfId="40238"/>
    <cellStyle name="Separador de milhares 3 9 2 2 6 2 6" xfId="33852"/>
    <cellStyle name="Separador de milhares 3 9 2 2 6 3" xfId="9283"/>
    <cellStyle name="Separador de milhares 3 9 2 2 6 3 2" xfId="27497"/>
    <cellStyle name="Separador de milhares 3 9 2 2 6 3 2 2" xfId="53727"/>
    <cellStyle name="Separador de milhares 3 9 2 2 6 3 3" xfId="21583"/>
    <cellStyle name="Separador de milhares 3 9 2 2 6 3 3 2" xfId="47819"/>
    <cellStyle name="Separador de milhares 3 9 2 2 6 3 4" xfId="15669"/>
    <cellStyle name="Separador de milhares 3 9 2 2 6 3 4 2" xfId="41911"/>
    <cellStyle name="Separador de milhares 3 9 2 2 6 3 5" xfId="35525"/>
    <cellStyle name="Separador de milhares 3 9 2 2 6 4" xfId="5908"/>
    <cellStyle name="Separador de milhares 3 9 2 2 6 4 2" xfId="24540"/>
    <cellStyle name="Separador de milhares 3 9 2 2 6 4 2 2" xfId="50773"/>
    <cellStyle name="Separador de milhares 3 9 2 2 6 4 3" xfId="32153"/>
    <cellStyle name="Separador de milhares 3 9 2 2 6 5" xfId="18626"/>
    <cellStyle name="Separador de milhares 3 9 2 2 6 5 2" xfId="44865"/>
    <cellStyle name="Separador de milhares 3 9 2 2 6 6" xfId="12295"/>
    <cellStyle name="Separador de milhares 3 9 2 2 6 6 2" xfId="38537"/>
    <cellStyle name="Separador de milhares 3 9 2 2 6 7" xfId="30455"/>
    <cellStyle name="Separador de milhares 3 9 2 2 7" xfId="6578"/>
    <cellStyle name="Separador de milhares 3 9 2 2 7 2" xfId="9725"/>
    <cellStyle name="Separador de milhares 3 9 2 2 7 2 2" xfId="27939"/>
    <cellStyle name="Separador de milhares 3 9 2 2 7 2 2 2" xfId="54169"/>
    <cellStyle name="Separador de milhares 3 9 2 2 7 2 3" xfId="22025"/>
    <cellStyle name="Separador de milhares 3 9 2 2 7 2 3 2" xfId="48261"/>
    <cellStyle name="Separador de milhares 3 9 2 2 7 2 4" xfId="16111"/>
    <cellStyle name="Separador de milhares 3 9 2 2 7 2 4 2" xfId="42353"/>
    <cellStyle name="Separador de milhares 3 9 2 2 7 2 5" xfId="35967"/>
    <cellStyle name="Separador de milhares 3 9 2 2 7 3" xfId="24982"/>
    <cellStyle name="Separador de milhares 3 9 2 2 7 3 2" xfId="51215"/>
    <cellStyle name="Separador de milhares 3 9 2 2 7 4" xfId="19068"/>
    <cellStyle name="Separador de milhares 3 9 2 2 7 4 2" xfId="45307"/>
    <cellStyle name="Separador de milhares 3 9 2 2 7 5" xfId="12967"/>
    <cellStyle name="Separador de milhares 3 9 2 2 7 5 2" xfId="39209"/>
    <cellStyle name="Separador de milhares 3 9 2 2 7 6" xfId="32823"/>
    <cellStyle name="Separador de milhares 3 9 2 2 8" xfId="8254"/>
    <cellStyle name="Separador de milhares 3 9 2 2 8 2" xfId="26468"/>
    <cellStyle name="Separador de milhares 3 9 2 2 8 2 2" xfId="52701"/>
    <cellStyle name="Separador de milhares 3 9 2 2 8 3" xfId="20554"/>
    <cellStyle name="Separador de milhares 3 9 2 2 8 3 2" xfId="46793"/>
    <cellStyle name="Separador de milhares 3 9 2 2 8 4" xfId="14643"/>
    <cellStyle name="Separador de milhares 3 9 2 2 8 4 2" xfId="40885"/>
    <cellStyle name="Separador de milhares 3 9 2 2 8 5" xfId="34499"/>
    <cellStyle name="Separador de milhares 3 9 2 2 9" xfId="4877"/>
    <cellStyle name="Separador de milhares 3 9 2 2 9 2" xfId="23511"/>
    <cellStyle name="Separador de milhares 3 9 2 2 9 2 2" xfId="49747"/>
    <cellStyle name="Separador de milhares 3 9 2 2 9 3" xfId="31124"/>
    <cellStyle name="Separador de milhares 3 9 2 3" xfId="956"/>
    <cellStyle name="Separador de milhares 3 9 2 3 2" xfId="6729"/>
    <cellStyle name="Separador de milhares 3 9 2 3 2 2" xfId="9876"/>
    <cellStyle name="Separador de milhares 3 9 2 3 2 2 2" xfId="28090"/>
    <cellStyle name="Separador de milhares 3 9 2 3 2 2 2 2" xfId="54320"/>
    <cellStyle name="Separador de milhares 3 9 2 3 2 2 3" xfId="22176"/>
    <cellStyle name="Separador de milhares 3 9 2 3 2 2 3 2" xfId="48412"/>
    <cellStyle name="Separador de milhares 3 9 2 3 2 2 4" xfId="16262"/>
    <cellStyle name="Separador de milhares 3 9 2 3 2 2 4 2" xfId="42504"/>
    <cellStyle name="Separador de milhares 3 9 2 3 2 2 5" xfId="36118"/>
    <cellStyle name="Separador de milhares 3 9 2 3 2 3" xfId="25133"/>
    <cellStyle name="Separador de milhares 3 9 2 3 2 3 2" xfId="51366"/>
    <cellStyle name="Separador de milhares 3 9 2 3 2 4" xfId="19219"/>
    <cellStyle name="Separador de milhares 3 9 2 3 2 4 2" xfId="45458"/>
    <cellStyle name="Separador de milhares 3 9 2 3 2 5" xfId="13118"/>
    <cellStyle name="Separador de milhares 3 9 2 3 2 5 2" xfId="39360"/>
    <cellStyle name="Separador de milhares 3 9 2 3 2 6" xfId="32974"/>
    <cellStyle name="Separador de milhares 3 9 2 3 3" xfId="8408"/>
    <cellStyle name="Separador de milhares 3 9 2 3 3 2" xfId="26622"/>
    <cellStyle name="Separador de milhares 3 9 2 3 3 2 2" xfId="52852"/>
    <cellStyle name="Separador de milhares 3 9 2 3 3 3" xfId="20708"/>
    <cellStyle name="Separador de milhares 3 9 2 3 3 3 2" xfId="46944"/>
    <cellStyle name="Separador de milhares 3 9 2 3 3 4" xfId="14794"/>
    <cellStyle name="Separador de milhares 3 9 2 3 3 4 2" xfId="41036"/>
    <cellStyle name="Separador de milhares 3 9 2 3 3 5" xfId="34650"/>
    <cellStyle name="Separador de milhares 3 9 2 3 4" xfId="5030"/>
    <cellStyle name="Separador de milhares 3 9 2 3 4 2" xfId="23665"/>
    <cellStyle name="Separador de milhares 3 9 2 3 4 2 2" xfId="49898"/>
    <cellStyle name="Separador de milhares 3 9 2 3 4 3" xfId="31275"/>
    <cellStyle name="Separador de milhares 3 9 2 3 5" xfId="17751"/>
    <cellStyle name="Separador de milhares 3 9 2 3 5 2" xfId="43990"/>
    <cellStyle name="Separador de milhares 3 9 2 3 6" xfId="11417"/>
    <cellStyle name="Separador de milhares 3 9 2 3 6 2" xfId="37659"/>
    <cellStyle name="Separador de milhares 3 9 2 3 7" xfId="29577"/>
    <cellStyle name="Separador de milhares 3 9 2 4" xfId="1307"/>
    <cellStyle name="Separador de milhares 3 9 2 4 2" xfId="6827"/>
    <cellStyle name="Separador de milhares 3 9 2 4 2 2" xfId="9974"/>
    <cellStyle name="Separador de milhares 3 9 2 4 2 2 2" xfId="28188"/>
    <cellStyle name="Separador de milhares 3 9 2 4 2 2 2 2" xfId="54418"/>
    <cellStyle name="Separador de milhares 3 9 2 4 2 2 3" xfId="22274"/>
    <cellStyle name="Separador de milhares 3 9 2 4 2 2 3 2" xfId="48510"/>
    <cellStyle name="Separador de milhares 3 9 2 4 2 2 4" xfId="16360"/>
    <cellStyle name="Separador de milhares 3 9 2 4 2 2 4 2" xfId="42602"/>
    <cellStyle name="Separador de milhares 3 9 2 4 2 2 5" xfId="36216"/>
    <cellStyle name="Separador de milhares 3 9 2 4 2 3" xfId="25231"/>
    <cellStyle name="Separador de milhares 3 9 2 4 2 3 2" xfId="51464"/>
    <cellStyle name="Separador de milhares 3 9 2 4 2 4" xfId="19317"/>
    <cellStyle name="Separador de milhares 3 9 2 4 2 4 2" xfId="45556"/>
    <cellStyle name="Separador de milhares 3 9 2 4 2 5" xfId="13216"/>
    <cellStyle name="Separador de milhares 3 9 2 4 2 5 2" xfId="39458"/>
    <cellStyle name="Separador de milhares 3 9 2 4 2 6" xfId="33072"/>
    <cellStyle name="Separador de milhares 3 9 2 4 3" xfId="8506"/>
    <cellStyle name="Separador de milhares 3 9 2 4 3 2" xfId="26720"/>
    <cellStyle name="Separador de milhares 3 9 2 4 3 2 2" xfId="52950"/>
    <cellStyle name="Separador de milhares 3 9 2 4 3 3" xfId="20806"/>
    <cellStyle name="Separador de milhares 3 9 2 4 3 3 2" xfId="47042"/>
    <cellStyle name="Separador de milhares 3 9 2 4 3 4" xfId="14892"/>
    <cellStyle name="Separador de milhares 3 9 2 4 3 4 2" xfId="41134"/>
    <cellStyle name="Separador de milhares 3 9 2 4 3 5" xfId="34748"/>
    <cellStyle name="Separador de milhares 3 9 2 4 4" xfId="5128"/>
    <cellStyle name="Separador de milhares 3 9 2 4 4 2" xfId="23763"/>
    <cellStyle name="Separador de milhares 3 9 2 4 4 2 2" xfId="49996"/>
    <cellStyle name="Separador de milhares 3 9 2 4 4 3" xfId="31373"/>
    <cellStyle name="Separador de milhares 3 9 2 4 5" xfId="17849"/>
    <cellStyle name="Separador de milhares 3 9 2 4 5 2" xfId="44088"/>
    <cellStyle name="Separador de milhares 3 9 2 4 6" xfId="11515"/>
    <cellStyle name="Separador de milhares 3 9 2 4 6 2" xfId="37757"/>
    <cellStyle name="Separador de milhares 3 9 2 4 7" xfId="29675"/>
    <cellStyle name="Separador de milhares 3 9 2 5" xfId="1742"/>
    <cellStyle name="Separador de milhares 3 9 2 5 2" xfId="6946"/>
    <cellStyle name="Separador de milhares 3 9 2 5 2 2" xfId="10093"/>
    <cellStyle name="Separador de milhares 3 9 2 5 2 2 2" xfId="28307"/>
    <cellStyle name="Separador de milhares 3 9 2 5 2 2 2 2" xfId="54537"/>
    <cellStyle name="Separador de milhares 3 9 2 5 2 2 3" xfId="22393"/>
    <cellStyle name="Separador de milhares 3 9 2 5 2 2 3 2" xfId="48629"/>
    <cellStyle name="Separador de milhares 3 9 2 5 2 2 4" xfId="16479"/>
    <cellStyle name="Separador de milhares 3 9 2 5 2 2 4 2" xfId="42721"/>
    <cellStyle name="Separador de milhares 3 9 2 5 2 2 5" xfId="36335"/>
    <cellStyle name="Separador de milhares 3 9 2 5 2 3" xfId="25350"/>
    <cellStyle name="Separador de milhares 3 9 2 5 2 3 2" xfId="51583"/>
    <cellStyle name="Separador de milhares 3 9 2 5 2 4" xfId="19436"/>
    <cellStyle name="Separador de milhares 3 9 2 5 2 4 2" xfId="45675"/>
    <cellStyle name="Separador de milhares 3 9 2 5 2 5" xfId="13335"/>
    <cellStyle name="Separador de milhares 3 9 2 5 2 5 2" xfId="39577"/>
    <cellStyle name="Separador de milhares 3 9 2 5 2 6" xfId="33191"/>
    <cellStyle name="Separador de milhares 3 9 2 5 3" xfId="8625"/>
    <cellStyle name="Separador de milhares 3 9 2 5 3 2" xfId="26839"/>
    <cellStyle name="Separador de milhares 3 9 2 5 3 2 2" xfId="53069"/>
    <cellStyle name="Separador de milhares 3 9 2 5 3 3" xfId="20925"/>
    <cellStyle name="Separador de milhares 3 9 2 5 3 3 2" xfId="47161"/>
    <cellStyle name="Separador de milhares 3 9 2 5 3 4" xfId="15011"/>
    <cellStyle name="Separador de milhares 3 9 2 5 3 4 2" xfId="41253"/>
    <cellStyle name="Separador de milhares 3 9 2 5 3 5" xfId="34867"/>
    <cellStyle name="Separador de milhares 3 9 2 5 4" xfId="5247"/>
    <cellStyle name="Separador de milhares 3 9 2 5 4 2" xfId="23882"/>
    <cellStyle name="Separador de milhares 3 9 2 5 4 2 2" xfId="50115"/>
    <cellStyle name="Separador de milhares 3 9 2 5 4 3" xfId="31492"/>
    <cellStyle name="Separador de milhares 3 9 2 5 5" xfId="17968"/>
    <cellStyle name="Separador de milhares 3 9 2 5 5 2" xfId="44207"/>
    <cellStyle name="Separador de milhares 3 9 2 5 6" xfId="11634"/>
    <cellStyle name="Separador de milhares 3 9 2 5 6 2" xfId="37876"/>
    <cellStyle name="Separador de milhares 3 9 2 5 7" xfId="29794"/>
    <cellStyle name="Separador de milhares 3 9 2 6" xfId="2272"/>
    <cellStyle name="Separador de milhares 3 9 2 6 2" xfId="7096"/>
    <cellStyle name="Separador de milhares 3 9 2 6 2 2" xfId="10240"/>
    <cellStyle name="Separador de milhares 3 9 2 6 2 2 2" xfId="28454"/>
    <cellStyle name="Separador de milhares 3 9 2 6 2 2 2 2" xfId="54684"/>
    <cellStyle name="Separador de milhares 3 9 2 6 2 2 3" xfId="22540"/>
    <cellStyle name="Separador de milhares 3 9 2 6 2 2 3 2" xfId="48776"/>
    <cellStyle name="Separador de milhares 3 9 2 6 2 2 4" xfId="16626"/>
    <cellStyle name="Separador de milhares 3 9 2 6 2 2 4 2" xfId="42868"/>
    <cellStyle name="Separador de milhares 3 9 2 6 2 2 5" xfId="36482"/>
    <cellStyle name="Separador de milhares 3 9 2 6 2 3" xfId="25497"/>
    <cellStyle name="Separador de milhares 3 9 2 6 2 3 2" xfId="51730"/>
    <cellStyle name="Separador de milhares 3 9 2 6 2 4" xfId="19583"/>
    <cellStyle name="Separador de milhares 3 9 2 6 2 4 2" xfId="45822"/>
    <cellStyle name="Separador de milhares 3 9 2 6 2 5" xfId="13485"/>
    <cellStyle name="Separador de milhares 3 9 2 6 2 5 2" xfId="39727"/>
    <cellStyle name="Separador de milhares 3 9 2 6 2 6" xfId="33341"/>
    <cellStyle name="Separador de milhares 3 9 2 6 3" xfId="8772"/>
    <cellStyle name="Separador de milhares 3 9 2 6 3 2" xfId="26986"/>
    <cellStyle name="Separador de milhares 3 9 2 6 3 2 2" xfId="53216"/>
    <cellStyle name="Separador de milhares 3 9 2 6 3 3" xfId="21072"/>
    <cellStyle name="Separador de milhares 3 9 2 6 3 3 2" xfId="47308"/>
    <cellStyle name="Separador de milhares 3 9 2 6 3 4" xfId="15158"/>
    <cellStyle name="Separador de milhares 3 9 2 6 3 4 2" xfId="41400"/>
    <cellStyle name="Separador de milhares 3 9 2 6 3 5" xfId="35014"/>
    <cellStyle name="Separador de milhares 3 9 2 6 4" xfId="5397"/>
    <cellStyle name="Separador de milhares 3 9 2 6 4 2" xfId="24029"/>
    <cellStyle name="Separador de milhares 3 9 2 6 4 2 2" xfId="50262"/>
    <cellStyle name="Separador de milhares 3 9 2 6 4 3" xfId="31642"/>
    <cellStyle name="Separador de milhares 3 9 2 6 5" xfId="18115"/>
    <cellStyle name="Separador de milhares 3 9 2 6 5 2" xfId="44354"/>
    <cellStyle name="Separador de milhares 3 9 2 6 6" xfId="11784"/>
    <cellStyle name="Separador de milhares 3 9 2 6 6 2" xfId="38026"/>
    <cellStyle name="Separador de milhares 3 9 2 6 7" xfId="29944"/>
    <cellStyle name="Separador de milhares 3 9 2 7" xfId="2799"/>
    <cellStyle name="Separador de milhares 3 9 2 7 2" xfId="7243"/>
    <cellStyle name="Separador de milhares 3 9 2 7 2 2" xfId="10387"/>
    <cellStyle name="Separador de milhares 3 9 2 7 2 2 2" xfId="28601"/>
    <cellStyle name="Separador de milhares 3 9 2 7 2 2 2 2" xfId="54831"/>
    <cellStyle name="Separador de milhares 3 9 2 7 2 2 3" xfId="22687"/>
    <cellStyle name="Separador de milhares 3 9 2 7 2 2 3 2" xfId="48923"/>
    <cellStyle name="Separador de milhares 3 9 2 7 2 2 4" xfId="16773"/>
    <cellStyle name="Separador de milhares 3 9 2 7 2 2 4 2" xfId="43015"/>
    <cellStyle name="Separador de milhares 3 9 2 7 2 2 5" xfId="36629"/>
    <cellStyle name="Separador de milhares 3 9 2 7 2 3" xfId="25644"/>
    <cellStyle name="Separador de milhares 3 9 2 7 2 3 2" xfId="51877"/>
    <cellStyle name="Separador de milhares 3 9 2 7 2 4" xfId="19730"/>
    <cellStyle name="Separador de milhares 3 9 2 7 2 4 2" xfId="45969"/>
    <cellStyle name="Separador de milhares 3 9 2 7 2 5" xfId="13632"/>
    <cellStyle name="Separador de milhares 3 9 2 7 2 5 2" xfId="39874"/>
    <cellStyle name="Separador de milhares 3 9 2 7 2 6" xfId="33488"/>
    <cellStyle name="Separador de milhares 3 9 2 7 3" xfId="8919"/>
    <cellStyle name="Separador de milhares 3 9 2 7 3 2" xfId="27133"/>
    <cellStyle name="Separador de milhares 3 9 2 7 3 2 2" xfId="53363"/>
    <cellStyle name="Separador de milhares 3 9 2 7 3 3" xfId="21219"/>
    <cellStyle name="Separador de milhares 3 9 2 7 3 3 2" xfId="47455"/>
    <cellStyle name="Separador de milhares 3 9 2 7 3 4" xfId="15305"/>
    <cellStyle name="Separador de milhares 3 9 2 7 3 4 2" xfId="41547"/>
    <cellStyle name="Separador de milhares 3 9 2 7 3 5" xfId="35161"/>
    <cellStyle name="Separador de milhares 3 9 2 7 4" xfId="5544"/>
    <cellStyle name="Separador de milhares 3 9 2 7 4 2" xfId="24176"/>
    <cellStyle name="Separador de milhares 3 9 2 7 4 2 2" xfId="50409"/>
    <cellStyle name="Separador de milhares 3 9 2 7 4 3" xfId="31789"/>
    <cellStyle name="Separador de milhares 3 9 2 7 5" xfId="18262"/>
    <cellStyle name="Separador de milhares 3 9 2 7 5 2" xfId="44501"/>
    <cellStyle name="Separador de milhares 3 9 2 7 6" xfId="11931"/>
    <cellStyle name="Separador de milhares 3 9 2 7 6 2" xfId="38173"/>
    <cellStyle name="Separador de milhares 3 9 2 7 7" xfId="30091"/>
    <cellStyle name="Separador de milhares 3 9 2 8" xfId="3326"/>
    <cellStyle name="Separador de milhares 3 9 2 8 2" xfId="7390"/>
    <cellStyle name="Separador de milhares 3 9 2 8 2 2" xfId="10534"/>
    <cellStyle name="Separador de milhares 3 9 2 8 2 2 2" xfId="28748"/>
    <cellStyle name="Separador de milhares 3 9 2 8 2 2 2 2" xfId="54978"/>
    <cellStyle name="Separador de milhares 3 9 2 8 2 2 3" xfId="22834"/>
    <cellStyle name="Separador de milhares 3 9 2 8 2 2 3 2" xfId="49070"/>
    <cellStyle name="Separador de milhares 3 9 2 8 2 2 4" xfId="16920"/>
    <cellStyle name="Separador de milhares 3 9 2 8 2 2 4 2" xfId="43162"/>
    <cellStyle name="Separador de milhares 3 9 2 8 2 2 5" xfId="36776"/>
    <cellStyle name="Separador de milhares 3 9 2 8 2 3" xfId="25791"/>
    <cellStyle name="Separador de milhares 3 9 2 8 2 3 2" xfId="52024"/>
    <cellStyle name="Separador de milhares 3 9 2 8 2 4" xfId="19877"/>
    <cellStyle name="Separador de milhares 3 9 2 8 2 4 2" xfId="46116"/>
    <cellStyle name="Separador de milhares 3 9 2 8 2 5" xfId="13779"/>
    <cellStyle name="Separador de milhares 3 9 2 8 2 5 2" xfId="40021"/>
    <cellStyle name="Separador de milhares 3 9 2 8 2 6" xfId="33635"/>
    <cellStyle name="Separador de milhares 3 9 2 8 3" xfId="9066"/>
    <cellStyle name="Separador de milhares 3 9 2 8 3 2" xfId="27280"/>
    <cellStyle name="Separador de milhares 3 9 2 8 3 2 2" xfId="53510"/>
    <cellStyle name="Separador de milhares 3 9 2 8 3 3" xfId="21366"/>
    <cellStyle name="Separador de milhares 3 9 2 8 3 3 2" xfId="47602"/>
    <cellStyle name="Separador de milhares 3 9 2 8 3 4" xfId="15452"/>
    <cellStyle name="Separador de milhares 3 9 2 8 3 4 2" xfId="41694"/>
    <cellStyle name="Separador de milhares 3 9 2 8 3 5" xfId="35308"/>
    <cellStyle name="Separador de milhares 3 9 2 8 4" xfId="5691"/>
    <cellStyle name="Separador de milhares 3 9 2 8 4 2" xfId="24323"/>
    <cellStyle name="Separador de milhares 3 9 2 8 4 2 2" xfId="50556"/>
    <cellStyle name="Separador de milhares 3 9 2 8 4 3" xfId="31936"/>
    <cellStyle name="Separador de milhares 3 9 2 8 5" xfId="18409"/>
    <cellStyle name="Separador de milhares 3 9 2 8 5 2" xfId="44648"/>
    <cellStyle name="Separador de milhares 3 9 2 8 6" xfId="12078"/>
    <cellStyle name="Separador de milhares 3 9 2 8 6 2" xfId="38320"/>
    <cellStyle name="Separador de milhares 3 9 2 8 7" xfId="30238"/>
    <cellStyle name="Separador de milhares 3 9 2 9" xfId="3853"/>
    <cellStyle name="Separador de milhares 3 9 2 9 2" xfId="7537"/>
    <cellStyle name="Separador de milhares 3 9 2 9 2 2" xfId="10681"/>
    <cellStyle name="Separador de milhares 3 9 2 9 2 2 2" xfId="28895"/>
    <cellStyle name="Separador de milhares 3 9 2 9 2 2 2 2" xfId="55125"/>
    <cellStyle name="Separador de milhares 3 9 2 9 2 2 3" xfId="22981"/>
    <cellStyle name="Separador de milhares 3 9 2 9 2 2 3 2" xfId="49217"/>
    <cellStyle name="Separador de milhares 3 9 2 9 2 2 4" xfId="17067"/>
    <cellStyle name="Separador de milhares 3 9 2 9 2 2 4 2" xfId="43309"/>
    <cellStyle name="Separador de milhares 3 9 2 9 2 2 5" xfId="36923"/>
    <cellStyle name="Separador de milhares 3 9 2 9 2 3" xfId="25938"/>
    <cellStyle name="Separador de milhares 3 9 2 9 2 3 2" xfId="52171"/>
    <cellStyle name="Separador de milhares 3 9 2 9 2 4" xfId="20024"/>
    <cellStyle name="Separador de milhares 3 9 2 9 2 4 2" xfId="46263"/>
    <cellStyle name="Separador de milhares 3 9 2 9 2 5" xfId="13926"/>
    <cellStyle name="Separador de milhares 3 9 2 9 2 5 2" xfId="40168"/>
    <cellStyle name="Separador de milhares 3 9 2 9 2 6" xfId="33782"/>
    <cellStyle name="Separador de milhares 3 9 2 9 3" xfId="9213"/>
    <cellStyle name="Separador de milhares 3 9 2 9 3 2" xfId="27427"/>
    <cellStyle name="Separador de milhares 3 9 2 9 3 2 2" xfId="53657"/>
    <cellStyle name="Separador de milhares 3 9 2 9 3 3" xfId="21513"/>
    <cellStyle name="Separador de milhares 3 9 2 9 3 3 2" xfId="47749"/>
    <cellStyle name="Separador de milhares 3 9 2 9 3 4" xfId="15599"/>
    <cellStyle name="Separador de milhares 3 9 2 9 3 4 2" xfId="41841"/>
    <cellStyle name="Separador de milhares 3 9 2 9 3 5" xfId="35455"/>
    <cellStyle name="Separador de milhares 3 9 2 9 4" xfId="5838"/>
    <cellStyle name="Separador de milhares 3 9 2 9 4 2" xfId="24470"/>
    <cellStyle name="Separador de milhares 3 9 2 9 4 2 2" xfId="50703"/>
    <cellStyle name="Separador de milhares 3 9 2 9 4 3" xfId="32083"/>
    <cellStyle name="Separador de milhares 3 9 2 9 5" xfId="18556"/>
    <cellStyle name="Separador de milhares 3 9 2 9 5 2" xfId="44795"/>
    <cellStyle name="Separador de milhares 3 9 2 9 6" xfId="12225"/>
    <cellStyle name="Separador de milhares 3 9 2 9 6 2" xfId="38467"/>
    <cellStyle name="Separador de milhares 3 9 2 9 7" xfId="30385"/>
    <cellStyle name="Separador de milhares 3 9 3" xfId="305"/>
    <cellStyle name="Separador de milhares 3 9 3 10" xfId="6528"/>
    <cellStyle name="Separador de milhares 3 9 3 10 2" xfId="9679"/>
    <cellStyle name="Separador de milhares 3 9 3 10 2 2" xfId="27893"/>
    <cellStyle name="Separador de milhares 3 9 3 10 2 2 2" xfId="54123"/>
    <cellStyle name="Separador de milhares 3 9 3 10 2 3" xfId="21979"/>
    <cellStyle name="Separador de milhares 3 9 3 10 2 3 2" xfId="48215"/>
    <cellStyle name="Separador de milhares 3 9 3 10 2 4" xfId="16065"/>
    <cellStyle name="Separador de milhares 3 9 3 10 2 4 2" xfId="42307"/>
    <cellStyle name="Separador de milhares 3 9 3 10 2 5" xfId="35921"/>
    <cellStyle name="Separador de milhares 3 9 3 10 3" xfId="24936"/>
    <cellStyle name="Separador de milhares 3 9 3 10 3 2" xfId="51169"/>
    <cellStyle name="Separador de milhares 3 9 3 10 4" xfId="19022"/>
    <cellStyle name="Separador de milhares 3 9 3 10 4 2" xfId="45261"/>
    <cellStyle name="Separador de milhares 3 9 3 10 5" xfId="12917"/>
    <cellStyle name="Separador de milhares 3 9 3 10 5 2" xfId="39159"/>
    <cellStyle name="Separador de milhares 3 9 3 10 6" xfId="32773"/>
    <cellStyle name="Separador de milhares 3 9 3 11" xfId="8208"/>
    <cellStyle name="Separador de milhares 3 9 3 11 2" xfId="26422"/>
    <cellStyle name="Separador de milhares 3 9 3 11 2 2" xfId="52655"/>
    <cellStyle name="Separador de milhares 3 9 3 11 3" xfId="20508"/>
    <cellStyle name="Separador de milhares 3 9 3 11 3 2" xfId="46747"/>
    <cellStyle name="Separador de milhares 3 9 3 11 4" xfId="14597"/>
    <cellStyle name="Separador de milhares 3 9 3 11 4 2" xfId="40839"/>
    <cellStyle name="Separador de milhares 3 9 3 11 5" xfId="34453"/>
    <cellStyle name="Separador de milhares 3 9 3 12" xfId="4827"/>
    <cellStyle name="Separador de milhares 3 9 3 12 2" xfId="23465"/>
    <cellStyle name="Separador de milhares 3 9 3 12 2 2" xfId="49701"/>
    <cellStyle name="Separador de milhares 3 9 3 12 3" xfId="31074"/>
    <cellStyle name="Separador de milhares 3 9 3 13" xfId="17551"/>
    <cellStyle name="Separador de milhares 3 9 3 13 2" xfId="43793"/>
    <cellStyle name="Separador de milhares 3 9 3 14" xfId="11216"/>
    <cellStyle name="Separador de milhares 3 9 3 14 2" xfId="37458"/>
    <cellStyle name="Separador de milhares 3 9 3 15" xfId="29376"/>
    <cellStyle name="Separador de milhares 3 9 3 2" xfId="568"/>
    <cellStyle name="Separador de milhares 3 9 3 2 2" xfId="6599"/>
    <cellStyle name="Separador de milhares 3 9 3 2 2 2" xfId="9746"/>
    <cellStyle name="Separador de milhares 3 9 3 2 2 2 2" xfId="27960"/>
    <cellStyle name="Separador de milhares 3 9 3 2 2 2 2 2" xfId="54190"/>
    <cellStyle name="Separador de milhares 3 9 3 2 2 2 3" xfId="22046"/>
    <cellStyle name="Separador de milhares 3 9 3 2 2 2 3 2" xfId="48282"/>
    <cellStyle name="Separador de milhares 3 9 3 2 2 2 4" xfId="16132"/>
    <cellStyle name="Separador de milhares 3 9 3 2 2 2 4 2" xfId="42374"/>
    <cellStyle name="Separador de milhares 3 9 3 2 2 2 5" xfId="35988"/>
    <cellStyle name="Separador de milhares 3 9 3 2 2 3" xfId="25003"/>
    <cellStyle name="Separador de milhares 3 9 3 2 2 3 2" xfId="51236"/>
    <cellStyle name="Separador de milhares 3 9 3 2 2 4" xfId="19089"/>
    <cellStyle name="Separador de milhares 3 9 3 2 2 4 2" xfId="45328"/>
    <cellStyle name="Separador de milhares 3 9 3 2 2 5" xfId="12988"/>
    <cellStyle name="Separador de milhares 3 9 3 2 2 5 2" xfId="39230"/>
    <cellStyle name="Separador de milhares 3 9 3 2 2 6" xfId="32844"/>
    <cellStyle name="Separador de milhares 3 9 3 2 3" xfId="8275"/>
    <cellStyle name="Separador de milhares 3 9 3 2 3 2" xfId="26489"/>
    <cellStyle name="Separador de milhares 3 9 3 2 3 2 2" xfId="52722"/>
    <cellStyle name="Separador de milhares 3 9 3 2 3 3" xfId="20575"/>
    <cellStyle name="Separador de milhares 3 9 3 2 3 3 2" xfId="46814"/>
    <cellStyle name="Separador de milhares 3 9 3 2 3 4" xfId="14664"/>
    <cellStyle name="Separador de milhares 3 9 3 2 3 4 2" xfId="40906"/>
    <cellStyle name="Separador de milhares 3 9 3 2 3 5" xfId="34520"/>
    <cellStyle name="Separador de milhares 3 9 3 2 4" xfId="4898"/>
    <cellStyle name="Separador de milhares 3 9 3 2 4 2" xfId="23532"/>
    <cellStyle name="Separador de milhares 3 9 3 2 4 2 2" xfId="49768"/>
    <cellStyle name="Separador de milhares 3 9 3 2 4 3" xfId="31145"/>
    <cellStyle name="Separador de milhares 3 9 3 2 5" xfId="17618"/>
    <cellStyle name="Separador de milhares 3 9 3 2 5 2" xfId="43860"/>
    <cellStyle name="Separador de milhares 3 9 3 2 6" xfId="11287"/>
    <cellStyle name="Separador de milhares 3 9 3 2 6 2" xfId="37529"/>
    <cellStyle name="Separador de milhares 3 9 3 2 7" xfId="29447"/>
    <cellStyle name="Separador de milhares 3 9 3 3" xfId="865"/>
    <cellStyle name="Separador de milhares 3 9 3 3 2" xfId="6701"/>
    <cellStyle name="Separador de milhares 3 9 3 3 2 2" xfId="9848"/>
    <cellStyle name="Separador de milhares 3 9 3 3 2 2 2" xfId="28062"/>
    <cellStyle name="Separador de milhares 3 9 3 3 2 2 2 2" xfId="54292"/>
    <cellStyle name="Separador de milhares 3 9 3 3 2 2 3" xfId="22148"/>
    <cellStyle name="Separador de milhares 3 9 3 3 2 2 3 2" xfId="48384"/>
    <cellStyle name="Separador de milhares 3 9 3 3 2 2 4" xfId="16234"/>
    <cellStyle name="Separador de milhares 3 9 3 3 2 2 4 2" xfId="42476"/>
    <cellStyle name="Separador de milhares 3 9 3 3 2 2 5" xfId="36090"/>
    <cellStyle name="Separador de milhares 3 9 3 3 2 3" xfId="25105"/>
    <cellStyle name="Separador de milhares 3 9 3 3 2 3 2" xfId="51338"/>
    <cellStyle name="Separador de milhares 3 9 3 3 2 4" xfId="19191"/>
    <cellStyle name="Separador de milhares 3 9 3 3 2 4 2" xfId="45430"/>
    <cellStyle name="Separador de milhares 3 9 3 3 2 5" xfId="13090"/>
    <cellStyle name="Separador de milhares 3 9 3 3 2 5 2" xfId="39332"/>
    <cellStyle name="Separador de milhares 3 9 3 3 2 6" xfId="32946"/>
    <cellStyle name="Separador de milhares 3 9 3 3 3" xfId="8380"/>
    <cellStyle name="Separador de milhares 3 9 3 3 3 2" xfId="26594"/>
    <cellStyle name="Separador de milhares 3 9 3 3 3 2 2" xfId="52824"/>
    <cellStyle name="Separador de milhares 3 9 3 3 3 3" xfId="20680"/>
    <cellStyle name="Separador de milhares 3 9 3 3 3 3 2" xfId="46916"/>
    <cellStyle name="Separador de milhares 3 9 3 3 3 4" xfId="14766"/>
    <cellStyle name="Separador de milhares 3 9 3 3 3 4 2" xfId="41008"/>
    <cellStyle name="Separador de milhares 3 9 3 3 3 5" xfId="34622"/>
    <cellStyle name="Separador de milhares 3 9 3 3 4" xfId="5002"/>
    <cellStyle name="Separador de milhares 3 9 3 3 4 2" xfId="23637"/>
    <cellStyle name="Separador de milhares 3 9 3 3 4 2 2" xfId="49870"/>
    <cellStyle name="Separador de milhares 3 9 3 3 4 3" xfId="31247"/>
    <cellStyle name="Separador de milhares 3 9 3 3 5" xfId="17723"/>
    <cellStyle name="Separador de milhares 3 9 3 3 5 2" xfId="43962"/>
    <cellStyle name="Separador de milhares 3 9 3 3 6" xfId="11389"/>
    <cellStyle name="Separador de milhares 3 9 3 3 6 2" xfId="37631"/>
    <cellStyle name="Separador de milhares 3 9 3 3 7" xfId="29549"/>
    <cellStyle name="Separador de milhares 3 9 3 4" xfId="1216"/>
    <cellStyle name="Separador de milhares 3 9 3 4 2" xfId="6799"/>
    <cellStyle name="Separador de milhares 3 9 3 4 2 2" xfId="9946"/>
    <cellStyle name="Separador de milhares 3 9 3 4 2 2 2" xfId="28160"/>
    <cellStyle name="Separador de milhares 3 9 3 4 2 2 2 2" xfId="54390"/>
    <cellStyle name="Separador de milhares 3 9 3 4 2 2 3" xfId="22246"/>
    <cellStyle name="Separador de milhares 3 9 3 4 2 2 3 2" xfId="48482"/>
    <cellStyle name="Separador de milhares 3 9 3 4 2 2 4" xfId="16332"/>
    <cellStyle name="Separador de milhares 3 9 3 4 2 2 4 2" xfId="42574"/>
    <cellStyle name="Separador de milhares 3 9 3 4 2 2 5" xfId="36188"/>
    <cellStyle name="Separador de milhares 3 9 3 4 2 3" xfId="25203"/>
    <cellStyle name="Separador de milhares 3 9 3 4 2 3 2" xfId="51436"/>
    <cellStyle name="Separador de milhares 3 9 3 4 2 4" xfId="19289"/>
    <cellStyle name="Separador de milhares 3 9 3 4 2 4 2" xfId="45528"/>
    <cellStyle name="Separador de milhares 3 9 3 4 2 5" xfId="13188"/>
    <cellStyle name="Separador de milhares 3 9 3 4 2 5 2" xfId="39430"/>
    <cellStyle name="Separador de milhares 3 9 3 4 2 6" xfId="33044"/>
    <cellStyle name="Separador de milhares 3 9 3 4 3" xfId="8478"/>
    <cellStyle name="Separador de milhares 3 9 3 4 3 2" xfId="26692"/>
    <cellStyle name="Separador de milhares 3 9 3 4 3 2 2" xfId="52922"/>
    <cellStyle name="Separador de milhares 3 9 3 4 3 3" xfId="20778"/>
    <cellStyle name="Separador de milhares 3 9 3 4 3 3 2" xfId="47014"/>
    <cellStyle name="Separador de milhares 3 9 3 4 3 4" xfId="14864"/>
    <cellStyle name="Separador de milhares 3 9 3 4 3 4 2" xfId="41106"/>
    <cellStyle name="Separador de milhares 3 9 3 4 3 5" xfId="34720"/>
    <cellStyle name="Separador de milhares 3 9 3 4 4" xfId="5100"/>
    <cellStyle name="Separador de milhares 3 9 3 4 4 2" xfId="23735"/>
    <cellStyle name="Separador de milhares 3 9 3 4 4 2 2" xfId="49968"/>
    <cellStyle name="Separador de milhares 3 9 3 4 4 3" xfId="31345"/>
    <cellStyle name="Separador de milhares 3 9 3 4 5" xfId="17821"/>
    <cellStyle name="Separador de milhares 3 9 3 4 5 2" xfId="44060"/>
    <cellStyle name="Separador de milhares 3 9 3 4 6" xfId="11487"/>
    <cellStyle name="Separador de milhares 3 9 3 4 6 2" xfId="37729"/>
    <cellStyle name="Separador de milhares 3 9 3 4 7" xfId="29647"/>
    <cellStyle name="Separador de milhares 3 9 3 5" xfId="1651"/>
    <cellStyle name="Separador de milhares 3 9 3 5 2" xfId="6918"/>
    <cellStyle name="Separador de milhares 3 9 3 5 2 2" xfId="10065"/>
    <cellStyle name="Separador de milhares 3 9 3 5 2 2 2" xfId="28279"/>
    <cellStyle name="Separador de milhares 3 9 3 5 2 2 2 2" xfId="54509"/>
    <cellStyle name="Separador de milhares 3 9 3 5 2 2 3" xfId="22365"/>
    <cellStyle name="Separador de milhares 3 9 3 5 2 2 3 2" xfId="48601"/>
    <cellStyle name="Separador de milhares 3 9 3 5 2 2 4" xfId="16451"/>
    <cellStyle name="Separador de milhares 3 9 3 5 2 2 4 2" xfId="42693"/>
    <cellStyle name="Separador de milhares 3 9 3 5 2 2 5" xfId="36307"/>
    <cellStyle name="Separador de milhares 3 9 3 5 2 3" xfId="25322"/>
    <cellStyle name="Separador de milhares 3 9 3 5 2 3 2" xfId="51555"/>
    <cellStyle name="Separador de milhares 3 9 3 5 2 4" xfId="19408"/>
    <cellStyle name="Separador de milhares 3 9 3 5 2 4 2" xfId="45647"/>
    <cellStyle name="Separador de milhares 3 9 3 5 2 5" xfId="13307"/>
    <cellStyle name="Separador de milhares 3 9 3 5 2 5 2" xfId="39549"/>
    <cellStyle name="Separador de milhares 3 9 3 5 2 6" xfId="33163"/>
    <cellStyle name="Separador de milhares 3 9 3 5 3" xfId="8597"/>
    <cellStyle name="Separador de milhares 3 9 3 5 3 2" xfId="26811"/>
    <cellStyle name="Separador de milhares 3 9 3 5 3 2 2" xfId="53041"/>
    <cellStyle name="Separador de milhares 3 9 3 5 3 3" xfId="20897"/>
    <cellStyle name="Separador de milhares 3 9 3 5 3 3 2" xfId="47133"/>
    <cellStyle name="Separador de milhares 3 9 3 5 3 4" xfId="14983"/>
    <cellStyle name="Separador de milhares 3 9 3 5 3 4 2" xfId="41225"/>
    <cellStyle name="Separador de milhares 3 9 3 5 3 5" xfId="34839"/>
    <cellStyle name="Separador de milhares 3 9 3 5 4" xfId="5219"/>
    <cellStyle name="Separador de milhares 3 9 3 5 4 2" xfId="23854"/>
    <cellStyle name="Separador de milhares 3 9 3 5 4 2 2" xfId="50087"/>
    <cellStyle name="Separador de milhares 3 9 3 5 4 3" xfId="31464"/>
    <cellStyle name="Separador de milhares 3 9 3 5 5" xfId="17940"/>
    <cellStyle name="Separador de milhares 3 9 3 5 5 2" xfId="44179"/>
    <cellStyle name="Separador de milhares 3 9 3 5 6" xfId="11606"/>
    <cellStyle name="Separador de milhares 3 9 3 5 6 2" xfId="37848"/>
    <cellStyle name="Separador de milhares 3 9 3 5 7" xfId="29766"/>
    <cellStyle name="Separador de milhares 3 9 3 6" xfId="2181"/>
    <cellStyle name="Separador de milhares 3 9 3 6 2" xfId="7068"/>
    <cellStyle name="Separador de milhares 3 9 3 6 2 2" xfId="10212"/>
    <cellStyle name="Separador de milhares 3 9 3 6 2 2 2" xfId="28426"/>
    <cellStyle name="Separador de milhares 3 9 3 6 2 2 2 2" xfId="54656"/>
    <cellStyle name="Separador de milhares 3 9 3 6 2 2 3" xfId="22512"/>
    <cellStyle name="Separador de milhares 3 9 3 6 2 2 3 2" xfId="48748"/>
    <cellStyle name="Separador de milhares 3 9 3 6 2 2 4" xfId="16598"/>
    <cellStyle name="Separador de milhares 3 9 3 6 2 2 4 2" xfId="42840"/>
    <cellStyle name="Separador de milhares 3 9 3 6 2 2 5" xfId="36454"/>
    <cellStyle name="Separador de milhares 3 9 3 6 2 3" xfId="25469"/>
    <cellStyle name="Separador de milhares 3 9 3 6 2 3 2" xfId="51702"/>
    <cellStyle name="Separador de milhares 3 9 3 6 2 4" xfId="19555"/>
    <cellStyle name="Separador de milhares 3 9 3 6 2 4 2" xfId="45794"/>
    <cellStyle name="Separador de milhares 3 9 3 6 2 5" xfId="13457"/>
    <cellStyle name="Separador de milhares 3 9 3 6 2 5 2" xfId="39699"/>
    <cellStyle name="Separador de milhares 3 9 3 6 2 6" xfId="33313"/>
    <cellStyle name="Separador de milhares 3 9 3 6 3" xfId="8744"/>
    <cellStyle name="Separador de milhares 3 9 3 6 3 2" xfId="26958"/>
    <cellStyle name="Separador de milhares 3 9 3 6 3 2 2" xfId="53188"/>
    <cellStyle name="Separador de milhares 3 9 3 6 3 3" xfId="21044"/>
    <cellStyle name="Separador de milhares 3 9 3 6 3 3 2" xfId="47280"/>
    <cellStyle name="Separador de milhares 3 9 3 6 3 4" xfId="15130"/>
    <cellStyle name="Separador de milhares 3 9 3 6 3 4 2" xfId="41372"/>
    <cellStyle name="Separador de milhares 3 9 3 6 3 5" xfId="34986"/>
    <cellStyle name="Separador de milhares 3 9 3 6 4" xfId="5369"/>
    <cellStyle name="Separador de milhares 3 9 3 6 4 2" xfId="24001"/>
    <cellStyle name="Separador de milhares 3 9 3 6 4 2 2" xfId="50234"/>
    <cellStyle name="Separador de milhares 3 9 3 6 4 3" xfId="31614"/>
    <cellStyle name="Separador de milhares 3 9 3 6 5" xfId="18087"/>
    <cellStyle name="Separador de milhares 3 9 3 6 5 2" xfId="44326"/>
    <cellStyle name="Separador de milhares 3 9 3 6 6" xfId="11756"/>
    <cellStyle name="Separador de milhares 3 9 3 6 6 2" xfId="37998"/>
    <cellStyle name="Separador de milhares 3 9 3 6 7" xfId="29916"/>
    <cellStyle name="Separador de milhares 3 9 3 7" xfId="2708"/>
    <cellStyle name="Separador de milhares 3 9 3 7 2" xfId="7215"/>
    <cellStyle name="Separador de milhares 3 9 3 7 2 2" xfId="10359"/>
    <cellStyle name="Separador de milhares 3 9 3 7 2 2 2" xfId="28573"/>
    <cellStyle name="Separador de milhares 3 9 3 7 2 2 2 2" xfId="54803"/>
    <cellStyle name="Separador de milhares 3 9 3 7 2 2 3" xfId="22659"/>
    <cellStyle name="Separador de milhares 3 9 3 7 2 2 3 2" xfId="48895"/>
    <cellStyle name="Separador de milhares 3 9 3 7 2 2 4" xfId="16745"/>
    <cellStyle name="Separador de milhares 3 9 3 7 2 2 4 2" xfId="42987"/>
    <cellStyle name="Separador de milhares 3 9 3 7 2 2 5" xfId="36601"/>
    <cellStyle name="Separador de milhares 3 9 3 7 2 3" xfId="25616"/>
    <cellStyle name="Separador de milhares 3 9 3 7 2 3 2" xfId="51849"/>
    <cellStyle name="Separador de milhares 3 9 3 7 2 4" xfId="19702"/>
    <cellStyle name="Separador de milhares 3 9 3 7 2 4 2" xfId="45941"/>
    <cellStyle name="Separador de milhares 3 9 3 7 2 5" xfId="13604"/>
    <cellStyle name="Separador de milhares 3 9 3 7 2 5 2" xfId="39846"/>
    <cellStyle name="Separador de milhares 3 9 3 7 2 6" xfId="33460"/>
    <cellStyle name="Separador de milhares 3 9 3 7 3" xfId="8891"/>
    <cellStyle name="Separador de milhares 3 9 3 7 3 2" xfId="27105"/>
    <cellStyle name="Separador de milhares 3 9 3 7 3 2 2" xfId="53335"/>
    <cellStyle name="Separador de milhares 3 9 3 7 3 3" xfId="21191"/>
    <cellStyle name="Separador de milhares 3 9 3 7 3 3 2" xfId="47427"/>
    <cellStyle name="Separador de milhares 3 9 3 7 3 4" xfId="15277"/>
    <cellStyle name="Separador de milhares 3 9 3 7 3 4 2" xfId="41519"/>
    <cellStyle name="Separador de milhares 3 9 3 7 3 5" xfId="35133"/>
    <cellStyle name="Separador de milhares 3 9 3 7 4" xfId="5516"/>
    <cellStyle name="Separador de milhares 3 9 3 7 4 2" xfId="24148"/>
    <cellStyle name="Separador de milhares 3 9 3 7 4 2 2" xfId="50381"/>
    <cellStyle name="Separador de milhares 3 9 3 7 4 3" xfId="31761"/>
    <cellStyle name="Separador de milhares 3 9 3 7 5" xfId="18234"/>
    <cellStyle name="Separador de milhares 3 9 3 7 5 2" xfId="44473"/>
    <cellStyle name="Separador de milhares 3 9 3 7 6" xfId="11903"/>
    <cellStyle name="Separador de milhares 3 9 3 7 6 2" xfId="38145"/>
    <cellStyle name="Separador de milhares 3 9 3 7 7" xfId="30063"/>
    <cellStyle name="Separador de milhares 3 9 3 8" xfId="3235"/>
    <cellStyle name="Separador de milhares 3 9 3 8 2" xfId="7362"/>
    <cellStyle name="Separador de milhares 3 9 3 8 2 2" xfId="10506"/>
    <cellStyle name="Separador de milhares 3 9 3 8 2 2 2" xfId="28720"/>
    <cellStyle name="Separador de milhares 3 9 3 8 2 2 2 2" xfId="54950"/>
    <cellStyle name="Separador de milhares 3 9 3 8 2 2 3" xfId="22806"/>
    <cellStyle name="Separador de milhares 3 9 3 8 2 2 3 2" xfId="49042"/>
    <cellStyle name="Separador de milhares 3 9 3 8 2 2 4" xfId="16892"/>
    <cellStyle name="Separador de milhares 3 9 3 8 2 2 4 2" xfId="43134"/>
    <cellStyle name="Separador de milhares 3 9 3 8 2 2 5" xfId="36748"/>
    <cellStyle name="Separador de milhares 3 9 3 8 2 3" xfId="25763"/>
    <cellStyle name="Separador de milhares 3 9 3 8 2 3 2" xfId="51996"/>
    <cellStyle name="Separador de milhares 3 9 3 8 2 4" xfId="19849"/>
    <cellStyle name="Separador de milhares 3 9 3 8 2 4 2" xfId="46088"/>
    <cellStyle name="Separador de milhares 3 9 3 8 2 5" xfId="13751"/>
    <cellStyle name="Separador de milhares 3 9 3 8 2 5 2" xfId="39993"/>
    <cellStyle name="Separador de milhares 3 9 3 8 2 6" xfId="33607"/>
    <cellStyle name="Separador de milhares 3 9 3 8 3" xfId="9038"/>
    <cellStyle name="Separador de milhares 3 9 3 8 3 2" xfId="27252"/>
    <cellStyle name="Separador de milhares 3 9 3 8 3 2 2" xfId="53482"/>
    <cellStyle name="Separador de milhares 3 9 3 8 3 3" xfId="21338"/>
    <cellStyle name="Separador de milhares 3 9 3 8 3 3 2" xfId="47574"/>
    <cellStyle name="Separador de milhares 3 9 3 8 3 4" xfId="15424"/>
    <cellStyle name="Separador de milhares 3 9 3 8 3 4 2" xfId="41666"/>
    <cellStyle name="Separador de milhares 3 9 3 8 3 5" xfId="35280"/>
    <cellStyle name="Separador de milhares 3 9 3 8 4" xfId="5663"/>
    <cellStyle name="Separador de milhares 3 9 3 8 4 2" xfId="24295"/>
    <cellStyle name="Separador de milhares 3 9 3 8 4 2 2" xfId="50528"/>
    <cellStyle name="Separador de milhares 3 9 3 8 4 3" xfId="31908"/>
    <cellStyle name="Separador de milhares 3 9 3 8 5" xfId="18381"/>
    <cellStyle name="Separador de milhares 3 9 3 8 5 2" xfId="44620"/>
    <cellStyle name="Separador de milhares 3 9 3 8 6" xfId="12050"/>
    <cellStyle name="Separador de milhares 3 9 3 8 6 2" xfId="38292"/>
    <cellStyle name="Separador de milhares 3 9 3 8 7" xfId="30210"/>
    <cellStyle name="Separador de milhares 3 9 3 9" xfId="3762"/>
    <cellStyle name="Separador de milhares 3 9 3 9 2" xfId="7509"/>
    <cellStyle name="Separador de milhares 3 9 3 9 2 2" xfId="10653"/>
    <cellStyle name="Separador de milhares 3 9 3 9 2 2 2" xfId="28867"/>
    <cellStyle name="Separador de milhares 3 9 3 9 2 2 2 2" xfId="55097"/>
    <cellStyle name="Separador de milhares 3 9 3 9 2 2 3" xfId="22953"/>
    <cellStyle name="Separador de milhares 3 9 3 9 2 2 3 2" xfId="49189"/>
    <cellStyle name="Separador de milhares 3 9 3 9 2 2 4" xfId="17039"/>
    <cellStyle name="Separador de milhares 3 9 3 9 2 2 4 2" xfId="43281"/>
    <cellStyle name="Separador de milhares 3 9 3 9 2 2 5" xfId="36895"/>
    <cellStyle name="Separador de milhares 3 9 3 9 2 3" xfId="25910"/>
    <cellStyle name="Separador de milhares 3 9 3 9 2 3 2" xfId="52143"/>
    <cellStyle name="Separador de milhares 3 9 3 9 2 4" xfId="19996"/>
    <cellStyle name="Separador de milhares 3 9 3 9 2 4 2" xfId="46235"/>
    <cellStyle name="Separador de milhares 3 9 3 9 2 5" xfId="13898"/>
    <cellStyle name="Separador de milhares 3 9 3 9 2 5 2" xfId="40140"/>
    <cellStyle name="Separador de milhares 3 9 3 9 2 6" xfId="33754"/>
    <cellStyle name="Separador de milhares 3 9 3 9 3" xfId="9185"/>
    <cellStyle name="Separador de milhares 3 9 3 9 3 2" xfId="27399"/>
    <cellStyle name="Separador de milhares 3 9 3 9 3 2 2" xfId="53629"/>
    <cellStyle name="Separador de milhares 3 9 3 9 3 3" xfId="21485"/>
    <cellStyle name="Separador de milhares 3 9 3 9 3 3 2" xfId="47721"/>
    <cellStyle name="Separador de milhares 3 9 3 9 3 4" xfId="15571"/>
    <cellStyle name="Separador de milhares 3 9 3 9 3 4 2" xfId="41813"/>
    <cellStyle name="Separador de milhares 3 9 3 9 3 5" xfId="35427"/>
    <cellStyle name="Separador de milhares 3 9 3 9 4" xfId="5810"/>
    <cellStyle name="Separador de milhares 3 9 3 9 4 2" xfId="24442"/>
    <cellStyle name="Separador de milhares 3 9 3 9 4 2 2" xfId="50675"/>
    <cellStyle name="Separador de milhares 3 9 3 9 4 3" xfId="32055"/>
    <cellStyle name="Separador de milhares 3 9 3 9 5" xfId="18528"/>
    <cellStyle name="Separador de milhares 3 9 3 9 5 2" xfId="44767"/>
    <cellStyle name="Separador de milhares 3 9 3 9 6" xfId="12197"/>
    <cellStyle name="Separador de milhares 3 9 3 9 6 2" xfId="38439"/>
    <cellStyle name="Separador de milhares 3 9 3 9 7" xfId="30357"/>
    <cellStyle name="Separador de milhares 3 9 4" xfId="398"/>
    <cellStyle name="Separador de milhares 3 9 4 10" xfId="6556"/>
    <cellStyle name="Separador de milhares 3 9 4 10 2" xfId="9704"/>
    <cellStyle name="Separador de milhares 3 9 4 10 2 2" xfId="27918"/>
    <cellStyle name="Separador de milhares 3 9 4 10 2 2 2" xfId="54148"/>
    <cellStyle name="Separador de milhares 3 9 4 10 2 3" xfId="22004"/>
    <cellStyle name="Separador de milhares 3 9 4 10 2 3 2" xfId="48240"/>
    <cellStyle name="Separador de milhares 3 9 4 10 2 4" xfId="16090"/>
    <cellStyle name="Separador de milhares 3 9 4 10 2 4 2" xfId="42332"/>
    <cellStyle name="Separador de milhares 3 9 4 10 2 5" xfId="35946"/>
    <cellStyle name="Separador de milhares 3 9 4 10 3" xfId="24961"/>
    <cellStyle name="Separador de milhares 3 9 4 10 3 2" xfId="51194"/>
    <cellStyle name="Separador de milhares 3 9 4 10 4" xfId="19047"/>
    <cellStyle name="Separador de milhares 3 9 4 10 4 2" xfId="45286"/>
    <cellStyle name="Separador de milhares 3 9 4 10 5" xfId="12945"/>
    <cellStyle name="Separador de milhares 3 9 4 10 5 2" xfId="39187"/>
    <cellStyle name="Separador de milhares 3 9 4 10 6" xfId="32801"/>
    <cellStyle name="Separador de milhares 3 9 4 11" xfId="8233"/>
    <cellStyle name="Separador de milhares 3 9 4 11 2" xfId="26447"/>
    <cellStyle name="Separador de milhares 3 9 4 11 2 2" xfId="52680"/>
    <cellStyle name="Separador de milhares 3 9 4 11 3" xfId="20533"/>
    <cellStyle name="Separador de milhares 3 9 4 11 3 2" xfId="46772"/>
    <cellStyle name="Separador de milhares 3 9 4 11 4" xfId="14622"/>
    <cellStyle name="Separador de milhares 3 9 4 11 4 2" xfId="40864"/>
    <cellStyle name="Separador de milhares 3 9 4 11 5" xfId="34478"/>
    <cellStyle name="Separador de milhares 3 9 4 12" xfId="4855"/>
    <cellStyle name="Separador de milhares 3 9 4 12 2" xfId="23490"/>
    <cellStyle name="Separador de milhares 3 9 4 12 2 2" xfId="49726"/>
    <cellStyle name="Separador de milhares 3 9 4 12 3" xfId="31102"/>
    <cellStyle name="Separador de milhares 3 9 4 13" xfId="17576"/>
    <cellStyle name="Separador de milhares 3 9 4 13 2" xfId="43818"/>
    <cellStyle name="Separador de milhares 3 9 4 14" xfId="11244"/>
    <cellStyle name="Separador de milhares 3 9 4 14 2" xfId="37486"/>
    <cellStyle name="Separador de milhares 3 9 4 15" xfId="29404"/>
    <cellStyle name="Separador de milhares 3 9 4 2" xfId="1043"/>
    <cellStyle name="Separador de milhares 3 9 4 2 2" xfId="6753"/>
    <cellStyle name="Separador de milhares 3 9 4 2 2 2" xfId="9900"/>
    <cellStyle name="Separador de milhares 3 9 4 2 2 2 2" xfId="28114"/>
    <cellStyle name="Separador de milhares 3 9 4 2 2 2 2 2" xfId="54344"/>
    <cellStyle name="Separador de milhares 3 9 4 2 2 2 3" xfId="22200"/>
    <cellStyle name="Separador de milhares 3 9 4 2 2 2 3 2" xfId="48436"/>
    <cellStyle name="Separador de milhares 3 9 4 2 2 2 4" xfId="16286"/>
    <cellStyle name="Separador de milhares 3 9 4 2 2 2 4 2" xfId="42528"/>
    <cellStyle name="Separador de milhares 3 9 4 2 2 2 5" xfId="36142"/>
    <cellStyle name="Separador de milhares 3 9 4 2 2 3" xfId="25157"/>
    <cellStyle name="Separador de milhares 3 9 4 2 2 3 2" xfId="51390"/>
    <cellStyle name="Separador de milhares 3 9 4 2 2 4" xfId="19243"/>
    <cellStyle name="Separador de milhares 3 9 4 2 2 4 2" xfId="45482"/>
    <cellStyle name="Separador de milhares 3 9 4 2 2 5" xfId="13142"/>
    <cellStyle name="Separador de milhares 3 9 4 2 2 5 2" xfId="39384"/>
    <cellStyle name="Separador de milhares 3 9 4 2 2 6" xfId="32998"/>
    <cellStyle name="Separador de milhares 3 9 4 2 3" xfId="8432"/>
    <cellStyle name="Separador de milhares 3 9 4 2 3 2" xfId="26646"/>
    <cellStyle name="Separador de milhares 3 9 4 2 3 2 2" xfId="52876"/>
    <cellStyle name="Separador de milhares 3 9 4 2 3 3" xfId="20732"/>
    <cellStyle name="Separador de milhares 3 9 4 2 3 3 2" xfId="46968"/>
    <cellStyle name="Separador de milhares 3 9 4 2 3 4" xfId="14818"/>
    <cellStyle name="Separador de milhares 3 9 4 2 3 4 2" xfId="41060"/>
    <cellStyle name="Separador de milhares 3 9 4 2 3 5" xfId="34674"/>
    <cellStyle name="Separador de milhares 3 9 4 2 4" xfId="5054"/>
    <cellStyle name="Separador de milhares 3 9 4 2 4 2" xfId="23689"/>
    <cellStyle name="Separador de milhares 3 9 4 2 4 2 2" xfId="49922"/>
    <cellStyle name="Separador de milhares 3 9 4 2 4 3" xfId="31299"/>
    <cellStyle name="Separador de milhares 3 9 4 2 5" xfId="17775"/>
    <cellStyle name="Separador de milhares 3 9 4 2 5 2" xfId="44014"/>
    <cellStyle name="Separador de milhares 3 9 4 2 6" xfId="11441"/>
    <cellStyle name="Separador de milhares 3 9 4 2 6 2" xfId="37683"/>
    <cellStyle name="Separador de milhares 3 9 4 2 7" xfId="29601"/>
    <cellStyle name="Separador de milhares 3 9 4 3" xfId="1394"/>
    <cellStyle name="Separador de milhares 3 9 4 3 2" xfId="6851"/>
    <cellStyle name="Separador de milhares 3 9 4 3 2 2" xfId="9998"/>
    <cellStyle name="Separador de milhares 3 9 4 3 2 2 2" xfId="28212"/>
    <cellStyle name="Separador de milhares 3 9 4 3 2 2 2 2" xfId="54442"/>
    <cellStyle name="Separador de milhares 3 9 4 3 2 2 3" xfId="22298"/>
    <cellStyle name="Separador de milhares 3 9 4 3 2 2 3 2" xfId="48534"/>
    <cellStyle name="Separador de milhares 3 9 4 3 2 2 4" xfId="16384"/>
    <cellStyle name="Separador de milhares 3 9 4 3 2 2 4 2" xfId="42626"/>
    <cellStyle name="Separador de milhares 3 9 4 3 2 2 5" xfId="36240"/>
    <cellStyle name="Separador de milhares 3 9 4 3 2 3" xfId="25255"/>
    <cellStyle name="Separador de milhares 3 9 4 3 2 3 2" xfId="51488"/>
    <cellStyle name="Separador de milhares 3 9 4 3 2 4" xfId="19341"/>
    <cellStyle name="Separador de milhares 3 9 4 3 2 4 2" xfId="45580"/>
    <cellStyle name="Separador de milhares 3 9 4 3 2 5" xfId="13240"/>
    <cellStyle name="Separador de milhares 3 9 4 3 2 5 2" xfId="39482"/>
    <cellStyle name="Separador de milhares 3 9 4 3 2 6" xfId="33096"/>
    <cellStyle name="Separador de milhares 3 9 4 3 3" xfId="8530"/>
    <cellStyle name="Separador de milhares 3 9 4 3 3 2" xfId="26744"/>
    <cellStyle name="Separador de milhares 3 9 4 3 3 2 2" xfId="52974"/>
    <cellStyle name="Separador de milhares 3 9 4 3 3 3" xfId="20830"/>
    <cellStyle name="Separador de milhares 3 9 4 3 3 3 2" xfId="47066"/>
    <cellStyle name="Separador de milhares 3 9 4 3 3 4" xfId="14916"/>
    <cellStyle name="Separador de milhares 3 9 4 3 3 4 2" xfId="41158"/>
    <cellStyle name="Separador de milhares 3 9 4 3 3 5" xfId="34772"/>
    <cellStyle name="Separador de milhares 3 9 4 3 4" xfId="5152"/>
    <cellStyle name="Separador de milhares 3 9 4 3 4 2" xfId="23787"/>
    <cellStyle name="Separador de milhares 3 9 4 3 4 2 2" xfId="50020"/>
    <cellStyle name="Separador de milhares 3 9 4 3 4 3" xfId="31397"/>
    <cellStyle name="Separador de milhares 3 9 4 3 5" xfId="17873"/>
    <cellStyle name="Separador de milhares 3 9 4 3 5 2" xfId="44112"/>
    <cellStyle name="Separador de milhares 3 9 4 3 6" xfId="11539"/>
    <cellStyle name="Separador de milhares 3 9 4 3 6 2" xfId="37781"/>
    <cellStyle name="Separador de milhares 3 9 4 3 7" xfId="29699"/>
    <cellStyle name="Separador de milhares 3 9 4 4" xfId="1829"/>
    <cellStyle name="Separador de milhares 3 9 4 4 2" xfId="6970"/>
    <cellStyle name="Separador de milhares 3 9 4 4 2 2" xfId="10117"/>
    <cellStyle name="Separador de milhares 3 9 4 4 2 2 2" xfId="28331"/>
    <cellStyle name="Separador de milhares 3 9 4 4 2 2 2 2" xfId="54561"/>
    <cellStyle name="Separador de milhares 3 9 4 4 2 2 3" xfId="22417"/>
    <cellStyle name="Separador de milhares 3 9 4 4 2 2 3 2" xfId="48653"/>
    <cellStyle name="Separador de milhares 3 9 4 4 2 2 4" xfId="16503"/>
    <cellStyle name="Separador de milhares 3 9 4 4 2 2 4 2" xfId="42745"/>
    <cellStyle name="Separador de milhares 3 9 4 4 2 2 5" xfId="36359"/>
    <cellStyle name="Separador de milhares 3 9 4 4 2 3" xfId="25374"/>
    <cellStyle name="Separador de milhares 3 9 4 4 2 3 2" xfId="51607"/>
    <cellStyle name="Separador de milhares 3 9 4 4 2 4" xfId="19460"/>
    <cellStyle name="Separador de milhares 3 9 4 4 2 4 2" xfId="45699"/>
    <cellStyle name="Separador de milhares 3 9 4 4 2 5" xfId="13359"/>
    <cellStyle name="Separador de milhares 3 9 4 4 2 5 2" xfId="39601"/>
    <cellStyle name="Separador de milhares 3 9 4 4 2 6" xfId="33215"/>
    <cellStyle name="Separador de milhares 3 9 4 4 3" xfId="8649"/>
    <cellStyle name="Separador de milhares 3 9 4 4 3 2" xfId="26863"/>
    <cellStyle name="Separador de milhares 3 9 4 4 3 2 2" xfId="53093"/>
    <cellStyle name="Separador de milhares 3 9 4 4 3 3" xfId="20949"/>
    <cellStyle name="Separador de milhares 3 9 4 4 3 3 2" xfId="47185"/>
    <cellStyle name="Separador de milhares 3 9 4 4 3 4" xfId="15035"/>
    <cellStyle name="Separador de milhares 3 9 4 4 3 4 2" xfId="41277"/>
    <cellStyle name="Separador de milhares 3 9 4 4 3 5" xfId="34891"/>
    <cellStyle name="Separador de milhares 3 9 4 4 4" xfId="5271"/>
    <cellStyle name="Separador de milhares 3 9 4 4 4 2" xfId="23906"/>
    <cellStyle name="Separador de milhares 3 9 4 4 4 2 2" xfId="50139"/>
    <cellStyle name="Separador de milhares 3 9 4 4 4 3" xfId="31516"/>
    <cellStyle name="Separador de milhares 3 9 4 4 5" xfId="17992"/>
    <cellStyle name="Separador de milhares 3 9 4 4 5 2" xfId="44231"/>
    <cellStyle name="Separador de milhares 3 9 4 4 6" xfId="11658"/>
    <cellStyle name="Separador de milhares 3 9 4 4 6 2" xfId="37900"/>
    <cellStyle name="Separador de milhares 3 9 4 4 7" xfId="29818"/>
    <cellStyle name="Separador de milhares 3 9 4 5" xfId="2359"/>
    <cellStyle name="Separador de milhares 3 9 4 5 2" xfId="7120"/>
    <cellStyle name="Separador de milhares 3 9 4 5 2 2" xfId="10264"/>
    <cellStyle name="Separador de milhares 3 9 4 5 2 2 2" xfId="28478"/>
    <cellStyle name="Separador de milhares 3 9 4 5 2 2 2 2" xfId="54708"/>
    <cellStyle name="Separador de milhares 3 9 4 5 2 2 3" xfId="22564"/>
    <cellStyle name="Separador de milhares 3 9 4 5 2 2 3 2" xfId="48800"/>
    <cellStyle name="Separador de milhares 3 9 4 5 2 2 4" xfId="16650"/>
    <cellStyle name="Separador de milhares 3 9 4 5 2 2 4 2" xfId="42892"/>
    <cellStyle name="Separador de milhares 3 9 4 5 2 2 5" xfId="36506"/>
    <cellStyle name="Separador de milhares 3 9 4 5 2 3" xfId="25521"/>
    <cellStyle name="Separador de milhares 3 9 4 5 2 3 2" xfId="51754"/>
    <cellStyle name="Separador de milhares 3 9 4 5 2 4" xfId="19607"/>
    <cellStyle name="Separador de milhares 3 9 4 5 2 4 2" xfId="45846"/>
    <cellStyle name="Separador de milhares 3 9 4 5 2 5" xfId="13509"/>
    <cellStyle name="Separador de milhares 3 9 4 5 2 5 2" xfId="39751"/>
    <cellStyle name="Separador de milhares 3 9 4 5 2 6" xfId="33365"/>
    <cellStyle name="Separador de milhares 3 9 4 5 3" xfId="8796"/>
    <cellStyle name="Separador de milhares 3 9 4 5 3 2" xfId="27010"/>
    <cellStyle name="Separador de milhares 3 9 4 5 3 2 2" xfId="53240"/>
    <cellStyle name="Separador de milhares 3 9 4 5 3 3" xfId="21096"/>
    <cellStyle name="Separador de milhares 3 9 4 5 3 3 2" xfId="47332"/>
    <cellStyle name="Separador de milhares 3 9 4 5 3 4" xfId="15182"/>
    <cellStyle name="Separador de milhares 3 9 4 5 3 4 2" xfId="41424"/>
    <cellStyle name="Separador de milhares 3 9 4 5 3 5" xfId="35038"/>
    <cellStyle name="Separador de milhares 3 9 4 5 4" xfId="5421"/>
    <cellStyle name="Separador de milhares 3 9 4 5 4 2" xfId="24053"/>
    <cellStyle name="Separador de milhares 3 9 4 5 4 2 2" xfId="50286"/>
    <cellStyle name="Separador de milhares 3 9 4 5 4 3" xfId="31666"/>
    <cellStyle name="Separador de milhares 3 9 4 5 5" xfId="18139"/>
    <cellStyle name="Separador de milhares 3 9 4 5 5 2" xfId="44378"/>
    <cellStyle name="Separador de milhares 3 9 4 5 6" xfId="11808"/>
    <cellStyle name="Separador de milhares 3 9 4 5 6 2" xfId="38050"/>
    <cellStyle name="Separador de milhares 3 9 4 5 7" xfId="29968"/>
    <cellStyle name="Separador de milhares 3 9 4 6" xfId="2886"/>
    <cellStyle name="Separador de milhares 3 9 4 6 2" xfId="7267"/>
    <cellStyle name="Separador de milhares 3 9 4 6 2 2" xfId="10411"/>
    <cellStyle name="Separador de milhares 3 9 4 6 2 2 2" xfId="28625"/>
    <cellStyle name="Separador de milhares 3 9 4 6 2 2 2 2" xfId="54855"/>
    <cellStyle name="Separador de milhares 3 9 4 6 2 2 3" xfId="22711"/>
    <cellStyle name="Separador de milhares 3 9 4 6 2 2 3 2" xfId="48947"/>
    <cellStyle name="Separador de milhares 3 9 4 6 2 2 4" xfId="16797"/>
    <cellStyle name="Separador de milhares 3 9 4 6 2 2 4 2" xfId="43039"/>
    <cellStyle name="Separador de milhares 3 9 4 6 2 2 5" xfId="36653"/>
    <cellStyle name="Separador de milhares 3 9 4 6 2 3" xfId="25668"/>
    <cellStyle name="Separador de milhares 3 9 4 6 2 3 2" xfId="51901"/>
    <cellStyle name="Separador de milhares 3 9 4 6 2 4" xfId="19754"/>
    <cellStyle name="Separador de milhares 3 9 4 6 2 4 2" xfId="45993"/>
    <cellStyle name="Separador de milhares 3 9 4 6 2 5" xfId="13656"/>
    <cellStyle name="Separador de milhares 3 9 4 6 2 5 2" xfId="39898"/>
    <cellStyle name="Separador de milhares 3 9 4 6 2 6" xfId="33512"/>
    <cellStyle name="Separador de milhares 3 9 4 6 3" xfId="8943"/>
    <cellStyle name="Separador de milhares 3 9 4 6 3 2" xfId="27157"/>
    <cellStyle name="Separador de milhares 3 9 4 6 3 2 2" xfId="53387"/>
    <cellStyle name="Separador de milhares 3 9 4 6 3 3" xfId="21243"/>
    <cellStyle name="Separador de milhares 3 9 4 6 3 3 2" xfId="47479"/>
    <cellStyle name="Separador de milhares 3 9 4 6 3 4" xfId="15329"/>
    <cellStyle name="Separador de milhares 3 9 4 6 3 4 2" xfId="41571"/>
    <cellStyle name="Separador de milhares 3 9 4 6 3 5" xfId="35185"/>
    <cellStyle name="Separador de milhares 3 9 4 6 4" xfId="5568"/>
    <cellStyle name="Separador de milhares 3 9 4 6 4 2" xfId="24200"/>
    <cellStyle name="Separador de milhares 3 9 4 6 4 2 2" xfId="50433"/>
    <cellStyle name="Separador de milhares 3 9 4 6 4 3" xfId="31813"/>
    <cellStyle name="Separador de milhares 3 9 4 6 5" xfId="18286"/>
    <cellStyle name="Separador de milhares 3 9 4 6 5 2" xfId="44525"/>
    <cellStyle name="Separador de milhares 3 9 4 6 6" xfId="11955"/>
    <cellStyle name="Separador de milhares 3 9 4 6 6 2" xfId="38197"/>
    <cellStyle name="Separador de milhares 3 9 4 6 7" xfId="30115"/>
    <cellStyle name="Separador de milhares 3 9 4 7" xfId="3413"/>
    <cellStyle name="Separador de milhares 3 9 4 7 2" xfId="7414"/>
    <cellStyle name="Separador de milhares 3 9 4 7 2 2" xfId="10558"/>
    <cellStyle name="Separador de milhares 3 9 4 7 2 2 2" xfId="28772"/>
    <cellStyle name="Separador de milhares 3 9 4 7 2 2 2 2" xfId="55002"/>
    <cellStyle name="Separador de milhares 3 9 4 7 2 2 3" xfId="22858"/>
    <cellStyle name="Separador de milhares 3 9 4 7 2 2 3 2" xfId="49094"/>
    <cellStyle name="Separador de milhares 3 9 4 7 2 2 4" xfId="16944"/>
    <cellStyle name="Separador de milhares 3 9 4 7 2 2 4 2" xfId="43186"/>
    <cellStyle name="Separador de milhares 3 9 4 7 2 2 5" xfId="36800"/>
    <cellStyle name="Separador de milhares 3 9 4 7 2 3" xfId="25815"/>
    <cellStyle name="Separador de milhares 3 9 4 7 2 3 2" xfId="52048"/>
    <cellStyle name="Separador de milhares 3 9 4 7 2 4" xfId="19901"/>
    <cellStyle name="Separador de milhares 3 9 4 7 2 4 2" xfId="46140"/>
    <cellStyle name="Separador de milhares 3 9 4 7 2 5" xfId="13803"/>
    <cellStyle name="Separador de milhares 3 9 4 7 2 5 2" xfId="40045"/>
    <cellStyle name="Separador de milhares 3 9 4 7 2 6" xfId="33659"/>
    <cellStyle name="Separador de milhares 3 9 4 7 3" xfId="9090"/>
    <cellStyle name="Separador de milhares 3 9 4 7 3 2" xfId="27304"/>
    <cellStyle name="Separador de milhares 3 9 4 7 3 2 2" xfId="53534"/>
    <cellStyle name="Separador de milhares 3 9 4 7 3 3" xfId="21390"/>
    <cellStyle name="Separador de milhares 3 9 4 7 3 3 2" xfId="47626"/>
    <cellStyle name="Separador de milhares 3 9 4 7 3 4" xfId="15476"/>
    <cellStyle name="Separador de milhares 3 9 4 7 3 4 2" xfId="41718"/>
    <cellStyle name="Separador de milhares 3 9 4 7 3 5" xfId="35332"/>
    <cellStyle name="Separador de milhares 3 9 4 7 4" xfId="5715"/>
    <cellStyle name="Separador de milhares 3 9 4 7 4 2" xfId="24347"/>
    <cellStyle name="Separador de milhares 3 9 4 7 4 2 2" xfId="50580"/>
    <cellStyle name="Separador de milhares 3 9 4 7 4 3" xfId="31960"/>
    <cellStyle name="Separador de milhares 3 9 4 7 5" xfId="18433"/>
    <cellStyle name="Separador de milhares 3 9 4 7 5 2" xfId="44672"/>
    <cellStyle name="Separador de milhares 3 9 4 7 6" xfId="12102"/>
    <cellStyle name="Separador de milhares 3 9 4 7 6 2" xfId="38344"/>
    <cellStyle name="Separador de milhares 3 9 4 7 7" xfId="30262"/>
    <cellStyle name="Separador de milhares 3 9 4 8" xfId="3940"/>
    <cellStyle name="Separador de milhares 3 9 4 8 2" xfId="7561"/>
    <cellStyle name="Separador de milhares 3 9 4 8 2 2" xfId="10705"/>
    <cellStyle name="Separador de milhares 3 9 4 8 2 2 2" xfId="28919"/>
    <cellStyle name="Separador de milhares 3 9 4 8 2 2 2 2" xfId="55149"/>
    <cellStyle name="Separador de milhares 3 9 4 8 2 2 3" xfId="23005"/>
    <cellStyle name="Separador de milhares 3 9 4 8 2 2 3 2" xfId="49241"/>
    <cellStyle name="Separador de milhares 3 9 4 8 2 2 4" xfId="17091"/>
    <cellStyle name="Separador de milhares 3 9 4 8 2 2 4 2" xfId="43333"/>
    <cellStyle name="Separador de milhares 3 9 4 8 2 2 5" xfId="36947"/>
    <cellStyle name="Separador de milhares 3 9 4 8 2 3" xfId="25962"/>
    <cellStyle name="Separador de milhares 3 9 4 8 2 3 2" xfId="52195"/>
    <cellStyle name="Separador de milhares 3 9 4 8 2 4" xfId="20048"/>
    <cellStyle name="Separador de milhares 3 9 4 8 2 4 2" xfId="46287"/>
    <cellStyle name="Separador de milhares 3 9 4 8 2 5" xfId="13950"/>
    <cellStyle name="Separador de milhares 3 9 4 8 2 5 2" xfId="40192"/>
    <cellStyle name="Separador de milhares 3 9 4 8 2 6" xfId="33806"/>
    <cellStyle name="Separador de milhares 3 9 4 8 3" xfId="9237"/>
    <cellStyle name="Separador de milhares 3 9 4 8 3 2" xfId="27451"/>
    <cellStyle name="Separador de milhares 3 9 4 8 3 2 2" xfId="53681"/>
    <cellStyle name="Separador de milhares 3 9 4 8 3 3" xfId="21537"/>
    <cellStyle name="Separador de milhares 3 9 4 8 3 3 2" xfId="47773"/>
    <cellStyle name="Separador de milhares 3 9 4 8 3 4" xfId="15623"/>
    <cellStyle name="Separador de milhares 3 9 4 8 3 4 2" xfId="41865"/>
    <cellStyle name="Separador de milhares 3 9 4 8 3 5" xfId="35479"/>
    <cellStyle name="Separador de milhares 3 9 4 8 4" xfId="5862"/>
    <cellStyle name="Separador de milhares 3 9 4 8 4 2" xfId="24494"/>
    <cellStyle name="Separador de milhares 3 9 4 8 4 2 2" xfId="50727"/>
    <cellStyle name="Separador de milhares 3 9 4 8 4 3" xfId="32107"/>
    <cellStyle name="Separador de milhares 3 9 4 8 5" xfId="18580"/>
    <cellStyle name="Separador de milhares 3 9 4 8 5 2" xfId="44819"/>
    <cellStyle name="Separador de milhares 3 9 4 8 6" xfId="12249"/>
    <cellStyle name="Separador de milhares 3 9 4 8 6 2" xfId="38491"/>
    <cellStyle name="Separador de milhares 3 9 4 8 7" xfId="30409"/>
    <cellStyle name="Separador de milhares 3 9 4 9" xfId="720"/>
    <cellStyle name="Separador de milhares 3 9 4 9 2" xfId="6655"/>
    <cellStyle name="Separador de milhares 3 9 4 9 2 2" xfId="9802"/>
    <cellStyle name="Separador de milhares 3 9 4 9 2 2 2" xfId="28016"/>
    <cellStyle name="Separador de milhares 3 9 4 9 2 2 2 2" xfId="54246"/>
    <cellStyle name="Separador de milhares 3 9 4 9 2 2 3" xfId="22102"/>
    <cellStyle name="Separador de milhares 3 9 4 9 2 2 3 2" xfId="48338"/>
    <cellStyle name="Separador de milhares 3 9 4 9 2 2 4" xfId="16188"/>
    <cellStyle name="Separador de milhares 3 9 4 9 2 2 4 2" xfId="42430"/>
    <cellStyle name="Separador de milhares 3 9 4 9 2 2 5" xfId="36044"/>
    <cellStyle name="Separador de milhares 3 9 4 9 2 3" xfId="25059"/>
    <cellStyle name="Separador de milhares 3 9 4 9 2 3 2" xfId="51292"/>
    <cellStyle name="Separador de milhares 3 9 4 9 2 4" xfId="19145"/>
    <cellStyle name="Separador de milhares 3 9 4 9 2 4 2" xfId="45384"/>
    <cellStyle name="Separador de milhares 3 9 4 9 2 5" xfId="13044"/>
    <cellStyle name="Separador de milhares 3 9 4 9 2 5 2" xfId="39286"/>
    <cellStyle name="Separador de milhares 3 9 4 9 2 6" xfId="32900"/>
    <cellStyle name="Separador de milhares 3 9 4 9 3" xfId="8334"/>
    <cellStyle name="Separador de milhares 3 9 4 9 3 2" xfId="26548"/>
    <cellStyle name="Separador de milhares 3 9 4 9 3 2 2" xfId="52778"/>
    <cellStyle name="Separador de milhares 3 9 4 9 3 3" xfId="20634"/>
    <cellStyle name="Separador de milhares 3 9 4 9 3 3 2" xfId="46870"/>
    <cellStyle name="Separador de milhares 3 9 4 9 3 4" xfId="14720"/>
    <cellStyle name="Separador de milhares 3 9 4 9 3 4 2" xfId="40962"/>
    <cellStyle name="Separador de milhares 3 9 4 9 3 5" xfId="34576"/>
    <cellStyle name="Separador de milhares 3 9 4 9 4" xfId="4956"/>
    <cellStyle name="Separador de milhares 3 9 4 9 4 2" xfId="23591"/>
    <cellStyle name="Separador de milhares 3 9 4 9 4 2 2" xfId="49824"/>
    <cellStyle name="Separador de milhares 3 9 4 9 4 3" xfId="31201"/>
    <cellStyle name="Separador de milhares 3 9 4 9 5" xfId="17677"/>
    <cellStyle name="Separador de milhares 3 9 4 9 5 2" xfId="43916"/>
    <cellStyle name="Separador de milhares 3 9 4 9 6" xfId="11343"/>
    <cellStyle name="Separador de milhares 3 9 4 9 6 2" xfId="37585"/>
    <cellStyle name="Separador de milhares 3 9 4 9 7" xfId="29503"/>
    <cellStyle name="Separador de milhares 3 9 5" xfId="655"/>
    <cellStyle name="Separador de milhares 3 9 5 10" xfId="4920"/>
    <cellStyle name="Separador de milhares 3 9 5 10 2" xfId="23554"/>
    <cellStyle name="Separador de milhares 3 9 5 10 2 2" xfId="49790"/>
    <cellStyle name="Separador de milhares 3 9 5 10 3" xfId="31167"/>
    <cellStyle name="Separador de milhares 3 9 5 11" xfId="17640"/>
    <cellStyle name="Separador de milhares 3 9 5 11 2" xfId="43882"/>
    <cellStyle name="Separador de milhares 3 9 5 12" xfId="11309"/>
    <cellStyle name="Separador de milhares 3 9 5 12 2" xfId="37551"/>
    <cellStyle name="Separador de milhares 3 9 5 13" xfId="29469"/>
    <cellStyle name="Separador de milhares 3 9 5 2" xfId="1478"/>
    <cellStyle name="Separador de milhares 3 9 5 2 2" xfId="6872"/>
    <cellStyle name="Separador de milhares 3 9 5 2 2 2" xfId="10019"/>
    <cellStyle name="Separador de milhares 3 9 5 2 2 2 2" xfId="28233"/>
    <cellStyle name="Separador de milhares 3 9 5 2 2 2 2 2" xfId="54463"/>
    <cellStyle name="Separador de milhares 3 9 5 2 2 2 3" xfId="22319"/>
    <cellStyle name="Separador de milhares 3 9 5 2 2 2 3 2" xfId="48555"/>
    <cellStyle name="Separador de milhares 3 9 5 2 2 2 4" xfId="16405"/>
    <cellStyle name="Separador de milhares 3 9 5 2 2 2 4 2" xfId="42647"/>
    <cellStyle name="Separador de milhares 3 9 5 2 2 2 5" xfId="36261"/>
    <cellStyle name="Separador de milhares 3 9 5 2 2 3" xfId="25276"/>
    <cellStyle name="Separador de milhares 3 9 5 2 2 3 2" xfId="51509"/>
    <cellStyle name="Separador de milhares 3 9 5 2 2 4" xfId="19362"/>
    <cellStyle name="Separador de milhares 3 9 5 2 2 4 2" xfId="45601"/>
    <cellStyle name="Separador de milhares 3 9 5 2 2 5" xfId="13261"/>
    <cellStyle name="Separador de milhares 3 9 5 2 2 5 2" xfId="39503"/>
    <cellStyle name="Separador de milhares 3 9 5 2 2 6" xfId="33117"/>
    <cellStyle name="Separador de milhares 3 9 5 2 3" xfId="8551"/>
    <cellStyle name="Separador de milhares 3 9 5 2 3 2" xfId="26765"/>
    <cellStyle name="Separador de milhares 3 9 5 2 3 2 2" xfId="52995"/>
    <cellStyle name="Separador de milhares 3 9 5 2 3 3" xfId="20851"/>
    <cellStyle name="Separador de milhares 3 9 5 2 3 3 2" xfId="47087"/>
    <cellStyle name="Separador de milhares 3 9 5 2 3 4" xfId="14937"/>
    <cellStyle name="Separador de milhares 3 9 5 2 3 4 2" xfId="41179"/>
    <cellStyle name="Separador de milhares 3 9 5 2 3 5" xfId="34793"/>
    <cellStyle name="Separador de milhares 3 9 5 2 4" xfId="5173"/>
    <cellStyle name="Separador de milhares 3 9 5 2 4 2" xfId="23808"/>
    <cellStyle name="Separador de milhares 3 9 5 2 4 2 2" xfId="50041"/>
    <cellStyle name="Separador de milhares 3 9 5 2 4 3" xfId="31418"/>
    <cellStyle name="Separador de milhares 3 9 5 2 5" xfId="17894"/>
    <cellStyle name="Separador de milhares 3 9 5 2 5 2" xfId="44133"/>
    <cellStyle name="Separador de milhares 3 9 5 2 6" xfId="11560"/>
    <cellStyle name="Separador de milhares 3 9 5 2 6 2" xfId="37802"/>
    <cellStyle name="Separador de milhares 3 9 5 2 7" xfId="29720"/>
    <cellStyle name="Separador de milhares 3 9 5 3" xfId="1913"/>
    <cellStyle name="Separador de milhares 3 9 5 3 2" xfId="6991"/>
    <cellStyle name="Separador de milhares 3 9 5 3 2 2" xfId="10138"/>
    <cellStyle name="Separador de milhares 3 9 5 3 2 2 2" xfId="28352"/>
    <cellStyle name="Separador de milhares 3 9 5 3 2 2 2 2" xfId="54582"/>
    <cellStyle name="Separador de milhares 3 9 5 3 2 2 3" xfId="22438"/>
    <cellStyle name="Separador de milhares 3 9 5 3 2 2 3 2" xfId="48674"/>
    <cellStyle name="Separador de milhares 3 9 5 3 2 2 4" xfId="16524"/>
    <cellStyle name="Separador de milhares 3 9 5 3 2 2 4 2" xfId="42766"/>
    <cellStyle name="Separador de milhares 3 9 5 3 2 2 5" xfId="36380"/>
    <cellStyle name="Separador de milhares 3 9 5 3 2 3" xfId="25395"/>
    <cellStyle name="Separador de milhares 3 9 5 3 2 3 2" xfId="51628"/>
    <cellStyle name="Separador de milhares 3 9 5 3 2 4" xfId="19481"/>
    <cellStyle name="Separador de milhares 3 9 5 3 2 4 2" xfId="45720"/>
    <cellStyle name="Separador de milhares 3 9 5 3 2 5" xfId="13380"/>
    <cellStyle name="Separador de milhares 3 9 5 3 2 5 2" xfId="39622"/>
    <cellStyle name="Separador de milhares 3 9 5 3 2 6" xfId="33236"/>
    <cellStyle name="Separador de milhares 3 9 5 3 3" xfId="8670"/>
    <cellStyle name="Separador de milhares 3 9 5 3 3 2" xfId="26884"/>
    <cellStyle name="Separador de milhares 3 9 5 3 3 2 2" xfId="53114"/>
    <cellStyle name="Separador de milhares 3 9 5 3 3 3" xfId="20970"/>
    <cellStyle name="Separador de milhares 3 9 5 3 3 3 2" xfId="47206"/>
    <cellStyle name="Separador de milhares 3 9 5 3 3 4" xfId="15056"/>
    <cellStyle name="Separador de milhares 3 9 5 3 3 4 2" xfId="41298"/>
    <cellStyle name="Separador de milhares 3 9 5 3 3 5" xfId="34912"/>
    <cellStyle name="Separador de milhares 3 9 5 3 4" xfId="5292"/>
    <cellStyle name="Separador de milhares 3 9 5 3 4 2" xfId="23927"/>
    <cellStyle name="Separador de milhares 3 9 5 3 4 2 2" xfId="50160"/>
    <cellStyle name="Separador de milhares 3 9 5 3 4 3" xfId="31537"/>
    <cellStyle name="Separador de milhares 3 9 5 3 5" xfId="18013"/>
    <cellStyle name="Separador de milhares 3 9 5 3 5 2" xfId="44252"/>
    <cellStyle name="Separador de milhares 3 9 5 3 6" xfId="11679"/>
    <cellStyle name="Separador de milhares 3 9 5 3 6 2" xfId="37921"/>
    <cellStyle name="Separador de milhares 3 9 5 3 7" xfId="29839"/>
    <cellStyle name="Separador de milhares 3 9 5 4" xfId="2443"/>
    <cellStyle name="Separador de milhares 3 9 5 4 2" xfId="7141"/>
    <cellStyle name="Separador de milhares 3 9 5 4 2 2" xfId="10285"/>
    <cellStyle name="Separador de milhares 3 9 5 4 2 2 2" xfId="28499"/>
    <cellStyle name="Separador de milhares 3 9 5 4 2 2 2 2" xfId="54729"/>
    <cellStyle name="Separador de milhares 3 9 5 4 2 2 3" xfId="22585"/>
    <cellStyle name="Separador de milhares 3 9 5 4 2 2 3 2" xfId="48821"/>
    <cellStyle name="Separador de milhares 3 9 5 4 2 2 4" xfId="16671"/>
    <cellStyle name="Separador de milhares 3 9 5 4 2 2 4 2" xfId="42913"/>
    <cellStyle name="Separador de milhares 3 9 5 4 2 2 5" xfId="36527"/>
    <cellStyle name="Separador de milhares 3 9 5 4 2 3" xfId="25542"/>
    <cellStyle name="Separador de milhares 3 9 5 4 2 3 2" xfId="51775"/>
    <cellStyle name="Separador de milhares 3 9 5 4 2 4" xfId="19628"/>
    <cellStyle name="Separador de milhares 3 9 5 4 2 4 2" xfId="45867"/>
    <cellStyle name="Separador de milhares 3 9 5 4 2 5" xfId="13530"/>
    <cellStyle name="Separador de milhares 3 9 5 4 2 5 2" xfId="39772"/>
    <cellStyle name="Separador de milhares 3 9 5 4 2 6" xfId="33386"/>
    <cellStyle name="Separador de milhares 3 9 5 4 3" xfId="8817"/>
    <cellStyle name="Separador de milhares 3 9 5 4 3 2" xfId="27031"/>
    <cellStyle name="Separador de milhares 3 9 5 4 3 2 2" xfId="53261"/>
    <cellStyle name="Separador de milhares 3 9 5 4 3 3" xfId="21117"/>
    <cellStyle name="Separador de milhares 3 9 5 4 3 3 2" xfId="47353"/>
    <cellStyle name="Separador de milhares 3 9 5 4 3 4" xfId="15203"/>
    <cellStyle name="Separador de milhares 3 9 5 4 3 4 2" xfId="41445"/>
    <cellStyle name="Separador de milhares 3 9 5 4 3 5" xfId="35059"/>
    <cellStyle name="Separador de milhares 3 9 5 4 4" xfId="5442"/>
    <cellStyle name="Separador de milhares 3 9 5 4 4 2" xfId="24074"/>
    <cellStyle name="Separador de milhares 3 9 5 4 4 2 2" xfId="50307"/>
    <cellStyle name="Separador de milhares 3 9 5 4 4 3" xfId="31687"/>
    <cellStyle name="Separador de milhares 3 9 5 4 5" xfId="18160"/>
    <cellStyle name="Separador de milhares 3 9 5 4 5 2" xfId="44399"/>
    <cellStyle name="Separador de milhares 3 9 5 4 6" xfId="11829"/>
    <cellStyle name="Separador de milhares 3 9 5 4 6 2" xfId="38071"/>
    <cellStyle name="Separador de milhares 3 9 5 4 7" xfId="29989"/>
    <cellStyle name="Separador de milhares 3 9 5 5" xfId="2970"/>
    <cellStyle name="Separador de milhares 3 9 5 5 2" xfId="7288"/>
    <cellStyle name="Separador de milhares 3 9 5 5 2 2" xfId="10432"/>
    <cellStyle name="Separador de milhares 3 9 5 5 2 2 2" xfId="28646"/>
    <cellStyle name="Separador de milhares 3 9 5 5 2 2 2 2" xfId="54876"/>
    <cellStyle name="Separador de milhares 3 9 5 5 2 2 3" xfId="22732"/>
    <cellStyle name="Separador de milhares 3 9 5 5 2 2 3 2" xfId="48968"/>
    <cellStyle name="Separador de milhares 3 9 5 5 2 2 4" xfId="16818"/>
    <cellStyle name="Separador de milhares 3 9 5 5 2 2 4 2" xfId="43060"/>
    <cellStyle name="Separador de milhares 3 9 5 5 2 2 5" xfId="36674"/>
    <cellStyle name="Separador de milhares 3 9 5 5 2 3" xfId="25689"/>
    <cellStyle name="Separador de milhares 3 9 5 5 2 3 2" xfId="51922"/>
    <cellStyle name="Separador de milhares 3 9 5 5 2 4" xfId="19775"/>
    <cellStyle name="Separador de milhares 3 9 5 5 2 4 2" xfId="46014"/>
    <cellStyle name="Separador de milhares 3 9 5 5 2 5" xfId="13677"/>
    <cellStyle name="Separador de milhares 3 9 5 5 2 5 2" xfId="39919"/>
    <cellStyle name="Separador de milhares 3 9 5 5 2 6" xfId="33533"/>
    <cellStyle name="Separador de milhares 3 9 5 5 3" xfId="8964"/>
    <cellStyle name="Separador de milhares 3 9 5 5 3 2" xfId="27178"/>
    <cellStyle name="Separador de milhares 3 9 5 5 3 2 2" xfId="53408"/>
    <cellStyle name="Separador de milhares 3 9 5 5 3 3" xfId="21264"/>
    <cellStyle name="Separador de milhares 3 9 5 5 3 3 2" xfId="47500"/>
    <cellStyle name="Separador de milhares 3 9 5 5 3 4" xfId="15350"/>
    <cellStyle name="Separador de milhares 3 9 5 5 3 4 2" xfId="41592"/>
    <cellStyle name="Separador de milhares 3 9 5 5 3 5" xfId="35206"/>
    <cellStyle name="Separador de milhares 3 9 5 5 4" xfId="5589"/>
    <cellStyle name="Separador de milhares 3 9 5 5 4 2" xfId="24221"/>
    <cellStyle name="Separador de milhares 3 9 5 5 4 2 2" xfId="50454"/>
    <cellStyle name="Separador de milhares 3 9 5 5 4 3" xfId="31834"/>
    <cellStyle name="Separador de milhares 3 9 5 5 5" xfId="18307"/>
    <cellStyle name="Separador de milhares 3 9 5 5 5 2" xfId="44546"/>
    <cellStyle name="Separador de milhares 3 9 5 5 6" xfId="11976"/>
    <cellStyle name="Separador de milhares 3 9 5 5 6 2" xfId="38218"/>
    <cellStyle name="Separador de milhares 3 9 5 5 7" xfId="30136"/>
    <cellStyle name="Separador de milhares 3 9 5 6" xfId="3497"/>
    <cellStyle name="Separador de milhares 3 9 5 6 2" xfId="7435"/>
    <cellStyle name="Separador de milhares 3 9 5 6 2 2" xfId="10579"/>
    <cellStyle name="Separador de milhares 3 9 5 6 2 2 2" xfId="28793"/>
    <cellStyle name="Separador de milhares 3 9 5 6 2 2 2 2" xfId="55023"/>
    <cellStyle name="Separador de milhares 3 9 5 6 2 2 3" xfId="22879"/>
    <cellStyle name="Separador de milhares 3 9 5 6 2 2 3 2" xfId="49115"/>
    <cellStyle name="Separador de milhares 3 9 5 6 2 2 4" xfId="16965"/>
    <cellStyle name="Separador de milhares 3 9 5 6 2 2 4 2" xfId="43207"/>
    <cellStyle name="Separador de milhares 3 9 5 6 2 2 5" xfId="36821"/>
    <cellStyle name="Separador de milhares 3 9 5 6 2 3" xfId="25836"/>
    <cellStyle name="Separador de milhares 3 9 5 6 2 3 2" xfId="52069"/>
    <cellStyle name="Separador de milhares 3 9 5 6 2 4" xfId="19922"/>
    <cellStyle name="Separador de milhares 3 9 5 6 2 4 2" xfId="46161"/>
    <cellStyle name="Separador de milhares 3 9 5 6 2 5" xfId="13824"/>
    <cellStyle name="Separador de milhares 3 9 5 6 2 5 2" xfId="40066"/>
    <cellStyle name="Separador de milhares 3 9 5 6 2 6" xfId="33680"/>
    <cellStyle name="Separador de milhares 3 9 5 6 3" xfId="9111"/>
    <cellStyle name="Separador de milhares 3 9 5 6 3 2" xfId="27325"/>
    <cellStyle name="Separador de milhares 3 9 5 6 3 2 2" xfId="53555"/>
    <cellStyle name="Separador de milhares 3 9 5 6 3 3" xfId="21411"/>
    <cellStyle name="Separador de milhares 3 9 5 6 3 3 2" xfId="47647"/>
    <cellStyle name="Separador de milhares 3 9 5 6 3 4" xfId="15497"/>
    <cellStyle name="Separador de milhares 3 9 5 6 3 4 2" xfId="41739"/>
    <cellStyle name="Separador de milhares 3 9 5 6 3 5" xfId="35353"/>
    <cellStyle name="Separador de milhares 3 9 5 6 4" xfId="5736"/>
    <cellStyle name="Separador de milhares 3 9 5 6 4 2" xfId="24368"/>
    <cellStyle name="Separador de milhares 3 9 5 6 4 2 2" xfId="50601"/>
    <cellStyle name="Separador de milhares 3 9 5 6 4 3" xfId="31981"/>
    <cellStyle name="Separador de milhares 3 9 5 6 5" xfId="18454"/>
    <cellStyle name="Separador de milhares 3 9 5 6 5 2" xfId="44693"/>
    <cellStyle name="Separador de milhares 3 9 5 6 6" xfId="12123"/>
    <cellStyle name="Separador de milhares 3 9 5 6 6 2" xfId="38365"/>
    <cellStyle name="Separador de milhares 3 9 5 6 7" xfId="30283"/>
    <cellStyle name="Separador de milhares 3 9 5 7" xfId="4024"/>
    <cellStyle name="Separador de milhares 3 9 5 7 2" xfId="7582"/>
    <cellStyle name="Separador de milhares 3 9 5 7 2 2" xfId="10726"/>
    <cellStyle name="Separador de milhares 3 9 5 7 2 2 2" xfId="28940"/>
    <cellStyle name="Separador de milhares 3 9 5 7 2 2 2 2" xfId="55170"/>
    <cellStyle name="Separador de milhares 3 9 5 7 2 2 3" xfId="23026"/>
    <cellStyle name="Separador de milhares 3 9 5 7 2 2 3 2" xfId="49262"/>
    <cellStyle name="Separador de milhares 3 9 5 7 2 2 4" xfId="17112"/>
    <cellStyle name="Separador de milhares 3 9 5 7 2 2 4 2" xfId="43354"/>
    <cellStyle name="Separador de milhares 3 9 5 7 2 2 5" xfId="36968"/>
    <cellStyle name="Separador de milhares 3 9 5 7 2 3" xfId="25983"/>
    <cellStyle name="Separador de milhares 3 9 5 7 2 3 2" xfId="52216"/>
    <cellStyle name="Separador de milhares 3 9 5 7 2 4" xfId="20069"/>
    <cellStyle name="Separador de milhares 3 9 5 7 2 4 2" xfId="46308"/>
    <cellStyle name="Separador de milhares 3 9 5 7 2 5" xfId="13971"/>
    <cellStyle name="Separador de milhares 3 9 5 7 2 5 2" xfId="40213"/>
    <cellStyle name="Separador de milhares 3 9 5 7 2 6" xfId="33827"/>
    <cellStyle name="Separador de milhares 3 9 5 7 3" xfId="9258"/>
    <cellStyle name="Separador de milhares 3 9 5 7 3 2" xfId="27472"/>
    <cellStyle name="Separador de milhares 3 9 5 7 3 2 2" xfId="53702"/>
    <cellStyle name="Separador de milhares 3 9 5 7 3 3" xfId="21558"/>
    <cellStyle name="Separador de milhares 3 9 5 7 3 3 2" xfId="47794"/>
    <cellStyle name="Separador de milhares 3 9 5 7 3 4" xfId="15644"/>
    <cellStyle name="Separador de milhares 3 9 5 7 3 4 2" xfId="41886"/>
    <cellStyle name="Separador de milhares 3 9 5 7 3 5" xfId="35500"/>
    <cellStyle name="Separador de milhares 3 9 5 7 4" xfId="5883"/>
    <cellStyle name="Separador de milhares 3 9 5 7 4 2" xfId="24515"/>
    <cellStyle name="Separador de milhares 3 9 5 7 4 2 2" xfId="50748"/>
    <cellStyle name="Separador de milhares 3 9 5 7 4 3" xfId="32128"/>
    <cellStyle name="Separador de milhares 3 9 5 7 5" xfId="18601"/>
    <cellStyle name="Separador de milhares 3 9 5 7 5 2" xfId="44840"/>
    <cellStyle name="Separador de milhares 3 9 5 7 6" xfId="12270"/>
    <cellStyle name="Separador de milhares 3 9 5 7 6 2" xfId="38512"/>
    <cellStyle name="Separador de milhares 3 9 5 7 7" xfId="30430"/>
    <cellStyle name="Separador de milhares 3 9 5 8" xfId="6621"/>
    <cellStyle name="Separador de milhares 3 9 5 8 2" xfId="9768"/>
    <cellStyle name="Separador de milhares 3 9 5 8 2 2" xfId="27982"/>
    <cellStyle name="Separador de milhares 3 9 5 8 2 2 2" xfId="54212"/>
    <cellStyle name="Separador de milhares 3 9 5 8 2 3" xfId="22068"/>
    <cellStyle name="Separador de milhares 3 9 5 8 2 3 2" xfId="48304"/>
    <cellStyle name="Separador de milhares 3 9 5 8 2 4" xfId="16154"/>
    <cellStyle name="Separador de milhares 3 9 5 8 2 4 2" xfId="42396"/>
    <cellStyle name="Separador de milhares 3 9 5 8 2 5" xfId="36010"/>
    <cellStyle name="Separador de milhares 3 9 5 8 3" xfId="25025"/>
    <cellStyle name="Separador de milhares 3 9 5 8 3 2" xfId="51258"/>
    <cellStyle name="Separador de milhares 3 9 5 8 4" xfId="19111"/>
    <cellStyle name="Separador de milhares 3 9 5 8 4 2" xfId="45350"/>
    <cellStyle name="Separador de milhares 3 9 5 8 5" xfId="13010"/>
    <cellStyle name="Separador de milhares 3 9 5 8 5 2" xfId="39252"/>
    <cellStyle name="Separador de milhares 3 9 5 8 6" xfId="32866"/>
    <cellStyle name="Separador de milhares 3 9 5 9" xfId="8297"/>
    <cellStyle name="Separador de milhares 3 9 5 9 2" xfId="26511"/>
    <cellStyle name="Separador de milhares 3 9 5 9 2 2" xfId="52744"/>
    <cellStyle name="Separador de milhares 3 9 5 9 3" xfId="20597"/>
    <cellStyle name="Separador de milhares 3 9 5 9 3 2" xfId="46836"/>
    <cellStyle name="Separador de milhares 3 9 5 9 4" xfId="14686"/>
    <cellStyle name="Separador de milhares 3 9 5 9 4 2" xfId="40928"/>
    <cellStyle name="Separador de milhares 3 9 5 9 5" xfId="34542"/>
    <cellStyle name="Separador de milhares 3 9 6" xfId="776"/>
    <cellStyle name="Separador de milhares 3 9 6 2" xfId="4200"/>
    <cellStyle name="Separador de milhares 3 9 6 2 2" xfId="7631"/>
    <cellStyle name="Separador de milhares 3 9 6 2 2 2" xfId="10775"/>
    <cellStyle name="Separador de milhares 3 9 6 2 2 2 2" xfId="28989"/>
    <cellStyle name="Separador de milhares 3 9 6 2 2 2 2 2" xfId="55219"/>
    <cellStyle name="Separador de milhares 3 9 6 2 2 2 3" xfId="23075"/>
    <cellStyle name="Separador de milhares 3 9 6 2 2 2 3 2" xfId="49311"/>
    <cellStyle name="Separador de milhares 3 9 6 2 2 2 4" xfId="17161"/>
    <cellStyle name="Separador de milhares 3 9 6 2 2 2 4 2" xfId="43403"/>
    <cellStyle name="Separador de milhares 3 9 6 2 2 2 5" xfId="37017"/>
    <cellStyle name="Separador de milhares 3 9 6 2 2 3" xfId="26032"/>
    <cellStyle name="Separador de milhares 3 9 6 2 2 3 2" xfId="52265"/>
    <cellStyle name="Separador de milhares 3 9 6 2 2 4" xfId="20118"/>
    <cellStyle name="Separador de milhares 3 9 6 2 2 4 2" xfId="46357"/>
    <cellStyle name="Separador de milhares 3 9 6 2 2 5" xfId="14020"/>
    <cellStyle name="Separador de milhares 3 9 6 2 2 5 2" xfId="40262"/>
    <cellStyle name="Separador de milhares 3 9 6 2 2 6" xfId="33876"/>
    <cellStyle name="Separador de milhares 3 9 6 2 3" xfId="9307"/>
    <cellStyle name="Separador de milhares 3 9 6 2 3 2" xfId="27521"/>
    <cellStyle name="Separador de milhares 3 9 6 2 3 2 2" xfId="53751"/>
    <cellStyle name="Separador de milhares 3 9 6 2 3 3" xfId="21607"/>
    <cellStyle name="Separador de milhares 3 9 6 2 3 3 2" xfId="47843"/>
    <cellStyle name="Separador de milhares 3 9 6 2 3 4" xfId="15693"/>
    <cellStyle name="Separador de milhares 3 9 6 2 3 4 2" xfId="41935"/>
    <cellStyle name="Separador de milhares 3 9 6 2 3 5" xfId="35549"/>
    <cellStyle name="Separador de milhares 3 9 6 2 4" xfId="5932"/>
    <cellStyle name="Separador de milhares 3 9 6 2 4 2" xfId="24564"/>
    <cellStyle name="Separador de milhares 3 9 6 2 4 2 2" xfId="50797"/>
    <cellStyle name="Separador de milhares 3 9 6 2 4 3" xfId="32177"/>
    <cellStyle name="Separador de milhares 3 9 6 2 5" xfId="18650"/>
    <cellStyle name="Separador de milhares 3 9 6 2 5 2" xfId="44889"/>
    <cellStyle name="Separador de milhares 3 9 6 2 6" xfId="12319"/>
    <cellStyle name="Separador de milhares 3 9 6 2 6 2" xfId="38561"/>
    <cellStyle name="Separador de milhares 3 9 6 2 7" xfId="30479"/>
    <cellStyle name="Separador de milhares 3 9 6 3" xfId="6676"/>
    <cellStyle name="Separador de milhares 3 9 6 3 2" xfId="9823"/>
    <cellStyle name="Separador de milhares 3 9 6 3 2 2" xfId="28037"/>
    <cellStyle name="Separador de milhares 3 9 6 3 2 2 2" xfId="54267"/>
    <cellStyle name="Separador de milhares 3 9 6 3 2 3" xfId="22123"/>
    <cellStyle name="Separador de milhares 3 9 6 3 2 3 2" xfId="48359"/>
    <cellStyle name="Separador de milhares 3 9 6 3 2 4" xfId="16209"/>
    <cellStyle name="Separador de milhares 3 9 6 3 2 4 2" xfId="42451"/>
    <cellStyle name="Separador de milhares 3 9 6 3 2 5" xfId="36065"/>
    <cellStyle name="Separador de milhares 3 9 6 3 3" xfId="25080"/>
    <cellStyle name="Separador de milhares 3 9 6 3 3 2" xfId="51313"/>
    <cellStyle name="Separador de milhares 3 9 6 3 4" xfId="19166"/>
    <cellStyle name="Separador de milhares 3 9 6 3 4 2" xfId="45405"/>
    <cellStyle name="Separador de milhares 3 9 6 3 5" xfId="13065"/>
    <cellStyle name="Separador de milhares 3 9 6 3 5 2" xfId="39307"/>
    <cellStyle name="Separador de milhares 3 9 6 3 6" xfId="32921"/>
    <cellStyle name="Separador de milhares 3 9 6 4" xfId="8355"/>
    <cellStyle name="Separador de milhares 3 9 6 4 2" xfId="26569"/>
    <cellStyle name="Separador de milhares 3 9 6 4 2 2" xfId="52799"/>
    <cellStyle name="Separador de milhares 3 9 6 4 3" xfId="20655"/>
    <cellStyle name="Separador de milhares 3 9 6 4 3 2" xfId="46891"/>
    <cellStyle name="Separador de milhares 3 9 6 4 4" xfId="14741"/>
    <cellStyle name="Separador de milhares 3 9 6 4 4 2" xfId="40983"/>
    <cellStyle name="Separador de milhares 3 9 6 4 5" xfId="34597"/>
    <cellStyle name="Separador de milhares 3 9 6 5" xfId="4977"/>
    <cellStyle name="Separador de milhares 3 9 6 5 2" xfId="23612"/>
    <cellStyle name="Separador de milhares 3 9 6 5 2 2" xfId="49845"/>
    <cellStyle name="Separador de milhares 3 9 6 5 3" xfId="31222"/>
    <cellStyle name="Separador de milhares 3 9 6 6" xfId="17698"/>
    <cellStyle name="Separador de milhares 3 9 6 6 2" xfId="43937"/>
    <cellStyle name="Separador de milhares 3 9 6 7" xfId="11364"/>
    <cellStyle name="Separador de milhares 3 9 6 7 2" xfId="37606"/>
    <cellStyle name="Separador de milhares 3 9 6 8" xfId="29524"/>
    <cellStyle name="Separador de milhares 3 9 7" xfId="1127"/>
    <cellStyle name="Separador de milhares 3 9 7 2" xfId="6774"/>
    <cellStyle name="Separador de milhares 3 9 7 2 2" xfId="9921"/>
    <cellStyle name="Separador de milhares 3 9 7 2 2 2" xfId="28135"/>
    <cellStyle name="Separador de milhares 3 9 7 2 2 2 2" xfId="54365"/>
    <cellStyle name="Separador de milhares 3 9 7 2 2 3" xfId="22221"/>
    <cellStyle name="Separador de milhares 3 9 7 2 2 3 2" xfId="48457"/>
    <cellStyle name="Separador de milhares 3 9 7 2 2 4" xfId="16307"/>
    <cellStyle name="Separador de milhares 3 9 7 2 2 4 2" xfId="42549"/>
    <cellStyle name="Separador de milhares 3 9 7 2 2 5" xfId="36163"/>
    <cellStyle name="Separador de milhares 3 9 7 2 3" xfId="25178"/>
    <cellStyle name="Separador de milhares 3 9 7 2 3 2" xfId="51411"/>
    <cellStyle name="Separador de milhares 3 9 7 2 4" xfId="19264"/>
    <cellStyle name="Separador de milhares 3 9 7 2 4 2" xfId="45503"/>
    <cellStyle name="Separador de milhares 3 9 7 2 5" xfId="13163"/>
    <cellStyle name="Separador de milhares 3 9 7 2 5 2" xfId="39405"/>
    <cellStyle name="Separador de milhares 3 9 7 2 6" xfId="33019"/>
    <cellStyle name="Separador de milhares 3 9 7 3" xfId="8453"/>
    <cellStyle name="Separador de milhares 3 9 7 3 2" xfId="26667"/>
    <cellStyle name="Separador de milhares 3 9 7 3 2 2" xfId="52897"/>
    <cellStyle name="Separador de milhares 3 9 7 3 3" xfId="20753"/>
    <cellStyle name="Separador de milhares 3 9 7 3 3 2" xfId="46989"/>
    <cellStyle name="Separador de milhares 3 9 7 3 4" xfId="14839"/>
    <cellStyle name="Separador de milhares 3 9 7 3 4 2" xfId="41081"/>
    <cellStyle name="Separador de milhares 3 9 7 3 5" xfId="34695"/>
    <cellStyle name="Separador de milhares 3 9 7 4" xfId="5075"/>
    <cellStyle name="Separador de milhares 3 9 7 4 2" xfId="23710"/>
    <cellStyle name="Separador de milhares 3 9 7 4 2 2" xfId="49943"/>
    <cellStyle name="Separador de milhares 3 9 7 4 3" xfId="31320"/>
    <cellStyle name="Separador de milhares 3 9 7 5" xfId="17796"/>
    <cellStyle name="Separador de milhares 3 9 7 5 2" xfId="44035"/>
    <cellStyle name="Separador de milhares 3 9 7 6" xfId="11462"/>
    <cellStyle name="Separador de milhares 3 9 7 6 2" xfId="37704"/>
    <cellStyle name="Separador de milhares 3 9 7 7" xfId="29622"/>
    <cellStyle name="Separador de milhares 3 9 8" xfId="1562"/>
    <cellStyle name="Separador de milhares 3 9 8 2" xfId="6893"/>
    <cellStyle name="Separador de milhares 3 9 8 2 2" xfId="10040"/>
    <cellStyle name="Separador de milhares 3 9 8 2 2 2" xfId="28254"/>
    <cellStyle name="Separador de milhares 3 9 8 2 2 2 2" xfId="54484"/>
    <cellStyle name="Separador de milhares 3 9 8 2 2 3" xfId="22340"/>
    <cellStyle name="Separador de milhares 3 9 8 2 2 3 2" xfId="48576"/>
    <cellStyle name="Separador de milhares 3 9 8 2 2 4" xfId="16426"/>
    <cellStyle name="Separador de milhares 3 9 8 2 2 4 2" xfId="42668"/>
    <cellStyle name="Separador de milhares 3 9 8 2 2 5" xfId="36282"/>
    <cellStyle name="Separador de milhares 3 9 8 2 3" xfId="25297"/>
    <cellStyle name="Separador de milhares 3 9 8 2 3 2" xfId="51530"/>
    <cellStyle name="Separador de milhares 3 9 8 2 4" xfId="19383"/>
    <cellStyle name="Separador de milhares 3 9 8 2 4 2" xfId="45622"/>
    <cellStyle name="Separador de milhares 3 9 8 2 5" xfId="13282"/>
    <cellStyle name="Separador de milhares 3 9 8 2 5 2" xfId="39524"/>
    <cellStyle name="Separador de milhares 3 9 8 2 6" xfId="33138"/>
    <cellStyle name="Separador de milhares 3 9 8 3" xfId="8572"/>
    <cellStyle name="Separador de milhares 3 9 8 3 2" xfId="26786"/>
    <cellStyle name="Separador de milhares 3 9 8 3 2 2" xfId="53016"/>
    <cellStyle name="Separador de milhares 3 9 8 3 3" xfId="20872"/>
    <cellStyle name="Separador de milhares 3 9 8 3 3 2" xfId="47108"/>
    <cellStyle name="Separador de milhares 3 9 8 3 4" xfId="14958"/>
    <cellStyle name="Separador de milhares 3 9 8 3 4 2" xfId="41200"/>
    <cellStyle name="Separador de milhares 3 9 8 3 5" xfId="34814"/>
    <cellStyle name="Separador de milhares 3 9 8 4" xfId="5194"/>
    <cellStyle name="Separador de milhares 3 9 8 4 2" xfId="23829"/>
    <cellStyle name="Separador de milhares 3 9 8 4 2 2" xfId="50062"/>
    <cellStyle name="Separador de milhares 3 9 8 4 3" xfId="31439"/>
    <cellStyle name="Separador de milhares 3 9 8 5" xfId="17915"/>
    <cellStyle name="Separador de milhares 3 9 8 5 2" xfId="44154"/>
    <cellStyle name="Separador de milhares 3 9 8 6" xfId="11581"/>
    <cellStyle name="Separador de milhares 3 9 8 6 2" xfId="37823"/>
    <cellStyle name="Separador de milhares 3 9 8 7" xfId="29741"/>
    <cellStyle name="Separador de milhares 3 9 9" xfId="2092"/>
    <cellStyle name="Separador de milhares 3 9 9 2" xfId="7043"/>
    <cellStyle name="Separador de milhares 3 9 9 2 2" xfId="10187"/>
    <cellStyle name="Separador de milhares 3 9 9 2 2 2" xfId="28401"/>
    <cellStyle name="Separador de milhares 3 9 9 2 2 2 2" xfId="54631"/>
    <cellStyle name="Separador de milhares 3 9 9 2 2 3" xfId="22487"/>
    <cellStyle name="Separador de milhares 3 9 9 2 2 3 2" xfId="48723"/>
    <cellStyle name="Separador de milhares 3 9 9 2 2 4" xfId="16573"/>
    <cellStyle name="Separador de milhares 3 9 9 2 2 4 2" xfId="42815"/>
    <cellStyle name="Separador de milhares 3 9 9 2 2 5" xfId="36429"/>
    <cellStyle name="Separador de milhares 3 9 9 2 3" xfId="25444"/>
    <cellStyle name="Separador de milhares 3 9 9 2 3 2" xfId="51677"/>
    <cellStyle name="Separador de milhares 3 9 9 2 4" xfId="19530"/>
    <cellStyle name="Separador de milhares 3 9 9 2 4 2" xfId="45769"/>
    <cellStyle name="Separador de milhares 3 9 9 2 5" xfId="13432"/>
    <cellStyle name="Separador de milhares 3 9 9 2 5 2" xfId="39674"/>
    <cellStyle name="Separador de milhares 3 9 9 2 6" xfId="33288"/>
    <cellStyle name="Separador de milhares 3 9 9 3" xfId="8719"/>
    <cellStyle name="Separador de milhares 3 9 9 3 2" xfId="26933"/>
    <cellStyle name="Separador de milhares 3 9 9 3 2 2" xfId="53163"/>
    <cellStyle name="Separador de milhares 3 9 9 3 3" xfId="21019"/>
    <cellStyle name="Separador de milhares 3 9 9 3 3 2" xfId="47255"/>
    <cellStyle name="Separador de milhares 3 9 9 3 4" xfId="15105"/>
    <cellStyle name="Separador de milhares 3 9 9 3 4 2" xfId="41347"/>
    <cellStyle name="Separador de milhares 3 9 9 3 5" xfId="34961"/>
    <cellStyle name="Separador de milhares 3 9 9 4" xfId="5344"/>
    <cellStyle name="Separador de milhares 3 9 9 4 2" xfId="23976"/>
    <cellStyle name="Separador de milhares 3 9 9 4 2 2" xfId="50209"/>
    <cellStyle name="Separador de milhares 3 9 9 4 3" xfId="31589"/>
    <cellStyle name="Separador de milhares 3 9 9 5" xfId="18062"/>
    <cellStyle name="Separador de milhares 3 9 9 5 2" xfId="44301"/>
    <cellStyle name="Separador de milhares 3 9 9 6" xfId="11731"/>
    <cellStyle name="Separador de milhares 3 9 9 6 2" xfId="37973"/>
    <cellStyle name="Separador de milhares 3 9 9 7" xfId="29891"/>
    <cellStyle name="Separador de milhares 4" xfId="158"/>
    <cellStyle name="Separador de milhares 4 2" xfId="251"/>
    <cellStyle name="Separador de milhares 4 2 10" xfId="6511"/>
    <cellStyle name="Separador de milhares 4 2 10 2" xfId="9663"/>
    <cellStyle name="Separador de milhares 4 2 10 2 2" xfId="27877"/>
    <cellStyle name="Separador de milhares 4 2 10 2 2 2" xfId="54107"/>
    <cellStyle name="Separador de milhares 4 2 10 2 3" xfId="21963"/>
    <cellStyle name="Separador de milhares 4 2 10 2 3 2" xfId="48199"/>
    <cellStyle name="Separador de milhares 4 2 10 2 4" xfId="16049"/>
    <cellStyle name="Separador de milhares 4 2 10 2 4 2" xfId="42291"/>
    <cellStyle name="Separador de milhares 4 2 10 2 5" xfId="35905"/>
    <cellStyle name="Separador de milhares 4 2 10 3" xfId="24920"/>
    <cellStyle name="Separador de milhares 4 2 10 3 2" xfId="51153"/>
    <cellStyle name="Separador de milhares 4 2 10 4" xfId="19006"/>
    <cellStyle name="Separador de milhares 4 2 10 4 2" xfId="45245"/>
    <cellStyle name="Separador de milhares 4 2 10 5" xfId="12900"/>
    <cellStyle name="Separador de milhares 4 2 10 5 2" xfId="39142"/>
    <cellStyle name="Separador de milhares 4 2 10 6" xfId="32756"/>
    <cellStyle name="Separador de milhares 4 2 11" xfId="8192"/>
    <cellStyle name="Separador de milhares 4 2 11 2" xfId="26406"/>
    <cellStyle name="Separador de milhares 4 2 11 2 2" xfId="52639"/>
    <cellStyle name="Separador de milhares 4 2 11 3" xfId="20492"/>
    <cellStyle name="Separador de milhares 4 2 11 3 2" xfId="46731"/>
    <cellStyle name="Separador de milhares 4 2 11 4" xfId="14581"/>
    <cellStyle name="Separador de milhares 4 2 11 4 2" xfId="40823"/>
    <cellStyle name="Separador de milhares 4 2 11 5" xfId="34437"/>
    <cellStyle name="Separador de milhares 4 2 12" xfId="4810"/>
    <cellStyle name="Separador de milhares 4 2 12 2" xfId="23449"/>
    <cellStyle name="Separador de milhares 4 2 12 2 2" xfId="49685"/>
    <cellStyle name="Separador de milhares 4 2 12 3" xfId="31057"/>
    <cellStyle name="Separador de milhares 4 2 13" xfId="17535"/>
    <cellStyle name="Separador de milhares 4 2 13 2" xfId="43777"/>
    <cellStyle name="Separador de milhares 4 2 14" xfId="11199"/>
    <cellStyle name="Separador de milhares 4 2 14 2" xfId="37441"/>
    <cellStyle name="Separador de milhares 4 2 15" xfId="29359"/>
    <cellStyle name="Separador de milhares 4 2 2" xfId="708"/>
    <cellStyle name="Separador de milhares 4 2 2 10" xfId="17665"/>
    <cellStyle name="Separador de milhares 4 2 2 10 2" xfId="43904"/>
    <cellStyle name="Separador de milhares 4 2 2 11" xfId="11331"/>
    <cellStyle name="Separador de milhares 4 2 2 11 2" xfId="37573"/>
    <cellStyle name="Separador de milhares 4 2 2 12" xfId="29491"/>
    <cellStyle name="Separador de milhares 4 2 2 2" xfId="2044"/>
    <cellStyle name="Separador de milhares 4 2 2 2 2" xfId="7030"/>
    <cellStyle name="Separador de milhares 4 2 2 2 2 2" xfId="10175"/>
    <cellStyle name="Separador de milhares 4 2 2 2 2 2 2" xfId="28389"/>
    <cellStyle name="Separador de milhares 4 2 2 2 2 2 2 2" xfId="54619"/>
    <cellStyle name="Separador de milhares 4 2 2 2 2 2 3" xfId="22475"/>
    <cellStyle name="Separador de milhares 4 2 2 2 2 2 3 2" xfId="48711"/>
    <cellStyle name="Separador de milhares 4 2 2 2 2 2 4" xfId="16561"/>
    <cellStyle name="Separador de milhares 4 2 2 2 2 2 4 2" xfId="42803"/>
    <cellStyle name="Separador de milhares 4 2 2 2 2 2 5" xfId="36417"/>
    <cellStyle name="Separador de milhares 4 2 2 2 2 3" xfId="25432"/>
    <cellStyle name="Separador de milhares 4 2 2 2 2 3 2" xfId="51665"/>
    <cellStyle name="Separador de milhares 4 2 2 2 2 4" xfId="19518"/>
    <cellStyle name="Separador de milhares 4 2 2 2 2 4 2" xfId="45757"/>
    <cellStyle name="Separador de milhares 4 2 2 2 2 5" xfId="13419"/>
    <cellStyle name="Separador de milhares 4 2 2 2 2 5 2" xfId="39661"/>
    <cellStyle name="Separador de milhares 4 2 2 2 2 6" xfId="33275"/>
    <cellStyle name="Separador de milhares 4 2 2 2 3" xfId="8707"/>
    <cellStyle name="Separador de milhares 4 2 2 2 3 2" xfId="26921"/>
    <cellStyle name="Separador de milhares 4 2 2 2 3 2 2" xfId="53151"/>
    <cellStyle name="Separador de milhares 4 2 2 2 3 3" xfId="21007"/>
    <cellStyle name="Separador de milhares 4 2 2 2 3 3 2" xfId="47243"/>
    <cellStyle name="Separador de milhares 4 2 2 2 3 4" xfId="15093"/>
    <cellStyle name="Separador de milhares 4 2 2 2 3 4 2" xfId="41335"/>
    <cellStyle name="Separador de milhares 4 2 2 2 3 5" xfId="34949"/>
    <cellStyle name="Separador de milhares 4 2 2 2 4" xfId="5331"/>
    <cellStyle name="Separador de milhares 4 2 2 2 4 2" xfId="23964"/>
    <cellStyle name="Separador de milhares 4 2 2 2 4 2 2" xfId="50197"/>
    <cellStyle name="Separador de milhares 4 2 2 2 4 3" xfId="31576"/>
    <cellStyle name="Separador de milhares 4 2 2 2 5" xfId="18050"/>
    <cellStyle name="Separador de milhares 4 2 2 2 5 2" xfId="44289"/>
    <cellStyle name="Separador de milhares 4 2 2 2 6" xfId="11718"/>
    <cellStyle name="Separador de milhares 4 2 2 2 6 2" xfId="37960"/>
    <cellStyle name="Separador de milhares 4 2 2 2 7" xfId="29878"/>
    <cellStyle name="Separador de milhares 4 2 2 3" xfId="2572"/>
    <cellStyle name="Separador de milhares 4 2 2 3 2" xfId="7178"/>
    <cellStyle name="Separador de milhares 4 2 2 3 2 2" xfId="10322"/>
    <cellStyle name="Separador de milhares 4 2 2 3 2 2 2" xfId="28536"/>
    <cellStyle name="Separador de milhares 4 2 2 3 2 2 2 2" xfId="54766"/>
    <cellStyle name="Separador de milhares 4 2 2 3 2 2 3" xfId="22622"/>
    <cellStyle name="Separador de milhares 4 2 2 3 2 2 3 2" xfId="48858"/>
    <cellStyle name="Separador de milhares 4 2 2 3 2 2 4" xfId="16708"/>
    <cellStyle name="Separador de milhares 4 2 2 3 2 2 4 2" xfId="42950"/>
    <cellStyle name="Separador de milhares 4 2 2 3 2 2 5" xfId="36564"/>
    <cellStyle name="Separador de milhares 4 2 2 3 2 3" xfId="25579"/>
    <cellStyle name="Separador de milhares 4 2 2 3 2 3 2" xfId="51812"/>
    <cellStyle name="Separador de milhares 4 2 2 3 2 4" xfId="19665"/>
    <cellStyle name="Separador de milhares 4 2 2 3 2 4 2" xfId="45904"/>
    <cellStyle name="Separador de milhares 4 2 2 3 2 5" xfId="13567"/>
    <cellStyle name="Separador de milhares 4 2 2 3 2 5 2" xfId="39809"/>
    <cellStyle name="Separador de milhares 4 2 2 3 2 6" xfId="33423"/>
    <cellStyle name="Separador de milhares 4 2 2 3 3" xfId="8854"/>
    <cellStyle name="Separador de milhares 4 2 2 3 3 2" xfId="27068"/>
    <cellStyle name="Separador de milhares 4 2 2 3 3 2 2" xfId="53298"/>
    <cellStyle name="Separador de milhares 4 2 2 3 3 3" xfId="21154"/>
    <cellStyle name="Separador de milhares 4 2 2 3 3 3 2" xfId="47390"/>
    <cellStyle name="Separador de milhares 4 2 2 3 3 4" xfId="15240"/>
    <cellStyle name="Separador de milhares 4 2 2 3 3 4 2" xfId="41482"/>
    <cellStyle name="Separador de milhares 4 2 2 3 3 5" xfId="35096"/>
    <cellStyle name="Separador de milhares 4 2 2 3 4" xfId="5479"/>
    <cellStyle name="Separador de milhares 4 2 2 3 4 2" xfId="24111"/>
    <cellStyle name="Separador de milhares 4 2 2 3 4 2 2" xfId="50344"/>
    <cellStyle name="Separador de milhares 4 2 2 3 4 3" xfId="31724"/>
    <cellStyle name="Separador de milhares 4 2 2 3 5" xfId="18197"/>
    <cellStyle name="Separador de milhares 4 2 2 3 5 2" xfId="44436"/>
    <cellStyle name="Separador de milhares 4 2 2 3 6" xfId="11866"/>
    <cellStyle name="Separador de milhares 4 2 2 3 6 2" xfId="38108"/>
    <cellStyle name="Separador de milhares 4 2 2 3 7" xfId="30026"/>
    <cellStyle name="Separador de milhares 4 2 2 4" xfId="3099"/>
    <cellStyle name="Separador de milhares 4 2 2 4 2" xfId="7325"/>
    <cellStyle name="Separador de milhares 4 2 2 4 2 2" xfId="10469"/>
    <cellStyle name="Separador de milhares 4 2 2 4 2 2 2" xfId="28683"/>
    <cellStyle name="Separador de milhares 4 2 2 4 2 2 2 2" xfId="54913"/>
    <cellStyle name="Separador de milhares 4 2 2 4 2 2 3" xfId="22769"/>
    <cellStyle name="Separador de milhares 4 2 2 4 2 2 3 2" xfId="49005"/>
    <cellStyle name="Separador de milhares 4 2 2 4 2 2 4" xfId="16855"/>
    <cellStyle name="Separador de milhares 4 2 2 4 2 2 4 2" xfId="43097"/>
    <cellStyle name="Separador de milhares 4 2 2 4 2 2 5" xfId="36711"/>
    <cellStyle name="Separador de milhares 4 2 2 4 2 3" xfId="25726"/>
    <cellStyle name="Separador de milhares 4 2 2 4 2 3 2" xfId="51959"/>
    <cellStyle name="Separador de milhares 4 2 2 4 2 4" xfId="19812"/>
    <cellStyle name="Separador de milhares 4 2 2 4 2 4 2" xfId="46051"/>
    <cellStyle name="Separador de milhares 4 2 2 4 2 5" xfId="13714"/>
    <cellStyle name="Separador de milhares 4 2 2 4 2 5 2" xfId="39956"/>
    <cellStyle name="Separador de milhares 4 2 2 4 2 6" xfId="33570"/>
    <cellStyle name="Separador de milhares 4 2 2 4 3" xfId="9001"/>
    <cellStyle name="Separador de milhares 4 2 2 4 3 2" xfId="27215"/>
    <cellStyle name="Separador de milhares 4 2 2 4 3 2 2" xfId="53445"/>
    <cellStyle name="Separador de milhares 4 2 2 4 3 3" xfId="21301"/>
    <cellStyle name="Separador de milhares 4 2 2 4 3 3 2" xfId="47537"/>
    <cellStyle name="Separador de milhares 4 2 2 4 3 4" xfId="15387"/>
    <cellStyle name="Separador de milhares 4 2 2 4 3 4 2" xfId="41629"/>
    <cellStyle name="Separador de milhares 4 2 2 4 3 5" xfId="35243"/>
    <cellStyle name="Separador de milhares 4 2 2 4 4" xfId="5626"/>
    <cellStyle name="Separador de milhares 4 2 2 4 4 2" xfId="24258"/>
    <cellStyle name="Separador de milhares 4 2 2 4 4 2 2" xfId="50491"/>
    <cellStyle name="Separador de milhares 4 2 2 4 4 3" xfId="31871"/>
    <cellStyle name="Separador de milhares 4 2 2 4 5" xfId="18344"/>
    <cellStyle name="Separador de milhares 4 2 2 4 5 2" xfId="44583"/>
    <cellStyle name="Separador de milhares 4 2 2 4 6" xfId="12013"/>
    <cellStyle name="Separador de milhares 4 2 2 4 6 2" xfId="38255"/>
    <cellStyle name="Separador de milhares 4 2 2 4 7" xfId="30173"/>
    <cellStyle name="Separador de milhares 4 2 2 5" xfId="3626"/>
    <cellStyle name="Separador de milhares 4 2 2 5 2" xfId="7472"/>
    <cellStyle name="Separador de milhares 4 2 2 5 2 2" xfId="10616"/>
    <cellStyle name="Separador de milhares 4 2 2 5 2 2 2" xfId="28830"/>
    <cellStyle name="Separador de milhares 4 2 2 5 2 2 2 2" xfId="55060"/>
    <cellStyle name="Separador de milhares 4 2 2 5 2 2 3" xfId="22916"/>
    <cellStyle name="Separador de milhares 4 2 2 5 2 2 3 2" xfId="49152"/>
    <cellStyle name="Separador de milhares 4 2 2 5 2 2 4" xfId="17002"/>
    <cellStyle name="Separador de milhares 4 2 2 5 2 2 4 2" xfId="43244"/>
    <cellStyle name="Separador de milhares 4 2 2 5 2 2 5" xfId="36858"/>
    <cellStyle name="Separador de milhares 4 2 2 5 2 3" xfId="25873"/>
    <cellStyle name="Separador de milhares 4 2 2 5 2 3 2" xfId="52106"/>
    <cellStyle name="Separador de milhares 4 2 2 5 2 4" xfId="19959"/>
    <cellStyle name="Separador de milhares 4 2 2 5 2 4 2" xfId="46198"/>
    <cellStyle name="Separador de milhares 4 2 2 5 2 5" xfId="13861"/>
    <cellStyle name="Separador de milhares 4 2 2 5 2 5 2" xfId="40103"/>
    <cellStyle name="Separador de milhares 4 2 2 5 2 6" xfId="33717"/>
    <cellStyle name="Separador de milhares 4 2 2 5 3" xfId="9148"/>
    <cellStyle name="Separador de milhares 4 2 2 5 3 2" xfId="27362"/>
    <cellStyle name="Separador de milhares 4 2 2 5 3 2 2" xfId="53592"/>
    <cellStyle name="Separador de milhares 4 2 2 5 3 3" xfId="21448"/>
    <cellStyle name="Separador de milhares 4 2 2 5 3 3 2" xfId="47684"/>
    <cellStyle name="Separador de milhares 4 2 2 5 3 4" xfId="15534"/>
    <cellStyle name="Separador de milhares 4 2 2 5 3 4 2" xfId="41776"/>
    <cellStyle name="Separador de milhares 4 2 2 5 3 5" xfId="35390"/>
    <cellStyle name="Separador de milhares 4 2 2 5 4" xfId="5773"/>
    <cellStyle name="Separador de milhares 4 2 2 5 4 2" xfId="24405"/>
    <cellStyle name="Separador de milhares 4 2 2 5 4 2 2" xfId="50638"/>
    <cellStyle name="Separador de milhares 4 2 2 5 4 3" xfId="32018"/>
    <cellStyle name="Separador de milhares 4 2 2 5 5" xfId="18491"/>
    <cellStyle name="Separador de milhares 4 2 2 5 5 2" xfId="44730"/>
    <cellStyle name="Separador de milhares 4 2 2 5 6" xfId="12160"/>
    <cellStyle name="Separador de milhares 4 2 2 5 6 2" xfId="38402"/>
    <cellStyle name="Separador de milhares 4 2 2 5 7" xfId="30320"/>
    <cellStyle name="Separador de milhares 4 2 2 6" xfId="4153"/>
    <cellStyle name="Separador de milhares 4 2 2 6 2" xfId="7619"/>
    <cellStyle name="Separador de milhares 4 2 2 6 2 2" xfId="10763"/>
    <cellStyle name="Separador de milhares 4 2 2 6 2 2 2" xfId="28977"/>
    <cellStyle name="Separador de milhares 4 2 2 6 2 2 2 2" xfId="55207"/>
    <cellStyle name="Separador de milhares 4 2 2 6 2 2 3" xfId="23063"/>
    <cellStyle name="Separador de milhares 4 2 2 6 2 2 3 2" xfId="49299"/>
    <cellStyle name="Separador de milhares 4 2 2 6 2 2 4" xfId="17149"/>
    <cellStyle name="Separador de milhares 4 2 2 6 2 2 4 2" xfId="43391"/>
    <cellStyle name="Separador de milhares 4 2 2 6 2 2 5" xfId="37005"/>
    <cellStyle name="Separador de milhares 4 2 2 6 2 3" xfId="26020"/>
    <cellStyle name="Separador de milhares 4 2 2 6 2 3 2" xfId="52253"/>
    <cellStyle name="Separador de milhares 4 2 2 6 2 4" xfId="20106"/>
    <cellStyle name="Separador de milhares 4 2 2 6 2 4 2" xfId="46345"/>
    <cellStyle name="Separador de milhares 4 2 2 6 2 5" xfId="14008"/>
    <cellStyle name="Separador de milhares 4 2 2 6 2 5 2" xfId="40250"/>
    <cellStyle name="Separador de milhares 4 2 2 6 2 6" xfId="33864"/>
    <cellStyle name="Separador de milhares 4 2 2 6 3" xfId="9295"/>
    <cellStyle name="Separador de milhares 4 2 2 6 3 2" xfId="27509"/>
    <cellStyle name="Separador de milhares 4 2 2 6 3 2 2" xfId="53739"/>
    <cellStyle name="Separador de milhares 4 2 2 6 3 3" xfId="21595"/>
    <cellStyle name="Separador de milhares 4 2 2 6 3 3 2" xfId="47831"/>
    <cellStyle name="Separador de milhares 4 2 2 6 3 4" xfId="15681"/>
    <cellStyle name="Separador de milhares 4 2 2 6 3 4 2" xfId="41923"/>
    <cellStyle name="Separador de milhares 4 2 2 6 3 5" xfId="35537"/>
    <cellStyle name="Separador de milhares 4 2 2 6 4" xfId="5920"/>
    <cellStyle name="Separador de milhares 4 2 2 6 4 2" xfId="24552"/>
    <cellStyle name="Separador de milhares 4 2 2 6 4 2 2" xfId="50785"/>
    <cellStyle name="Separador de milhares 4 2 2 6 4 3" xfId="32165"/>
    <cellStyle name="Separador de milhares 4 2 2 6 5" xfId="18638"/>
    <cellStyle name="Separador de milhares 4 2 2 6 5 2" xfId="44877"/>
    <cellStyle name="Separador de milhares 4 2 2 6 6" xfId="12307"/>
    <cellStyle name="Separador de milhares 4 2 2 6 6 2" xfId="38549"/>
    <cellStyle name="Separador de milhares 4 2 2 6 7" xfId="30467"/>
    <cellStyle name="Separador de milhares 4 2 2 7" xfId="6643"/>
    <cellStyle name="Separador de milhares 4 2 2 7 2" xfId="9790"/>
    <cellStyle name="Separador de milhares 4 2 2 7 2 2" xfId="28004"/>
    <cellStyle name="Separador de milhares 4 2 2 7 2 2 2" xfId="54234"/>
    <cellStyle name="Separador de milhares 4 2 2 7 2 3" xfId="22090"/>
    <cellStyle name="Separador de milhares 4 2 2 7 2 3 2" xfId="48326"/>
    <cellStyle name="Separador de milhares 4 2 2 7 2 4" xfId="16176"/>
    <cellStyle name="Separador de milhares 4 2 2 7 2 4 2" xfId="42418"/>
    <cellStyle name="Separador de milhares 4 2 2 7 2 5" xfId="36032"/>
    <cellStyle name="Separador de milhares 4 2 2 7 3" xfId="25047"/>
    <cellStyle name="Separador de milhares 4 2 2 7 3 2" xfId="51280"/>
    <cellStyle name="Separador de milhares 4 2 2 7 4" xfId="19133"/>
    <cellStyle name="Separador de milhares 4 2 2 7 4 2" xfId="45372"/>
    <cellStyle name="Separador de milhares 4 2 2 7 5" xfId="13032"/>
    <cellStyle name="Separador de milhares 4 2 2 7 5 2" xfId="39274"/>
    <cellStyle name="Separador de milhares 4 2 2 7 6" xfId="32888"/>
    <cellStyle name="Separador de milhares 4 2 2 8" xfId="8322"/>
    <cellStyle name="Separador de milhares 4 2 2 8 2" xfId="26536"/>
    <cellStyle name="Separador de milhares 4 2 2 8 2 2" xfId="52766"/>
    <cellStyle name="Separador de milhares 4 2 2 8 3" xfId="20622"/>
    <cellStyle name="Separador de milhares 4 2 2 8 3 2" xfId="46858"/>
    <cellStyle name="Separador de milhares 4 2 2 8 4" xfId="14708"/>
    <cellStyle name="Separador de milhares 4 2 2 8 4 2" xfId="40950"/>
    <cellStyle name="Separador de milhares 4 2 2 8 5" xfId="34564"/>
    <cellStyle name="Separador de milhares 4 2 2 9" xfId="4944"/>
    <cellStyle name="Separador de milhares 4 2 2 9 2" xfId="23579"/>
    <cellStyle name="Separador de milhares 4 2 2 9 2 2" xfId="49812"/>
    <cellStyle name="Separador de milhares 4 2 2 9 3" xfId="31189"/>
    <cellStyle name="Separador de milhares 4 2 3" xfId="996"/>
    <cellStyle name="Separador de milhares 4 2 3 2" xfId="6741"/>
    <cellStyle name="Separador de milhares 4 2 3 2 2" xfId="9888"/>
    <cellStyle name="Separador de milhares 4 2 3 2 2 2" xfId="28102"/>
    <cellStyle name="Separador de milhares 4 2 3 2 2 2 2" xfId="54332"/>
    <cellStyle name="Separador de milhares 4 2 3 2 2 3" xfId="22188"/>
    <cellStyle name="Separador de milhares 4 2 3 2 2 3 2" xfId="48424"/>
    <cellStyle name="Separador de milhares 4 2 3 2 2 4" xfId="16274"/>
    <cellStyle name="Separador de milhares 4 2 3 2 2 4 2" xfId="42516"/>
    <cellStyle name="Separador de milhares 4 2 3 2 2 5" xfId="36130"/>
    <cellStyle name="Separador de milhares 4 2 3 2 3" xfId="25145"/>
    <cellStyle name="Separador de milhares 4 2 3 2 3 2" xfId="51378"/>
    <cellStyle name="Separador de milhares 4 2 3 2 4" xfId="19231"/>
    <cellStyle name="Separador de milhares 4 2 3 2 4 2" xfId="45470"/>
    <cellStyle name="Separador de milhares 4 2 3 2 5" xfId="13130"/>
    <cellStyle name="Separador de milhares 4 2 3 2 5 2" xfId="39372"/>
    <cellStyle name="Separador de milhares 4 2 3 2 6" xfId="32986"/>
    <cellStyle name="Separador de milhares 4 2 3 3" xfId="8420"/>
    <cellStyle name="Separador de milhares 4 2 3 3 2" xfId="26634"/>
    <cellStyle name="Separador de milhares 4 2 3 3 2 2" xfId="52864"/>
    <cellStyle name="Separador de milhares 4 2 3 3 3" xfId="20720"/>
    <cellStyle name="Separador de milhares 4 2 3 3 3 2" xfId="46956"/>
    <cellStyle name="Separador de milhares 4 2 3 3 4" xfId="14806"/>
    <cellStyle name="Separador de milhares 4 2 3 3 4 2" xfId="41048"/>
    <cellStyle name="Separador de milhares 4 2 3 3 5" xfId="34662"/>
    <cellStyle name="Separador de milhares 4 2 3 4" xfId="5042"/>
    <cellStyle name="Separador de milhares 4 2 3 4 2" xfId="23677"/>
    <cellStyle name="Separador de milhares 4 2 3 4 2 2" xfId="49910"/>
    <cellStyle name="Separador de milhares 4 2 3 4 3" xfId="31287"/>
    <cellStyle name="Separador de milhares 4 2 3 5" xfId="17763"/>
    <cellStyle name="Separador de milhares 4 2 3 5 2" xfId="44002"/>
    <cellStyle name="Separador de milhares 4 2 3 6" xfId="11429"/>
    <cellStyle name="Separador de milhares 4 2 3 6 2" xfId="37671"/>
    <cellStyle name="Separador de milhares 4 2 3 7" xfId="29589"/>
    <cellStyle name="Separador de milhares 4 2 4" xfId="1347"/>
    <cellStyle name="Separador de milhares 4 2 4 2" xfId="6839"/>
    <cellStyle name="Separador de milhares 4 2 4 2 2" xfId="9986"/>
    <cellStyle name="Separador de milhares 4 2 4 2 2 2" xfId="28200"/>
    <cellStyle name="Separador de milhares 4 2 4 2 2 2 2" xfId="54430"/>
    <cellStyle name="Separador de milhares 4 2 4 2 2 3" xfId="22286"/>
    <cellStyle name="Separador de milhares 4 2 4 2 2 3 2" xfId="48522"/>
    <cellStyle name="Separador de milhares 4 2 4 2 2 4" xfId="16372"/>
    <cellStyle name="Separador de milhares 4 2 4 2 2 4 2" xfId="42614"/>
    <cellStyle name="Separador de milhares 4 2 4 2 2 5" xfId="36228"/>
    <cellStyle name="Separador de milhares 4 2 4 2 3" xfId="25243"/>
    <cellStyle name="Separador de milhares 4 2 4 2 3 2" xfId="51476"/>
    <cellStyle name="Separador de milhares 4 2 4 2 4" xfId="19329"/>
    <cellStyle name="Separador de milhares 4 2 4 2 4 2" xfId="45568"/>
    <cellStyle name="Separador de milhares 4 2 4 2 5" xfId="13228"/>
    <cellStyle name="Separador de milhares 4 2 4 2 5 2" xfId="39470"/>
    <cellStyle name="Separador de milhares 4 2 4 2 6" xfId="33084"/>
    <cellStyle name="Separador de milhares 4 2 4 3" xfId="8518"/>
    <cellStyle name="Separador de milhares 4 2 4 3 2" xfId="26732"/>
    <cellStyle name="Separador de milhares 4 2 4 3 2 2" xfId="52962"/>
    <cellStyle name="Separador de milhares 4 2 4 3 3" xfId="20818"/>
    <cellStyle name="Separador de milhares 4 2 4 3 3 2" xfId="47054"/>
    <cellStyle name="Separador de milhares 4 2 4 3 4" xfId="14904"/>
    <cellStyle name="Separador de milhares 4 2 4 3 4 2" xfId="41146"/>
    <cellStyle name="Separador de milhares 4 2 4 3 5" xfId="34760"/>
    <cellStyle name="Separador de milhares 4 2 4 4" xfId="5140"/>
    <cellStyle name="Separador de milhares 4 2 4 4 2" xfId="23775"/>
    <cellStyle name="Separador de milhares 4 2 4 4 2 2" xfId="50008"/>
    <cellStyle name="Separador de milhares 4 2 4 4 3" xfId="31385"/>
    <cellStyle name="Separador de milhares 4 2 4 5" xfId="17861"/>
    <cellStyle name="Separador de milhares 4 2 4 5 2" xfId="44100"/>
    <cellStyle name="Separador de milhares 4 2 4 6" xfId="11527"/>
    <cellStyle name="Separador de milhares 4 2 4 6 2" xfId="37769"/>
    <cellStyle name="Separador de milhares 4 2 4 7" xfId="29687"/>
    <cellStyle name="Separador de milhares 4 2 5" xfId="1782"/>
    <cellStyle name="Separador de milhares 4 2 5 2" xfId="6958"/>
    <cellStyle name="Separador de milhares 4 2 5 2 2" xfId="10105"/>
    <cellStyle name="Separador de milhares 4 2 5 2 2 2" xfId="28319"/>
    <cellStyle name="Separador de milhares 4 2 5 2 2 2 2" xfId="54549"/>
    <cellStyle name="Separador de milhares 4 2 5 2 2 3" xfId="22405"/>
    <cellStyle name="Separador de milhares 4 2 5 2 2 3 2" xfId="48641"/>
    <cellStyle name="Separador de milhares 4 2 5 2 2 4" xfId="16491"/>
    <cellStyle name="Separador de milhares 4 2 5 2 2 4 2" xfId="42733"/>
    <cellStyle name="Separador de milhares 4 2 5 2 2 5" xfId="36347"/>
    <cellStyle name="Separador de milhares 4 2 5 2 3" xfId="25362"/>
    <cellStyle name="Separador de milhares 4 2 5 2 3 2" xfId="51595"/>
    <cellStyle name="Separador de milhares 4 2 5 2 4" xfId="19448"/>
    <cellStyle name="Separador de milhares 4 2 5 2 4 2" xfId="45687"/>
    <cellStyle name="Separador de milhares 4 2 5 2 5" xfId="13347"/>
    <cellStyle name="Separador de milhares 4 2 5 2 5 2" xfId="39589"/>
    <cellStyle name="Separador de milhares 4 2 5 2 6" xfId="33203"/>
    <cellStyle name="Separador de milhares 4 2 5 3" xfId="8637"/>
    <cellStyle name="Separador de milhares 4 2 5 3 2" xfId="26851"/>
    <cellStyle name="Separador de milhares 4 2 5 3 2 2" xfId="53081"/>
    <cellStyle name="Separador de milhares 4 2 5 3 3" xfId="20937"/>
    <cellStyle name="Separador de milhares 4 2 5 3 3 2" xfId="47173"/>
    <cellStyle name="Separador de milhares 4 2 5 3 4" xfId="15023"/>
    <cellStyle name="Separador de milhares 4 2 5 3 4 2" xfId="41265"/>
    <cellStyle name="Separador de milhares 4 2 5 3 5" xfId="34879"/>
    <cellStyle name="Separador de milhares 4 2 5 4" xfId="5259"/>
    <cellStyle name="Separador de milhares 4 2 5 4 2" xfId="23894"/>
    <cellStyle name="Separador de milhares 4 2 5 4 2 2" xfId="50127"/>
    <cellStyle name="Separador de milhares 4 2 5 4 3" xfId="31504"/>
    <cellStyle name="Separador de milhares 4 2 5 5" xfId="17980"/>
    <cellStyle name="Separador de milhares 4 2 5 5 2" xfId="44219"/>
    <cellStyle name="Separador de milhares 4 2 5 6" xfId="11646"/>
    <cellStyle name="Separador de milhares 4 2 5 6 2" xfId="37888"/>
    <cellStyle name="Separador de milhares 4 2 5 7" xfId="29806"/>
    <cellStyle name="Separador de milhares 4 2 6" xfId="2312"/>
    <cellStyle name="Separador de milhares 4 2 6 2" xfId="7108"/>
    <cellStyle name="Separador de milhares 4 2 6 2 2" xfId="10252"/>
    <cellStyle name="Separador de milhares 4 2 6 2 2 2" xfId="28466"/>
    <cellStyle name="Separador de milhares 4 2 6 2 2 2 2" xfId="54696"/>
    <cellStyle name="Separador de milhares 4 2 6 2 2 3" xfId="22552"/>
    <cellStyle name="Separador de milhares 4 2 6 2 2 3 2" xfId="48788"/>
    <cellStyle name="Separador de milhares 4 2 6 2 2 4" xfId="16638"/>
    <cellStyle name="Separador de milhares 4 2 6 2 2 4 2" xfId="42880"/>
    <cellStyle name="Separador de milhares 4 2 6 2 2 5" xfId="36494"/>
    <cellStyle name="Separador de milhares 4 2 6 2 3" xfId="25509"/>
    <cellStyle name="Separador de milhares 4 2 6 2 3 2" xfId="51742"/>
    <cellStyle name="Separador de milhares 4 2 6 2 4" xfId="19595"/>
    <cellStyle name="Separador de milhares 4 2 6 2 4 2" xfId="45834"/>
    <cellStyle name="Separador de milhares 4 2 6 2 5" xfId="13497"/>
    <cellStyle name="Separador de milhares 4 2 6 2 5 2" xfId="39739"/>
    <cellStyle name="Separador de milhares 4 2 6 2 6" xfId="33353"/>
    <cellStyle name="Separador de milhares 4 2 6 3" xfId="8784"/>
    <cellStyle name="Separador de milhares 4 2 6 3 2" xfId="26998"/>
    <cellStyle name="Separador de milhares 4 2 6 3 2 2" xfId="53228"/>
    <cellStyle name="Separador de milhares 4 2 6 3 3" xfId="21084"/>
    <cellStyle name="Separador de milhares 4 2 6 3 3 2" xfId="47320"/>
    <cellStyle name="Separador de milhares 4 2 6 3 4" xfId="15170"/>
    <cellStyle name="Separador de milhares 4 2 6 3 4 2" xfId="41412"/>
    <cellStyle name="Separador de milhares 4 2 6 3 5" xfId="35026"/>
    <cellStyle name="Separador de milhares 4 2 6 4" xfId="5409"/>
    <cellStyle name="Separador de milhares 4 2 6 4 2" xfId="24041"/>
    <cellStyle name="Separador de milhares 4 2 6 4 2 2" xfId="50274"/>
    <cellStyle name="Separador de milhares 4 2 6 4 3" xfId="31654"/>
    <cellStyle name="Separador de milhares 4 2 6 5" xfId="18127"/>
    <cellStyle name="Separador de milhares 4 2 6 5 2" xfId="44366"/>
    <cellStyle name="Separador de milhares 4 2 6 6" xfId="11796"/>
    <cellStyle name="Separador de milhares 4 2 6 6 2" xfId="38038"/>
    <cellStyle name="Separador de milhares 4 2 6 7" xfId="29956"/>
    <cellStyle name="Separador de milhares 4 2 7" xfId="2839"/>
    <cellStyle name="Separador de milhares 4 2 7 2" xfId="7255"/>
    <cellStyle name="Separador de milhares 4 2 7 2 2" xfId="10399"/>
    <cellStyle name="Separador de milhares 4 2 7 2 2 2" xfId="28613"/>
    <cellStyle name="Separador de milhares 4 2 7 2 2 2 2" xfId="54843"/>
    <cellStyle name="Separador de milhares 4 2 7 2 2 3" xfId="22699"/>
    <cellStyle name="Separador de milhares 4 2 7 2 2 3 2" xfId="48935"/>
    <cellStyle name="Separador de milhares 4 2 7 2 2 4" xfId="16785"/>
    <cellStyle name="Separador de milhares 4 2 7 2 2 4 2" xfId="43027"/>
    <cellStyle name="Separador de milhares 4 2 7 2 2 5" xfId="36641"/>
    <cellStyle name="Separador de milhares 4 2 7 2 3" xfId="25656"/>
    <cellStyle name="Separador de milhares 4 2 7 2 3 2" xfId="51889"/>
    <cellStyle name="Separador de milhares 4 2 7 2 4" xfId="19742"/>
    <cellStyle name="Separador de milhares 4 2 7 2 4 2" xfId="45981"/>
    <cellStyle name="Separador de milhares 4 2 7 2 5" xfId="13644"/>
    <cellStyle name="Separador de milhares 4 2 7 2 5 2" xfId="39886"/>
    <cellStyle name="Separador de milhares 4 2 7 2 6" xfId="33500"/>
    <cellStyle name="Separador de milhares 4 2 7 3" xfId="8931"/>
    <cellStyle name="Separador de milhares 4 2 7 3 2" xfId="27145"/>
    <cellStyle name="Separador de milhares 4 2 7 3 2 2" xfId="53375"/>
    <cellStyle name="Separador de milhares 4 2 7 3 3" xfId="21231"/>
    <cellStyle name="Separador de milhares 4 2 7 3 3 2" xfId="47467"/>
    <cellStyle name="Separador de milhares 4 2 7 3 4" xfId="15317"/>
    <cellStyle name="Separador de milhares 4 2 7 3 4 2" xfId="41559"/>
    <cellStyle name="Separador de milhares 4 2 7 3 5" xfId="35173"/>
    <cellStyle name="Separador de milhares 4 2 7 4" xfId="5556"/>
    <cellStyle name="Separador de milhares 4 2 7 4 2" xfId="24188"/>
    <cellStyle name="Separador de milhares 4 2 7 4 2 2" xfId="50421"/>
    <cellStyle name="Separador de milhares 4 2 7 4 3" xfId="31801"/>
    <cellStyle name="Separador de milhares 4 2 7 5" xfId="18274"/>
    <cellStyle name="Separador de milhares 4 2 7 5 2" xfId="44513"/>
    <cellStyle name="Separador de milhares 4 2 7 6" xfId="11943"/>
    <cellStyle name="Separador de milhares 4 2 7 6 2" xfId="38185"/>
    <cellStyle name="Separador de milhares 4 2 7 7" xfId="30103"/>
    <cellStyle name="Separador de milhares 4 2 8" xfId="3366"/>
    <cellStyle name="Separador de milhares 4 2 8 2" xfId="7402"/>
    <cellStyle name="Separador de milhares 4 2 8 2 2" xfId="10546"/>
    <cellStyle name="Separador de milhares 4 2 8 2 2 2" xfId="28760"/>
    <cellStyle name="Separador de milhares 4 2 8 2 2 2 2" xfId="54990"/>
    <cellStyle name="Separador de milhares 4 2 8 2 2 3" xfId="22846"/>
    <cellStyle name="Separador de milhares 4 2 8 2 2 3 2" xfId="49082"/>
    <cellStyle name="Separador de milhares 4 2 8 2 2 4" xfId="16932"/>
    <cellStyle name="Separador de milhares 4 2 8 2 2 4 2" xfId="43174"/>
    <cellStyle name="Separador de milhares 4 2 8 2 2 5" xfId="36788"/>
    <cellStyle name="Separador de milhares 4 2 8 2 3" xfId="25803"/>
    <cellStyle name="Separador de milhares 4 2 8 2 3 2" xfId="52036"/>
    <cellStyle name="Separador de milhares 4 2 8 2 4" xfId="19889"/>
    <cellStyle name="Separador de milhares 4 2 8 2 4 2" xfId="46128"/>
    <cellStyle name="Separador de milhares 4 2 8 2 5" xfId="13791"/>
    <cellStyle name="Separador de milhares 4 2 8 2 5 2" xfId="40033"/>
    <cellStyle name="Separador de milhares 4 2 8 2 6" xfId="33647"/>
    <cellStyle name="Separador de milhares 4 2 8 3" xfId="9078"/>
    <cellStyle name="Separador de milhares 4 2 8 3 2" xfId="27292"/>
    <cellStyle name="Separador de milhares 4 2 8 3 2 2" xfId="53522"/>
    <cellStyle name="Separador de milhares 4 2 8 3 3" xfId="21378"/>
    <cellStyle name="Separador de milhares 4 2 8 3 3 2" xfId="47614"/>
    <cellStyle name="Separador de milhares 4 2 8 3 4" xfId="15464"/>
    <cellStyle name="Separador de milhares 4 2 8 3 4 2" xfId="41706"/>
    <cellStyle name="Separador de milhares 4 2 8 3 5" xfId="35320"/>
    <cellStyle name="Separador de milhares 4 2 8 4" xfId="5703"/>
    <cellStyle name="Separador de milhares 4 2 8 4 2" xfId="24335"/>
    <cellStyle name="Separador de milhares 4 2 8 4 2 2" xfId="50568"/>
    <cellStyle name="Separador de milhares 4 2 8 4 3" xfId="31948"/>
    <cellStyle name="Separador de milhares 4 2 8 5" xfId="18421"/>
    <cellStyle name="Separador de milhares 4 2 8 5 2" xfId="44660"/>
    <cellStyle name="Separador de milhares 4 2 8 6" xfId="12090"/>
    <cellStyle name="Separador de milhares 4 2 8 6 2" xfId="38332"/>
    <cellStyle name="Separador de milhares 4 2 8 7" xfId="30250"/>
    <cellStyle name="Separador de milhares 4 2 9" xfId="3893"/>
    <cellStyle name="Separador de milhares 4 2 9 2" xfId="7549"/>
    <cellStyle name="Separador de milhares 4 2 9 2 2" xfId="10693"/>
    <cellStyle name="Separador de milhares 4 2 9 2 2 2" xfId="28907"/>
    <cellStyle name="Separador de milhares 4 2 9 2 2 2 2" xfId="55137"/>
    <cellStyle name="Separador de milhares 4 2 9 2 2 3" xfId="22993"/>
    <cellStyle name="Separador de milhares 4 2 9 2 2 3 2" xfId="49229"/>
    <cellStyle name="Separador de milhares 4 2 9 2 2 4" xfId="17079"/>
    <cellStyle name="Separador de milhares 4 2 9 2 2 4 2" xfId="43321"/>
    <cellStyle name="Separador de milhares 4 2 9 2 2 5" xfId="36935"/>
    <cellStyle name="Separador de milhares 4 2 9 2 3" xfId="25950"/>
    <cellStyle name="Separador de milhares 4 2 9 2 3 2" xfId="52183"/>
    <cellStyle name="Separador de milhares 4 2 9 2 4" xfId="20036"/>
    <cellStyle name="Separador de milhares 4 2 9 2 4 2" xfId="46275"/>
    <cellStyle name="Separador de milhares 4 2 9 2 5" xfId="13938"/>
    <cellStyle name="Separador de milhares 4 2 9 2 5 2" xfId="40180"/>
    <cellStyle name="Separador de milhares 4 2 9 2 6" xfId="33794"/>
    <cellStyle name="Separador de milhares 4 2 9 3" xfId="9225"/>
    <cellStyle name="Separador de milhares 4 2 9 3 2" xfId="27439"/>
    <cellStyle name="Separador de milhares 4 2 9 3 2 2" xfId="53669"/>
    <cellStyle name="Separador de milhares 4 2 9 3 3" xfId="21525"/>
    <cellStyle name="Separador de milhares 4 2 9 3 3 2" xfId="47761"/>
    <cellStyle name="Separador de milhares 4 2 9 3 4" xfId="15611"/>
    <cellStyle name="Separador de milhares 4 2 9 3 4 2" xfId="41853"/>
    <cellStyle name="Separador de milhares 4 2 9 3 5" xfId="35467"/>
    <cellStyle name="Separador de milhares 4 2 9 4" xfId="5850"/>
    <cellStyle name="Separador de milhares 4 2 9 4 2" xfId="24482"/>
    <cellStyle name="Separador de milhares 4 2 9 4 2 2" xfId="50715"/>
    <cellStyle name="Separador de milhares 4 2 9 4 3" xfId="32095"/>
    <cellStyle name="Separador de milhares 4 2 9 5" xfId="18568"/>
    <cellStyle name="Separador de milhares 4 2 9 5 2" xfId="44807"/>
    <cellStyle name="Separador de milhares 4 2 9 6" xfId="12237"/>
    <cellStyle name="Separador de milhares 4 2 9 6 2" xfId="38479"/>
    <cellStyle name="Separador de milhares 4 2 9 7" xfId="30397"/>
    <cellStyle name="Separador de milhares 4 3" xfId="347"/>
    <cellStyle name="Separador de milhares 4 3 10" xfId="6542"/>
    <cellStyle name="Separador de milhares 4 3 10 2" xfId="9691"/>
    <cellStyle name="Separador de milhares 4 3 10 2 2" xfId="27905"/>
    <cellStyle name="Separador de milhares 4 3 10 2 2 2" xfId="54135"/>
    <cellStyle name="Separador de milhares 4 3 10 2 3" xfId="21991"/>
    <cellStyle name="Separador de milhares 4 3 10 2 3 2" xfId="48227"/>
    <cellStyle name="Separador de milhares 4 3 10 2 4" xfId="16077"/>
    <cellStyle name="Separador de milhares 4 3 10 2 4 2" xfId="42319"/>
    <cellStyle name="Separador de milhares 4 3 10 2 5" xfId="35933"/>
    <cellStyle name="Separador de milhares 4 3 10 3" xfId="24948"/>
    <cellStyle name="Separador de milhares 4 3 10 3 2" xfId="51181"/>
    <cellStyle name="Separador de milhares 4 3 10 4" xfId="19034"/>
    <cellStyle name="Separador de milhares 4 3 10 4 2" xfId="45273"/>
    <cellStyle name="Separador de milhares 4 3 10 5" xfId="12931"/>
    <cellStyle name="Separador de milhares 4 3 10 5 2" xfId="39173"/>
    <cellStyle name="Separador de milhares 4 3 10 6" xfId="32787"/>
    <cellStyle name="Separador de milhares 4 3 11" xfId="8220"/>
    <cellStyle name="Separador de milhares 4 3 11 2" xfId="26434"/>
    <cellStyle name="Separador de milhares 4 3 11 2 2" xfId="52667"/>
    <cellStyle name="Separador de milhares 4 3 11 3" xfId="20520"/>
    <cellStyle name="Separador de milhares 4 3 11 3 2" xfId="46759"/>
    <cellStyle name="Separador de milhares 4 3 11 4" xfId="14609"/>
    <cellStyle name="Separador de milhares 4 3 11 4 2" xfId="40851"/>
    <cellStyle name="Separador de milhares 4 3 11 5" xfId="34465"/>
    <cellStyle name="Separador de milhares 4 3 12" xfId="4841"/>
    <cellStyle name="Separador de milhares 4 3 12 2" xfId="23477"/>
    <cellStyle name="Separador de milhares 4 3 12 2 2" xfId="49713"/>
    <cellStyle name="Separador de milhares 4 3 12 3" xfId="31088"/>
    <cellStyle name="Separador de milhares 4 3 13" xfId="17563"/>
    <cellStyle name="Separador de milhares 4 3 13 2" xfId="43805"/>
    <cellStyle name="Separador de milhares 4 3 14" xfId="11230"/>
    <cellStyle name="Separador de milhares 4 3 14 2" xfId="37472"/>
    <cellStyle name="Separador de milhares 4 3 15" xfId="29390"/>
    <cellStyle name="Separador de milhares 4 3 2" xfId="701"/>
    <cellStyle name="Separador de milhares 4 3 2 2" xfId="6636"/>
    <cellStyle name="Separador de milhares 4 3 2 2 2" xfId="9783"/>
    <cellStyle name="Separador de milhares 4 3 2 2 2 2" xfId="27997"/>
    <cellStyle name="Separador de milhares 4 3 2 2 2 2 2" xfId="54227"/>
    <cellStyle name="Separador de milhares 4 3 2 2 2 3" xfId="22083"/>
    <cellStyle name="Separador de milhares 4 3 2 2 2 3 2" xfId="48319"/>
    <cellStyle name="Separador de milhares 4 3 2 2 2 4" xfId="16169"/>
    <cellStyle name="Separador de milhares 4 3 2 2 2 4 2" xfId="42411"/>
    <cellStyle name="Separador de milhares 4 3 2 2 2 5" xfId="36025"/>
    <cellStyle name="Separador de milhares 4 3 2 2 3" xfId="25040"/>
    <cellStyle name="Separador de milhares 4 3 2 2 3 2" xfId="51273"/>
    <cellStyle name="Separador de milhares 4 3 2 2 4" xfId="19126"/>
    <cellStyle name="Separador de milhares 4 3 2 2 4 2" xfId="45365"/>
    <cellStyle name="Separador de milhares 4 3 2 2 5" xfId="13025"/>
    <cellStyle name="Separador de milhares 4 3 2 2 5 2" xfId="39267"/>
    <cellStyle name="Separador de milhares 4 3 2 2 6" xfId="32881"/>
    <cellStyle name="Separador de milhares 4 3 2 3" xfId="8315"/>
    <cellStyle name="Separador de milhares 4 3 2 3 2" xfId="26529"/>
    <cellStyle name="Separador de milhares 4 3 2 3 2 2" xfId="52759"/>
    <cellStyle name="Separador de milhares 4 3 2 3 3" xfId="20615"/>
    <cellStyle name="Separador de milhares 4 3 2 3 3 2" xfId="46851"/>
    <cellStyle name="Separador de milhares 4 3 2 3 4" xfId="14701"/>
    <cellStyle name="Separador de milhares 4 3 2 3 4 2" xfId="40943"/>
    <cellStyle name="Separador de milhares 4 3 2 3 5" xfId="34557"/>
    <cellStyle name="Separador de milhares 4 3 2 4" xfId="4937"/>
    <cellStyle name="Separador de milhares 4 3 2 4 2" xfId="23572"/>
    <cellStyle name="Separador de milhares 4 3 2 4 2 2" xfId="49805"/>
    <cellStyle name="Separador de milhares 4 3 2 4 3" xfId="31182"/>
    <cellStyle name="Separador de milhares 4 3 2 5" xfId="17658"/>
    <cellStyle name="Separador de milhares 4 3 2 5 2" xfId="43897"/>
    <cellStyle name="Separador de milhares 4 3 2 6" xfId="11324"/>
    <cellStyle name="Separador de milhares 4 3 2 6 2" xfId="37566"/>
    <cellStyle name="Separador de milhares 4 3 2 7" xfId="29484"/>
    <cellStyle name="Separador de milhares 4 3 3" xfId="905"/>
    <cellStyle name="Separador de milhares 4 3 3 2" xfId="6713"/>
    <cellStyle name="Separador de milhares 4 3 3 2 2" xfId="9860"/>
    <cellStyle name="Separador de milhares 4 3 3 2 2 2" xfId="28074"/>
    <cellStyle name="Separador de milhares 4 3 3 2 2 2 2" xfId="54304"/>
    <cellStyle name="Separador de milhares 4 3 3 2 2 3" xfId="22160"/>
    <cellStyle name="Separador de milhares 4 3 3 2 2 3 2" xfId="48396"/>
    <cellStyle name="Separador de milhares 4 3 3 2 2 4" xfId="16246"/>
    <cellStyle name="Separador de milhares 4 3 3 2 2 4 2" xfId="42488"/>
    <cellStyle name="Separador de milhares 4 3 3 2 2 5" xfId="36102"/>
    <cellStyle name="Separador de milhares 4 3 3 2 3" xfId="25117"/>
    <cellStyle name="Separador de milhares 4 3 3 2 3 2" xfId="51350"/>
    <cellStyle name="Separador de milhares 4 3 3 2 4" xfId="19203"/>
    <cellStyle name="Separador de milhares 4 3 3 2 4 2" xfId="45442"/>
    <cellStyle name="Separador de milhares 4 3 3 2 5" xfId="13102"/>
    <cellStyle name="Separador de milhares 4 3 3 2 5 2" xfId="39344"/>
    <cellStyle name="Separador de milhares 4 3 3 2 6" xfId="32958"/>
    <cellStyle name="Separador de milhares 4 3 3 3" xfId="8392"/>
    <cellStyle name="Separador de milhares 4 3 3 3 2" xfId="26606"/>
    <cellStyle name="Separador de milhares 4 3 3 3 2 2" xfId="52836"/>
    <cellStyle name="Separador de milhares 4 3 3 3 3" xfId="20692"/>
    <cellStyle name="Separador de milhares 4 3 3 3 3 2" xfId="46928"/>
    <cellStyle name="Separador de milhares 4 3 3 3 4" xfId="14778"/>
    <cellStyle name="Separador de milhares 4 3 3 3 4 2" xfId="41020"/>
    <cellStyle name="Separador de milhares 4 3 3 3 5" xfId="34634"/>
    <cellStyle name="Separador de milhares 4 3 3 4" xfId="5014"/>
    <cellStyle name="Separador de milhares 4 3 3 4 2" xfId="23649"/>
    <cellStyle name="Separador de milhares 4 3 3 4 2 2" xfId="49882"/>
    <cellStyle name="Separador de milhares 4 3 3 4 3" xfId="31259"/>
    <cellStyle name="Separador de milhares 4 3 3 5" xfId="17735"/>
    <cellStyle name="Separador de milhares 4 3 3 5 2" xfId="43974"/>
    <cellStyle name="Separador de milhares 4 3 3 6" xfId="11401"/>
    <cellStyle name="Separador de milhares 4 3 3 6 2" xfId="37643"/>
    <cellStyle name="Separador de milhares 4 3 3 7" xfId="29561"/>
    <cellStyle name="Separador de milhares 4 3 4" xfId="1256"/>
    <cellStyle name="Separador de milhares 4 3 4 2" xfId="6811"/>
    <cellStyle name="Separador de milhares 4 3 4 2 2" xfId="9958"/>
    <cellStyle name="Separador de milhares 4 3 4 2 2 2" xfId="28172"/>
    <cellStyle name="Separador de milhares 4 3 4 2 2 2 2" xfId="54402"/>
    <cellStyle name="Separador de milhares 4 3 4 2 2 3" xfId="22258"/>
    <cellStyle name="Separador de milhares 4 3 4 2 2 3 2" xfId="48494"/>
    <cellStyle name="Separador de milhares 4 3 4 2 2 4" xfId="16344"/>
    <cellStyle name="Separador de milhares 4 3 4 2 2 4 2" xfId="42586"/>
    <cellStyle name="Separador de milhares 4 3 4 2 2 5" xfId="36200"/>
    <cellStyle name="Separador de milhares 4 3 4 2 3" xfId="25215"/>
    <cellStyle name="Separador de milhares 4 3 4 2 3 2" xfId="51448"/>
    <cellStyle name="Separador de milhares 4 3 4 2 4" xfId="19301"/>
    <cellStyle name="Separador de milhares 4 3 4 2 4 2" xfId="45540"/>
    <cellStyle name="Separador de milhares 4 3 4 2 5" xfId="13200"/>
    <cellStyle name="Separador de milhares 4 3 4 2 5 2" xfId="39442"/>
    <cellStyle name="Separador de milhares 4 3 4 2 6" xfId="33056"/>
    <cellStyle name="Separador de milhares 4 3 4 3" xfId="8490"/>
    <cellStyle name="Separador de milhares 4 3 4 3 2" xfId="26704"/>
    <cellStyle name="Separador de milhares 4 3 4 3 2 2" xfId="52934"/>
    <cellStyle name="Separador de milhares 4 3 4 3 3" xfId="20790"/>
    <cellStyle name="Separador de milhares 4 3 4 3 3 2" xfId="47026"/>
    <cellStyle name="Separador de milhares 4 3 4 3 4" xfId="14876"/>
    <cellStyle name="Separador de milhares 4 3 4 3 4 2" xfId="41118"/>
    <cellStyle name="Separador de milhares 4 3 4 3 5" xfId="34732"/>
    <cellStyle name="Separador de milhares 4 3 4 4" xfId="5112"/>
    <cellStyle name="Separador de milhares 4 3 4 4 2" xfId="23747"/>
    <cellStyle name="Separador de milhares 4 3 4 4 2 2" xfId="49980"/>
    <cellStyle name="Separador de milhares 4 3 4 4 3" xfId="31357"/>
    <cellStyle name="Separador de milhares 4 3 4 5" xfId="17833"/>
    <cellStyle name="Separador de milhares 4 3 4 5 2" xfId="44072"/>
    <cellStyle name="Separador de milhares 4 3 4 6" xfId="11499"/>
    <cellStyle name="Separador de milhares 4 3 4 6 2" xfId="37741"/>
    <cellStyle name="Separador de milhares 4 3 4 7" xfId="29659"/>
    <cellStyle name="Separador de milhares 4 3 5" xfId="1691"/>
    <cellStyle name="Separador de milhares 4 3 5 2" xfId="6930"/>
    <cellStyle name="Separador de milhares 4 3 5 2 2" xfId="10077"/>
    <cellStyle name="Separador de milhares 4 3 5 2 2 2" xfId="28291"/>
    <cellStyle name="Separador de milhares 4 3 5 2 2 2 2" xfId="54521"/>
    <cellStyle name="Separador de milhares 4 3 5 2 2 3" xfId="22377"/>
    <cellStyle name="Separador de milhares 4 3 5 2 2 3 2" xfId="48613"/>
    <cellStyle name="Separador de milhares 4 3 5 2 2 4" xfId="16463"/>
    <cellStyle name="Separador de milhares 4 3 5 2 2 4 2" xfId="42705"/>
    <cellStyle name="Separador de milhares 4 3 5 2 2 5" xfId="36319"/>
    <cellStyle name="Separador de milhares 4 3 5 2 3" xfId="25334"/>
    <cellStyle name="Separador de milhares 4 3 5 2 3 2" xfId="51567"/>
    <cellStyle name="Separador de milhares 4 3 5 2 4" xfId="19420"/>
    <cellStyle name="Separador de milhares 4 3 5 2 4 2" xfId="45659"/>
    <cellStyle name="Separador de milhares 4 3 5 2 5" xfId="13319"/>
    <cellStyle name="Separador de milhares 4 3 5 2 5 2" xfId="39561"/>
    <cellStyle name="Separador de milhares 4 3 5 2 6" xfId="33175"/>
    <cellStyle name="Separador de milhares 4 3 5 3" xfId="8609"/>
    <cellStyle name="Separador de milhares 4 3 5 3 2" xfId="26823"/>
    <cellStyle name="Separador de milhares 4 3 5 3 2 2" xfId="53053"/>
    <cellStyle name="Separador de milhares 4 3 5 3 3" xfId="20909"/>
    <cellStyle name="Separador de milhares 4 3 5 3 3 2" xfId="47145"/>
    <cellStyle name="Separador de milhares 4 3 5 3 4" xfId="14995"/>
    <cellStyle name="Separador de milhares 4 3 5 3 4 2" xfId="41237"/>
    <cellStyle name="Separador de milhares 4 3 5 3 5" xfId="34851"/>
    <cellStyle name="Separador de milhares 4 3 5 4" xfId="5231"/>
    <cellStyle name="Separador de milhares 4 3 5 4 2" xfId="23866"/>
    <cellStyle name="Separador de milhares 4 3 5 4 2 2" xfId="50099"/>
    <cellStyle name="Separador de milhares 4 3 5 4 3" xfId="31476"/>
    <cellStyle name="Separador de milhares 4 3 5 5" xfId="17952"/>
    <cellStyle name="Separador de milhares 4 3 5 5 2" xfId="44191"/>
    <cellStyle name="Separador de milhares 4 3 5 6" xfId="11618"/>
    <cellStyle name="Separador de milhares 4 3 5 6 2" xfId="37860"/>
    <cellStyle name="Separador de milhares 4 3 5 7" xfId="29778"/>
    <cellStyle name="Separador de milhares 4 3 6" xfId="2221"/>
    <cellStyle name="Separador de milhares 4 3 6 2" xfId="7080"/>
    <cellStyle name="Separador de milhares 4 3 6 2 2" xfId="10224"/>
    <cellStyle name="Separador de milhares 4 3 6 2 2 2" xfId="28438"/>
    <cellStyle name="Separador de milhares 4 3 6 2 2 2 2" xfId="54668"/>
    <cellStyle name="Separador de milhares 4 3 6 2 2 3" xfId="22524"/>
    <cellStyle name="Separador de milhares 4 3 6 2 2 3 2" xfId="48760"/>
    <cellStyle name="Separador de milhares 4 3 6 2 2 4" xfId="16610"/>
    <cellStyle name="Separador de milhares 4 3 6 2 2 4 2" xfId="42852"/>
    <cellStyle name="Separador de milhares 4 3 6 2 2 5" xfId="36466"/>
    <cellStyle name="Separador de milhares 4 3 6 2 3" xfId="25481"/>
    <cellStyle name="Separador de milhares 4 3 6 2 3 2" xfId="51714"/>
    <cellStyle name="Separador de milhares 4 3 6 2 4" xfId="19567"/>
    <cellStyle name="Separador de milhares 4 3 6 2 4 2" xfId="45806"/>
    <cellStyle name="Separador de milhares 4 3 6 2 5" xfId="13469"/>
    <cellStyle name="Separador de milhares 4 3 6 2 5 2" xfId="39711"/>
    <cellStyle name="Separador de milhares 4 3 6 2 6" xfId="33325"/>
    <cellStyle name="Separador de milhares 4 3 6 3" xfId="8756"/>
    <cellStyle name="Separador de milhares 4 3 6 3 2" xfId="26970"/>
    <cellStyle name="Separador de milhares 4 3 6 3 2 2" xfId="53200"/>
    <cellStyle name="Separador de milhares 4 3 6 3 3" xfId="21056"/>
    <cellStyle name="Separador de milhares 4 3 6 3 3 2" xfId="47292"/>
    <cellStyle name="Separador de milhares 4 3 6 3 4" xfId="15142"/>
    <cellStyle name="Separador de milhares 4 3 6 3 4 2" xfId="41384"/>
    <cellStyle name="Separador de milhares 4 3 6 3 5" xfId="34998"/>
    <cellStyle name="Separador de milhares 4 3 6 4" xfId="5381"/>
    <cellStyle name="Separador de milhares 4 3 6 4 2" xfId="24013"/>
    <cellStyle name="Separador de milhares 4 3 6 4 2 2" xfId="50246"/>
    <cellStyle name="Separador de milhares 4 3 6 4 3" xfId="31626"/>
    <cellStyle name="Separador de milhares 4 3 6 5" xfId="18099"/>
    <cellStyle name="Separador de milhares 4 3 6 5 2" xfId="44338"/>
    <cellStyle name="Separador de milhares 4 3 6 6" xfId="11768"/>
    <cellStyle name="Separador de milhares 4 3 6 6 2" xfId="38010"/>
    <cellStyle name="Separador de milhares 4 3 6 7" xfId="29928"/>
    <cellStyle name="Separador de milhares 4 3 7" xfId="2748"/>
    <cellStyle name="Separador de milhares 4 3 7 2" xfId="7227"/>
    <cellStyle name="Separador de milhares 4 3 7 2 2" xfId="10371"/>
    <cellStyle name="Separador de milhares 4 3 7 2 2 2" xfId="28585"/>
    <cellStyle name="Separador de milhares 4 3 7 2 2 2 2" xfId="54815"/>
    <cellStyle name="Separador de milhares 4 3 7 2 2 3" xfId="22671"/>
    <cellStyle name="Separador de milhares 4 3 7 2 2 3 2" xfId="48907"/>
    <cellStyle name="Separador de milhares 4 3 7 2 2 4" xfId="16757"/>
    <cellStyle name="Separador de milhares 4 3 7 2 2 4 2" xfId="42999"/>
    <cellStyle name="Separador de milhares 4 3 7 2 2 5" xfId="36613"/>
    <cellStyle name="Separador de milhares 4 3 7 2 3" xfId="25628"/>
    <cellStyle name="Separador de milhares 4 3 7 2 3 2" xfId="51861"/>
    <cellStyle name="Separador de milhares 4 3 7 2 4" xfId="19714"/>
    <cellStyle name="Separador de milhares 4 3 7 2 4 2" xfId="45953"/>
    <cellStyle name="Separador de milhares 4 3 7 2 5" xfId="13616"/>
    <cellStyle name="Separador de milhares 4 3 7 2 5 2" xfId="39858"/>
    <cellStyle name="Separador de milhares 4 3 7 2 6" xfId="33472"/>
    <cellStyle name="Separador de milhares 4 3 7 3" xfId="8903"/>
    <cellStyle name="Separador de milhares 4 3 7 3 2" xfId="27117"/>
    <cellStyle name="Separador de milhares 4 3 7 3 2 2" xfId="53347"/>
    <cellStyle name="Separador de milhares 4 3 7 3 3" xfId="21203"/>
    <cellStyle name="Separador de milhares 4 3 7 3 3 2" xfId="47439"/>
    <cellStyle name="Separador de milhares 4 3 7 3 4" xfId="15289"/>
    <cellStyle name="Separador de milhares 4 3 7 3 4 2" xfId="41531"/>
    <cellStyle name="Separador de milhares 4 3 7 3 5" xfId="35145"/>
    <cellStyle name="Separador de milhares 4 3 7 4" xfId="5528"/>
    <cellStyle name="Separador de milhares 4 3 7 4 2" xfId="24160"/>
    <cellStyle name="Separador de milhares 4 3 7 4 2 2" xfId="50393"/>
    <cellStyle name="Separador de milhares 4 3 7 4 3" xfId="31773"/>
    <cellStyle name="Separador de milhares 4 3 7 5" xfId="18246"/>
    <cellStyle name="Separador de milhares 4 3 7 5 2" xfId="44485"/>
    <cellStyle name="Separador de milhares 4 3 7 6" xfId="11915"/>
    <cellStyle name="Separador de milhares 4 3 7 6 2" xfId="38157"/>
    <cellStyle name="Separador de milhares 4 3 7 7" xfId="30075"/>
    <cellStyle name="Separador de milhares 4 3 8" xfId="3275"/>
    <cellStyle name="Separador de milhares 4 3 8 2" xfId="7374"/>
    <cellStyle name="Separador de milhares 4 3 8 2 2" xfId="10518"/>
    <cellStyle name="Separador de milhares 4 3 8 2 2 2" xfId="28732"/>
    <cellStyle name="Separador de milhares 4 3 8 2 2 2 2" xfId="54962"/>
    <cellStyle name="Separador de milhares 4 3 8 2 2 3" xfId="22818"/>
    <cellStyle name="Separador de milhares 4 3 8 2 2 3 2" xfId="49054"/>
    <cellStyle name="Separador de milhares 4 3 8 2 2 4" xfId="16904"/>
    <cellStyle name="Separador de milhares 4 3 8 2 2 4 2" xfId="43146"/>
    <cellStyle name="Separador de milhares 4 3 8 2 2 5" xfId="36760"/>
    <cellStyle name="Separador de milhares 4 3 8 2 3" xfId="25775"/>
    <cellStyle name="Separador de milhares 4 3 8 2 3 2" xfId="52008"/>
    <cellStyle name="Separador de milhares 4 3 8 2 4" xfId="19861"/>
    <cellStyle name="Separador de milhares 4 3 8 2 4 2" xfId="46100"/>
    <cellStyle name="Separador de milhares 4 3 8 2 5" xfId="13763"/>
    <cellStyle name="Separador de milhares 4 3 8 2 5 2" xfId="40005"/>
    <cellStyle name="Separador de milhares 4 3 8 2 6" xfId="33619"/>
    <cellStyle name="Separador de milhares 4 3 8 3" xfId="9050"/>
    <cellStyle name="Separador de milhares 4 3 8 3 2" xfId="27264"/>
    <cellStyle name="Separador de milhares 4 3 8 3 2 2" xfId="53494"/>
    <cellStyle name="Separador de milhares 4 3 8 3 3" xfId="21350"/>
    <cellStyle name="Separador de milhares 4 3 8 3 3 2" xfId="47586"/>
    <cellStyle name="Separador de milhares 4 3 8 3 4" xfId="15436"/>
    <cellStyle name="Separador de milhares 4 3 8 3 4 2" xfId="41678"/>
    <cellStyle name="Separador de milhares 4 3 8 3 5" xfId="35292"/>
    <cellStyle name="Separador de milhares 4 3 8 4" xfId="5675"/>
    <cellStyle name="Separador de milhares 4 3 8 4 2" xfId="24307"/>
    <cellStyle name="Separador de milhares 4 3 8 4 2 2" xfId="50540"/>
    <cellStyle name="Separador de milhares 4 3 8 4 3" xfId="31920"/>
    <cellStyle name="Separador de milhares 4 3 8 5" xfId="18393"/>
    <cellStyle name="Separador de milhares 4 3 8 5 2" xfId="44632"/>
    <cellStyle name="Separador de milhares 4 3 8 6" xfId="12062"/>
    <cellStyle name="Separador de milhares 4 3 8 6 2" xfId="38304"/>
    <cellStyle name="Separador de milhares 4 3 8 7" xfId="30222"/>
    <cellStyle name="Separador de milhares 4 3 9" xfId="3802"/>
    <cellStyle name="Separador de milhares 4 3 9 2" xfId="7521"/>
    <cellStyle name="Separador de milhares 4 3 9 2 2" xfId="10665"/>
    <cellStyle name="Separador de milhares 4 3 9 2 2 2" xfId="28879"/>
    <cellStyle name="Separador de milhares 4 3 9 2 2 2 2" xfId="55109"/>
    <cellStyle name="Separador de milhares 4 3 9 2 2 3" xfId="22965"/>
    <cellStyle name="Separador de milhares 4 3 9 2 2 3 2" xfId="49201"/>
    <cellStyle name="Separador de milhares 4 3 9 2 2 4" xfId="17051"/>
    <cellStyle name="Separador de milhares 4 3 9 2 2 4 2" xfId="43293"/>
    <cellStyle name="Separador de milhares 4 3 9 2 2 5" xfId="36907"/>
    <cellStyle name="Separador de milhares 4 3 9 2 3" xfId="25922"/>
    <cellStyle name="Separador de milhares 4 3 9 2 3 2" xfId="52155"/>
    <cellStyle name="Separador de milhares 4 3 9 2 4" xfId="20008"/>
    <cellStyle name="Separador de milhares 4 3 9 2 4 2" xfId="46247"/>
    <cellStyle name="Separador de milhares 4 3 9 2 5" xfId="13910"/>
    <cellStyle name="Separador de milhares 4 3 9 2 5 2" xfId="40152"/>
    <cellStyle name="Separador de milhares 4 3 9 2 6" xfId="33766"/>
    <cellStyle name="Separador de milhares 4 3 9 3" xfId="9197"/>
    <cellStyle name="Separador de milhares 4 3 9 3 2" xfId="27411"/>
    <cellStyle name="Separador de milhares 4 3 9 3 2 2" xfId="53641"/>
    <cellStyle name="Separador de milhares 4 3 9 3 3" xfId="21497"/>
    <cellStyle name="Separador de milhares 4 3 9 3 3 2" xfId="47733"/>
    <cellStyle name="Separador de milhares 4 3 9 3 4" xfId="15583"/>
    <cellStyle name="Separador de milhares 4 3 9 3 4 2" xfId="41825"/>
    <cellStyle name="Separador de milhares 4 3 9 3 5" xfId="35439"/>
    <cellStyle name="Separador de milhares 4 3 9 4" xfId="5822"/>
    <cellStyle name="Separador de milhares 4 3 9 4 2" xfId="24454"/>
    <cellStyle name="Separador de milhares 4 3 9 4 2 2" xfId="50687"/>
    <cellStyle name="Separador de milhares 4 3 9 4 3" xfId="32067"/>
    <cellStyle name="Separador de milhares 4 3 9 5" xfId="18540"/>
    <cellStyle name="Separador de milhares 4 3 9 5 2" xfId="44779"/>
    <cellStyle name="Separador de milhares 4 3 9 6" xfId="12209"/>
    <cellStyle name="Separador de milhares 4 3 9 6 2" xfId="38451"/>
    <cellStyle name="Separador de milhares 4 3 9 7" xfId="30369"/>
    <cellStyle name="Separador de milhares 4 4" xfId="6480"/>
    <cellStyle name="Separador de milhares 4 4 2" xfId="9635"/>
    <cellStyle name="Separador de milhares 4 4 2 2" xfId="27849"/>
    <cellStyle name="Separador de milhares 4 4 2 2 2" xfId="54079"/>
    <cellStyle name="Separador de milhares 4 4 2 3" xfId="21935"/>
    <cellStyle name="Separador de milhares 4 4 2 3 2" xfId="48171"/>
    <cellStyle name="Separador de milhares 4 4 2 4" xfId="16021"/>
    <cellStyle name="Separador de milhares 4 4 2 4 2" xfId="42263"/>
    <cellStyle name="Separador de milhares 4 4 2 5" xfId="35877"/>
    <cellStyle name="Separador de milhares 4 4 3" xfId="24892"/>
    <cellStyle name="Separador de milhares 4 4 3 2" xfId="51125"/>
    <cellStyle name="Separador de milhares 4 4 4" xfId="18978"/>
    <cellStyle name="Separador de milhares 4 4 4 2" xfId="45217"/>
    <cellStyle name="Separador de milhares 4 4 5" xfId="12869"/>
    <cellStyle name="Separador de milhares 4 4 5 2" xfId="39111"/>
    <cellStyle name="Separador de milhares 4 4 6" xfId="32725"/>
    <cellStyle name="Separador de milhares 4 5" xfId="8164"/>
    <cellStyle name="Separador de milhares 4 5 2" xfId="26378"/>
    <cellStyle name="Separador de milhares 4 5 2 2" xfId="52611"/>
    <cellStyle name="Separador de milhares 4 5 3" xfId="20464"/>
    <cellStyle name="Separador de milhares 4 5 3 2" xfId="46703"/>
    <cellStyle name="Separador de milhares 4 5 4" xfId="14553"/>
    <cellStyle name="Separador de milhares 4 5 4 2" xfId="40795"/>
    <cellStyle name="Separador de milhares 4 5 5" xfId="34409"/>
    <cellStyle name="Separador de milhares 4 6" xfId="4779"/>
    <cellStyle name="Separador de milhares 4 6 2" xfId="23421"/>
    <cellStyle name="Separador de milhares 4 6 2 2" xfId="49657"/>
    <cellStyle name="Separador de milhares 4 6 3" xfId="31026"/>
    <cellStyle name="Separador de milhares 4 7" xfId="17507"/>
    <cellStyle name="Separador de milhares 4 7 2" xfId="43749"/>
    <cellStyle name="Separador de milhares 4 8" xfId="11168"/>
    <cellStyle name="Separador de milhares 4 8 2" xfId="37410"/>
    <cellStyle name="Separador de milhares 4 9" xfId="29329"/>
    <cellStyle name="Separador de milhares_MODELO CÂMARA" xfId="3"/>
    <cellStyle name="Vírgula 10" xfId="4395"/>
    <cellStyle name="Vírgula 10 10" xfId="30644"/>
    <cellStyle name="Vírgula 10 2" xfId="4503"/>
    <cellStyle name="Vírgula 10 2 2" xfId="7905"/>
    <cellStyle name="Vírgula 10 2 2 2" xfId="10934"/>
    <cellStyle name="Vírgula 10 2 2 2 2" xfId="29148"/>
    <cellStyle name="Vírgula 10 2 2 2 2 2" xfId="55378"/>
    <cellStyle name="Vírgula 10 2 2 2 3" xfId="23234"/>
    <cellStyle name="Vírgula 10 2 2 2 3 2" xfId="49470"/>
    <cellStyle name="Vírgula 10 2 2 2 4" xfId="17320"/>
    <cellStyle name="Vírgula 10 2 2 2 4 2" xfId="43562"/>
    <cellStyle name="Vírgula 10 2 2 2 5" xfId="37176"/>
    <cellStyle name="Vírgula 10 2 2 3" xfId="26191"/>
    <cellStyle name="Vírgula 10 2 2 3 2" xfId="52424"/>
    <cellStyle name="Vírgula 10 2 2 4" xfId="20277"/>
    <cellStyle name="Vírgula 10 2 2 4 2" xfId="46516"/>
    <cellStyle name="Vírgula 10 2 2 5" xfId="14294"/>
    <cellStyle name="Vírgula 10 2 2 5 2" xfId="40536"/>
    <cellStyle name="Vírgula 10 2 2 6" xfId="34150"/>
    <cellStyle name="Vírgula 10 2 3" xfId="9466"/>
    <cellStyle name="Vírgula 10 2 3 2" xfId="27680"/>
    <cellStyle name="Vírgula 10 2 3 2 2" xfId="53910"/>
    <cellStyle name="Vírgula 10 2 3 3" xfId="21766"/>
    <cellStyle name="Vírgula 10 2 3 3 2" xfId="48002"/>
    <cellStyle name="Vírgula 10 2 3 4" xfId="15852"/>
    <cellStyle name="Vírgula 10 2 3 4 2" xfId="42094"/>
    <cellStyle name="Vírgula 10 2 3 5" xfId="35708"/>
    <cellStyle name="Vírgula 10 2 4" xfId="6204"/>
    <cellStyle name="Vírgula 10 2 4 2" xfId="24723"/>
    <cellStyle name="Vírgula 10 2 4 2 2" xfId="50956"/>
    <cellStyle name="Vírgula 10 2 4 3" xfId="32449"/>
    <cellStyle name="Vírgula 10 2 5" xfId="18809"/>
    <cellStyle name="Vírgula 10 2 5 2" xfId="45048"/>
    <cellStyle name="Vírgula 10 2 6" xfId="12593"/>
    <cellStyle name="Vírgula 10 2 6 2" xfId="38835"/>
    <cellStyle name="Vírgula 10 2 7" xfId="30752"/>
    <cellStyle name="Vírgula 10 3" xfId="4611"/>
    <cellStyle name="Vírgula 10 3 2" xfId="8013"/>
    <cellStyle name="Vírgula 10 3 2 2" xfId="10996"/>
    <cellStyle name="Vírgula 10 3 2 2 2" xfId="29210"/>
    <cellStyle name="Vírgula 10 3 2 2 2 2" xfId="55440"/>
    <cellStyle name="Vírgula 10 3 2 2 3" xfId="23296"/>
    <cellStyle name="Vírgula 10 3 2 2 3 2" xfId="49532"/>
    <cellStyle name="Vírgula 10 3 2 2 4" xfId="17382"/>
    <cellStyle name="Vírgula 10 3 2 2 4 2" xfId="43624"/>
    <cellStyle name="Vírgula 10 3 2 2 5" xfId="37238"/>
    <cellStyle name="Vírgula 10 3 2 3" xfId="26253"/>
    <cellStyle name="Vírgula 10 3 2 3 2" xfId="52486"/>
    <cellStyle name="Vírgula 10 3 2 4" xfId="20339"/>
    <cellStyle name="Vírgula 10 3 2 4 2" xfId="46578"/>
    <cellStyle name="Vírgula 10 3 2 5" xfId="14402"/>
    <cellStyle name="Vírgula 10 3 2 5 2" xfId="40644"/>
    <cellStyle name="Vírgula 10 3 2 6" xfId="34258"/>
    <cellStyle name="Vírgula 10 3 3" xfId="9528"/>
    <cellStyle name="Vírgula 10 3 3 2" xfId="27742"/>
    <cellStyle name="Vírgula 10 3 3 2 2" xfId="53972"/>
    <cellStyle name="Vírgula 10 3 3 3" xfId="21828"/>
    <cellStyle name="Vírgula 10 3 3 3 2" xfId="48064"/>
    <cellStyle name="Vírgula 10 3 3 4" xfId="15914"/>
    <cellStyle name="Vírgula 10 3 3 4 2" xfId="42156"/>
    <cellStyle name="Vírgula 10 3 3 5" xfId="35770"/>
    <cellStyle name="Vírgula 10 3 4" xfId="6312"/>
    <cellStyle name="Vírgula 10 3 4 2" xfId="24785"/>
    <cellStyle name="Vírgula 10 3 4 2 2" xfId="51018"/>
    <cellStyle name="Vírgula 10 3 4 3" xfId="32557"/>
    <cellStyle name="Vírgula 10 3 5" xfId="18871"/>
    <cellStyle name="Vírgula 10 3 5 2" xfId="45110"/>
    <cellStyle name="Vírgula 10 3 6" xfId="12701"/>
    <cellStyle name="Vírgula 10 3 6 2" xfId="38943"/>
    <cellStyle name="Vírgula 10 3 7" xfId="30860"/>
    <cellStyle name="Vírgula 10 4" xfId="6096"/>
    <cellStyle name="Vírgula 10 4 2" xfId="7796"/>
    <cellStyle name="Vírgula 10 4 2 2" xfId="10872"/>
    <cellStyle name="Vírgula 10 4 2 2 2" xfId="29086"/>
    <cellStyle name="Vírgula 10 4 2 2 2 2" xfId="55316"/>
    <cellStyle name="Vírgula 10 4 2 2 3" xfId="23172"/>
    <cellStyle name="Vírgula 10 4 2 2 3 2" xfId="49408"/>
    <cellStyle name="Vírgula 10 4 2 2 4" xfId="17258"/>
    <cellStyle name="Vírgula 10 4 2 2 4 2" xfId="43500"/>
    <cellStyle name="Vírgula 10 4 2 2 5" xfId="37114"/>
    <cellStyle name="Vírgula 10 4 2 3" xfId="26129"/>
    <cellStyle name="Vírgula 10 4 2 3 2" xfId="52362"/>
    <cellStyle name="Vírgula 10 4 2 4" xfId="20215"/>
    <cellStyle name="Vírgula 10 4 2 4 2" xfId="46454"/>
    <cellStyle name="Vírgula 10 4 2 5" xfId="14185"/>
    <cellStyle name="Vírgula 10 4 2 5 2" xfId="40427"/>
    <cellStyle name="Vírgula 10 4 2 6" xfId="34041"/>
    <cellStyle name="Vírgula 10 4 3" xfId="9404"/>
    <cellStyle name="Vírgula 10 4 3 2" xfId="27618"/>
    <cellStyle name="Vírgula 10 4 3 2 2" xfId="53848"/>
    <cellStyle name="Vírgula 10 4 3 3" xfId="21704"/>
    <cellStyle name="Vírgula 10 4 3 3 2" xfId="47940"/>
    <cellStyle name="Vírgula 10 4 3 4" xfId="15790"/>
    <cellStyle name="Vírgula 10 4 3 4 2" xfId="42032"/>
    <cellStyle name="Vírgula 10 4 3 5" xfId="35646"/>
    <cellStyle name="Vírgula 10 4 4" xfId="24661"/>
    <cellStyle name="Vírgula 10 4 4 2" xfId="50894"/>
    <cellStyle name="Vírgula 10 4 5" xfId="18747"/>
    <cellStyle name="Vírgula 10 4 5 2" xfId="44986"/>
    <cellStyle name="Vírgula 10 4 6" xfId="12484"/>
    <cellStyle name="Vírgula 10 4 6 2" xfId="38726"/>
    <cellStyle name="Vírgula 10 4 7" xfId="32341"/>
    <cellStyle name="Vírgula 10 5" xfId="6421"/>
    <cellStyle name="Vírgula 10 5 2" xfId="9590"/>
    <cellStyle name="Vírgula 10 5 2 2" xfId="27804"/>
    <cellStyle name="Vírgula 10 5 2 2 2" xfId="54034"/>
    <cellStyle name="Vírgula 10 5 2 3" xfId="21890"/>
    <cellStyle name="Vírgula 10 5 2 3 2" xfId="48126"/>
    <cellStyle name="Vírgula 10 5 2 4" xfId="15976"/>
    <cellStyle name="Vírgula 10 5 2 4 2" xfId="42218"/>
    <cellStyle name="Vírgula 10 5 2 5" xfId="35832"/>
    <cellStyle name="Vírgula 10 5 3" xfId="24847"/>
    <cellStyle name="Vírgula 10 5 3 2" xfId="51080"/>
    <cellStyle name="Vírgula 10 5 4" xfId="18933"/>
    <cellStyle name="Vírgula 10 5 4 2" xfId="45172"/>
    <cellStyle name="Vírgula 10 5 5" xfId="12810"/>
    <cellStyle name="Vírgula 10 5 5 2" xfId="39052"/>
    <cellStyle name="Vírgula 10 5 6" xfId="32666"/>
    <cellStyle name="Vírgula 10 6" xfId="8119"/>
    <cellStyle name="Vírgula 10 6 2" xfId="26333"/>
    <cellStyle name="Vírgula 10 6 2 2" xfId="52566"/>
    <cellStyle name="Vírgula 10 6 3" xfId="20419"/>
    <cellStyle name="Vírgula 10 6 3 2" xfId="46658"/>
    <cellStyle name="Vírgula 10 6 4" xfId="14508"/>
    <cellStyle name="Vírgula 10 6 4 2" xfId="40750"/>
    <cellStyle name="Vírgula 10 6 5" xfId="34364"/>
    <cellStyle name="Vírgula 10 7" xfId="4718"/>
    <cellStyle name="Vírgula 10 7 2" xfId="23376"/>
    <cellStyle name="Vírgula 10 7 2 2" xfId="49612"/>
    <cellStyle name="Vírgula 10 7 3" xfId="30967"/>
    <cellStyle name="Vírgula 10 8" xfId="17462"/>
    <cellStyle name="Vírgula 10 8 2" xfId="43704"/>
    <cellStyle name="Vírgula 10 9" xfId="11109"/>
    <cellStyle name="Vírgula 10 9 2" xfId="37351"/>
    <cellStyle name="Vírgula 11" xfId="4425"/>
    <cellStyle name="Vírgula 11 10" xfId="30674"/>
    <cellStyle name="Vírgula 11 2" xfId="4533"/>
    <cellStyle name="Vírgula 11 2 2" xfId="7935"/>
    <cellStyle name="Vírgula 11 2 2 2" xfId="10952"/>
    <cellStyle name="Vírgula 11 2 2 2 2" xfId="29166"/>
    <cellStyle name="Vírgula 11 2 2 2 2 2" xfId="55396"/>
    <cellStyle name="Vírgula 11 2 2 2 3" xfId="23252"/>
    <cellStyle name="Vírgula 11 2 2 2 3 2" xfId="49488"/>
    <cellStyle name="Vírgula 11 2 2 2 4" xfId="17338"/>
    <cellStyle name="Vírgula 11 2 2 2 4 2" xfId="43580"/>
    <cellStyle name="Vírgula 11 2 2 2 5" xfId="37194"/>
    <cellStyle name="Vírgula 11 2 2 3" xfId="26209"/>
    <cellStyle name="Vírgula 11 2 2 3 2" xfId="52442"/>
    <cellStyle name="Vírgula 11 2 2 4" xfId="20295"/>
    <cellStyle name="Vírgula 11 2 2 4 2" xfId="46534"/>
    <cellStyle name="Vírgula 11 2 2 5" xfId="14324"/>
    <cellStyle name="Vírgula 11 2 2 5 2" xfId="40566"/>
    <cellStyle name="Vírgula 11 2 2 6" xfId="34180"/>
    <cellStyle name="Vírgula 11 2 3" xfId="9484"/>
    <cellStyle name="Vírgula 11 2 3 2" xfId="27698"/>
    <cellStyle name="Vírgula 11 2 3 2 2" xfId="53928"/>
    <cellStyle name="Vírgula 11 2 3 3" xfId="21784"/>
    <cellStyle name="Vírgula 11 2 3 3 2" xfId="48020"/>
    <cellStyle name="Vírgula 11 2 3 4" xfId="15870"/>
    <cellStyle name="Vírgula 11 2 3 4 2" xfId="42112"/>
    <cellStyle name="Vírgula 11 2 3 5" xfId="35726"/>
    <cellStyle name="Vírgula 11 2 4" xfId="6234"/>
    <cellStyle name="Vírgula 11 2 4 2" xfId="24741"/>
    <cellStyle name="Vírgula 11 2 4 2 2" xfId="50974"/>
    <cellStyle name="Vírgula 11 2 4 3" xfId="32479"/>
    <cellStyle name="Vírgula 11 2 5" xfId="18827"/>
    <cellStyle name="Vírgula 11 2 5 2" xfId="45066"/>
    <cellStyle name="Vírgula 11 2 6" xfId="12623"/>
    <cellStyle name="Vírgula 11 2 6 2" xfId="38865"/>
    <cellStyle name="Vírgula 11 2 7" xfId="30782"/>
    <cellStyle name="Vírgula 11 3" xfId="4641"/>
    <cellStyle name="Vírgula 11 3 2" xfId="8044"/>
    <cellStyle name="Vírgula 11 3 2 2" xfId="11014"/>
    <cellStyle name="Vírgula 11 3 2 2 2" xfId="29228"/>
    <cellStyle name="Vírgula 11 3 2 2 2 2" xfId="55458"/>
    <cellStyle name="Vírgula 11 3 2 2 3" xfId="23314"/>
    <cellStyle name="Vírgula 11 3 2 2 3 2" xfId="49550"/>
    <cellStyle name="Vírgula 11 3 2 2 4" xfId="17400"/>
    <cellStyle name="Vírgula 11 3 2 2 4 2" xfId="43642"/>
    <cellStyle name="Vírgula 11 3 2 2 5" xfId="37256"/>
    <cellStyle name="Vírgula 11 3 2 3" xfId="26271"/>
    <cellStyle name="Vírgula 11 3 2 3 2" xfId="52504"/>
    <cellStyle name="Vírgula 11 3 2 4" xfId="20357"/>
    <cellStyle name="Vírgula 11 3 2 4 2" xfId="46596"/>
    <cellStyle name="Vírgula 11 3 2 5" xfId="14433"/>
    <cellStyle name="Vírgula 11 3 2 5 2" xfId="40675"/>
    <cellStyle name="Vírgula 11 3 2 6" xfId="34289"/>
    <cellStyle name="Vírgula 11 3 3" xfId="9546"/>
    <cellStyle name="Vírgula 11 3 3 2" xfId="27760"/>
    <cellStyle name="Vírgula 11 3 3 2 2" xfId="53990"/>
    <cellStyle name="Vírgula 11 3 3 3" xfId="21846"/>
    <cellStyle name="Vírgula 11 3 3 3 2" xfId="48082"/>
    <cellStyle name="Vírgula 11 3 3 4" xfId="15932"/>
    <cellStyle name="Vírgula 11 3 3 4 2" xfId="42174"/>
    <cellStyle name="Vírgula 11 3 3 5" xfId="35788"/>
    <cellStyle name="Vírgula 11 3 4" xfId="6343"/>
    <cellStyle name="Vírgula 11 3 4 2" xfId="24803"/>
    <cellStyle name="Vírgula 11 3 4 2 2" xfId="51036"/>
    <cellStyle name="Vírgula 11 3 4 3" xfId="32588"/>
    <cellStyle name="Vírgula 11 3 5" xfId="18889"/>
    <cellStyle name="Vírgula 11 3 5 2" xfId="45128"/>
    <cellStyle name="Vírgula 11 3 6" xfId="12732"/>
    <cellStyle name="Vírgula 11 3 6 2" xfId="38974"/>
    <cellStyle name="Vírgula 11 3 7" xfId="30890"/>
    <cellStyle name="Vírgula 11 4" xfId="6127"/>
    <cellStyle name="Vírgula 11 4 2" xfId="7827"/>
    <cellStyle name="Vírgula 11 4 2 2" xfId="10890"/>
    <cellStyle name="Vírgula 11 4 2 2 2" xfId="29104"/>
    <cellStyle name="Vírgula 11 4 2 2 2 2" xfId="55334"/>
    <cellStyle name="Vírgula 11 4 2 2 3" xfId="23190"/>
    <cellStyle name="Vírgula 11 4 2 2 3 2" xfId="49426"/>
    <cellStyle name="Vírgula 11 4 2 2 4" xfId="17276"/>
    <cellStyle name="Vírgula 11 4 2 2 4 2" xfId="43518"/>
    <cellStyle name="Vírgula 11 4 2 2 5" xfId="37132"/>
    <cellStyle name="Vírgula 11 4 2 3" xfId="26147"/>
    <cellStyle name="Vírgula 11 4 2 3 2" xfId="52380"/>
    <cellStyle name="Vírgula 11 4 2 4" xfId="20233"/>
    <cellStyle name="Vírgula 11 4 2 4 2" xfId="46472"/>
    <cellStyle name="Vírgula 11 4 2 5" xfId="14216"/>
    <cellStyle name="Vírgula 11 4 2 5 2" xfId="40458"/>
    <cellStyle name="Vírgula 11 4 2 6" xfId="34072"/>
    <cellStyle name="Vírgula 11 4 3" xfId="9422"/>
    <cellStyle name="Vírgula 11 4 3 2" xfId="27636"/>
    <cellStyle name="Vírgula 11 4 3 2 2" xfId="53866"/>
    <cellStyle name="Vírgula 11 4 3 3" xfId="21722"/>
    <cellStyle name="Vírgula 11 4 3 3 2" xfId="47958"/>
    <cellStyle name="Vírgula 11 4 3 4" xfId="15808"/>
    <cellStyle name="Vírgula 11 4 3 4 2" xfId="42050"/>
    <cellStyle name="Vírgula 11 4 3 5" xfId="35664"/>
    <cellStyle name="Vírgula 11 4 4" xfId="24679"/>
    <cellStyle name="Vírgula 11 4 4 2" xfId="50912"/>
    <cellStyle name="Vírgula 11 4 5" xfId="18765"/>
    <cellStyle name="Vírgula 11 4 5 2" xfId="45004"/>
    <cellStyle name="Vírgula 11 4 6" xfId="12515"/>
    <cellStyle name="Vírgula 11 4 6 2" xfId="38757"/>
    <cellStyle name="Vírgula 11 4 7" xfId="32372"/>
    <cellStyle name="Vírgula 11 5" xfId="6452"/>
    <cellStyle name="Vírgula 11 5 2" xfId="9608"/>
    <cellStyle name="Vírgula 11 5 2 2" xfId="27822"/>
    <cellStyle name="Vírgula 11 5 2 2 2" xfId="54052"/>
    <cellStyle name="Vírgula 11 5 2 3" xfId="21908"/>
    <cellStyle name="Vírgula 11 5 2 3 2" xfId="48144"/>
    <cellStyle name="Vírgula 11 5 2 4" xfId="15994"/>
    <cellStyle name="Vírgula 11 5 2 4 2" xfId="42236"/>
    <cellStyle name="Vírgula 11 5 2 5" xfId="35850"/>
    <cellStyle name="Vírgula 11 5 3" xfId="24865"/>
    <cellStyle name="Vírgula 11 5 3 2" xfId="51098"/>
    <cellStyle name="Vírgula 11 5 4" xfId="18951"/>
    <cellStyle name="Vírgula 11 5 4 2" xfId="45190"/>
    <cellStyle name="Vírgula 11 5 5" xfId="12841"/>
    <cellStyle name="Vírgula 11 5 5 2" xfId="39083"/>
    <cellStyle name="Vírgula 11 5 6" xfId="32697"/>
    <cellStyle name="Vírgula 11 6" xfId="8137"/>
    <cellStyle name="Vírgula 11 6 2" xfId="26351"/>
    <cellStyle name="Vírgula 11 6 2 2" xfId="52584"/>
    <cellStyle name="Vírgula 11 6 3" xfId="20437"/>
    <cellStyle name="Vírgula 11 6 3 2" xfId="46676"/>
    <cellStyle name="Vírgula 11 6 4" xfId="14526"/>
    <cellStyle name="Vírgula 11 6 4 2" xfId="40768"/>
    <cellStyle name="Vírgula 11 6 5" xfId="34382"/>
    <cellStyle name="Vírgula 11 7" xfId="4749"/>
    <cellStyle name="Vírgula 11 7 2" xfId="23394"/>
    <cellStyle name="Vírgula 11 7 2 2" xfId="49630"/>
    <cellStyle name="Vírgula 11 7 3" xfId="30998"/>
    <cellStyle name="Vírgula 11 8" xfId="17480"/>
    <cellStyle name="Vírgula 11 8 2" xfId="43722"/>
    <cellStyle name="Vírgula 11 9" xfId="11140"/>
    <cellStyle name="Vírgula 11 9 2" xfId="37382"/>
    <cellStyle name="Vírgula 12" xfId="8045"/>
    <cellStyle name="Vírgula 12 2" xfId="11015"/>
    <cellStyle name="Vírgula 12 2 2" xfId="29229"/>
    <cellStyle name="Vírgula 12 2 2 2" xfId="55459"/>
    <cellStyle name="Vírgula 12 2 3" xfId="23315"/>
    <cellStyle name="Vírgula 12 2 3 2" xfId="49551"/>
    <cellStyle name="Vírgula 12 2 4" xfId="17401"/>
    <cellStyle name="Vírgula 12 2 4 2" xfId="43643"/>
    <cellStyle name="Vírgula 12 2 5" xfId="37257"/>
    <cellStyle name="Vírgula 12 3" xfId="26272"/>
    <cellStyle name="Vírgula 12 3 2" xfId="52505"/>
    <cellStyle name="Vírgula 12 4" xfId="20358"/>
    <cellStyle name="Vírgula 12 4 2" xfId="46597"/>
    <cellStyle name="Vírgula 12 5" xfId="14434"/>
    <cellStyle name="Vírgula 12 5 2" xfId="40676"/>
    <cellStyle name="Vírgula 12 6" xfId="34290"/>
    <cellStyle name="Vírgula 13" xfId="29251"/>
    <cellStyle name="Vírgula 13 2" xfId="55481"/>
    <cellStyle name="Vírgula 14" xfId="29255"/>
    <cellStyle name="Vírgula 14 2" xfId="55484"/>
    <cellStyle name="Vírgula 15" xfId="29258"/>
    <cellStyle name="Vírgula 2" xfId="10"/>
    <cellStyle name="Vírgula 2 2" xfId="13"/>
    <cellStyle name="Vírgula 2 2 10" xfId="4255"/>
    <cellStyle name="Vírgula 2 2 10 2" xfId="7655"/>
    <cellStyle name="Vírgula 2 2 10 2 2" xfId="10792"/>
    <cellStyle name="Vírgula 2 2 10 2 2 2" xfId="29006"/>
    <cellStyle name="Vírgula 2 2 10 2 2 2 2" xfId="55236"/>
    <cellStyle name="Vírgula 2 2 10 2 2 3" xfId="23092"/>
    <cellStyle name="Vírgula 2 2 10 2 2 3 2" xfId="49328"/>
    <cellStyle name="Vírgula 2 2 10 2 2 4" xfId="17178"/>
    <cellStyle name="Vírgula 2 2 10 2 2 4 2" xfId="43420"/>
    <cellStyle name="Vírgula 2 2 10 2 2 5" xfId="37034"/>
    <cellStyle name="Vírgula 2 2 10 2 3" xfId="26049"/>
    <cellStyle name="Vírgula 2 2 10 2 3 2" xfId="52282"/>
    <cellStyle name="Vírgula 2 2 10 2 4" xfId="20135"/>
    <cellStyle name="Vírgula 2 2 10 2 4 2" xfId="46374"/>
    <cellStyle name="Vírgula 2 2 10 2 5" xfId="14044"/>
    <cellStyle name="Vírgula 2 2 10 2 5 2" xfId="40286"/>
    <cellStyle name="Vírgula 2 2 10 2 6" xfId="33900"/>
    <cellStyle name="Vírgula 2 2 10 3" xfId="9324"/>
    <cellStyle name="Vírgula 2 2 10 3 2" xfId="27538"/>
    <cellStyle name="Vírgula 2 2 10 3 2 2" xfId="53768"/>
    <cellStyle name="Vírgula 2 2 10 3 3" xfId="21624"/>
    <cellStyle name="Vírgula 2 2 10 3 3 2" xfId="47860"/>
    <cellStyle name="Vírgula 2 2 10 3 4" xfId="15710"/>
    <cellStyle name="Vírgula 2 2 10 3 4 2" xfId="41952"/>
    <cellStyle name="Vírgula 2 2 10 3 5" xfId="35566"/>
    <cellStyle name="Vírgula 2 2 10 4" xfId="5956"/>
    <cellStyle name="Vírgula 2 2 10 4 2" xfId="24581"/>
    <cellStyle name="Vírgula 2 2 10 4 2 2" xfId="50814"/>
    <cellStyle name="Vírgula 2 2 10 4 3" xfId="32201"/>
    <cellStyle name="Vírgula 2 2 10 5" xfId="18667"/>
    <cellStyle name="Vírgula 2 2 10 5 2" xfId="44906"/>
    <cellStyle name="Vírgula 2 2 10 6" xfId="12343"/>
    <cellStyle name="Vírgula 2 2 10 6 2" xfId="38585"/>
    <cellStyle name="Vírgula 2 2 10 7" xfId="30504"/>
    <cellStyle name="Vírgula 2 2 11" xfId="4331"/>
    <cellStyle name="Vírgula 2 2 11 2" xfId="7732"/>
    <cellStyle name="Vírgula 2 2 11 2 2" xfId="10835"/>
    <cellStyle name="Vírgula 2 2 11 2 2 2" xfId="29049"/>
    <cellStyle name="Vírgula 2 2 11 2 2 2 2" xfId="55279"/>
    <cellStyle name="Vírgula 2 2 11 2 2 3" xfId="23135"/>
    <cellStyle name="Vírgula 2 2 11 2 2 3 2" xfId="49371"/>
    <cellStyle name="Vírgula 2 2 11 2 2 4" xfId="17221"/>
    <cellStyle name="Vírgula 2 2 11 2 2 4 2" xfId="43463"/>
    <cellStyle name="Vírgula 2 2 11 2 2 5" xfId="37077"/>
    <cellStyle name="Vírgula 2 2 11 2 3" xfId="26092"/>
    <cellStyle name="Vírgula 2 2 11 2 3 2" xfId="52325"/>
    <cellStyle name="Vírgula 2 2 11 2 4" xfId="20178"/>
    <cellStyle name="Vírgula 2 2 11 2 4 2" xfId="46417"/>
    <cellStyle name="Vírgula 2 2 11 2 5" xfId="14121"/>
    <cellStyle name="Vírgula 2 2 11 2 5 2" xfId="40363"/>
    <cellStyle name="Vírgula 2 2 11 2 6" xfId="33977"/>
    <cellStyle name="Vírgula 2 2 11 3" xfId="9367"/>
    <cellStyle name="Vírgula 2 2 11 3 2" xfId="27581"/>
    <cellStyle name="Vírgula 2 2 11 3 2 2" xfId="53811"/>
    <cellStyle name="Vírgula 2 2 11 3 3" xfId="21667"/>
    <cellStyle name="Vírgula 2 2 11 3 3 2" xfId="47903"/>
    <cellStyle name="Vírgula 2 2 11 3 4" xfId="15753"/>
    <cellStyle name="Vírgula 2 2 11 3 4 2" xfId="41995"/>
    <cellStyle name="Vírgula 2 2 11 3 5" xfId="35609"/>
    <cellStyle name="Vírgula 2 2 11 4" xfId="6032"/>
    <cellStyle name="Vírgula 2 2 11 4 2" xfId="24624"/>
    <cellStyle name="Vírgula 2 2 11 4 2 2" xfId="50857"/>
    <cellStyle name="Vírgula 2 2 11 4 3" xfId="32277"/>
    <cellStyle name="Vírgula 2 2 11 5" xfId="18710"/>
    <cellStyle name="Vírgula 2 2 11 5 2" xfId="44949"/>
    <cellStyle name="Vírgula 2 2 11 6" xfId="12420"/>
    <cellStyle name="Vírgula 2 2 11 6 2" xfId="38662"/>
    <cellStyle name="Vírgula 2 2 11 7" xfId="30580"/>
    <cellStyle name="Vírgula 2 2 12" xfId="4439"/>
    <cellStyle name="Vírgula 2 2 12 2" xfId="7841"/>
    <cellStyle name="Vírgula 2 2 12 2 2" xfId="10897"/>
    <cellStyle name="Vírgula 2 2 12 2 2 2" xfId="29111"/>
    <cellStyle name="Vírgula 2 2 12 2 2 2 2" xfId="55341"/>
    <cellStyle name="Vírgula 2 2 12 2 2 3" xfId="23197"/>
    <cellStyle name="Vírgula 2 2 12 2 2 3 2" xfId="49433"/>
    <cellStyle name="Vírgula 2 2 12 2 2 4" xfId="17283"/>
    <cellStyle name="Vírgula 2 2 12 2 2 4 2" xfId="43525"/>
    <cellStyle name="Vírgula 2 2 12 2 2 5" xfId="37139"/>
    <cellStyle name="Vírgula 2 2 12 2 3" xfId="26154"/>
    <cellStyle name="Vírgula 2 2 12 2 3 2" xfId="52387"/>
    <cellStyle name="Vírgula 2 2 12 2 4" xfId="20240"/>
    <cellStyle name="Vírgula 2 2 12 2 4 2" xfId="46479"/>
    <cellStyle name="Vírgula 2 2 12 2 5" xfId="14230"/>
    <cellStyle name="Vírgula 2 2 12 2 5 2" xfId="40472"/>
    <cellStyle name="Vírgula 2 2 12 2 6" xfId="34086"/>
    <cellStyle name="Vírgula 2 2 12 3" xfId="9429"/>
    <cellStyle name="Vírgula 2 2 12 3 2" xfId="27643"/>
    <cellStyle name="Vírgula 2 2 12 3 2 2" xfId="53873"/>
    <cellStyle name="Vírgula 2 2 12 3 3" xfId="21729"/>
    <cellStyle name="Vírgula 2 2 12 3 3 2" xfId="47965"/>
    <cellStyle name="Vírgula 2 2 12 3 4" xfId="15815"/>
    <cellStyle name="Vírgula 2 2 12 3 4 2" xfId="42057"/>
    <cellStyle name="Vírgula 2 2 12 3 5" xfId="35671"/>
    <cellStyle name="Vírgula 2 2 12 4" xfId="6141"/>
    <cellStyle name="Vírgula 2 2 12 4 2" xfId="24686"/>
    <cellStyle name="Vírgula 2 2 12 4 2 2" xfId="50919"/>
    <cellStyle name="Vírgula 2 2 12 4 3" xfId="32386"/>
    <cellStyle name="Vírgula 2 2 12 5" xfId="18772"/>
    <cellStyle name="Vírgula 2 2 12 5 2" xfId="45011"/>
    <cellStyle name="Vírgula 2 2 12 6" xfId="12529"/>
    <cellStyle name="Vírgula 2 2 12 6 2" xfId="38771"/>
    <cellStyle name="Vírgula 2 2 12 7" xfId="30688"/>
    <cellStyle name="Vírgula 2 2 13" xfId="4547"/>
    <cellStyle name="Vírgula 2 2 13 2" xfId="7949"/>
    <cellStyle name="Vírgula 2 2 13 2 2" xfId="10959"/>
    <cellStyle name="Vírgula 2 2 13 2 2 2" xfId="29173"/>
    <cellStyle name="Vírgula 2 2 13 2 2 2 2" xfId="55403"/>
    <cellStyle name="Vírgula 2 2 13 2 2 3" xfId="23259"/>
    <cellStyle name="Vírgula 2 2 13 2 2 3 2" xfId="49495"/>
    <cellStyle name="Vírgula 2 2 13 2 2 4" xfId="17345"/>
    <cellStyle name="Vírgula 2 2 13 2 2 4 2" xfId="43587"/>
    <cellStyle name="Vírgula 2 2 13 2 2 5" xfId="37201"/>
    <cellStyle name="Vírgula 2 2 13 2 3" xfId="26216"/>
    <cellStyle name="Vírgula 2 2 13 2 3 2" xfId="52449"/>
    <cellStyle name="Vírgula 2 2 13 2 4" xfId="20302"/>
    <cellStyle name="Vírgula 2 2 13 2 4 2" xfId="46541"/>
    <cellStyle name="Vírgula 2 2 13 2 5" xfId="14338"/>
    <cellStyle name="Vírgula 2 2 13 2 5 2" xfId="40580"/>
    <cellStyle name="Vírgula 2 2 13 2 6" xfId="34194"/>
    <cellStyle name="Vírgula 2 2 13 3" xfId="9491"/>
    <cellStyle name="Vírgula 2 2 13 3 2" xfId="27705"/>
    <cellStyle name="Vírgula 2 2 13 3 2 2" xfId="53935"/>
    <cellStyle name="Vírgula 2 2 13 3 3" xfId="21791"/>
    <cellStyle name="Vírgula 2 2 13 3 3 2" xfId="48027"/>
    <cellStyle name="Vírgula 2 2 13 3 4" xfId="15877"/>
    <cellStyle name="Vírgula 2 2 13 3 4 2" xfId="42119"/>
    <cellStyle name="Vírgula 2 2 13 3 5" xfId="35733"/>
    <cellStyle name="Vírgula 2 2 13 4" xfId="6248"/>
    <cellStyle name="Vírgula 2 2 13 4 2" xfId="24748"/>
    <cellStyle name="Vírgula 2 2 13 4 2 2" xfId="50981"/>
    <cellStyle name="Vírgula 2 2 13 4 3" xfId="32493"/>
    <cellStyle name="Vírgula 2 2 13 5" xfId="18834"/>
    <cellStyle name="Vírgula 2 2 13 5 2" xfId="45073"/>
    <cellStyle name="Vírgula 2 2 13 6" xfId="12637"/>
    <cellStyle name="Vírgula 2 2 13 6 2" xfId="38879"/>
    <cellStyle name="Vírgula 2 2 13 7" xfId="30796"/>
    <cellStyle name="Vírgula 2 2 14" xfId="4807"/>
    <cellStyle name="Vírgula 2 2 14 2" xfId="6508"/>
    <cellStyle name="Vírgula 2 2 14 2 2" xfId="9661"/>
    <cellStyle name="Vírgula 2 2 14 2 2 2" xfId="27875"/>
    <cellStyle name="Vírgula 2 2 14 2 2 2 2" xfId="54105"/>
    <cellStyle name="Vírgula 2 2 14 2 2 3" xfId="21961"/>
    <cellStyle name="Vírgula 2 2 14 2 2 3 2" xfId="48197"/>
    <cellStyle name="Vírgula 2 2 14 2 2 4" xfId="16047"/>
    <cellStyle name="Vírgula 2 2 14 2 2 4 2" xfId="42289"/>
    <cellStyle name="Vírgula 2 2 14 2 2 5" xfId="35903"/>
    <cellStyle name="Vírgula 2 2 14 2 3" xfId="24918"/>
    <cellStyle name="Vírgula 2 2 14 2 3 2" xfId="51151"/>
    <cellStyle name="Vírgula 2 2 14 2 4" xfId="19004"/>
    <cellStyle name="Vírgula 2 2 14 2 4 2" xfId="45243"/>
    <cellStyle name="Vírgula 2 2 14 2 5" xfId="12897"/>
    <cellStyle name="Vírgula 2 2 14 2 5 2" xfId="39139"/>
    <cellStyle name="Vírgula 2 2 14 2 6" xfId="32753"/>
    <cellStyle name="Vírgula 2 2 14 3" xfId="8190"/>
    <cellStyle name="Vírgula 2 2 14 3 2" xfId="26404"/>
    <cellStyle name="Vírgula 2 2 14 3 2 2" xfId="52637"/>
    <cellStyle name="Vírgula 2 2 14 3 3" xfId="20490"/>
    <cellStyle name="Vírgula 2 2 14 3 3 2" xfId="46729"/>
    <cellStyle name="Vírgula 2 2 14 3 4" xfId="14579"/>
    <cellStyle name="Vírgula 2 2 14 3 4 2" xfId="40821"/>
    <cellStyle name="Vírgula 2 2 14 3 5" xfId="34435"/>
    <cellStyle name="Vírgula 2 2 14 4" xfId="23447"/>
    <cellStyle name="Vírgula 2 2 14 4 2" xfId="49683"/>
    <cellStyle name="Vírgula 2 2 14 5" xfId="17533"/>
    <cellStyle name="Vírgula 2 2 14 5 2" xfId="43775"/>
    <cellStyle name="Vírgula 2 2 14 6" xfId="11196"/>
    <cellStyle name="Vírgula 2 2 14 6 2" xfId="37438"/>
    <cellStyle name="Vírgula 2 2 14 7" xfId="31054"/>
    <cellStyle name="Vírgula 2 2 15" xfId="6357"/>
    <cellStyle name="Vírgula 2 2 15 2" xfId="9553"/>
    <cellStyle name="Vírgula 2 2 15 2 2" xfId="27767"/>
    <cellStyle name="Vírgula 2 2 15 2 2 2" xfId="53997"/>
    <cellStyle name="Vírgula 2 2 15 2 3" xfId="21853"/>
    <cellStyle name="Vírgula 2 2 15 2 3 2" xfId="48089"/>
    <cellStyle name="Vírgula 2 2 15 2 4" xfId="15939"/>
    <cellStyle name="Vírgula 2 2 15 2 4 2" xfId="42181"/>
    <cellStyle name="Vírgula 2 2 15 2 5" xfId="35795"/>
    <cellStyle name="Vírgula 2 2 15 3" xfId="24810"/>
    <cellStyle name="Vírgula 2 2 15 3 2" xfId="51043"/>
    <cellStyle name="Vírgula 2 2 15 4" xfId="18896"/>
    <cellStyle name="Vírgula 2 2 15 4 2" xfId="45135"/>
    <cellStyle name="Vírgula 2 2 15 5" xfId="12746"/>
    <cellStyle name="Vírgula 2 2 15 5 2" xfId="38988"/>
    <cellStyle name="Vírgula 2 2 15 6" xfId="32602"/>
    <cellStyle name="Vírgula 2 2 16" xfId="8049"/>
    <cellStyle name="Vírgula 2 2 16 2" xfId="11017"/>
    <cellStyle name="Vírgula 2 2 16 2 2" xfId="29231"/>
    <cellStyle name="Vírgula 2 2 16 2 2 2" xfId="55461"/>
    <cellStyle name="Vírgula 2 2 16 2 3" xfId="23317"/>
    <cellStyle name="Vírgula 2 2 16 2 3 2" xfId="49553"/>
    <cellStyle name="Vírgula 2 2 16 2 4" xfId="17403"/>
    <cellStyle name="Vírgula 2 2 16 2 4 2" xfId="43645"/>
    <cellStyle name="Vírgula 2 2 16 2 5" xfId="37259"/>
    <cellStyle name="Vírgula 2 2 16 3" xfId="26274"/>
    <cellStyle name="Vírgula 2 2 16 3 2" xfId="52507"/>
    <cellStyle name="Vírgula 2 2 16 4" xfId="20360"/>
    <cellStyle name="Vírgula 2 2 16 4 2" xfId="46599"/>
    <cellStyle name="Vírgula 2 2 16 5" xfId="14438"/>
    <cellStyle name="Vírgula 2 2 16 5 2" xfId="40680"/>
    <cellStyle name="Vírgula 2 2 16 6" xfId="34294"/>
    <cellStyle name="Vírgula 2 2 17" xfId="8082"/>
    <cellStyle name="Vírgula 2 2 17 2" xfId="26296"/>
    <cellStyle name="Vírgula 2 2 17 2 2" xfId="52529"/>
    <cellStyle name="Vírgula 2 2 17 3" xfId="20382"/>
    <cellStyle name="Vírgula 2 2 17 3 2" xfId="46621"/>
    <cellStyle name="Vírgula 2 2 17 4" xfId="14471"/>
    <cellStyle name="Vírgula 2 2 17 4 2" xfId="40713"/>
    <cellStyle name="Vírgula 2 2 17 5" xfId="34327"/>
    <cellStyle name="Vírgula 2 2 18" xfId="4655"/>
    <cellStyle name="Vírgula 2 2 18 2" xfId="23339"/>
    <cellStyle name="Vírgula 2 2 18 2 2" xfId="49575"/>
    <cellStyle name="Vírgula 2 2 18 3" xfId="30904"/>
    <cellStyle name="Vírgula 2 2 19" xfId="17425"/>
    <cellStyle name="Vírgula 2 2 19 2" xfId="43667"/>
    <cellStyle name="Vírgula 2 2 2" xfId="39"/>
    <cellStyle name="Vírgula 2 2 2 10" xfId="4552"/>
    <cellStyle name="Vírgula 2 2 2 10 2" xfId="7954"/>
    <cellStyle name="Vírgula 2 2 2 10 2 2" xfId="10962"/>
    <cellStyle name="Vírgula 2 2 2 10 2 2 2" xfId="29176"/>
    <cellStyle name="Vírgula 2 2 2 10 2 2 2 2" xfId="55406"/>
    <cellStyle name="Vírgula 2 2 2 10 2 2 3" xfId="23262"/>
    <cellStyle name="Vírgula 2 2 2 10 2 2 3 2" xfId="49498"/>
    <cellStyle name="Vírgula 2 2 2 10 2 2 4" xfId="17348"/>
    <cellStyle name="Vírgula 2 2 2 10 2 2 4 2" xfId="43590"/>
    <cellStyle name="Vírgula 2 2 2 10 2 2 5" xfId="37204"/>
    <cellStyle name="Vírgula 2 2 2 10 2 3" xfId="26219"/>
    <cellStyle name="Vírgula 2 2 2 10 2 3 2" xfId="52452"/>
    <cellStyle name="Vírgula 2 2 2 10 2 4" xfId="20305"/>
    <cellStyle name="Vírgula 2 2 2 10 2 4 2" xfId="46544"/>
    <cellStyle name="Vírgula 2 2 2 10 2 5" xfId="14343"/>
    <cellStyle name="Vírgula 2 2 2 10 2 5 2" xfId="40585"/>
    <cellStyle name="Vírgula 2 2 2 10 2 6" xfId="34199"/>
    <cellStyle name="Vírgula 2 2 2 10 3" xfId="9494"/>
    <cellStyle name="Vírgula 2 2 2 10 3 2" xfId="27708"/>
    <cellStyle name="Vírgula 2 2 2 10 3 2 2" xfId="53938"/>
    <cellStyle name="Vírgula 2 2 2 10 3 3" xfId="21794"/>
    <cellStyle name="Vírgula 2 2 2 10 3 3 2" xfId="48030"/>
    <cellStyle name="Vírgula 2 2 2 10 3 4" xfId="15880"/>
    <cellStyle name="Vírgula 2 2 2 10 3 4 2" xfId="42122"/>
    <cellStyle name="Vírgula 2 2 2 10 3 5" xfId="35736"/>
    <cellStyle name="Vírgula 2 2 2 10 4" xfId="6253"/>
    <cellStyle name="Vírgula 2 2 2 10 4 2" xfId="24751"/>
    <cellStyle name="Vírgula 2 2 2 10 4 2 2" xfId="50984"/>
    <cellStyle name="Vírgula 2 2 2 10 4 3" xfId="32498"/>
    <cellStyle name="Vírgula 2 2 2 10 5" xfId="18837"/>
    <cellStyle name="Vírgula 2 2 2 10 5 2" xfId="45076"/>
    <cellStyle name="Vírgula 2 2 2 10 6" xfId="12642"/>
    <cellStyle name="Vírgula 2 2 2 10 6 2" xfId="38884"/>
    <cellStyle name="Vírgula 2 2 2 10 7" xfId="30801"/>
    <cellStyle name="Vírgula 2 2 2 11" xfId="4942"/>
    <cellStyle name="Vírgula 2 2 2 11 2" xfId="6641"/>
    <cellStyle name="Vírgula 2 2 2 11 2 2" xfId="9788"/>
    <cellStyle name="Vírgula 2 2 2 11 2 2 2" xfId="28002"/>
    <cellStyle name="Vírgula 2 2 2 11 2 2 2 2" xfId="54232"/>
    <cellStyle name="Vírgula 2 2 2 11 2 2 3" xfId="22088"/>
    <cellStyle name="Vírgula 2 2 2 11 2 2 3 2" xfId="48324"/>
    <cellStyle name="Vírgula 2 2 2 11 2 2 4" xfId="16174"/>
    <cellStyle name="Vírgula 2 2 2 11 2 2 4 2" xfId="42416"/>
    <cellStyle name="Vírgula 2 2 2 11 2 2 5" xfId="36030"/>
    <cellStyle name="Vírgula 2 2 2 11 2 3" xfId="25045"/>
    <cellStyle name="Vírgula 2 2 2 11 2 3 2" xfId="51278"/>
    <cellStyle name="Vírgula 2 2 2 11 2 4" xfId="19131"/>
    <cellStyle name="Vírgula 2 2 2 11 2 4 2" xfId="45370"/>
    <cellStyle name="Vírgula 2 2 2 11 2 5" xfId="13030"/>
    <cellStyle name="Vírgula 2 2 2 11 2 5 2" xfId="39272"/>
    <cellStyle name="Vírgula 2 2 2 11 2 6" xfId="32886"/>
    <cellStyle name="Vírgula 2 2 2 11 3" xfId="8320"/>
    <cellStyle name="Vírgula 2 2 2 11 3 2" xfId="26534"/>
    <cellStyle name="Vírgula 2 2 2 11 3 2 2" xfId="52764"/>
    <cellStyle name="Vírgula 2 2 2 11 3 3" xfId="20620"/>
    <cellStyle name="Vírgula 2 2 2 11 3 3 2" xfId="46856"/>
    <cellStyle name="Vírgula 2 2 2 11 3 4" xfId="14706"/>
    <cellStyle name="Vírgula 2 2 2 11 3 4 2" xfId="40948"/>
    <cellStyle name="Vírgula 2 2 2 11 3 5" xfId="34562"/>
    <cellStyle name="Vírgula 2 2 2 11 4" xfId="23577"/>
    <cellStyle name="Vírgula 2 2 2 11 4 2" xfId="49810"/>
    <cellStyle name="Vírgula 2 2 2 11 5" xfId="17663"/>
    <cellStyle name="Vírgula 2 2 2 11 5 2" xfId="43902"/>
    <cellStyle name="Vírgula 2 2 2 11 6" xfId="11329"/>
    <cellStyle name="Vírgula 2 2 2 11 6 2" xfId="37571"/>
    <cellStyle name="Vírgula 2 2 2 11 7" xfId="31187"/>
    <cellStyle name="Vírgula 2 2 2 12" xfId="6362"/>
    <cellStyle name="Vírgula 2 2 2 12 2" xfId="9556"/>
    <cellStyle name="Vírgula 2 2 2 12 2 2" xfId="27770"/>
    <cellStyle name="Vírgula 2 2 2 12 2 2 2" xfId="54000"/>
    <cellStyle name="Vírgula 2 2 2 12 2 3" xfId="21856"/>
    <cellStyle name="Vírgula 2 2 2 12 2 3 2" xfId="48092"/>
    <cellStyle name="Vírgula 2 2 2 12 2 4" xfId="15942"/>
    <cellStyle name="Vírgula 2 2 2 12 2 4 2" xfId="42184"/>
    <cellStyle name="Vírgula 2 2 2 12 2 5" xfId="35798"/>
    <cellStyle name="Vírgula 2 2 2 12 3" xfId="24813"/>
    <cellStyle name="Vírgula 2 2 2 12 3 2" xfId="51046"/>
    <cellStyle name="Vírgula 2 2 2 12 4" xfId="18899"/>
    <cellStyle name="Vírgula 2 2 2 12 4 2" xfId="45138"/>
    <cellStyle name="Vírgula 2 2 2 12 5" xfId="12751"/>
    <cellStyle name="Vírgula 2 2 2 12 5 2" xfId="38993"/>
    <cellStyle name="Vírgula 2 2 2 12 6" xfId="32607"/>
    <cellStyle name="Vírgula 2 2 2 13" xfId="8054"/>
    <cellStyle name="Vírgula 2 2 2 13 2" xfId="11020"/>
    <cellStyle name="Vírgula 2 2 2 13 2 2" xfId="29234"/>
    <cellStyle name="Vírgula 2 2 2 13 2 2 2" xfId="55464"/>
    <cellStyle name="Vírgula 2 2 2 13 2 3" xfId="23320"/>
    <cellStyle name="Vírgula 2 2 2 13 2 3 2" xfId="49556"/>
    <cellStyle name="Vírgula 2 2 2 13 2 4" xfId="17406"/>
    <cellStyle name="Vírgula 2 2 2 13 2 4 2" xfId="43648"/>
    <cellStyle name="Vírgula 2 2 2 13 2 5" xfId="37262"/>
    <cellStyle name="Vírgula 2 2 2 13 3" xfId="26277"/>
    <cellStyle name="Vírgula 2 2 2 13 3 2" xfId="52510"/>
    <cellStyle name="Vírgula 2 2 2 13 4" xfId="20363"/>
    <cellStyle name="Vírgula 2 2 2 13 4 2" xfId="46602"/>
    <cellStyle name="Vírgula 2 2 2 13 5" xfId="14443"/>
    <cellStyle name="Vírgula 2 2 2 13 5 2" xfId="40685"/>
    <cellStyle name="Vírgula 2 2 2 13 6" xfId="34299"/>
    <cellStyle name="Vírgula 2 2 2 14" xfId="8085"/>
    <cellStyle name="Vírgula 2 2 2 14 2" xfId="26299"/>
    <cellStyle name="Vírgula 2 2 2 14 2 2" xfId="52532"/>
    <cellStyle name="Vírgula 2 2 2 14 3" xfId="20385"/>
    <cellStyle name="Vírgula 2 2 2 14 3 2" xfId="46624"/>
    <cellStyle name="Vírgula 2 2 2 14 4" xfId="14474"/>
    <cellStyle name="Vírgula 2 2 2 14 4 2" xfId="40716"/>
    <cellStyle name="Vírgula 2 2 2 14 5" xfId="34330"/>
    <cellStyle name="Vírgula 2 2 2 15" xfId="4660"/>
    <cellStyle name="Vírgula 2 2 2 15 2" xfId="23342"/>
    <cellStyle name="Vírgula 2 2 2 15 2 2" xfId="49578"/>
    <cellStyle name="Vírgula 2 2 2 15 3" xfId="30909"/>
    <cellStyle name="Vírgula 2 2 2 16" xfId="17428"/>
    <cellStyle name="Vírgula 2 2 2 16 2" xfId="43670"/>
    <cellStyle name="Vírgula 2 2 2 17" xfId="11051"/>
    <cellStyle name="Vírgula 2 2 2 17 2" xfId="37293"/>
    <cellStyle name="Vírgula 2 2 2 18" xfId="706"/>
    <cellStyle name="Vírgula 2 2 2 18 2" xfId="29489"/>
    <cellStyle name="Vírgula 2 2 2 19" xfId="29285"/>
    <cellStyle name="Vírgula 2 2 2 2" xfId="2041"/>
    <cellStyle name="Vírgula 2 2 2 2 10" xfId="8094"/>
    <cellStyle name="Vírgula 2 2 2 2 10 2" xfId="26308"/>
    <cellStyle name="Vírgula 2 2 2 2 10 2 2" xfId="52541"/>
    <cellStyle name="Vírgula 2 2 2 2 10 3" xfId="20394"/>
    <cellStyle name="Vírgula 2 2 2 2 10 3 2" xfId="46633"/>
    <cellStyle name="Vírgula 2 2 2 2 10 4" xfId="14483"/>
    <cellStyle name="Vírgula 2 2 2 2 10 4 2" xfId="40725"/>
    <cellStyle name="Vírgula 2 2 2 2 10 5" xfId="34339"/>
    <cellStyle name="Vírgula 2 2 2 2 11" xfId="4675"/>
    <cellStyle name="Vírgula 2 2 2 2 11 2" xfId="23351"/>
    <cellStyle name="Vírgula 2 2 2 2 11 2 2" xfId="49587"/>
    <cellStyle name="Vírgula 2 2 2 2 11 3" xfId="30924"/>
    <cellStyle name="Vírgula 2 2 2 2 12" xfId="17437"/>
    <cellStyle name="Vírgula 2 2 2 2 12 2" xfId="43679"/>
    <cellStyle name="Vírgula 2 2 2 2 13" xfId="11066"/>
    <cellStyle name="Vírgula 2 2 2 2 13 2" xfId="37308"/>
    <cellStyle name="Vírgula 2 2 2 2 14" xfId="29875"/>
    <cellStyle name="Vírgula 2 2 2 2 2" xfId="4310"/>
    <cellStyle name="Vírgula 2 2 2 2 2 10" xfId="11101"/>
    <cellStyle name="Vírgula 2 2 2 2 2 10 2" xfId="37343"/>
    <cellStyle name="Vírgula 2 2 2 2 2 11" xfId="30559"/>
    <cellStyle name="Vírgula 2 2 2 2 2 2" xfId="4387"/>
    <cellStyle name="Vírgula 2 2 2 2 2 2 2" xfId="7788"/>
    <cellStyle name="Vírgula 2 2 2 2 2 2 2 2" xfId="10867"/>
    <cellStyle name="Vírgula 2 2 2 2 2 2 2 2 2" xfId="29081"/>
    <cellStyle name="Vírgula 2 2 2 2 2 2 2 2 2 2" xfId="55311"/>
    <cellStyle name="Vírgula 2 2 2 2 2 2 2 2 3" xfId="23167"/>
    <cellStyle name="Vírgula 2 2 2 2 2 2 2 2 3 2" xfId="49403"/>
    <cellStyle name="Vírgula 2 2 2 2 2 2 2 2 4" xfId="17253"/>
    <cellStyle name="Vírgula 2 2 2 2 2 2 2 2 4 2" xfId="43495"/>
    <cellStyle name="Vírgula 2 2 2 2 2 2 2 2 5" xfId="37109"/>
    <cellStyle name="Vírgula 2 2 2 2 2 2 2 3" xfId="26124"/>
    <cellStyle name="Vírgula 2 2 2 2 2 2 2 3 2" xfId="52357"/>
    <cellStyle name="Vírgula 2 2 2 2 2 2 2 4" xfId="20210"/>
    <cellStyle name="Vírgula 2 2 2 2 2 2 2 4 2" xfId="46449"/>
    <cellStyle name="Vírgula 2 2 2 2 2 2 2 5" xfId="14177"/>
    <cellStyle name="Vírgula 2 2 2 2 2 2 2 5 2" xfId="40419"/>
    <cellStyle name="Vírgula 2 2 2 2 2 2 2 6" xfId="34033"/>
    <cellStyle name="Vírgula 2 2 2 2 2 2 3" xfId="9399"/>
    <cellStyle name="Vírgula 2 2 2 2 2 2 3 2" xfId="27613"/>
    <cellStyle name="Vírgula 2 2 2 2 2 2 3 2 2" xfId="53843"/>
    <cellStyle name="Vírgula 2 2 2 2 2 2 3 3" xfId="21699"/>
    <cellStyle name="Vírgula 2 2 2 2 2 2 3 3 2" xfId="47935"/>
    <cellStyle name="Vírgula 2 2 2 2 2 2 3 4" xfId="15785"/>
    <cellStyle name="Vírgula 2 2 2 2 2 2 3 4 2" xfId="42027"/>
    <cellStyle name="Vírgula 2 2 2 2 2 2 3 5" xfId="35641"/>
    <cellStyle name="Vírgula 2 2 2 2 2 2 4" xfId="6088"/>
    <cellStyle name="Vírgula 2 2 2 2 2 2 4 2" xfId="24656"/>
    <cellStyle name="Vírgula 2 2 2 2 2 2 4 2 2" xfId="50889"/>
    <cellStyle name="Vírgula 2 2 2 2 2 2 4 3" xfId="32333"/>
    <cellStyle name="Vírgula 2 2 2 2 2 2 5" xfId="18742"/>
    <cellStyle name="Vírgula 2 2 2 2 2 2 5 2" xfId="44981"/>
    <cellStyle name="Vírgula 2 2 2 2 2 2 6" xfId="12476"/>
    <cellStyle name="Vírgula 2 2 2 2 2 2 6 2" xfId="38718"/>
    <cellStyle name="Vírgula 2 2 2 2 2 2 7" xfId="30636"/>
    <cellStyle name="Vírgula 2 2 2 2 2 3" xfId="4495"/>
    <cellStyle name="Vírgula 2 2 2 2 2 3 2" xfId="7897"/>
    <cellStyle name="Vírgula 2 2 2 2 2 3 2 2" xfId="10929"/>
    <cellStyle name="Vírgula 2 2 2 2 2 3 2 2 2" xfId="29143"/>
    <cellStyle name="Vírgula 2 2 2 2 2 3 2 2 2 2" xfId="55373"/>
    <cellStyle name="Vírgula 2 2 2 2 2 3 2 2 3" xfId="23229"/>
    <cellStyle name="Vírgula 2 2 2 2 2 3 2 2 3 2" xfId="49465"/>
    <cellStyle name="Vírgula 2 2 2 2 2 3 2 2 4" xfId="17315"/>
    <cellStyle name="Vírgula 2 2 2 2 2 3 2 2 4 2" xfId="43557"/>
    <cellStyle name="Vírgula 2 2 2 2 2 3 2 2 5" xfId="37171"/>
    <cellStyle name="Vírgula 2 2 2 2 2 3 2 3" xfId="26186"/>
    <cellStyle name="Vírgula 2 2 2 2 2 3 2 3 2" xfId="52419"/>
    <cellStyle name="Vírgula 2 2 2 2 2 3 2 4" xfId="20272"/>
    <cellStyle name="Vírgula 2 2 2 2 2 3 2 4 2" xfId="46511"/>
    <cellStyle name="Vírgula 2 2 2 2 2 3 2 5" xfId="14286"/>
    <cellStyle name="Vírgula 2 2 2 2 2 3 2 5 2" xfId="40528"/>
    <cellStyle name="Vírgula 2 2 2 2 2 3 2 6" xfId="34142"/>
    <cellStyle name="Vírgula 2 2 2 2 2 3 3" xfId="9461"/>
    <cellStyle name="Vírgula 2 2 2 2 2 3 3 2" xfId="27675"/>
    <cellStyle name="Vírgula 2 2 2 2 2 3 3 2 2" xfId="53905"/>
    <cellStyle name="Vírgula 2 2 2 2 2 3 3 3" xfId="21761"/>
    <cellStyle name="Vírgula 2 2 2 2 2 3 3 3 2" xfId="47997"/>
    <cellStyle name="Vírgula 2 2 2 2 2 3 3 4" xfId="15847"/>
    <cellStyle name="Vírgula 2 2 2 2 2 3 3 4 2" xfId="42089"/>
    <cellStyle name="Vírgula 2 2 2 2 2 3 3 5" xfId="35703"/>
    <cellStyle name="Vírgula 2 2 2 2 2 3 4" xfId="6197"/>
    <cellStyle name="Vírgula 2 2 2 2 2 3 4 2" xfId="24718"/>
    <cellStyle name="Vírgula 2 2 2 2 2 3 4 2 2" xfId="50951"/>
    <cellStyle name="Vírgula 2 2 2 2 2 3 4 3" xfId="32442"/>
    <cellStyle name="Vírgula 2 2 2 2 2 3 5" xfId="18804"/>
    <cellStyle name="Vírgula 2 2 2 2 2 3 5 2" xfId="45043"/>
    <cellStyle name="Vírgula 2 2 2 2 2 3 6" xfId="12585"/>
    <cellStyle name="Vírgula 2 2 2 2 2 3 6 2" xfId="38827"/>
    <cellStyle name="Vírgula 2 2 2 2 2 3 7" xfId="30744"/>
    <cellStyle name="Vírgula 2 2 2 2 2 4" xfId="4603"/>
    <cellStyle name="Vírgula 2 2 2 2 2 4 2" xfId="8005"/>
    <cellStyle name="Vírgula 2 2 2 2 2 4 2 2" xfId="10991"/>
    <cellStyle name="Vírgula 2 2 2 2 2 4 2 2 2" xfId="29205"/>
    <cellStyle name="Vírgula 2 2 2 2 2 4 2 2 2 2" xfId="55435"/>
    <cellStyle name="Vírgula 2 2 2 2 2 4 2 2 3" xfId="23291"/>
    <cellStyle name="Vírgula 2 2 2 2 2 4 2 2 3 2" xfId="49527"/>
    <cellStyle name="Vírgula 2 2 2 2 2 4 2 2 4" xfId="17377"/>
    <cellStyle name="Vírgula 2 2 2 2 2 4 2 2 4 2" xfId="43619"/>
    <cellStyle name="Vírgula 2 2 2 2 2 4 2 2 5" xfId="37233"/>
    <cellStyle name="Vírgula 2 2 2 2 2 4 2 3" xfId="26248"/>
    <cellStyle name="Vírgula 2 2 2 2 2 4 2 3 2" xfId="52481"/>
    <cellStyle name="Vírgula 2 2 2 2 2 4 2 4" xfId="20334"/>
    <cellStyle name="Vírgula 2 2 2 2 2 4 2 4 2" xfId="46573"/>
    <cellStyle name="Vírgula 2 2 2 2 2 4 2 5" xfId="14394"/>
    <cellStyle name="Vírgula 2 2 2 2 2 4 2 5 2" xfId="40636"/>
    <cellStyle name="Vírgula 2 2 2 2 2 4 2 6" xfId="34250"/>
    <cellStyle name="Vírgula 2 2 2 2 2 4 3" xfId="9523"/>
    <cellStyle name="Vírgula 2 2 2 2 2 4 3 2" xfId="27737"/>
    <cellStyle name="Vírgula 2 2 2 2 2 4 3 2 2" xfId="53967"/>
    <cellStyle name="Vírgula 2 2 2 2 2 4 3 3" xfId="21823"/>
    <cellStyle name="Vírgula 2 2 2 2 2 4 3 3 2" xfId="48059"/>
    <cellStyle name="Vírgula 2 2 2 2 2 4 3 4" xfId="15909"/>
    <cellStyle name="Vírgula 2 2 2 2 2 4 3 4 2" xfId="42151"/>
    <cellStyle name="Vírgula 2 2 2 2 2 4 3 5" xfId="35765"/>
    <cellStyle name="Vírgula 2 2 2 2 2 4 4" xfId="6304"/>
    <cellStyle name="Vírgula 2 2 2 2 2 4 4 2" xfId="24780"/>
    <cellStyle name="Vírgula 2 2 2 2 2 4 4 2 2" xfId="51013"/>
    <cellStyle name="Vírgula 2 2 2 2 2 4 4 3" xfId="32549"/>
    <cellStyle name="Vírgula 2 2 2 2 2 4 5" xfId="18866"/>
    <cellStyle name="Vírgula 2 2 2 2 2 4 5 2" xfId="45105"/>
    <cellStyle name="Vírgula 2 2 2 2 2 4 6" xfId="12693"/>
    <cellStyle name="Vírgula 2 2 2 2 2 4 6 2" xfId="38935"/>
    <cellStyle name="Vírgula 2 2 2 2 2 4 7" xfId="30852"/>
    <cellStyle name="Vírgula 2 2 2 2 2 5" xfId="6011"/>
    <cellStyle name="Vírgula 2 2 2 2 2 5 2" xfId="7711"/>
    <cellStyle name="Vírgula 2 2 2 2 2 5 2 2" xfId="10824"/>
    <cellStyle name="Vírgula 2 2 2 2 2 5 2 2 2" xfId="29038"/>
    <cellStyle name="Vírgula 2 2 2 2 2 5 2 2 2 2" xfId="55268"/>
    <cellStyle name="Vírgula 2 2 2 2 2 5 2 2 3" xfId="23124"/>
    <cellStyle name="Vírgula 2 2 2 2 2 5 2 2 3 2" xfId="49360"/>
    <cellStyle name="Vírgula 2 2 2 2 2 5 2 2 4" xfId="17210"/>
    <cellStyle name="Vírgula 2 2 2 2 2 5 2 2 4 2" xfId="43452"/>
    <cellStyle name="Vírgula 2 2 2 2 2 5 2 2 5" xfId="37066"/>
    <cellStyle name="Vírgula 2 2 2 2 2 5 2 3" xfId="26081"/>
    <cellStyle name="Vírgula 2 2 2 2 2 5 2 3 2" xfId="52314"/>
    <cellStyle name="Vírgula 2 2 2 2 2 5 2 4" xfId="20167"/>
    <cellStyle name="Vírgula 2 2 2 2 2 5 2 4 2" xfId="46406"/>
    <cellStyle name="Vírgula 2 2 2 2 2 5 2 5" xfId="14100"/>
    <cellStyle name="Vírgula 2 2 2 2 2 5 2 5 2" xfId="40342"/>
    <cellStyle name="Vírgula 2 2 2 2 2 5 2 6" xfId="33956"/>
    <cellStyle name="Vírgula 2 2 2 2 2 5 3" xfId="9356"/>
    <cellStyle name="Vírgula 2 2 2 2 2 5 3 2" xfId="27570"/>
    <cellStyle name="Vírgula 2 2 2 2 2 5 3 2 2" xfId="53800"/>
    <cellStyle name="Vírgula 2 2 2 2 2 5 3 3" xfId="21656"/>
    <cellStyle name="Vírgula 2 2 2 2 2 5 3 3 2" xfId="47892"/>
    <cellStyle name="Vírgula 2 2 2 2 2 5 3 4" xfId="15742"/>
    <cellStyle name="Vírgula 2 2 2 2 2 5 3 4 2" xfId="41984"/>
    <cellStyle name="Vírgula 2 2 2 2 2 5 3 5" xfId="35598"/>
    <cellStyle name="Vírgula 2 2 2 2 2 5 4" xfId="24613"/>
    <cellStyle name="Vírgula 2 2 2 2 2 5 4 2" xfId="50846"/>
    <cellStyle name="Vírgula 2 2 2 2 2 5 5" xfId="18699"/>
    <cellStyle name="Vírgula 2 2 2 2 2 5 5 2" xfId="44938"/>
    <cellStyle name="Vírgula 2 2 2 2 2 5 6" xfId="12399"/>
    <cellStyle name="Vírgula 2 2 2 2 2 5 6 2" xfId="38641"/>
    <cellStyle name="Vírgula 2 2 2 2 2 5 7" xfId="32256"/>
    <cellStyle name="Vírgula 2 2 2 2 2 6" xfId="6413"/>
    <cellStyle name="Vírgula 2 2 2 2 2 6 2" xfId="9585"/>
    <cellStyle name="Vírgula 2 2 2 2 2 6 2 2" xfId="27799"/>
    <cellStyle name="Vírgula 2 2 2 2 2 6 2 2 2" xfId="54029"/>
    <cellStyle name="Vírgula 2 2 2 2 2 6 2 3" xfId="21885"/>
    <cellStyle name="Vírgula 2 2 2 2 2 6 2 3 2" xfId="48121"/>
    <cellStyle name="Vírgula 2 2 2 2 2 6 2 4" xfId="15971"/>
    <cellStyle name="Vírgula 2 2 2 2 2 6 2 4 2" xfId="42213"/>
    <cellStyle name="Vírgula 2 2 2 2 2 6 2 5" xfId="35827"/>
    <cellStyle name="Vírgula 2 2 2 2 2 6 3" xfId="24842"/>
    <cellStyle name="Vírgula 2 2 2 2 2 6 3 2" xfId="51075"/>
    <cellStyle name="Vírgula 2 2 2 2 2 6 4" xfId="18928"/>
    <cellStyle name="Vírgula 2 2 2 2 2 6 4 2" xfId="45167"/>
    <cellStyle name="Vírgula 2 2 2 2 2 6 5" xfId="12802"/>
    <cellStyle name="Vírgula 2 2 2 2 2 6 5 2" xfId="39044"/>
    <cellStyle name="Vírgula 2 2 2 2 2 6 6" xfId="32658"/>
    <cellStyle name="Vírgula 2 2 2 2 2 7" xfId="8114"/>
    <cellStyle name="Vírgula 2 2 2 2 2 7 2" xfId="26328"/>
    <cellStyle name="Vírgula 2 2 2 2 2 7 2 2" xfId="52561"/>
    <cellStyle name="Vírgula 2 2 2 2 2 7 3" xfId="20414"/>
    <cellStyle name="Vírgula 2 2 2 2 2 7 3 2" xfId="46653"/>
    <cellStyle name="Vírgula 2 2 2 2 2 7 4" xfId="14503"/>
    <cellStyle name="Vírgula 2 2 2 2 2 7 4 2" xfId="40745"/>
    <cellStyle name="Vírgula 2 2 2 2 2 7 5" xfId="34359"/>
    <cellStyle name="Vírgula 2 2 2 2 2 8" xfId="4710"/>
    <cellStyle name="Vírgula 2 2 2 2 2 8 2" xfId="23371"/>
    <cellStyle name="Vírgula 2 2 2 2 2 8 2 2" xfId="49607"/>
    <cellStyle name="Vírgula 2 2 2 2 2 8 3" xfId="30959"/>
    <cellStyle name="Vírgula 2 2 2 2 2 9" xfId="17457"/>
    <cellStyle name="Vírgula 2 2 2 2 2 9 2" xfId="43699"/>
    <cellStyle name="Vírgula 2 2 2 2 3" xfId="4275"/>
    <cellStyle name="Vírgula 2 2 2 2 3 10" xfId="11134"/>
    <cellStyle name="Vírgula 2 2 2 2 3 10 2" xfId="37376"/>
    <cellStyle name="Vírgula 2 2 2 2 3 11" xfId="30524"/>
    <cellStyle name="Vírgula 2 2 2 2 3 2" xfId="4419"/>
    <cellStyle name="Vírgula 2 2 2 2 3 2 2" xfId="7821"/>
    <cellStyle name="Vírgula 2 2 2 2 3 2 2 2" xfId="10886"/>
    <cellStyle name="Vírgula 2 2 2 2 3 2 2 2 2" xfId="29100"/>
    <cellStyle name="Vírgula 2 2 2 2 3 2 2 2 2 2" xfId="55330"/>
    <cellStyle name="Vírgula 2 2 2 2 3 2 2 2 3" xfId="23186"/>
    <cellStyle name="Vírgula 2 2 2 2 3 2 2 2 3 2" xfId="49422"/>
    <cellStyle name="Vírgula 2 2 2 2 3 2 2 2 4" xfId="17272"/>
    <cellStyle name="Vírgula 2 2 2 2 3 2 2 2 4 2" xfId="43514"/>
    <cellStyle name="Vírgula 2 2 2 2 3 2 2 2 5" xfId="37128"/>
    <cellStyle name="Vírgula 2 2 2 2 3 2 2 3" xfId="26143"/>
    <cellStyle name="Vírgula 2 2 2 2 3 2 2 3 2" xfId="52376"/>
    <cellStyle name="Vírgula 2 2 2 2 3 2 2 4" xfId="20229"/>
    <cellStyle name="Vírgula 2 2 2 2 3 2 2 4 2" xfId="46468"/>
    <cellStyle name="Vírgula 2 2 2 2 3 2 2 5" xfId="14210"/>
    <cellStyle name="Vírgula 2 2 2 2 3 2 2 5 2" xfId="40452"/>
    <cellStyle name="Vírgula 2 2 2 2 3 2 2 6" xfId="34066"/>
    <cellStyle name="Vírgula 2 2 2 2 3 2 3" xfId="9418"/>
    <cellStyle name="Vírgula 2 2 2 2 3 2 3 2" xfId="27632"/>
    <cellStyle name="Vírgula 2 2 2 2 3 2 3 2 2" xfId="53862"/>
    <cellStyle name="Vírgula 2 2 2 2 3 2 3 3" xfId="21718"/>
    <cellStyle name="Vírgula 2 2 2 2 3 2 3 3 2" xfId="47954"/>
    <cellStyle name="Vírgula 2 2 2 2 3 2 3 4" xfId="15804"/>
    <cellStyle name="Vírgula 2 2 2 2 3 2 3 4 2" xfId="42046"/>
    <cellStyle name="Vírgula 2 2 2 2 3 2 3 5" xfId="35660"/>
    <cellStyle name="Vírgula 2 2 2 2 3 2 4" xfId="6121"/>
    <cellStyle name="Vírgula 2 2 2 2 3 2 4 2" xfId="24675"/>
    <cellStyle name="Vírgula 2 2 2 2 3 2 4 2 2" xfId="50908"/>
    <cellStyle name="Vírgula 2 2 2 2 3 2 4 3" xfId="32366"/>
    <cellStyle name="Vírgula 2 2 2 2 3 2 5" xfId="18761"/>
    <cellStyle name="Vírgula 2 2 2 2 3 2 5 2" xfId="45000"/>
    <cellStyle name="Vírgula 2 2 2 2 3 2 6" xfId="12509"/>
    <cellStyle name="Vírgula 2 2 2 2 3 2 6 2" xfId="38751"/>
    <cellStyle name="Vírgula 2 2 2 2 3 2 7" xfId="30668"/>
    <cellStyle name="Vírgula 2 2 2 2 3 3" xfId="4527"/>
    <cellStyle name="Vírgula 2 2 2 2 3 3 2" xfId="7929"/>
    <cellStyle name="Vírgula 2 2 2 2 3 3 2 2" xfId="10948"/>
    <cellStyle name="Vírgula 2 2 2 2 3 3 2 2 2" xfId="29162"/>
    <cellStyle name="Vírgula 2 2 2 2 3 3 2 2 2 2" xfId="55392"/>
    <cellStyle name="Vírgula 2 2 2 2 3 3 2 2 3" xfId="23248"/>
    <cellStyle name="Vírgula 2 2 2 2 3 3 2 2 3 2" xfId="49484"/>
    <cellStyle name="Vírgula 2 2 2 2 3 3 2 2 4" xfId="17334"/>
    <cellStyle name="Vírgula 2 2 2 2 3 3 2 2 4 2" xfId="43576"/>
    <cellStyle name="Vírgula 2 2 2 2 3 3 2 2 5" xfId="37190"/>
    <cellStyle name="Vírgula 2 2 2 2 3 3 2 3" xfId="26205"/>
    <cellStyle name="Vírgula 2 2 2 2 3 3 2 3 2" xfId="52438"/>
    <cellStyle name="Vírgula 2 2 2 2 3 3 2 4" xfId="20291"/>
    <cellStyle name="Vírgula 2 2 2 2 3 3 2 4 2" xfId="46530"/>
    <cellStyle name="Vírgula 2 2 2 2 3 3 2 5" xfId="14318"/>
    <cellStyle name="Vírgula 2 2 2 2 3 3 2 5 2" xfId="40560"/>
    <cellStyle name="Vírgula 2 2 2 2 3 3 2 6" xfId="34174"/>
    <cellStyle name="Vírgula 2 2 2 2 3 3 3" xfId="9480"/>
    <cellStyle name="Vírgula 2 2 2 2 3 3 3 2" xfId="27694"/>
    <cellStyle name="Vírgula 2 2 2 2 3 3 3 2 2" xfId="53924"/>
    <cellStyle name="Vírgula 2 2 2 2 3 3 3 3" xfId="21780"/>
    <cellStyle name="Vírgula 2 2 2 2 3 3 3 3 2" xfId="48016"/>
    <cellStyle name="Vírgula 2 2 2 2 3 3 3 4" xfId="15866"/>
    <cellStyle name="Vírgula 2 2 2 2 3 3 3 4 2" xfId="42108"/>
    <cellStyle name="Vírgula 2 2 2 2 3 3 3 5" xfId="35722"/>
    <cellStyle name="Vírgula 2 2 2 2 3 3 4" xfId="6228"/>
    <cellStyle name="Vírgula 2 2 2 2 3 3 4 2" xfId="24737"/>
    <cellStyle name="Vírgula 2 2 2 2 3 3 4 2 2" xfId="50970"/>
    <cellStyle name="Vírgula 2 2 2 2 3 3 4 3" xfId="32473"/>
    <cellStyle name="Vírgula 2 2 2 2 3 3 5" xfId="18823"/>
    <cellStyle name="Vírgula 2 2 2 2 3 3 5 2" xfId="45062"/>
    <cellStyle name="Vírgula 2 2 2 2 3 3 6" xfId="12617"/>
    <cellStyle name="Vírgula 2 2 2 2 3 3 6 2" xfId="38859"/>
    <cellStyle name="Vírgula 2 2 2 2 3 3 7" xfId="30776"/>
    <cellStyle name="Vírgula 2 2 2 2 3 4" xfId="4635"/>
    <cellStyle name="Vírgula 2 2 2 2 3 4 2" xfId="8038"/>
    <cellStyle name="Vírgula 2 2 2 2 3 4 2 2" xfId="11010"/>
    <cellStyle name="Vírgula 2 2 2 2 3 4 2 2 2" xfId="29224"/>
    <cellStyle name="Vírgula 2 2 2 2 3 4 2 2 2 2" xfId="55454"/>
    <cellStyle name="Vírgula 2 2 2 2 3 4 2 2 3" xfId="23310"/>
    <cellStyle name="Vírgula 2 2 2 2 3 4 2 2 3 2" xfId="49546"/>
    <cellStyle name="Vírgula 2 2 2 2 3 4 2 2 4" xfId="17396"/>
    <cellStyle name="Vírgula 2 2 2 2 3 4 2 2 4 2" xfId="43638"/>
    <cellStyle name="Vírgula 2 2 2 2 3 4 2 2 5" xfId="37252"/>
    <cellStyle name="Vírgula 2 2 2 2 3 4 2 3" xfId="26267"/>
    <cellStyle name="Vírgula 2 2 2 2 3 4 2 3 2" xfId="52500"/>
    <cellStyle name="Vírgula 2 2 2 2 3 4 2 4" xfId="20353"/>
    <cellStyle name="Vírgula 2 2 2 2 3 4 2 4 2" xfId="46592"/>
    <cellStyle name="Vírgula 2 2 2 2 3 4 2 5" xfId="14427"/>
    <cellStyle name="Vírgula 2 2 2 2 3 4 2 5 2" xfId="40669"/>
    <cellStyle name="Vírgula 2 2 2 2 3 4 2 6" xfId="34283"/>
    <cellStyle name="Vírgula 2 2 2 2 3 4 3" xfId="9542"/>
    <cellStyle name="Vírgula 2 2 2 2 3 4 3 2" xfId="27756"/>
    <cellStyle name="Vírgula 2 2 2 2 3 4 3 2 2" xfId="53986"/>
    <cellStyle name="Vírgula 2 2 2 2 3 4 3 3" xfId="21842"/>
    <cellStyle name="Vírgula 2 2 2 2 3 4 3 3 2" xfId="48078"/>
    <cellStyle name="Vírgula 2 2 2 2 3 4 3 4" xfId="15928"/>
    <cellStyle name="Vírgula 2 2 2 2 3 4 3 4 2" xfId="42170"/>
    <cellStyle name="Vírgula 2 2 2 2 3 4 3 5" xfId="35784"/>
    <cellStyle name="Vírgula 2 2 2 2 3 4 4" xfId="6337"/>
    <cellStyle name="Vírgula 2 2 2 2 3 4 4 2" xfId="24799"/>
    <cellStyle name="Vírgula 2 2 2 2 3 4 4 2 2" xfId="51032"/>
    <cellStyle name="Vírgula 2 2 2 2 3 4 4 3" xfId="32582"/>
    <cellStyle name="Vírgula 2 2 2 2 3 4 5" xfId="18885"/>
    <cellStyle name="Vírgula 2 2 2 2 3 4 5 2" xfId="45124"/>
    <cellStyle name="Vírgula 2 2 2 2 3 4 6" xfId="12726"/>
    <cellStyle name="Vírgula 2 2 2 2 3 4 6 2" xfId="38968"/>
    <cellStyle name="Vírgula 2 2 2 2 3 4 7" xfId="30884"/>
    <cellStyle name="Vírgula 2 2 2 2 3 5" xfId="5976"/>
    <cellStyle name="Vírgula 2 2 2 2 3 5 2" xfId="7676"/>
    <cellStyle name="Vírgula 2 2 2 2 3 5 2 2" xfId="10804"/>
    <cellStyle name="Vírgula 2 2 2 2 3 5 2 2 2" xfId="29018"/>
    <cellStyle name="Vírgula 2 2 2 2 3 5 2 2 2 2" xfId="55248"/>
    <cellStyle name="Vírgula 2 2 2 2 3 5 2 2 3" xfId="23104"/>
    <cellStyle name="Vírgula 2 2 2 2 3 5 2 2 3 2" xfId="49340"/>
    <cellStyle name="Vírgula 2 2 2 2 3 5 2 2 4" xfId="17190"/>
    <cellStyle name="Vírgula 2 2 2 2 3 5 2 2 4 2" xfId="43432"/>
    <cellStyle name="Vírgula 2 2 2 2 3 5 2 2 5" xfId="37046"/>
    <cellStyle name="Vírgula 2 2 2 2 3 5 2 3" xfId="26061"/>
    <cellStyle name="Vírgula 2 2 2 2 3 5 2 3 2" xfId="52294"/>
    <cellStyle name="Vírgula 2 2 2 2 3 5 2 4" xfId="20147"/>
    <cellStyle name="Vírgula 2 2 2 2 3 5 2 4 2" xfId="46386"/>
    <cellStyle name="Vírgula 2 2 2 2 3 5 2 5" xfId="14065"/>
    <cellStyle name="Vírgula 2 2 2 2 3 5 2 5 2" xfId="40307"/>
    <cellStyle name="Vírgula 2 2 2 2 3 5 2 6" xfId="33921"/>
    <cellStyle name="Vírgula 2 2 2 2 3 5 3" xfId="9336"/>
    <cellStyle name="Vírgula 2 2 2 2 3 5 3 2" xfId="27550"/>
    <cellStyle name="Vírgula 2 2 2 2 3 5 3 2 2" xfId="53780"/>
    <cellStyle name="Vírgula 2 2 2 2 3 5 3 3" xfId="21636"/>
    <cellStyle name="Vírgula 2 2 2 2 3 5 3 3 2" xfId="47872"/>
    <cellStyle name="Vírgula 2 2 2 2 3 5 3 4" xfId="15722"/>
    <cellStyle name="Vírgula 2 2 2 2 3 5 3 4 2" xfId="41964"/>
    <cellStyle name="Vírgula 2 2 2 2 3 5 3 5" xfId="35578"/>
    <cellStyle name="Vírgula 2 2 2 2 3 5 4" xfId="24593"/>
    <cellStyle name="Vírgula 2 2 2 2 3 5 4 2" xfId="50826"/>
    <cellStyle name="Vírgula 2 2 2 2 3 5 5" xfId="18679"/>
    <cellStyle name="Vírgula 2 2 2 2 3 5 5 2" xfId="44918"/>
    <cellStyle name="Vírgula 2 2 2 2 3 5 6" xfId="12364"/>
    <cellStyle name="Vírgula 2 2 2 2 3 5 6 2" xfId="38606"/>
    <cellStyle name="Vírgula 2 2 2 2 3 5 7" xfId="32221"/>
    <cellStyle name="Vírgula 2 2 2 2 3 6" xfId="6446"/>
    <cellStyle name="Vírgula 2 2 2 2 3 6 2" xfId="9604"/>
    <cellStyle name="Vírgula 2 2 2 2 3 6 2 2" xfId="27818"/>
    <cellStyle name="Vírgula 2 2 2 2 3 6 2 2 2" xfId="54048"/>
    <cellStyle name="Vírgula 2 2 2 2 3 6 2 3" xfId="21904"/>
    <cellStyle name="Vírgula 2 2 2 2 3 6 2 3 2" xfId="48140"/>
    <cellStyle name="Vírgula 2 2 2 2 3 6 2 4" xfId="15990"/>
    <cellStyle name="Vírgula 2 2 2 2 3 6 2 4 2" xfId="42232"/>
    <cellStyle name="Vírgula 2 2 2 2 3 6 2 5" xfId="35846"/>
    <cellStyle name="Vírgula 2 2 2 2 3 6 3" xfId="24861"/>
    <cellStyle name="Vírgula 2 2 2 2 3 6 3 2" xfId="51094"/>
    <cellStyle name="Vírgula 2 2 2 2 3 6 4" xfId="18947"/>
    <cellStyle name="Vírgula 2 2 2 2 3 6 4 2" xfId="45186"/>
    <cellStyle name="Vírgula 2 2 2 2 3 6 5" xfId="12835"/>
    <cellStyle name="Vírgula 2 2 2 2 3 6 5 2" xfId="39077"/>
    <cellStyle name="Vírgula 2 2 2 2 3 6 6" xfId="32691"/>
    <cellStyle name="Vírgula 2 2 2 2 3 7" xfId="8133"/>
    <cellStyle name="Vírgula 2 2 2 2 3 7 2" xfId="26347"/>
    <cellStyle name="Vírgula 2 2 2 2 3 7 2 2" xfId="52580"/>
    <cellStyle name="Vírgula 2 2 2 2 3 7 3" xfId="20433"/>
    <cellStyle name="Vírgula 2 2 2 2 3 7 3 2" xfId="46672"/>
    <cellStyle name="Vírgula 2 2 2 2 3 7 4" xfId="14522"/>
    <cellStyle name="Vírgula 2 2 2 2 3 7 4 2" xfId="40764"/>
    <cellStyle name="Vírgula 2 2 2 2 3 7 5" xfId="34378"/>
    <cellStyle name="Vírgula 2 2 2 2 3 8" xfId="4743"/>
    <cellStyle name="Vírgula 2 2 2 2 3 8 2" xfId="23390"/>
    <cellStyle name="Vírgula 2 2 2 2 3 8 2 2" xfId="49626"/>
    <cellStyle name="Vírgula 2 2 2 2 3 8 3" xfId="30992"/>
    <cellStyle name="Vírgula 2 2 2 2 3 9" xfId="17476"/>
    <cellStyle name="Vírgula 2 2 2 2 3 9 2" xfId="43718"/>
    <cellStyle name="Vírgula 2 2 2 2 4" xfId="4352"/>
    <cellStyle name="Vírgula 2 2 2 2 4 2" xfId="7753"/>
    <cellStyle name="Vírgula 2 2 2 2 4 2 2" xfId="10847"/>
    <cellStyle name="Vírgula 2 2 2 2 4 2 2 2" xfId="29061"/>
    <cellStyle name="Vírgula 2 2 2 2 4 2 2 2 2" xfId="55291"/>
    <cellStyle name="Vírgula 2 2 2 2 4 2 2 3" xfId="23147"/>
    <cellStyle name="Vírgula 2 2 2 2 4 2 2 3 2" xfId="49383"/>
    <cellStyle name="Vírgula 2 2 2 2 4 2 2 4" xfId="17233"/>
    <cellStyle name="Vírgula 2 2 2 2 4 2 2 4 2" xfId="43475"/>
    <cellStyle name="Vírgula 2 2 2 2 4 2 2 5" xfId="37089"/>
    <cellStyle name="Vírgula 2 2 2 2 4 2 3" xfId="26104"/>
    <cellStyle name="Vírgula 2 2 2 2 4 2 3 2" xfId="52337"/>
    <cellStyle name="Vírgula 2 2 2 2 4 2 4" xfId="20190"/>
    <cellStyle name="Vírgula 2 2 2 2 4 2 4 2" xfId="46429"/>
    <cellStyle name="Vírgula 2 2 2 2 4 2 5" xfId="14142"/>
    <cellStyle name="Vírgula 2 2 2 2 4 2 5 2" xfId="40384"/>
    <cellStyle name="Vírgula 2 2 2 2 4 2 6" xfId="33998"/>
    <cellStyle name="Vírgula 2 2 2 2 4 3" xfId="9379"/>
    <cellStyle name="Vírgula 2 2 2 2 4 3 2" xfId="27593"/>
    <cellStyle name="Vírgula 2 2 2 2 4 3 2 2" xfId="53823"/>
    <cellStyle name="Vírgula 2 2 2 2 4 3 3" xfId="21679"/>
    <cellStyle name="Vírgula 2 2 2 2 4 3 3 2" xfId="47915"/>
    <cellStyle name="Vírgula 2 2 2 2 4 3 4" xfId="15765"/>
    <cellStyle name="Vírgula 2 2 2 2 4 3 4 2" xfId="42007"/>
    <cellStyle name="Vírgula 2 2 2 2 4 3 5" xfId="35621"/>
    <cellStyle name="Vírgula 2 2 2 2 4 4" xfId="6053"/>
    <cellStyle name="Vírgula 2 2 2 2 4 4 2" xfId="24636"/>
    <cellStyle name="Vírgula 2 2 2 2 4 4 2 2" xfId="50869"/>
    <cellStyle name="Vírgula 2 2 2 2 4 4 3" xfId="32298"/>
    <cellStyle name="Vírgula 2 2 2 2 4 5" xfId="18722"/>
    <cellStyle name="Vírgula 2 2 2 2 4 5 2" xfId="44961"/>
    <cellStyle name="Vírgula 2 2 2 2 4 6" xfId="12441"/>
    <cellStyle name="Vírgula 2 2 2 2 4 6 2" xfId="38683"/>
    <cellStyle name="Vírgula 2 2 2 2 4 7" xfId="30601"/>
    <cellStyle name="Vírgula 2 2 2 2 5" xfId="4460"/>
    <cellStyle name="Vírgula 2 2 2 2 5 2" xfId="7862"/>
    <cellStyle name="Vírgula 2 2 2 2 5 2 2" xfId="10909"/>
    <cellStyle name="Vírgula 2 2 2 2 5 2 2 2" xfId="29123"/>
    <cellStyle name="Vírgula 2 2 2 2 5 2 2 2 2" xfId="55353"/>
    <cellStyle name="Vírgula 2 2 2 2 5 2 2 3" xfId="23209"/>
    <cellStyle name="Vírgula 2 2 2 2 5 2 2 3 2" xfId="49445"/>
    <cellStyle name="Vírgula 2 2 2 2 5 2 2 4" xfId="17295"/>
    <cellStyle name="Vírgula 2 2 2 2 5 2 2 4 2" xfId="43537"/>
    <cellStyle name="Vírgula 2 2 2 2 5 2 2 5" xfId="37151"/>
    <cellStyle name="Vírgula 2 2 2 2 5 2 3" xfId="26166"/>
    <cellStyle name="Vírgula 2 2 2 2 5 2 3 2" xfId="52399"/>
    <cellStyle name="Vírgula 2 2 2 2 5 2 4" xfId="20252"/>
    <cellStyle name="Vírgula 2 2 2 2 5 2 4 2" xfId="46491"/>
    <cellStyle name="Vírgula 2 2 2 2 5 2 5" xfId="14251"/>
    <cellStyle name="Vírgula 2 2 2 2 5 2 5 2" xfId="40493"/>
    <cellStyle name="Vírgula 2 2 2 2 5 2 6" xfId="34107"/>
    <cellStyle name="Vírgula 2 2 2 2 5 3" xfId="9441"/>
    <cellStyle name="Vírgula 2 2 2 2 5 3 2" xfId="27655"/>
    <cellStyle name="Vírgula 2 2 2 2 5 3 2 2" xfId="53885"/>
    <cellStyle name="Vírgula 2 2 2 2 5 3 3" xfId="21741"/>
    <cellStyle name="Vírgula 2 2 2 2 5 3 3 2" xfId="47977"/>
    <cellStyle name="Vírgula 2 2 2 2 5 3 4" xfId="15827"/>
    <cellStyle name="Vírgula 2 2 2 2 5 3 4 2" xfId="42069"/>
    <cellStyle name="Vírgula 2 2 2 2 5 3 5" xfId="35683"/>
    <cellStyle name="Vírgula 2 2 2 2 5 4" xfId="6162"/>
    <cellStyle name="Vírgula 2 2 2 2 5 4 2" xfId="24698"/>
    <cellStyle name="Vírgula 2 2 2 2 5 4 2 2" xfId="50931"/>
    <cellStyle name="Vírgula 2 2 2 2 5 4 3" xfId="32407"/>
    <cellStyle name="Vírgula 2 2 2 2 5 5" xfId="18784"/>
    <cellStyle name="Vírgula 2 2 2 2 5 5 2" xfId="45023"/>
    <cellStyle name="Vírgula 2 2 2 2 5 6" xfId="12550"/>
    <cellStyle name="Vírgula 2 2 2 2 5 6 2" xfId="38792"/>
    <cellStyle name="Vírgula 2 2 2 2 5 7" xfId="30709"/>
    <cellStyle name="Vírgula 2 2 2 2 6" xfId="4568"/>
    <cellStyle name="Vírgula 2 2 2 2 6 2" xfId="7970"/>
    <cellStyle name="Vírgula 2 2 2 2 6 2 2" xfId="10971"/>
    <cellStyle name="Vírgula 2 2 2 2 6 2 2 2" xfId="29185"/>
    <cellStyle name="Vírgula 2 2 2 2 6 2 2 2 2" xfId="55415"/>
    <cellStyle name="Vírgula 2 2 2 2 6 2 2 3" xfId="23271"/>
    <cellStyle name="Vírgula 2 2 2 2 6 2 2 3 2" xfId="49507"/>
    <cellStyle name="Vírgula 2 2 2 2 6 2 2 4" xfId="17357"/>
    <cellStyle name="Vírgula 2 2 2 2 6 2 2 4 2" xfId="43599"/>
    <cellStyle name="Vírgula 2 2 2 2 6 2 2 5" xfId="37213"/>
    <cellStyle name="Vírgula 2 2 2 2 6 2 3" xfId="26228"/>
    <cellStyle name="Vírgula 2 2 2 2 6 2 3 2" xfId="52461"/>
    <cellStyle name="Vírgula 2 2 2 2 6 2 4" xfId="20314"/>
    <cellStyle name="Vírgula 2 2 2 2 6 2 4 2" xfId="46553"/>
    <cellStyle name="Vírgula 2 2 2 2 6 2 5" xfId="14359"/>
    <cellStyle name="Vírgula 2 2 2 2 6 2 5 2" xfId="40601"/>
    <cellStyle name="Vírgula 2 2 2 2 6 2 6" xfId="34215"/>
    <cellStyle name="Vírgula 2 2 2 2 6 3" xfId="9503"/>
    <cellStyle name="Vírgula 2 2 2 2 6 3 2" xfId="27717"/>
    <cellStyle name="Vírgula 2 2 2 2 6 3 2 2" xfId="53947"/>
    <cellStyle name="Vírgula 2 2 2 2 6 3 3" xfId="21803"/>
    <cellStyle name="Vírgula 2 2 2 2 6 3 3 2" xfId="48039"/>
    <cellStyle name="Vírgula 2 2 2 2 6 3 4" xfId="15889"/>
    <cellStyle name="Vírgula 2 2 2 2 6 3 4 2" xfId="42131"/>
    <cellStyle name="Vírgula 2 2 2 2 6 3 5" xfId="35745"/>
    <cellStyle name="Vírgula 2 2 2 2 6 4" xfId="6269"/>
    <cellStyle name="Vírgula 2 2 2 2 6 4 2" xfId="24760"/>
    <cellStyle name="Vírgula 2 2 2 2 6 4 2 2" xfId="50993"/>
    <cellStyle name="Vírgula 2 2 2 2 6 4 3" xfId="32514"/>
    <cellStyle name="Vírgula 2 2 2 2 6 5" xfId="18846"/>
    <cellStyle name="Vírgula 2 2 2 2 6 5 2" xfId="45085"/>
    <cellStyle name="Vírgula 2 2 2 2 6 6" xfId="12658"/>
    <cellStyle name="Vírgula 2 2 2 2 6 6 2" xfId="38900"/>
    <cellStyle name="Vírgula 2 2 2 2 6 7" xfId="30817"/>
    <cellStyle name="Vírgula 2 2 2 2 7" xfId="5328"/>
    <cellStyle name="Vírgula 2 2 2 2 7 2" xfId="7027"/>
    <cellStyle name="Vírgula 2 2 2 2 7 2 2" xfId="10173"/>
    <cellStyle name="Vírgula 2 2 2 2 7 2 2 2" xfId="28387"/>
    <cellStyle name="Vírgula 2 2 2 2 7 2 2 2 2" xfId="54617"/>
    <cellStyle name="Vírgula 2 2 2 2 7 2 2 3" xfId="22473"/>
    <cellStyle name="Vírgula 2 2 2 2 7 2 2 3 2" xfId="48709"/>
    <cellStyle name="Vírgula 2 2 2 2 7 2 2 4" xfId="16559"/>
    <cellStyle name="Vírgula 2 2 2 2 7 2 2 4 2" xfId="42801"/>
    <cellStyle name="Vírgula 2 2 2 2 7 2 2 5" xfId="36415"/>
    <cellStyle name="Vírgula 2 2 2 2 7 2 3" xfId="25430"/>
    <cellStyle name="Vírgula 2 2 2 2 7 2 3 2" xfId="51663"/>
    <cellStyle name="Vírgula 2 2 2 2 7 2 4" xfId="19516"/>
    <cellStyle name="Vírgula 2 2 2 2 7 2 4 2" xfId="45755"/>
    <cellStyle name="Vírgula 2 2 2 2 7 2 5" xfId="13416"/>
    <cellStyle name="Vírgula 2 2 2 2 7 2 5 2" xfId="39658"/>
    <cellStyle name="Vírgula 2 2 2 2 7 2 6" xfId="33272"/>
    <cellStyle name="Vírgula 2 2 2 2 7 3" xfId="8705"/>
    <cellStyle name="Vírgula 2 2 2 2 7 3 2" xfId="26919"/>
    <cellStyle name="Vírgula 2 2 2 2 7 3 2 2" xfId="53149"/>
    <cellStyle name="Vírgula 2 2 2 2 7 3 3" xfId="21005"/>
    <cellStyle name="Vírgula 2 2 2 2 7 3 3 2" xfId="47241"/>
    <cellStyle name="Vírgula 2 2 2 2 7 3 4" xfId="15091"/>
    <cellStyle name="Vírgula 2 2 2 2 7 3 4 2" xfId="41333"/>
    <cellStyle name="Vírgula 2 2 2 2 7 3 5" xfId="34947"/>
    <cellStyle name="Vírgula 2 2 2 2 7 4" xfId="23962"/>
    <cellStyle name="Vírgula 2 2 2 2 7 4 2" xfId="50195"/>
    <cellStyle name="Vírgula 2 2 2 2 7 5" xfId="18048"/>
    <cellStyle name="Vírgula 2 2 2 2 7 5 2" xfId="44287"/>
    <cellStyle name="Vírgula 2 2 2 2 7 6" xfId="11715"/>
    <cellStyle name="Vírgula 2 2 2 2 7 6 2" xfId="37957"/>
    <cellStyle name="Vírgula 2 2 2 2 7 7" xfId="31573"/>
    <cellStyle name="Vírgula 2 2 2 2 8" xfId="6378"/>
    <cellStyle name="Vírgula 2 2 2 2 8 2" xfId="9565"/>
    <cellStyle name="Vírgula 2 2 2 2 8 2 2" xfId="27779"/>
    <cellStyle name="Vírgula 2 2 2 2 8 2 2 2" xfId="54009"/>
    <cellStyle name="Vírgula 2 2 2 2 8 2 3" xfId="21865"/>
    <cellStyle name="Vírgula 2 2 2 2 8 2 3 2" xfId="48101"/>
    <cellStyle name="Vírgula 2 2 2 2 8 2 4" xfId="15951"/>
    <cellStyle name="Vírgula 2 2 2 2 8 2 4 2" xfId="42193"/>
    <cellStyle name="Vírgula 2 2 2 2 8 2 5" xfId="35807"/>
    <cellStyle name="Vírgula 2 2 2 2 8 3" xfId="24822"/>
    <cellStyle name="Vírgula 2 2 2 2 8 3 2" xfId="51055"/>
    <cellStyle name="Vírgula 2 2 2 2 8 4" xfId="18908"/>
    <cellStyle name="Vírgula 2 2 2 2 8 4 2" xfId="45147"/>
    <cellStyle name="Vírgula 2 2 2 2 8 5" xfId="12767"/>
    <cellStyle name="Vírgula 2 2 2 2 8 5 2" xfId="39009"/>
    <cellStyle name="Vírgula 2 2 2 2 8 6" xfId="32623"/>
    <cellStyle name="Vírgula 2 2 2 2 9" xfId="8070"/>
    <cellStyle name="Vírgula 2 2 2 2 9 2" xfId="11029"/>
    <cellStyle name="Vírgula 2 2 2 2 9 2 2" xfId="29243"/>
    <cellStyle name="Vírgula 2 2 2 2 9 2 2 2" xfId="55473"/>
    <cellStyle name="Vírgula 2 2 2 2 9 2 3" xfId="23329"/>
    <cellStyle name="Vírgula 2 2 2 2 9 2 3 2" xfId="49565"/>
    <cellStyle name="Vírgula 2 2 2 2 9 2 4" xfId="17415"/>
    <cellStyle name="Vírgula 2 2 2 2 9 2 4 2" xfId="43657"/>
    <cellStyle name="Vírgula 2 2 2 2 9 2 5" xfId="37271"/>
    <cellStyle name="Vírgula 2 2 2 2 9 3" xfId="26286"/>
    <cellStyle name="Vírgula 2 2 2 2 9 3 2" xfId="52519"/>
    <cellStyle name="Vírgula 2 2 2 2 9 4" xfId="20372"/>
    <cellStyle name="Vírgula 2 2 2 2 9 4 2" xfId="46611"/>
    <cellStyle name="Vírgula 2 2 2 2 9 5" xfId="14459"/>
    <cellStyle name="Vírgula 2 2 2 2 9 5 2" xfId="40701"/>
    <cellStyle name="Vírgula 2 2 2 2 9 6" xfId="34315"/>
    <cellStyle name="Vírgula 2 2 2 3" xfId="2570"/>
    <cellStyle name="Vírgula 2 2 2 3 10" xfId="17448"/>
    <cellStyle name="Vírgula 2 2 2 3 10 2" xfId="43690"/>
    <cellStyle name="Vírgula 2 2 2 3 11" xfId="11086"/>
    <cellStyle name="Vírgula 2 2 2 3 11 2" xfId="37328"/>
    <cellStyle name="Vírgula 2 2 2 3 12" xfId="30024"/>
    <cellStyle name="Vírgula 2 2 2 3 2" xfId="4295"/>
    <cellStyle name="Vírgula 2 2 2 3 2 2" xfId="7696"/>
    <cellStyle name="Vírgula 2 2 2 3 2 2 2" xfId="10815"/>
    <cellStyle name="Vírgula 2 2 2 3 2 2 2 2" xfId="29029"/>
    <cellStyle name="Vírgula 2 2 2 3 2 2 2 2 2" xfId="55259"/>
    <cellStyle name="Vírgula 2 2 2 3 2 2 2 3" xfId="23115"/>
    <cellStyle name="Vírgula 2 2 2 3 2 2 2 3 2" xfId="49351"/>
    <cellStyle name="Vírgula 2 2 2 3 2 2 2 4" xfId="17201"/>
    <cellStyle name="Vírgula 2 2 2 3 2 2 2 4 2" xfId="43443"/>
    <cellStyle name="Vírgula 2 2 2 3 2 2 2 5" xfId="37057"/>
    <cellStyle name="Vírgula 2 2 2 3 2 2 3" xfId="26072"/>
    <cellStyle name="Vírgula 2 2 2 3 2 2 3 2" xfId="52305"/>
    <cellStyle name="Vírgula 2 2 2 3 2 2 4" xfId="20158"/>
    <cellStyle name="Vírgula 2 2 2 3 2 2 4 2" xfId="46397"/>
    <cellStyle name="Vírgula 2 2 2 3 2 2 5" xfId="14085"/>
    <cellStyle name="Vírgula 2 2 2 3 2 2 5 2" xfId="40327"/>
    <cellStyle name="Vírgula 2 2 2 3 2 2 6" xfId="33941"/>
    <cellStyle name="Vírgula 2 2 2 3 2 3" xfId="9347"/>
    <cellStyle name="Vírgula 2 2 2 3 2 3 2" xfId="27561"/>
    <cellStyle name="Vírgula 2 2 2 3 2 3 2 2" xfId="53791"/>
    <cellStyle name="Vírgula 2 2 2 3 2 3 3" xfId="21647"/>
    <cellStyle name="Vírgula 2 2 2 3 2 3 3 2" xfId="47883"/>
    <cellStyle name="Vírgula 2 2 2 3 2 3 4" xfId="15733"/>
    <cellStyle name="Vírgula 2 2 2 3 2 3 4 2" xfId="41975"/>
    <cellStyle name="Vírgula 2 2 2 3 2 3 5" xfId="35589"/>
    <cellStyle name="Vírgula 2 2 2 3 2 4" xfId="5996"/>
    <cellStyle name="Vírgula 2 2 2 3 2 4 2" xfId="24604"/>
    <cellStyle name="Vírgula 2 2 2 3 2 4 2 2" xfId="50837"/>
    <cellStyle name="Vírgula 2 2 2 3 2 4 3" xfId="32241"/>
    <cellStyle name="Vírgula 2 2 2 3 2 5" xfId="18690"/>
    <cellStyle name="Vírgula 2 2 2 3 2 5 2" xfId="44929"/>
    <cellStyle name="Vírgula 2 2 2 3 2 6" xfId="12384"/>
    <cellStyle name="Vírgula 2 2 2 3 2 6 2" xfId="38626"/>
    <cellStyle name="Vírgula 2 2 2 3 2 7" xfId="30544"/>
    <cellStyle name="Vírgula 2 2 2 3 3" xfId="4372"/>
    <cellStyle name="Vírgula 2 2 2 3 3 2" xfId="7773"/>
    <cellStyle name="Vírgula 2 2 2 3 3 2 2" xfId="10858"/>
    <cellStyle name="Vírgula 2 2 2 3 3 2 2 2" xfId="29072"/>
    <cellStyle name="Vírgula 2 2 2 3 3 2 2 2 2" xfId="55302"/>
    <cellStyle name="Vírgula 2 2 2 3 3 2 2 3" xfId="23158"/>
    <cellStyle name="Vírgula 2 2 2 3 3 2 2 3 2" xfId="49394"/>
    <cellStyle name="Vírgula 2 2 2 3 3 2 2 4" xfId="17244"/>
    <cellStyle name="Vírgula 2 2 2 3 3 2 2 4 2" xfId="43486"/>
    <cellStyle name="Vírgula 2 2 2 3 3 2 2 5" xfId="37100"/>
    <cellStyle name="Vírgula 2 2 2 3 3 2 3" xfId="26115"/>
    <cellStyle name="Vírgula 2 2 2 3 3 2 3 2" xfId="52348"/>
    <cellStyle name="Vírgula 2 2 2 3 3 2 4" xfId="20201"/>
    <cellStyle name="Vírgula 2 2 2 3 3 2 4 2" xfId="46440"/>
    <cellStyle name="Vírgula 2 2 2 3 3 2 5" xfId="14162"/>
    <cellStyle name="Vírgula 2 2 2 3 3 2 5 2" xfId="40404"/>
    <cellStyle name="Vírgula 2 2 2 3 3 2 6" xfId="34018"/>
    <cellStyle name="Vírgula 2 2 2 3 3 3" xfId="9390"/>
    <cellStyle name="Vírgula 2 2 2 3 3 3 2" xfId="27604"/>
    <cellStyle name="Vírgula 2 2 2 3 3 3 2 2" xfId="53834"/>
    <cellStyle name="Vírgula 2 2 2 3 3 3 3" xfId="21690"/>
    <cellStyle name="Vírgula 2 2 2 3 3 3 3 2" xfId="47926"/>
    <cellStyle name="Vírgula 2 2 2 3 3 3 4" xfId="15776"/>
    <cellStyle name="Vírgula 2 2 2 3 3 3 4 2" xfId="42018"/>
    <cellStyle name="Vírgula 2 2 2 3 3 3 5" xfId="35632"/>
    <cellStyle name="Vírgula 2 2 2 3 3 4" xfId="6073"/>
    <cellStyle name="Vírgula 2 2 2 3 3 4 2" xfId="24647"/>
    <cellStyle name="Vírgula 2 2 2 3 3 4 2 2" xfId="50880"/>
    <cellStyle name="Vírgula 2 2 2 3 3 4 3" xfId="32318"/>
    <cellStyle name="Vírgula 2 2 2 3 3 5" xfId="18733"/>
    <cellStyle name="Vírgula 2 2 2 3 3 5 2" xfId="44972"/>
    <cellStyle name="Vírgula 2 2 2 3 3 6" xfId="12461"/>
    <cellStyle name="Vírgula 2 2 2 3 3 6 2" xfId="38703"/>
    <cellStyle name="Vírgula 2 2 2 3 3 7" xfId="30621"/>
    <cellStyle name="Vírgula 2 2 2 3 4" xfId="4480"/>
    <cellStyle name="Vírgula 2 2 2 3 4 2" xfId="7882"/>
    <cellStyle name="Vírgula 2 2 2 3 4 2 2" xfId="10920"/>
    <cellStyle name="Vírgula 2 2 2 3 4 2 2 2" xfId="29134"/>
    <cellStyle name="Vírgula 2 2 2 3 4 2 2 2 2" xfId="55364"/>
    <cellStyle name="Vírgula 2 2 2 3 4 2 2 3" xfId="23220"/>
    <cellStyle name="Vírgula 2 2 2 3 4 2 2 3 2" xfId="49456"/>
    <cellStyle name="Vírgula 2 2 2 3 4 2 2 4" xfId="17306"/>
    <cellStyle name="Vírgula 2 2 2 3 4 2 2 4 2" xfId="43548"/>
    <cellStyle name="Vírgula 2 2 2 3 4 2 2 5" xfId="37162"/>
    <cellStyle name="Vírgula 2 2 2 3 4 2 3" xfId="26177"/>
    <cellStyle name="Vírgula 2 2 2 3 4 2 3 2" xfId="52410"/>
    <cellStyle name="Vírgula 2 2 2 3 4 2 4" xfId="20263"/>
    <cellStyle name="Vírgula 2 2 2 3 4 2 4 2" xfId="46502"/>
    <cellStyle name="Vírgula 2 2 2 3 4 2 5" xfId="14271"/>
    <cellStyle name="Vírgula 2 2 2 3 4 2 5 2" xfId="40513"/>
    <cellStyle name="Vírgula 2 2 2 3 4 2 6" xfId="34127"/>
    <cellStyle name="Vírgula 2 2 2 3 4 3" xfId="9452"/>
    <cellStyle name="Vírgula 2 2 2 3 4 3 2" xfId="27666"/>
    <cellStyle name="Vírgula 2 2 2 3 4 3 2 2" xfId="53896"/>
    <cellStyle name="Vírgula 2 2 2 3 4 3 3" xfId="21752"/>
    <cellStyle name="Vírgula 2 2 2 3 4 3 3 2" xfId="47988"/>
    <cellStyle name="Vírgula 2 2 2 3 4 3 4" xfId="15838"/>
    <cellStyle name="Vírgula 2 2 2 3 4 3 4 2" xfId="42080"/>
    <cellStyle name="Vírgula 2 2 2 3 4 3 5" xfId="35694"/>
    <cellStyle name="Vírgula 2 2 2 3 4 4" xfId="6182"/>
    <cellStyle name="Vírgula 2 2 2 3 4 4 2" xfId="24709"/>
    <cellStyle name="Vírgula 2 2 2 3 4 4 2 2" xfId="50942"/>
    <cellStyle name="Vírgula 2 2 2 3 4 4 3" xfId="32427"/>
    <cellStyle name="Vírgula 2 2 2 3 4 5" xfId="18795"/>
    <cellStyle name="Vírgula 2 2 2 3 4 5 2" xfId="45034"/>
    <cellStyle name="Vírgula 2 2 2 3 4 6" xfId="12570"/>
    <cellStyle name="Vírgula 2 2 2 3 4 6 2" xfId="38812"/>
    <cellStyle name="Vírgula 2 2 2 3 4 7" xfId="30729"/>
    <cellStyle name="Vírgula 2 2 2 3 5" xfId="4588"/>
    <cellStyle name="Vírgula 2 2 2 3 5 2" xfId="7990"/>
    <cellStyle name="Vírgula 2 2 2 3 5 2 2" xfId="10982"/>
    <cellStyle name="Vírgula 2 2 2 3 5 2 2 2" xfId="29196"/>
    <cellStyle name="Vírgula 2 2 2 3 5 2 2 2 2" xfId="55426"/>
    <cellStyle name="Vírgula 2 2 2 3 5 2 2 3" xfId="23282"/>
    <cellStyle name="Vírgula 2 2 2 3 5 2 2 3 2" xfId="49518"/>
    <cellStyle name="Vírgula 2 2 2 3 5 2 2 4" xfId="17368"/>
    <cellStyle name="Vírgula 2 2 2 3 5 2 2 4 2" xfId="43610"/>
    <cellStyle name="Vírgula 2 2 2 3 5 2 2 5" xfId="37224"/>
    <cellStyle name="Vírgula 2 2 2 3 5 2 3" xfId="26239"/>
    <cellStyle name="Vírgula 2 2 2 3 5 2 3 2" xfId="52472"/>
    <cellStyle name="Vírgula 2 2 2 3 5 2 4" xfId="20325"/>
    <cellStyle name="Vírgula 2 2 2 3 5 2 4 2" xfId="46564"/>
    <cellStyle name="Vírgula 2 2 2 3 5 2 5" xfId="14379"/>
    <cellStyle name="Vírgula 2 2 2 3 5 2 5 2" xfId="40621"/>
    <cellStyle name="Vírgula 2 2 2 3 5 2 6" xfId="34235"/>
    <cellStyle name="Vírgula 2 2 2 3 5 3" xfId="9514"/>
    <cellStyle name="Vírgula 2 2 2 3 5 3 2" xfId="27728"/>
    <cellStyle name="Vírgula 2 2 2 3 5 3 2 2" xfId="53958"/>
    <cellStyle name="Vírgula 2 2 2 3 5 3 3" xfId="21814"/>
    <cellStyle name="Vírgula 2 2 2 3 5 3 3 2" xfId="48050"/>
    <cellStyle name="Vírgula 2 2 2 3 5 3 4" xfId="15900"/>
    <cellStyle name="Vírgula 2 2 2 3 5 3 4 2" xfId="42142"/>
    <cellStyle name="Vírgula 2 2 2 3 5 3 5" xfId="35756"/>
    <cellStyle name="Vírgula 2 2 2 3 5 4" xfId="6289"/>
    <cellStyle name="Vírgula 2 2 2 3 5 4 2" xfId="24771"/>
    <cellStyle name="Vírgula 2 2 2 3 5 4 2 2" xfId="51004"/>
    <cellStyle name="Vírgula 2 2 2 3 5 4 3" xfId="32534"/>
    <cellStyle name="Vírgula 2 2 2 3 5 5" xfId="18857"/>
    <cellStyle name="Vírgula 2 2 2 3 5 5 2" xfId="45096"/>
    <cellStyle name="Vírgula 2 2 2 3 5 6" xfId="12678"/>
    <cellStyle name="Vírgula 2 2 2 3 5 6 2" xfId="38920"/>
    <cellStyle name="Vírgula 2 2 2 3 5 7" xfId="30837"/>
    <cellStyle name="Vírgula 2 2 2 3 6" xfId="5477"/>
    <cellStyle name="Vírgula 2 2 2 3 6 2" xfId="7176"/>
    <cellStyle name="Vírgula 2 2 2 3 6 2 2" xfId="10320"/>
    <cellStyle name="Vírgula 2 2 2 3 6 2 2 2" xfId="28534"/>
    <cellStyle name="Vírgula 2 2 2 3 6 2 2 2 2" xfId="54764"/>
    <cellStyle name="Vírgula 2 2 2 3 6 2 2 3" xfId="22620"/>
    <cellStyle name="Vírgula 2 2 2 3 6 2 2 3 2" xfId="48856"/>
    <cellStyle name="Vírgula 2 2 2 3 6 2 2 4" xfId="16706"/>
    <cellStyle name="Vírgula 2 2 2 3 6 2 2 4 2" xfId="42948"/>
    <cellStyle name="Vírgula 2 2 2 3 6 2 2 5" xfId="36562"/>
    <cellStyle name="Vírgula 2 2 2 3 6 2 3" xfId="25577"/>
    <cellStyle name="Vírgula 2 2 2 3 6 2 3 2" xfId="51810"/>
    <cellStyle name="Vírgula 2 2 2 3 6 2 4" xfId="19663"/>
    <cellStyle name="Vírgula 2 2 2 3 6 2 4 2" xfId="45902"/>
    <cellStyle name="Vírgula 2 2 2 3 6 2 5" xfId="13565"/>
    <cellStyle name="Vírgula 2 2 2 3 6 2 5 2" xfId="39807"/>
    <cellStyle name="Vírgula 2 2 2 3 6 2 6" xfId="33421"/>
    <cellStyle name="Vírgula 2 2 2 3 6 3" xfId="8852"/>
    <cellStyle name="Vírgula 2 2 2 3 6 3 2" xfId="27066"/>
    <cellStyle name="Vírgula 2 2 2 3 6 3 2 2" xfId="53296"/>
    <cellStyle name="Vírgula 2 2 2 3 6 3 3" xfId="21152"/>
    <cellStyle name="Vírgula 2 2 2 3 6 3 3 2" xfId="47388"/>
    <cellStyle name="Vírgula 2 2 2 3 6 3 4" xfId="15238"/>
    <cellStyle name="Vírgula 2 2 2 3 6 3 4 2" xfId="41480"/>
    <cellStyle name="Vírgula 2 2 2 3 6 3 5" xfId="35094"/>
    <cellStyle name="Vírgula 2 2 2 3 6 4" xfId="24109"/>
    <cellStyle name="Vírgula 2 2 2 3 6 4 2" xfId="50342"/>
    <cellStyle name="Vírgula 2 2 2 3 6 5" xfId="18195"/>
    <cellStyle name="Vírgula 2 2 2 3 6 5 2" xfId="44434"/>
    <cellStyle name="Vírgula 2 2 2 3 6 6" xfId="11864"/>
    <cellStyle name="Vírgula 2 2 2 3 6 6 2" xfId="38106"/>
    <cellStyle name="Vírgula 2 2 2 3 6 7" xfId="31722"/>
    <cellStyle name="Vírgula 2 2 2 3 7" xfId="6398"/>
    <cellStyle name="Vírgula 2 2 2 3 7 2" xfId="9576"/>
    <cellStyle name="Vírgula 2 2 2 3 7 2 2" xfId="27790"/>
    <cellStyle name="Vírgula 2 2 2 3 7 2 2 2" xfId="54020"/>
    <cellStyle name="Vírgula 2 2 2 3 7 2 3" xfId="21876"/>
    <cellStyle name="Vírgula 2 2 2 3 7 2 3 2" xfId="48112"/>
    <cellStyle name="Vírgula 2 2 2 3 7 2 4" xfId="15962"/>
    <cellStyle name="Vírgula 2 2 2 3 7 2 4 2" xfId="42204"/>
    <cellStyle name="Vírgula 2 2 2 3 7 2 5" xfId="35818"/>
    <cellStyle name="Vírgula 2 2 2 3 7 3" xfId="24833"/>
    <cellStyle name="Vírgula 2 2 2 3 7 3 2" xfId="51066"/>
    <cellStyle name="Vírgula 2 2 2 3 7 4" xfId="18919"/>
    <cellStyle name="Vírgula 2 2 2 3 7 4 2" xfId="45158"/>
    <cellStyle name="Vírgula 2 2 2 3 7 5" xfId="12787"/>
    <cellStyle name="Vírgula 2 2 2 3 7 5 2" xfId="39029"/>
    <cellStyle name="Vírgula 2 2 2 3 7 6" xfId="32643"/>
    <cellStyle name="Vírgula 2 2 2 3 8" xfId="8105"/>
    <cellStyle name="Vírgula 2 2 2 3 8 2" xfId="26319"/>
    <cellStyle name="Vírgula 2 2 2 3 8 2 2" xfId="52552"/>
    <cellStyle name="Vírgula 2 2 2 3 8 3" xfId="20405"/>
    <cellStyle name="Vírgula 2 2 2 3 8 3 2" xfId="46644"/>
    <cellStyle name="Vírgula 2 2 2 3 8 4" xfId="14494"/>
    <cellStyle name="Vírgula 2 2 2 3 8 4 2" xfId="40736"/>
    <cellStyle name="Vírgula 2 2 2 3 8 5" xfId="34350"/>
    <cellStyle name="Vírgula 2 2 2 3 9" xfId="4695"/>
    <cellStyle name="Vírgula 2 2 2 3 9 2" xfId="23362"/>
    <cellStyle name="Vírgula 2 2 2 3 9 2 2" xfId="49598"/>
    <cellStyle name="Vírgula 2 2 2 3 9 3" xfId="30944"/>
    <cellStyle name="Vírgula 2 2 2 4" xfId="3097"/>
    <cellStyle name="Vírgula 2 2 2 4 10" xfId="11118"/>
    <cellStyle name="Vírgula 2 2 2 4 10 2" xfId="37360"/>
    <cellStyle name="Vírgula 2 2 2 4 11" xfId="30171"/>
    <cellStyle name="Vírgula 2 2 2 4 2" xfId="4404"/>
    <cellStyle name="Vírgula 2 2 2 4 2 2" xfId="7805"/>
    <cellStyle name="Vírgula 2 2 2 4 2 2 2" xfId="10877"/>
    <cellStyle name="Vírgula 2 2 2 4 2 2 2 2" xfId="29091"/>
    <cellStyle name="Vírgula 2 2 2 4 2 2 2 2 2" xfId="55321"/>
    <cellStyle name="Vírgula 2 2 2 4 2 2 2 3" xfId="23177"/>
    <cellStyle name="Vírgula 2 2 2 4 2 2 2 3 2" xfId="49413"/>
    <cellStyle name="Vírgula 2 2 2 4 2 2 2 4" xfId="17263"/>
    <cellStyle name="Vírgula 2 2 2 4 2 2 2 4 2" xfId="43505"/>
    <cellStyle name="Vírgula 2 2 2 4 2 2 2 5" xfId="37119"/>
    <cellStyle name="Vírgula 2 2 2 4 2 2 3" xfId="26134"/>
    <cellStyle name="Vírgula 2 2 2 4 2 2 3 2" xfId="52367"/>
    <cellStyle name="Vírgula 2 2 2 4 2 2 4" xfId="20220"/>
    <cellStyle name="Vírgula 2 2 2 4 2 2 4 2" xfId="46459"/>
    <cellStyle name="Vírgula 2 2 2 4 2 2 5" xfId="14194"/>
    <cellStyle name="Vírgula 2 2 2 4 2 2 5 2" xfId="40436"/>
    <cellStyle name="Vírgula 2 2 2 4 2 2 6" xfId="34050"/>
    <cellStyle name="Vírgula 2 2 2 4 2 3" xfId="9409"/>
    <cellStyle name="Vírgula 2 2 2 4 2 3 2" xfId="27623"/>
    <cellStyle name="Vírgula 2 2 2 4 2 3 2 2" xfId="53853"/>
    <cellStyle name="Vírgula 2 2 2 4 2 3 3" xfId="21709"/>
    <cellStyle name="Vírgula 2 2 2 4 2 3 3 2" xfId="47945"/>
    <cellStyle name="Vírgula 2 2 2 4 2 3 4" xfId="15795"/>
    <cellStyle name="Vírgula 2 2 2 4 2 3 4 2" xfId="42037"/>
    <cellStyle name="Vírgula 2 2 2 4 2 3 5" xfId="35651"/>
    <cellStyle name="Vírgula 2 2 2 4 2 4" xfId="6105"/>
    <cellStyle name="Vírgula 2 2 2 4 2 4 2" xfId="24666"/>
    <cellStyle name="Vírgula 2 2 2 4 2 4 2 2" xfId="50899"/>
    <cellStyle name="Vírgula 2 2 2 4 2 4 3" xfId="32350"/>
    <cellStyle name="Vírgula 2 2 2 4 2 5" xfId="18752"/>
    <cellStyle name="Vírgula 2 2 2 4 2 5 2" xfId="44991"/>
    <cellStyle name="Vírgula 2 2 2 4 2 6" xfId="12493"/>
    <cellStyle name="Vírgula 2 2 2 4 2 6 2" xfId="38735"/>
    <cellStyle name="Vírgula 2 2 2 4 2 7" xfId="30653"/>
    <cellStyle name="Vírgula 2 2 2 4 3" xfId="4512"/>
    <cellStyle name="Vírgula 2 2 2 4 3 2" xfId="7914"/>
    <cellStyle name="Vírgula 2 2 2 4 3 2 2" xfId="10939"/>
    <cellStyle name="Vírgula 2 2 2 4 3 2 2 2" xfId="29153"/>
    <cellStyle name="Vírgula 2 2 2 4 3 2 2 2 2" xfId="55383"/>
    <cellStyle name="Vírgula 2 2 2 4 3 2 2 3" xfId="23239"/>
    <cellStyle name="Vírgula 2 2 2 4 3 2 2 3 2" xfId="49475"/>
    <cellStyle name="Vírgula 2 2 2 4 3 2 2 4" xfId="17325"/>
    <cellStyle name="Vírgula 2 2 2 4 3 2 2 4 2" xfId="43567"/>
    <cellStyle name="Vírgula 2 2 2 4 3 2 2 5" xfId="37181"/>
    <cellStyle name="Vírgula 2 2 2 4 3 2 3" xfId="26196"/>
    <cellStyle name="Vírgula 2 2 2 4 3 2 3 2" xfId="52429"/>
    <cellStyle name="Vírgula 2 2 2 4 3 2 4" xfId="20282"/>
    <cellStyle name="Vírgula 2 2 2 4 3 2 4 2" xfId="46521"/>
    <cellStyle name="Vírgula 2 2 2 4 3 2 5" xfId="14303"/>
    <cellStyle name="Vírgula 2 2 2 4 3 2 5 2" xfId="40545"/>
    <cellStyle name="Vírgula 2 2 2 4 3 2 6" xfId="34159"/>
    <cellStyle name="Vírgula 2 2 2 4 3 3" xfId="9471"/>
    <cellStyle name="Vírgula 2 2 2 4 3 3 2" xfId="27685"/>
    <cellStyle name="Vírgula 2 2 2 4 3 3 2 2" xfId="53915"/>
    <cellStyle name="Vírgula 2 2 2 4 3 3 3" xfId="21771"/>
    <cellStyle name="Vírgula 2 2 2 4 3 3 3 2" xfId="48007"/>
    <cellStyle name="Vírgula 2 2 2 4 3 3 4" xfId="15857"/>
    <cellStyle name="Vírgula 2 2 2 4 3 3 4 2" xfId="42099"/>
    <cellStyle name="Vírgula 2 2 2 4 3 3 5" xfId="35713"/>
    <cellStyle name="Vírgula 2 2 2 4 3 4" xfId="6213"/>
    <cellStyle name="Vírgula 2 2 2 4 3 4 2" xfId="24728"/>
    <cellStyle name="Vírgula 2 2 2 4 3 4 2 2" xfId="50961"/>
    <cellStyle name="Vírgula 2 2 2 4 3 4 3" xfId="32458"/>
    <cellStyle name="Vírgula 2 2 2 4 3 5" xfId="18814"/>
    <cellStyle name="Vírgula 2 2 2 4 3 5 2" xfId="45053"/>
    <cellStyle name="Vírgula 2 2 2 4 3 6" xfId="12602"/>
    <cellStyle name="Vírgula 2 2 2 4 3 6 2" xfId="38844"/>
    <cellStyle name="Vírgula 2 2 2 4 3 7" xfId="30761"/>
    <cellStyle name="Vírgula 2 2 2 4 4" xfId="4620"/>
    <cellStyle name="Vírgula 2 2 2 4 4 2" xfId="8022"/>
    <cellStyle name="Vírgula 2 2 2 4 4 2 2" xfId="11001"/>
    <cellStyle name="Vírgula 2 2 2 4 4 2 2 2" xfId="29215"/>
    <cellStyle name="Vírgula 2 2 2 4 4 2 2 2 2" xfId="55445"/>
    <cellStyle name="Vírgula 2 2 2 4 4 2 2 3" xfId="23301"/>
    <cellStyle name="Vírgula 2 2 2 4 4 2 2 3 2" xfId="49537"/>
    <cellStyle name="Vírgula 2 2 2 4 4 2 2 4" xfId="17387"/>
    <cellStyle name="Vírgula 2 2 2 4 4 2 2 4 2" xfId="43629"/>
    <cellStyle name="Vírgula 2 2 2 4 4 2 2 5" xfId="37243"/>
    <cellStyle name="Vírgula 2 2 2 4 4 2 3" xfId="26258"/>
    <cellStyle name="Vírgula 2 2 2 4 4 2 3 2" xfId="52491"/>
    <cellStyle name="Vírgula 2 2 2 4 4 2 4" xfId="20344"/>
    <cellStyle name="Vírgula 2 2 2 4 4 2 4 2" xfId="46583"/>
    <cellStyle name="Vírgula 2 2 2 4 4 2 5" xfId="14411"/>
    <cellStyle name="Vírgula 2 2 2 4 4 2 5 2" xfId="40653"/>
    <cellStyle name="Vírgula 2 2 2 4 4 2 6" xfId="34267"/>
    <cellStyle name="Vírgula 2 2 2 4 4 3" xfId="9533"/>
    <cellStyle name="Vírgula 2 2 2 4 4 3 2" xfId="27747"/>
    <cellStyle name="Vírgula 2 2 2 4 4 3 2 2" xfId="53977"/>
    <cellStyle name="Vírgula 2 2 2 4 4 3 3" xfId="21833"/>
    <cellStyle name="Vírgula 2 2 2 4 4 3 3 2" xfId="48069"/>
    <cellStyle name="Vírgula 2 2 2 4 4 3 4" xfId="15919"/>
    <cellStyle name="Vírgula 2 2 2 4 4 3 4 2" xfId="42161"/>
    <cellStyle name="Vírgula 2 2 2 4 4 3 5" xfId="35775"/>
    <cellStyle name="Vírgula 2 2 2 4 4 4" xfId="6321"/>
    <cellStyle name="Vírgula 2 2 2 4 4 4 2" xfId="24790"/>
    <cellStyle name="Vírgula 2 2 2 4 4 4 2 2" xfId="51023"/>
    <cellStyle name="Vírgula 2 2 2 4 4 4 3" xfId="32566"/>
    <cellStyle name="Vírgula 2 2 2 4 4 5" xfId="18876"/>
    <cellStyle name="Vírgula 2 2 2 4 4 5 2" xfId="45115"/>
    <cellStyle name="Vírgula 2 2 2 4 4 6" xfId="12710"/>
    <cellStyle name="Vírgula 2 2 2 4 4 6 2" xfId="38952"/>
    <cellStyle name="Vírgula 2 2 2 4 4 7" xfId="30869"/>
    <cellStyle name="Vírgula 2 2 2 4 5" xfId="5624"/>
    <cellStyle name="Vírgula 2 2 2 4 5 2" xfId="7323"/>
    <cellStyle name="Vírgula 2 2 2 4 5 2 2" xfId="10467"/>
    <cellStyle name="Vírgula 2 2 2 4 5 2 2 2" xfId="28681"/>
    <cellStyle name="Vírgula 2 2 2 4 5 2 2 2 2" xfId="54911"/>
    <cellStyle name="Vírgula 2 2 2 4 5 2 2 3" xfId="22767"/>
    <cellStyle name="Vírgula 2 2 2 4 5 2 2 3 2" xfId="49003"/>
    <cellStyle name="Vírgula 2 2 2 4 5 2 2 4" xfId="16853"/>
    <cellStyle name="Vírgula 2 2 2 4 5 2 2 4 2" xfId="43095"/>
    <cellStyle name="Vírgula 2 2 2 4 5 2 2 5" xfId="36709"/>
    <cellStyle name="Vírgula 2 2 2 4 5 2 3" xfId="25724"/>
    <cellStyle name="Vírgula 2 2 2 4 5 2 3 2" xfId="51957"/>
    <cellStyle name="Vírgula 2 2 2 4 5 2 4" xfId="19810"/>
    <cellStyle name="Vírgula 2 2 2 4 5 2 4 2" xfId="46049"/>
    <cellStyle name="Vírgula 2 2 2 4 5 2 5" xfId="13712"/>
    <cellStyle name="Vírgula 2 2 2 4 5 2 5 2" xfId="39954"/>
    <cellStyle name="Vírgula 2 2 2 4 5 2 6" xfId="33568"/>
    <cellStyle name="Vírgula 2 2 2 4 5 3" xfId="8999"/>
    <cellStyle name="Vírgula 2 2 2 4 5 3 2" xfId="27213"/>
    <cellStyle name="Vírgula 2 2 2 4 5 3 2 2" xfId="53443"/>
    <cellStyle name="Vírgula 2 2 2 4 5 3 3" xfId="21299"/>
    <cellStyle name="Vírgula 2 2 2 4 5 3 3 2" xfId="47535"/>
    <cellStyle name="Vírgula 2 2 2 4 5 3 4" xfId="15385"/>
    <cellStyle name="Vírgula 2 2 2 4 5 3 4 2" xfId="41627"/>
    <cellStyle name="Vírgula 2 2 2 4 5 3 5" xfId="35241"/>
    <cellStyle name="Vírgula 2 2 2 4 5 4" xfId="24256"/>
    <cellStyle name="Vírgula 2 2 2 4 5 4 2" xfId="50489"/>
    <cellStyle name="Vírgula 2 2 2 4 5 5" xfId="18342"/>
    <cellStyle name="Vírgula 2 2 2 4 5 5 2" xfId="44581"/>
    <cellStyle name="Vírgula 2 2 2 4 5 6" xfId="12011"/>
    <cellStyle name="Vírgula 2 2 2 4 5 6 2" xfId="38253"/>
    <cellStyle name="Vírgula 2 2 2 4 5 7" xfId="31869"/>
    <cellStyle name="Vírgula 2 2 2 4 6" xfId="6430"/>
    <cellStyle name="Vírgula 2 2 2 4 6 2" xfId="9595"/>
    <cellStyle name="Vírgula 2 2 2 4 6 2 2" xfId="27809"/>
    <cellStyle name="Vírgula 2 2 2 4 6 2 2 2" xfId="54039"/>
    <cellStyle name="Vírgula 2 2 2 4 6 2 3" xfId="21895"/>
    <cellStyle name="Vírgula 2 2 2 4 6 2 3 2" xfId="48131"/>
    <cellStyle name="Vírgula 2 2 2 4 6 2 4" xfId="15981"/>
    <cellStyle name="Vírgula 2 2 2 4 6 2 4 2" xfId="42223"/>
    <cellStyle name="Vírgula 2 2 2 4 6 2 5" xfId="35837"/>
    <cellStyle name="Vírgula 2 2 2 4 6 3" xfId="24852"/>
    <cellStyle name="Vírgula 2 2 2 4 6 3 2" xfId="51085"/>
    <cellStyle name="Vírgula 2 2 2 4 6 4" xfId="18938"/>
    <cellStyle name="Vírgula 2 2 2 4 6 4 2" xfId="45177"/>
    <cellStyle name="Vírgula 2 2 2 4 6 5" xfId="12819"/>
    <cellStyle name="Vírgula 2 2 2 4 6 5 2" xfId="39061"/>
    <cellStyle name="Vírgula 2 2 2 4 6 6" xfId="32675"/>
    <cellStyle name="Vírgula 2 2 2 4 7" xfId="8124"/>
    <cellStyle name="Vírgula 2 2 2 4 7 2" xfId="26338"/>
    <cellStyle name="Vírgula 2 2 2 4 7 2 2" xfId="52571"/>
    <cellStyle name="Vírgula 2 2 2 4 7 3" xfId="20424"/>
    <cellStyle name="Vírgula 2 2 2 4 7 3 2" xfId="46663"/>
    <cellStyle name="Vírgula 2 2 2 4 7 4" xfId="14513"/>
    <cellStyle name="Vírgula 2 2 2 4 7 4 2" xfId="40755"/>
    <cellStyle name="Vírgula 2 2 2 4 7 5" xfId="34369"/>
    <cellStyle name="Vírgula 2 2 2 4 8" xfId="4727"/>
    <cellStyle name="Vírgula 2 2 2 4 8 2" xfId="23381"/>
    <cellStyle name="Vírgula 2 2 2 4 8 2 2" xfId="49617"/>
    <cellStyle name="Vírgula 2 2 2 4 8 3" xfId="30976"/>
    <cellStyle name="Vírgula 2 2 2 4 9" xfId="17467"/>
    <cellStyle name="Vírgula 2 2 2 4 9 2" xfId="43709"/>
    <cellStyle name="Vírgula 2 2 2 5" xfId="3624"/>
    <cellStyle name="Vírgula 2 2 2 5 2" xfId="7470"/>
    <cellStyle name="Vírgula 2 2 2 5 2 2" xfId="10614"/>
    <cellStyle name="Vírgula 2 2 2 5 2 2 2" xfId="28828"/>
    <cellStyle name="Vírgula 2 2 2 5 2 2 2 2" xfId="55058"/>
    <cellStyle name="Vírgula 2 2 2 5 2 2 3" xfId="22914"/>
    <cellStyle name="Vírgula 2 2 2 5 2 2 3 2" xfId="49150"/>
    <cellStyle name="Vírgula 2 2 2 5 2 2 4" xfId="17000"/>
    <cellStyle name="Vírgula 2 2 2 5 2 2 4 2" xfId="43242"/>
    <cellStyle name="Vírgula 2 2 2 5 2 2 5" xfId="36856"/>
    <cellStyle name="Vírgula 2 2 2 5 2 3" xfId="25871"/>
    <cellStyle name="Vírgula 2 2 2 5 2 3 2" xfId="52104"/>
    <cellStyle name="Vírgula 2 2 2 5 2 4" xfId="19957"/>
    <cellStyle name="Vírgula 2 2 2 5 2 4 2" xfId="46196"/>
    <cellStyle name="Vírgula 2 2 2 5 2 5" xfId="13859"/>
    <cellStyle name="Vírgula 2 2 2 5 2 5 2" xfId="40101"/>
    <cellStyle name="Vírgula 2 2 2 5 2 6" xfId="33715"/>
    <cellStyle name="Vírgula 2 2 2 5 3" xfId="9146"/>
    <cellStyle name="Vírgula 2 2 2 5 3 2" xfId="27360"/>
    <cellStyle name="Vírgula 2 2 2 5 3 2 2" xfId="53590"/>
    <cellStyle name="Vírgula 2 2 2 5 3 3" xfId="21446"/>
    <cellStyle name="Vírgula 2 2 2 5 3 3 2" xfId="47682"/>
    <cellStyle name="Vírgula 2 2 2 5 3 4" xfId="15532"/>
    <cellStyle name="Vírgula 2 2 2 5 3 4 2" xfId="41774"/>
    <cellStyle name="Vírgula 2 2 2 5 3 5" xfId="35388"/>
    <cellStyle name="Vírgula 2 2 2 5 4" xfId="5771"/>
    <cellStyle name="Vírgula 2 2 2 5 4 2" xfId="24403"/>
    <cellStyle name="Vírgula 2 2 2 5 4 2 2" xfId="50636"/>
    <cellStyle name="Vírgula 2 2 2 5 4 3" xfId="32016"/>
    <cellStyle name="Vírgula 2 2 2 5 5" xfId="18489"/>
    <cellStyle name="Vírgula 2 2 2 5 5 2" xfId="44728"/>
    <cellStyle name="Vírgula 2 2 2 5 6" xfId="12158"/>
    <cellStyle name="Vírgula 2 2 2 5 6 2" xfId="38400"/>
    <cellStyle name="Vírgula 2 2 2 5 7" xfId="30318"/>
    <cellStyle name="Vírgula 2 2 2 6" xfId="4151"/>
    <cellStyle name="Vírgula 2 2 2 6 2" xfId="7617"/>
    <cellStyle name="Vírgula 2 2 2 6 2 2" xfId="10761"/>
    <cellStyle name="Vírgula 2 2 2 6 2 2 2" xfId="28975"/>
    <cellStyle name="Vírgula 2 2 2 6 2 2 2 2" xfId="55205"/>
    <cellStyle name="Vírgula 2 2 2 6 2 2 3" xfId="23061"/>
    <cellStyle name="Vírgula 2 2 2 6 2 2 3 2" xfId="49297"/>
    <cellStyle name="Vírgula 2 2 2 6 2 2 4" xfId="17147"/>
    <cellStyle name="Vírgula 2 2 2 6 2 2 4 2" xfId="43389"/>
    <cellStyle name="Vírgula 2 2 2 6 2 2 5" xfId="37003"/>
    <cellStyle name="Vírgula 2 2 2 6 2 3" xfId="26018"/>
    <cellStyle name="Vírgula 2 2 2 6 2 3 2" xfId="52251"/>
    <cellStyle name="Vírgula 2 2 2 6 2 4" xfId="20104"/>
    <cellStyle name="Vírgula 2 2 2 6 2 4 2" xfId="46343"/>
    <cellStyle name="Vírgula 2 2 2 6 2 5" xfId="14006"/>
    <cellStyle name="Vírgula 2 2 2 6 2 5 2" xfId="40248"/>
    <cellStyle name="Vírgula 2 2 2 6 2 6" xfId="33862"/>
    <cellStyle name="Vírgula 2 2 2 6 3" xfId="9293"/>
    <cellStyle name="Vírgula 2 2 2 6 3 2" xfId="27507"/>
    <cellStyle name="Vírgula 2 2 2 6 3 2 2" xfId="53737"/>
    <cellStyle name="Vírgula 2 2 2 6 3 3" xfId="21593"/>
    <cellStyle name="Vírgula 2 2 2 6 3 3 2" xfId="47829"/>
    <cellStyle name="Vírgula 2 2 2 6 3 4" xfId="15679"/>
    <cellStyle name="Vírgula 2 2 2 6 3 4 2" xfId="41921"/>
    <cellStyle name="Vírgula 2 2 2 6 3 5" xfId="35535"/>
    <cellStyle name="Vírgula 2 2 2 6 4" xfId="5918"/>
    <cellStyle name="Vírgula 2 2 2 6 4 2" xfId="24550"/>
    <cellStyle name="Vírgula 2 2 2 6 4 2 2" xfId="50783"/>
    <cellStyle name="Vírgula 2 2 2 6 4 3" xfId="32163"/>
    <cellStyle name="Vírgula 2 2 2 6 5" xfId="18636"/>
    <cellStyle name="Vírgula 2 2 2 6 5 2" xfId="44875"/>
    <cellStyle name="Vírgula 2 2 2 6 6" xfId="12305"/>
    <cellStyle name="Vírgula 2 2 2 6 6 2" xfId="38547"/>
    <cellStyle name="Vírgula 2 2 2 6 7" xfId="30465"/>
    <cellStyle name="Vírgula 2 2 2 7" xfId="4260"/>
    <cellStyle name="Vírgula 2 2 2 7 2" xfId="7660"/>
    <cellStyle name="Vírgula 2 2 2 7 2 2" xfId="10795"/>
    <cellStyle name="Vírgula 2 2 2 7 2 2 2" xfId="29009"/>
    <cellStyle name="Vírgula 2 2 2 7 2 2 2 2" xfId="55239"/>
    <cellStyle name="Vírgula 2 2 2 7 2 2 3" xfId="23095"/>
    <cellStyle name="Vírgula 2 2 2 7 2 2 3 2" xfId="49331"/>
    <cellStyle name="Vírgula 2 2 2 7 2 2 4" xfId="17181"/>
    <cellStyle name="Vírgula 2 2 2 7 2 2 4 2" xfId="43423"/>
    <cellStyle name="Vírgula 2 2 2 7 2 2 5" xfId="37037"/>
    <cellStyle name="Vírgula 2 2 2 7 2 3" xfId="26052"/>
    <cellStyle name="Vírgula 2 2 2 7 2 3 2" xfId="52285"/>
    <cellStyle name="Vírgula 2 2 2 7 2 4" xfId="20138"/>
    <cellStyle name="Vírgula 2 2 2 7 2 4 2" xfId="46377"/>
    <cellStyle name="Vírgula 2 2 2 7 2 5" xfId="14049"/>
    <cellStyle name="Vírgula 2 2 2 7 2 5 2" xfId="40291"/>
    <cellStyle name="Vírgula 2 2 2 7 2 6" xfId="33905"/>
    <cellStyle name="Vírgula 2 2 2 7 3" xfId="9327"/>
    <cellStyle name="Vírgula 2 2 2 7 3 2" xfId="27541"/>
    <cellStyle name="Vírgula 2 2 2 7 3 2 2" xfId="53771"/>
    <cellStyle name="Vírgula 2 2 2 7 3 3" xfId="21627"/>
    <cellStyle name="Vírgula 2 2 2 7 3 3 2" xfId="47863"/>
    <cellStyle name="Vírgula 2 2 2 7 3 4" xfId="15713"/>
    <cellStyle name="Vírgula 2 2 2 7 3 4 2" xfId="41955"/>
    <cellStyle name="Vírgula 2 2 2 7 3 5" xfId="35569"/>
    <cellStyle name="Vírgula 2 2 2 7 4" xfId="5960"/>
    <cellStyle name="Vírgula 2 2 2 7 4 2" xfId="24584"/>
    <cellStyle name="Vírgula 2 2 2 7 4 2 2" xfId="50817"/>
    <cellStyle name="Vírgula 2 2 2 7 4 3" xfId="32205"/>
    <cellStyle name="Vírgula 2 2 2 7 5" xfId="18670"/>
    <cellStyle name="Vírgula 2 2 2 7 5 2" xfId="44909"/>
    <cellStyle name="Vírgula 2 2 2 7 6" xfId="12348"/>
    <cellStyle name="Vírgula 2 2 2 7 6 2" xfId="38590"/>
    <cellStyle name="Vírgula 2 2 2 7 7" xfId="30509"/>
    <cellStyle name="Vírgula 2 2 2 8" xfId="4336"/>
    <cellStyle name="Vírgula 2 2 2 8 2" xfId="7737"/>
    <cellStyle name="Vírgula 2 2 2 8 2 2" xfId="10838"/>
    <cellStyle name="Vírgula 2 2 2 8 2 2 2" xfId="29052"/>
    <cellStyle name="Vírgula 2 2 2 8 2 2 2 2" xfId="55282"/>
    <cellStyle name="Vírgula 2 2 2 8 2 2 3" xfId="23138"/>
    <cellStyle name="Vírgula 2 2 2 8 2 2 3 2" xfId="49374"/>
    <cellStyle name="Vírgula 2 2 2 8 2 2 4" xfId="17224"/>
    <cellStyle name="Vírgula 2 2 2 8 2 2 4 2" xfId="43466"/>
    <cellStyle name="Vírgula 2 2 2 8 2 2 5" xfId="37080"/>
    <cellStyle name="Vírgula 2 2 2 8 2 3" xfId="26095"/>
    <cellStyle name="Vírgula 2 2 2 8 2 3 2" xfId="52328"/>
    <cellStyle name="Vírgula 2 2 2 8 2 4" xfId="20181"/>
    <cellStyle name="Vírgula 2 2 2 8 2 4 2" xfId="46420"/>
    <cellStyle name="Vírgula 2 2 2 8 2 5" xfId="14126"/>
    <cellStyle name="Vírgula 2 2 2 8 2 5 2" xfId="40368"/>
    <cellStyle name="Vírgula 2 2 2 8 2 6" xfId="33982"/>
    <cellStyle name="Vírgula 2 2 2 8 3" xfId="9370"/>
    <cellStyle name="Vírgula 2 2 2 8 3 2" xfId="27584"/>
    <cellStyle name="Vírgula 2 2 2 8 3 2 2" xfId="53814"/>
    <cellStyle name="Vírgula 2 2 2 8 3 3" xfId="21670"/>
    <cellStyle name="Vírgula 2 2 2 8 3 3 2" xfId="47906"/>
    <cellStyle name="Vírgula 2 2 2 8 3 4" xfId="15756"/>
    <cellStyle name="Vírgula 2 2 2 8 3 4 2" xfId="41998"/>
    <cellStyle name="Vírgula 2 2 2 8 3 5" xfId="35612"/>
    <cellStyle name="Vírgula 2 2 2 8 4" xfId="6037"/>
    <cellStyle name="Vírgula 2 2 2 8 4 2" xfId="24627"/>
    <cellStyle name="Vírgula 2 2 2 8 4 2 2" xfId="50860"/>
    <cellStyle name="Vírgula 2 2 2 8 4 3" xfId="32282"/>
    <cellStyle name="Vírgula 2 2 2 8 5" xfId="18713"/>
    <cellStyle name="Vírgula 2 2 2 8 5 2" xfId="44952"/>
    <cellStyle name="Vírgula 2 2 2 8 6" xfId="12425"/>
    <cellStyle name="Vírgula 2 2 2 8 6 2" xfId="38667"/>
    <cellStyle name="Vírgula 2 2 2 8 7" xfId="30585"/>
    <cellStyle name="Vírgula 2 2 2 9" xfId="4444"/>
    <cellStyle name="Vírgula 2 2 2 9 2" xfId="7846"/>
    <cellStyle name="Vírgula 2 2 2 9 2 2" xfId="10900"/>
    <cellStyle name="Vírgula 2 2 2 9 2 2 2" xfId="29114"/>
    <cellStyle name="Vírgula 2 2 2 9 2 2 2 2" xfId="55344"/>
    <cellStyle name="Vírgula 2 2 2 9 2 2 3" xfId="23200"/>
    <cellStyle name="Vírgula 2 2 2 9 2 2 3 2" xfId="49436"/>
    <cellStyle name="Vírgula 2 2 2 9 2 2 4" xfId="17286"/>
    <cellStyle name="Vírgula 2 2 2 9 2 2 4 2" xfId="43528"/>
    <cellStyle name="Vírgula 2 2 2 9 2 2 5" xfId="37142"/>
    <cellStyle name="Vírgula 2 2 2 9 2 3" xfId="26157"/>
    <cellStyle name="Vírgula 2 2 2 9 2 3 2" xfId="52390"/>
    <cellStyle name="Vírgula 2 2 2 9 2 4" xfId="20243"/>
    <cellStyle name="Vírgula 2 2 2 9 2 4 2" xfId="46482"/>
    <cellStyle name="Vírgula 2 2 2 9 2 5" xfId="14235"/>
    <cellStyle name="Vírgula 2 2 2 9 2 5 2" xfId="40477"/>
    <cellStyle name="Vírgula 2 2 2 9 2 6" xfId="34091"/>
    <cellStyle name="Vírgula 2 2 2 9 3" xfId="9432"/>
    <cellStyle name="Vírgula 2 2 2 9 3 2" xfId="27646"/>
    <cellStyle name="Vírgula 2 2 2 9 3 2 2" xfId="53876"/>
    <cellStyle name="Vírgula 2 2 2 9 3 3" xfId="21732"/>
    <cellStyle name="Vírgula 2 2 2 9 3 3 2" xfId="47968"/>
    <cellStyle name="Vírgula 2 2 2 9 3 4" xfId="15818"/>
    <cellStyle name="Vírgula 2 2 2 9 3 4 2" xfId="42060"/>
    <cellStyle name="Vírgula 2 2 2 9 3 5" xfId="35674"/>
    <cellStyle name="Vírgula 2 2 2 9 4" xfId="6146"/>
    <cellStyle name="Vírgula 2 2 2 9 4 2" xfId="24689"/>
    <cellStyle name="Vírgula 2 2 2 9 4 2 2" xfId="50922"/>
    <cellStyle name="Vírgula 2 2 2 9 4 3" xfId="32391"/>
    <cellStyle name="Vírgula 2 2 2 9 5" xfId="18775"/>
    <cellStyle name="Vírgula 2 2 2 9 5 2" xfId="45014"/>
    <cellStyle name="Vírgula 2 2 2 9 6" xfId="12534"/>
    <cellStyle name="Vírgula 2 2 2 9 6 2" xfId="38776"/>
    <cellStyle name="Vírgula 2 2 2 9 7" xfId="30693"/>
    <cellStyle name="Vírgula 2 2 20" xfId="11046"/>
    <cellStyle name="Vírgula 2 2 20 2" xfId="37288"/>
    <cellStyle name="Vírgula 2 2 21" xfId="249"/>
    <cellStyle name="Vírgula 2 2 21 2" xfId="29357"/>
    <cellStyle name="Vírgula 2 2 22" xfId="29264"/>
    <cellStyle name="Vírgula 2 2 3" xfId="994"/>
    <cellStyle name="Vírgula 2 2 3 10" xfId="8059"/>
    <cellStyle name="Vírgula 2 2 3 10 2" xfId="11023"/>
    <cellStyle name="Vírgula 2 2 3 10 2 2" xfId="29237"/>
    <cellStyle name="Vírgula 2 2 3 10 2 2 2" xfId="55467"/>
    <cellStyle name="Vírgula 2 2 3 10 2 3" xfId="23323"/>
    <cellStyle name="Vírgula 2 2 3 10 2 3 2" xfId="49559"/>
    <cellStyle name="Vírgula 2 2 3 10 2 4" xfId="17409"/>
    <cellStyle name="Vírgula 2 2 3 10 2 4 2" xfId="43651"/>
    <cellStyle name="Vírgula 2 2 3 10 2 5" xfId="37265"/>
    <cellStyle name="Vírgula 2 2 3 10 3" xfId="26280"/>
    <cellStyle name="Vírgula 2 2 3 10 3 2" xfId="52513"/>
    <cellStyle name="Vírgula 2 2 3 10 4" xfId="20366"/>
    <cellStyle name="Vírgula 2 2 3 10 4 2" xfId="46605"/>
    <cellStyle name="Vírgula 2 2 3 10 5" xfId="14448"/>
    <cellStyle name="Vírgula 2 2 3 10 5 2" xfId="40690"/>
    <cellStyle name="Vírgula 2 2 3 10 6" xfId="34304"/>
    <cellStyle name="Vírgula 2 2 3 11" xfId="8088"/>
    <cellStyle name="Vírgula 2 2 3 11 2" xfId="26302"/>
    <cellStyle name="Vírgula 2 2 3 11 2 2" xfId="52535"/>
    <cellStyle name="Vírgula 2 2 3 11 3" xfId="20388"/>
    <cellStyle name="Vírgula 2 2 3 11 3 2" xfId="46627"/>
    <cellStyle name="Vírgula 2 2 3 11 4" xfId="14477"/>
    <cellStyle name="Vírgula 2 2 3 11 4 2" xfId="40719"/>
    <cellStyle name="Vírgula 2 2 3 11 5" xfId="34333"/>
    <cellStyle name="Vírgula 2 2 3 12" xfId="4665"/>
    <cellStyle name="Vírgula 2 2 3 12 2" xfId="23345"/>
    <cellStyle name="Vírgula 2 2 3 12 2 2" xfId="49581"/>
    <cellStyle name="Vírgula 2 2 3 12 3" xfId="30914"/>
    <cellStyle name="Vírgula 2 2 3 13" xfId="17431"/>
    <cellStyle name="Vírgula 2 2 3 13 2" xfId="43673"/>
    <cellStyle name="Vírgula 2 2 3 14" xfId="11056"/>
    <cellStyle name="Vírgula 2 2 3 14 2" xfId="37298"/>
    <cellStyle name="Vírgula 2 2 3 15" xfId="29587"/>
    <cellStyle name="Vírgula 2 2 3 2" xfId="4280"/>
    <cellStyle name="Vírgula 2 2 3 2 10" xfId="8097"/>
    <cellStyle name="Vírgula 2 2 3 2 10 2" xfId="26311"/>
    <cellStyle name="Vírgula 2 2 3 2 10 2 2" xfId="52544"/>
    <cellStyle name="Vírgula 2 2 3 2 10 3" xfId="20397"/>
    <cellStyle name="Vírgula 2 2 3 2 10 3 2" xfId="46636"/>
    <cellStyle name="Vírgula 2 2 3 2 10 4" xfId="14486"/>
    <cellStyle name="Vírgula 2 2 3 2 10 4 2" xfId="40728"/>
    <cellStyle name="Vírgula 2 2 3 2 10 5" xfId="34342"/>
    <cellStyle name="Vírgula 2 2 3 2 11" xfId="4680"/>
    <cellStyle name="Vírgula 2 2 3 2 11 2" xfId="23354"/>
    <cellStyle name="Vírgula 2 2 3 2 11 2 2" xfId="49590"/>
    <cellStyle name="Vírgula 2 2 3 2 11 3" xfId="30929"/>
    <cellStyle name="Vírgula 2 2 3 2 12" xfId="17440"/>
    <cellStyle name="Vírgula 2 2 3 2 12 2" xfId="43682"/>
    <cellStyle name="Vírgula 2 2 3 2 13" xfId="11071"/>
    <cellStyle name="Vírgula 2 2 3 2 13 2" xfId="37313"/>
    <cellStyle name="Vírgula 2 2 3 2 14" xfId="30529"/>
    <cellStyle name="Vírgula 2 2 3 2 2" xfId="4315"/>
    <cellStyle name="Vírgula 2 2 3 2 2 10" xfId="11106"/>
    <cellStyle name="Vírgula 2 2 3 2 2 10 2" xfId="37348"/>
    <cellStyle name="Vírgula 2 2 3 2 2 11" xfId="30564"/>
    <cellStyle name="Vírgula 2 2 3 2 2 2" xfId="4392"/>
    <cellStyle name="Vírgula 2 2 3 2 2 2 2" xfId="7793"/>
    <cellStyle name="Vírgula 2 2 3 2 2 2 2 2" xfId="10870"/>
    <cellStyle name="Vírgula 2 2 3 2 2 2 2 2 2" xfId="29084"/>
    <cellStyle name="Vírgula 2 2 3 2 2 2 2 2 2 2" xfId="55314"/>
    <cellStyle name="Vírgula 2 2 3 2 2 2 2 2 3" xfId="23170"/>
    <cellStyle name="Vírgula 2 2 3 2 2 2 2 2 3 2" xfId="49406"/>
    <cellStyle name="Vírgula 2 2 3 2 2 2 2 2 4" xfId="17256"/>
    <cellStyle name="Vírgula 2 2 3 2 2 2 2 2 4 2" xfId="43498"/>
    <cellStyle name="Vírgula 2 2 3 2 2 2 2 2 5" xfId="37112"/>
    <cellStyle name="Vírgula 2 2 3 2 2 2 2 3" xfId="26127"/>
    <cellStyle name="Vírgula 2 2 3 2 2 2 2 3 2" xfId="52360"/>
    <cellStyle name="Vírgula 2 2 3 2 2 2 2 4" xfId="20213"/>
    <cellStyle name="Vírgula 2 2 3 2 2 2 2 4 2" xfId="46452"/>
    <cellStyle name="Vírgula 2 2 3 2 2 2 2 5" xfId="14182"/>
    <cellStyle name="Vírgula 2 2 3 2 2 2 2 5 2" xfId="40424"/>
    <cellStyle name="Vírgula 2 2 3 2 2 2 2 6" xfId="34038"/>
    <cellStyle name="Vírgula 2 2 3 2 2 2 3" xfId="9402"/>
    <cellStyle name="Vírgula 2 2 3 2 2 2 3 2" xfId="27616"/>
    <cellStyle name="Vírgula 2 2 3 2 2 2 3 2 2" xfId="53846"/>
    <cellStyle name="Vírgula 2 2 3 2 2 2 3 3" xfId="21702"/>
    <cellStyle name="Vírgula 2 2 3 2 2 2 3 3 2" xfId="47938"/>
    <cellStyle name="Vírgula 2 2 3 2 2 2 3 4" xfId="15788"/>
    <cellStyle name="Vírgula 2 2 3 2 2 2 3 4 2" xfId="42030"/>
    <cellStyle name="Vírgula 2 2 3 2 2 2 3 5" xfId="35644"/>
    <cellStyle name="Vírgula 2 2 3 2 2 2 4" xfId="6093"/>
    <cellStyle name="Vírgula 2 2 3 2 2 2 4 2" xfId="24659"/>
    <cellStyle name="Vírgula 2 2 3 2 2 2 4 2 2" xfId="50892"/>
    <cellStyle name="Vírgula 2 2 3 2 2 2 4 3" xfId="32338"/>
    <cellStyle name="Vírgula 2 2 3 2 2 2 5" xfId="18745"/>
    <cellStyle name="Vírgula 2 2 3 2 2 2 5 2" xfId="44984"/>
    <cellStyle name="Vírgula 2 2 3 2 2 2 6" xfId="12481"/>
    <cellStyle name="Vírgula 2 2 3 2 2 2 6 2" xfId="38723"/>
    <cellStyle name="Vírgula 2 2 3 2 2 2 7" xfId="30641"/>
    <cellStyle name="Vírgula 2 2 3 2 2 3" xfId="4500"/>
    <cellStyle name="Vírgula 2 2 3 2 2 3 2" xfId="7902"/>
    <cellStyle name="Vírgula 2 2 3 2 2 3 2 2" xfId="10932"/>
    <cellStyle name="Vírgula 2 2 3 2 2 3 2 2 2" xfId="29146"/>
    <cellStyle name="Vírgula 2 2 3 2 2 3 2 2 2 2" xfId="55376"/>
    <cellStyle name="Vírgula 2 2 3 2 2 3 2 2 3" xfId="23232"/>
    <cellStyle name="Vírgula 2 2 3 2 2 3 2 2 3 2" xfId="49468"/>
    <cellStyle name="Vírgula 2 2 3 2 2 3 2 2 4" xfId="17318"/>
    <cellStyle name="Vírgula 2 2 3 2 2 3 2 2 4 2" xfId="43560"/>
    <cellStyle name="Vírgula 2 2 3 2 2 3 2 2 5" xfId="37174"/>
    <cellStyle name="Vírgula 2 2 3 2 2 3 2 3" xfId="26189"/>
    <cellStyle name="Vírgula 2 2 3 2 2 3 2 3 2" xfId="52422"/>
    <cellStyle name="Vírgula 2 2 3 2 2 3 2 4" xfId="20275"/>
    <cellStyle name="Vírgula 2 2 3 2 2 3 2 4 2" xfId="46514"/>
    <cellStyle name="Vírgula 2 2 3 2 2 3 2 5" xfId="14291"/>
    <cellStyle name="Vírgula 2 2 3 2 2 3 2 5 2" xfId="40533"/>
    <cellStyle name="Vírgula 2 2 3 2 2 3 2 6" xfId="34147"/>
    <cellStyle name="Vírgula 2 2 3 2 2 3 3" xfId="9464"/>
    <cellStyle name="Vírgula 2 2 3 2 2 3 3 2" xfId="27678"/>
    <cellStyle name="Vírgula 2 2 3 2 2 3 3 2 2" xfId="53908"/>
    <cellStyle name="Vírgula 2 2 3 2 2 3 3 3" xfId="21764"/>
    <cellStyle name="Vírgula 2 2 3 2 2 3 3 3 2" xfId="48000"/>
    <cellStyle name="Vírgula 2 2 3 2 2 3 3 4" xfId="15850"/>
    <cellStyle name="Vírgula 2 2 3 2 2 3 3 4 2" xfId="42092"/>
    <cellStyle name="Vírgula 2 2 3 2 2 3 3 5" xfId="35706"/>
    <cellStyle name="Vírgula 2 2 3 2 2 3 4" xfId="6201"/>
    <cellStyle name="Vírgula 2 2 3 2 2 3 4 2" xfId="24721"/>
    <cellStyle name="Vírgula 2 2 3 2 2 3 4 2 2" xfId="50954"/>
    <cellStyle name="Vírgula 2 2 3 2 2 3 4 3" xfId="32446"/>
    <cellStyle name="Vírgula 2 2 3 2 2 3 5" xfId="18807"/>
    <cellStyle name="Vírgula 2 2 3 2 2 3 5 2" xfId="45046"/>
    <cellStyle name="Vírgula 2 2 3 2 2 3 6" xfId="12590"/>
    <cellStyle name="Vírgula 2 2 3 2 2 3 6 2" xfId="38832"/>
    <cellStyle name="Vírgula 2 2 3 2 2 3 7" xfId="30749"/>
    <cellStyle name="Vírgula 2 2 3 2 2 4" xfId="4608"/>
    <cellStyle name="Vírgula 2 2 3 2 2 4 2" xfId="8010"/>
    <cellStyle name="Vírgula 2 2 3 2 2 4 2 2" xfId="10994"/>
    <cellStyle name="Vírgula 2 2 3 2 2 4 2 2 2" xfId="29208"/>
    <cellStyle name="Vírgula 2 2 3 2 2 4 2 2 2 2" xfId="55438"/>
    <cellStyle name="Vírgula 2 2 3 2 2 4 2 2 3" xfId="23294"/>
    <cellStyle name="Vírgula 2 2 3 2 2 4 2 2 3 2" xfId="49530"/>
    <cellStyle name="Vírgula 2 2 3 2 2 4 2 2 4" xfId="17380"/>
    <cellStyle name="Vírgula 2 2 3 2 2 4 2 2 4 2" xfId="43622"/>
    <cellStyle name="Vírgula 2 2 3 2 2 4 2 2 5" xfId="37236"/>
    <cellStyle name="Vírgula 2 2 3 2 2 4 2 3" xfId="26251"/>
    <cellStyle name="Vírgula 2 2 3 2 2 4 2 3 2" xfId="52484"/>
    <cellStyle name="Vírgula 2 2 3 2 2 4 2 4" xfId="20337"/>
    <cellStyle name="Vírgula 2 2 3 2 2 4 2 4 2" xfId="46576"/>
    <cellStyle name="Vírgula 2 2 3 2 2 4 2 5" xfId="14399"/>
    <cellStyle name="Vírgula 2 2 3 2 2 4 2 5 2" xfId="40641"/>
    <cellStyle name="Vírgula 2 2 3 2 2 4 2 6" xfId="34255"/>
    <cellStyle name="Vírgula 2 2 3 2 2 4 3" xfId="9526"/>
    <cellStyle name="Vírgula 2 2 3 2 2 4 3 2" xfId="27740"/>
    <cellStyle name="Vírgula 2 2 3 2 2 4 3 2 2" xfId="53970"/>
    <cellStyle name="Vírgula 2 2 3 2 2 4 3 3" xfId="21826"/>
    <cellStyle name="Vírgula 2 2 3 2 2 4 3 3 2" xfId="48062"/>
    <cellStyle name="Vírgula 2 2 3 2 2 4 3 4" xfId="15912"/>
    <cellStyle name="Vírgula 2 2 3 2 2 4 3 4 2" xfId="42154"/>
    <cellStyle name="Vírgula 2 2 3 2 2 4 3 5" xfId="35768"/>
    <cellStyle name="Vírgula 2 2 3 2 2 4 4" xfId="6309"/>
    <cellStyle name="Vírgula 2 2 3 2 2 4 4 2" xfId="24783"/>
    <cellStyle name="Vírgula 2 2 3 2 2 4 4 2 2" xfId="51016"/>
    <cellStyle name="Vírgula 2 2 3 2 2 4 4 3" xfId="32554"/>
    <cellStyle name="Vírgula 2 2 3 2 2 4 5" xfId="18869"/>
    <cellStyle name="Vírgula 2 2 3 2 2 4 5 2" xfId="45108"/>
    <cellStyle name="Vírgula 2 2 3 2 2 4 6" xfId="12698"/>
    <cellStyle name="Vírgula 2 2 3 2 2 4 6 2" xfId="38940"/>
    <cellStyle name="Vírgula 2 2 3 2 2 4 7" xfId="30857"/>
    <cellStyle name="Vírgula 2 2 3 2 2 5" xfId="6016"/>
    <cellStyle name="Vírgula 2 2 3 2 2 5 2" xfId="7716"/>
    <cellStyle name="Vírgula 2 2 3 2 2 5 2 2" xfId="10827"/>
    <cellStyle name="Vírgula 2 2 3 2 2 5 2 2 2" xfId="29041"/>
    <cellStyle name="Vírgula 2 2 3 2 2 5 2 2 2 2" xfId="55271"/>
    <cellStyle name="Vírgula 2 2 3 2 2 5 2 2 3" xfId="23127"/>
    <cellStyle name="Vírgula 2 2 3 2 2 5 2 2 3 2" xfId="49363"/>
    <cellStyle name="Vírgula 2 2 3 2 2 5 2 2 4" xfId="17213"/>
    <cellStyle name="Vírgula 2 2 3 2 2 5 2 2 4 2" xfId="43455"/>
    <cellStyle name="Vírgula 2 2 3 2 2 5 2 2 5" xfId="37069"/>
    <cellStyle name="Vírgula 2 2 3 2 2 5 2 3" xfId="26084"/>
    <cellStyle name="Vírgula 2 2 3 2 2 5 2 3 2" xfId="52317"/>
    <cellStyle name="Vírgula 2 2 3 2 2 5 2 4" xfId="20170"/>
    <cellStyle name="Vírgula 2 2 3 2 2 5 2 4 2" xfId="46409"/>
    <cellStyle name="Vírgula 2 2 3 2 2 5 2 5" xfId="14105"/>
    <cellStyle name="Vírgula 2 2 3 2 2 5 2 5 2" xfId="40347"/>
    <cellStyle name="Vírgula 2 2 3 2 2 5 2 6" xfId="33961"/>
    <cellStyle name="Vírgula 2 2 3 2 2 5 3" xfId="9359"/>
    <cellStyle name="Vírgula 2 2 3 2 2 5 3 2" xfId="27573"/>
    <cellStyle name="Vírgula 2 2 3 2 2 5 3 2 2" xfId="53803"/>
    <cellStyle name="Vírgula 2 2 3 2 2 5 3 3" xfId="21659"/>
    <cellStyle name="Vírgula 2 2 3 2 2 5 3 3 2" xfId="47895"/>
    <cellStyle name="Vírgula 2 2 3 2 2 5 3 4" xfId="15745"/>
    <cellStyle name="Vírgula 2 2 3 2 2 5 3 4 2" xfId="41987"/>
    <cellStyle name="Vírgula 2 2 3 2 2 5 3 5" xfId="35601"/>
    <cellStyle name="Vírgula 2 2 3 2 2 5 4" xfId="24616"/>
    <cellStyle name="Vírgula 2 2 3 2 2 5 4 2" xfId="50849"/>
    <cellStyle name="Vírgula 2 2 3 2 2 5 5" xfId="18702"/>
    <cellStyle name="Vírgula 2 2 3 2 2 5 5 2" xfId="44941"/>
    <cellStyle name="Vírgula 2 2 3 2 2 5 6" xfId="12404"/>
    <cellStyle name="Vírgula 2 2 3 2 2 5 6 2" xfId="38646"/>
    <cellStyle name="Vírgula 2 2 3 2 2 5 7" xfId="32261"/>
    <cellStyle name="Vírgula 2 2 3 2 2 6" xfId="6418"/>
    <cellStyle name="Vírgula 2 2 3 2 2 6 2" xfId="9588"/>
    <cellStyle name="Vírgula 2 2 3 2 2 6 2 2" xfId="27802"/>
    <cellStyle name="Vírgula 2 2 3 2 2 6 2 2 2" xfId="54032"/>
    <cellStyle name="Vírgula 2 2 3 2 2 6 2 3" xfId="21888"/>
    <cellStyle name="Vírgula 2 2 3 2 2 6 2 3 2" xfId="48124"/>
    <cellStyle name="Vírgula 2 2 3 2 2 6 2 4" xfId="15974"/>
    <cellStyle name="Vírgula 2 2 3 2 2 6 2 4 2" xfId="42216"/>
    <cellStyle name="Vírgula 2 2 3 2 2 6 2 5" xfId="35830"/>
    <cellStyle name="Vírgula 2 2 3 2 2 6 3" xfId="24845"/>
    <cellStyle name="Vírgula 2 2 3 2 2 6 3 2" xfId="51078"/>
    <cellStyle name="Vírgula 2 2 3 2 2 6 4" xfId="18931"/>
    <cellStyle name="Vírgula 2 2 3 2 2 6 4 2" xfId="45170"/>
    <cellStyle name="Vírgula 2 2 3 2 2 6 5" xfId="12807"/>
    <cellStyle name="Vírgula 2 2 3 2 2 6 5 2" xfId="39049"/>
    <cellStyle name="Vírgula 2 2 3 2 2 6 6" xfId="32663"/>
    <cellStyle name="Vírgula 2 2 3 2 2 7" xfId="8117"/>
    <cellStyle name="Vírgula 2 2 3 2 2 7 2" xfId="26331"/>
    <cellStyle name="Vírgula 2 2 3 2 2 7 2 2" xfId="52564"/>
    <cellStyle name="Vírgula 2 2 3 2 2 7 3" xfId="20417"/>
    <cellStyle name="Vírgula 2 2 3 2 2 7 3 2" xfId="46656"/>
    <cellStyle name="Vírgula 2 2 3 2 2 7 4" xfId="14506"/>
    <cellStyle name="Vírgula 2 2 3 2 2 7 4 2" xfId="40748"/>
    <cellStyle name="Vírgula 2 2 3 2 2 7 5" xfId="34362"/>
    <cellStyle name="Vírgula 2 2 3 2 2 8" xfId="4715"/>
    <cellStyle name="Vírgula 2 2 3 2 2 8 2" xfId="23374"/>
    <cellStyle name="Vírgula 2 2 3 2 2 8 2 2" xfId="49610"/>
    <cellStyle name="Vírgula 2 2 3 2 2 8 3" xfId="30964"/>
    <cellStyle name="Vírgula 2 2 3 2 2 9" xfId="17460"/>
    <cellStyle name="Vírgula 2 2 3 2 2 9 2" xfId="43702"/>
    <cellStyle name="Vírgula 2 2 3 2 3" xfId="4424"/>
    <cellStyle name="Vírgula 2 2 3 2 3 10" xfId="30673"/>
    <cellStyle name="Vírgula 2 2 3 2 3 2" xfId="4532"/>
    <cellStyle name="Vírgula 2 2 3 2 3 2 2" xfId="7934"/>
    <cellStyle name="Vírgula 2 2 3 2 3 2 2 2" xfId="10951"/>
    <cellStyle name="Vírgula 2 2 3 2 3 2 2 2 2" xfId="29165"/>
    <cellStyle name="Vírgula 2 2 3 2 3 2 2 2 2 2" xfId="55395"/>
    <cellStyle name="Vírgula 2 2 3 2 3 2 2 2 3" xfId="23251"/>
    <cellStyle name="Vírgula 2 2 3 2 3 2 2 2 3 2" xfId="49487"/>
    <cellStyle name="Vírgula 2 2 3 2 3 2 2 2 4" xfId="17337"/>
    <cellStyle name="Vírgula 2 2 3 2 3 2 2 2 4 2" xfId="43579"/>
    <cellStyle name="Vírgula 2 2 3 2 3 2 2 2 5" xfId="37193"/>
    <cellStyle name="Vírgula 2 2 3 2 3 2 2 3" xfId="26208"/>
    <cellStyle name="Vírgula 2 2 3 2 3 2 2 3 2" xfId="52441"/>
    <cellStyle name="Vírgula 2 2 3 2 3 2 2 4" xfId="20294"/>
    <cellStyle name="Vírgula 2 2 3 2 3 2 2 4 2" xfId="46533"/>
    <cellStyle name="Vírgula 2 2 3 2 3 2 2 5" xfId="14323"/>
    <cellStyle name="Vírgula 2 2 3 2 3 2 2 5 2" xfId="40565"/>
    <cellStyle name="Vírgula 2 2 3 2 3 2 2 6" xfId="34179"/>
    <cellStyle name="Vírgula 2 2 3 2 3 2 3" xfId="9483"/>
    <cellStyle name="Vírgula 2 2 3 2 3 2 3 2" xfId="27697"/>
    <cellStyle name="Vírgula 2 2 3 2 3 2 3 2 2" xfId="53927"/>
    <cellStyle name="Vírgula 2 2 3 2 3 2 3 3" xfId="21783"/>
    <cellStyle name="Vírgula 2 2 3 2 3 2 3 3 2" xfId="48019"/>
    <cellStyle name="Vírgula 2 2 3 2 3 2 3 4" xfId="15869"/>
    <cellStyle name="Vírgula 2 2 3 2 3 2 3 4 2" xfId="42111"/>
    <cellStyle name="Vírgula 2 2 3 2 3 2 3 5" xfId="35725"/>
    <cellStyle name="Vírgula 2 2 3 2 3 2 4" xfId="6233"/>
    <cellStyle name="Vírgula 2 2 3 2 3 2 4 2" xfId="24740"/>
    <cellStyle name="Vírgula 2 2 3 2 3 2 4 2 2" xfId="50973"/>
    <cellStyle name="Vírgula 2 2 3 2 3 2 4 3" xfId="32478"/>
    <cellStyle name="Vírgula 2 2 3 2 3 2 5" xfId="18826"/>
    <cellStyle name="Vírgula 2 2 3 2 3 2 5 2" xfId="45065"/>
    <cellStyle name="Vírgula 2 2 3 2 3 2 6" xfId="12622"/>
    <cellStyle name="Vírgula 2 2 3 2 3 2 6 2" xfId="38864"/>
    <cellStyle name="Vírgula 2 2 3 2 3 2 7" xfId="30781"/>
    <cellStyle name="Vírgula 2 2 3 2 3 3" xfId="4640"/>
    <cellStyle name="Vírgula 2 2 3 2 3 3 2" xfId="8043"/>
    <cellStyle name="Vírgula 2 2 3 2 3 3 2 2" xfId="11013"/>
    <cellStyle name="Vírgula 2 2 3 2 3 3 2 2 2" xfId="29227"/>
    <cellStyle name="Vírgula 2 2 3 2 3 3 2 2 2 2" xfId="55457"/>
    <cellStyle name="Vírgula 2 2 3 2 3 3 2 2 3" xfId="23313"/>
    <cellStyle name="Vírgula 2 2 3 2 3 3 2 2 3 2" xfId="49549"/>
    <cellStyle name="Vírgula 2 2 3 2 3 3 2 2 4" xfId="17399"/>
    <cellStyle name="Vírgula 2 2 3 2 3 3 2 2 4 2" xfId="43641"/>
    <cellStyle name="Vírgula 2 2 3 2 3 3 2 2 5" xfId="37255"/>
    <cellStyle name="Vírgula 2 2 3 2 3 3 2 3" xfId="26270"/>
    <cellStyle name="Vírgula 2 2 3 2 3 3 2 3 2" xfId="52503"/>
    <cellStyle name="Vírgula 2 2 3 2 3 3 2 4" xfId="20356"/>
    <cellStyle name="Vírgula 2 2 3 2 3 3 2 4 2" xfId="46595"/>
    <cellStyle name="Vírgula 2 2 3 2 3 3 2 5" xfId="14432"/>
    <cellStyle name="Vírgula 2 2 3 2 3 3 2 5 2" xfId="40674"/>
    <cellStyle name="Vírgula 2 2 3 2 3 3 2 6" xfId="34288"/>
    <cellStyle name="Vírgula 2 2 3 2 3 3 3" xfId="9545"/>
    <cellStyle name="Vírgula 2 2 3 2 3 3 3 2" xfId="27759"/>
    <cellStyle name="Vírgula 2 2 3 2 3 3 3 2 2" xfId="53989"/>
    <cellStyle name="Vírgula 2 2 3 2 3 3 3 3" xfId="21845"/>
    <cellStyle name="Vírgula 2 2 3 2 3 3 3 3 2" xfId="48081"/>
    <cellStyle name="Vírgula 2 2 3 2 3 3 3 4" xfId="15931"/>
    <cellStyle name="Vírgula 2 2 3 2 3 3 3 4 2" xfId="42173"/>
    <cellStyle name="Vírgula 2 2 3 2 3 3 3 5" xfId="35787"/>
    <cellStyle name="Vírgula 2 2 3 2 3 3 4" xfId="6342"/>
    <cellStyle name="Vírgula 2 2 3 2 3 3 4 2" xfId="24802"/>
    <cellStyle name="Vírgula 2 2 3 2 3 3 4 2 2" xfId="51035"/>
    <cellStyle name="Vírgula 2 2 3 2 3 3 4 3" xfId="32587"/>
    <cellStyle name="Vírgula 2 2 3 2 3 3 5" xfId="18888"/>
    <cellStyle name="Vírgula 2 2 3 2 3 3 5 2" xfId="45127"/>
    <cellStyle name="Vírgula 2 2 3 2 3 3 6" xfId="12731"/>
    <cellStyle name="Vírgula 2 2 3 2 3 3 6 2" xfId="38973"/>
    <cellStyle name="Vírgula 2 2 3 2 3 3 7" xfId="30889"/>
    <cellStyle name="Vírgula 2 2 3 2 3 4" xfId="6126"/>
    <cellStyle name="Vírgula 2 2 3 2 3 4 2" xfId="7826"/>
    <cellStyle name="Vírgula 2 2 3 2 3 4 2 2" xfId="10889"/>
    <cellStyle name="Vírgula 2 2 3 2 3 4 2 2 2" xfId="29103"/>
    <cellStyle name="Vírgula 2 2 3 2 3 4 2 2 2 2" xfId="55333"/>
    <cellStyle name="Vírgula 2 2 3 2 3 4 2 2 3" xfId="23189"/>
    <cellStyle name="Vírgula 2 2 3 2 3 4 2 2 3 2" xfId="49425"/>
    <cellStyle name="Vírgula 2 2 3 2 3 4 2 2 4" xfId="17275"/>
    <cellStyle name="Vírgula 2 2 3 2 3 4 2 2 4 2" xfId="43517"/>
    <cellStyle name="Vírgula 2 2 3 2 3 4 2 2 5" xfId="37131"/>
    <cellStyle name="Vírgula 2 2 3 2 3 4 2 3" xfId="26146"/>
    <cellStyle name="Vírgula 2 2 3 2 3 4 2 3 2" xfId="52379"/>
    <cellStyle name="Vírgula 2 2 3 2 3 4 2 4" xfId="20232"/>
    <cellStyle name="Vírgula 2 2 3 2 3 4 2 4 2" xfId="46471"/>
    <cellStyle name="Vírgula 2 2 3 2 3 4 2 5" xfId="14215"/>
    <cellStyle name="Vírgula 2 2 3 2 3 4 2 5 2" xfId="40457"/>
    <cellStyle name="Vírgula 2 2 3 2 3 4 2 6" xfId="34071"/>
    <cellStyle name="Vírgula 2 2 3 2 3 4 3" xfId="9421"/>
    <cellStyle name="Vírgula 2 2 3 2 3 4 3 2" xfId="27635"/>
    <cellStyle name="Vírgula 2 2 3 2 3 4 3 2 2" xfId="53865"/>
    <cellStyle name="Vírgula 2 2 3 2 3 4 3 3" xfId="21721"/>
    <cellStyle name="Vírgula 2 2 3 2 3 4 3 3 2" xfId="47957"/>
    <cellStyle name="Vírgula 2 2 3 2 3 4 3 4" xfId="15807"/>
    <cellStyle name="Vírgula 2 2 3 2 3 4 3 4 2" xfId="42049"/>
    <cellStyle name="Vírgula 2 2 3 2 3 4 3 5" xfId="35663"/>
    <cellStyle name="Vírgula 2 2 3 2 3 4 4" xfId="24678"/>
    <cellStyle name="Vírgula 2 2 3 2 3 4 4 2" xfId="50911"/>
    <cellStyle name="Vírgula 2 2 3 2 3 4 5" xfId="18764"/>
    <cellStyle name="Vírgula 2 2 3 2 3 4 5 2" xfId="45003"/>
    <cellStyle name="Vírgula 2 2 3 2 3 4 6" xfId="12514"/>
    <cellStyle name="Vírgula 2 2 3 2 3 4 6 2" xfId="38756"/>
    <cellStyle name="Vírgula 2 2 3 2 3 4 7" xfId="32371"/>
    <cellStyle name="Vírgula 2 2 3 2 3 5" xfId="6451"/>
    <cellStyle name="Vírgula 2 2 3 2 3 5 2" xfId="9607"/>
    <cellStyle name="Vírgula 2 2 3 2 3 5 2 2" xfId="27821"/>
    <cellStyle name="Vírgula 2 2 3 2 3 5 2 2 2" xfId="54051"/>
    <cellStyle name="Vírgula 2 2 3 2 3 5 2 3" xfId="21907"/>
    <cellStyle name="Vírgula 2 2 3 2 3 5 2 3 2" xfId="48143"/>
    <cellStyle name="Vírgula 2 2 3 2 3 5 2 4" xfId="15993"/>
    <cellStyle name="Vírgula 2 2 3 2 3 5 2 4 2" xfId="42235"/>
    <cellStyle name="Vírgula 2 2 3 2 3 5 2 5" xfId="35849"/>
    <cellStyle name="Vírgula 2 2 3 2 3 5 3" xfId="24864"/>
    <cellStyle name="Vírgula 2 2 3 2 3 5 3 2" xfId="51097"/>
    <cellStyle name="Vírgula 2 2 3 2 3 5 4" xfId="18950"/>
    <cellStyle name="Vírgula 2 2 3 2 3 5 4 2" xfId="45189"/>
    <cellStyle name="Vírgula 2 2 3 2 3 5 5" xfId="12840"/>
    <cellStyle name="Vírgula 2 2 3 2 3 5 5 2" xfId="39082"/>
    <cellStyle name="Vírgula 2 2 3 2 3 5 6" xfId="32696"/>
    <cellStyle name="Vírgula 2 2 3 2 3 6" xfId="8136"/>
    <cellStyle name="Vírgula 2 2 3 2 3 6 2" xfId="26350"/>
    <cellStyle name="Vírgula 2 2 3 2 3 6 2 2" xfId="52583"/>
    <cellStyle name="Vírgula 2 2 3 2 3 6 3" xfId="20436"/>
    <cellStyle name="Vírgula 2 2 3 2 3 6 3 2" xfId="46675"/>
    <cellStyle name="Vírgula 2 2 3 2 3 6 4" xfId="14525"/>
    <cellStyle name="Vírgula 2 2 3 2 3 6 4 2" xfId="40767"/>
    <cellStyle name="Vírgula 2 2 3 2 3 6 5" xfId="34381"/>
    <cellStyle name="Vírgula 2 2 3 2 3 7" xfId="4748"/>
    <cellStyle name="Vírgula 2 2 3 2 3 7 2" xfId="23393"/>
    <cellStyle name="Vírgula 2 2 3 2 3 7 2 2" xfId="49629"/>
    <cellStyle name="Vírgula 2 2 3 2 3 7 3" xfId="30997"/>
    <cellStyle name="Vírgula 2 2 3 2 3 8" xfId="17479"/>
    <cellStyle name="Vírgula 2 2 3 2 3 8 2" xfId="43721"/>
    <cellStyle name="Vírgula 2 2 3 2 3 9" xfId="11139"/>
    <cellStyle name="Vírgula 2 2 3 2 3 9 2" xfId="37381"/>
    <cellStyle name="Vírgula 2 2 3 2 4" xfId="4357"/>
    <cellStyle name="Vírgula 2 2 3 2 4 2" xfId="7758"/>
    <cellStyle name="Vírgula 2 2 3 2 4 2 2" xfId="10850"/>
    <cellStyle name="Vírgula 2 2 3 2 4 2 2 2" xfId="29064"/>
    <cellStyle name="Vírgula 2 2 3 2 4 2 2 2 2" xfId="55294"/>
    <cellStyle name="Vírgula 2 2 3 2 4 2 2 3" xfId="23150"/>
    <cellStyle name="Vírgula 2 2 3 2 4 2 2 3 2" xfId="49386"/>
    <cellStyle name="Vírgula 2 2 3 2 4 2 2 4" xfId="17236"/>
    <cellStyle name="Vírgula 2 2 3 2 4 2 2 4 2" xfId="43478"/>
    <cellStyle name="Vírgula 2 2 3 2 4 2 2 5" xfId="37092"/>
    <cellStyle name="Vírgula 2 2 3 2 4 2 3" xfId="26107"/>
    <cellStyle name="Vírgula 2 2 3 2 4 2 3 2" xfId="52340"/>
    <cellStyle name="Vírgula 2 2 3 2 4 2 4" xfId="20193"/>
    <cellStyle name="Vírgula 2 2 3 2 4 2 4 2" xfId="46432"/>
    <cellStyle name="Vírgula 2 2 3 2 4 2 5" xfId="14147"/>
    <cellStyle name="Vírgula 2 2 3 2 4 2 5 2" xfId="40389"/>
    <cellStyle name="Vírgula 2 2 3 2 4 2 6" xfId="34003"/>
    <cellStyle name="Vírgula 2 2 3 2 4 3" xfId="9382"/>
    <cellStyle name="Vírgula 2 2 3 2 4 3 2" xfId="27596"/>
    <cellStyle name="Vírgula 2 2 3 2 4 3 2 2" xfId="53826"/>
    <cellStyle name="Vírgula 2 2 3 2 4 3 3" xfId="21682"/>
    <cellStyle name="Vírgula 2 2 3 2 4 3 3 2" xfId="47918"/>
    <cellStyle name="Vírgula 2 2 3 2 4 3 4" xfId="15768"/>
    <cellStyle name="Vírgula 2 2 3 2 4 3 4 2" xfId="42010"/>
    <cellStyle name="Vírgula 2 2 3 2 4 3 5" xfId="35624"/>
    <cellStyle name="Vírgula 2 2 3 2 4 4" xfId="6058"/>
    <cellStyle name="Vírgula 2 2 3 2 4 4 2" xfId="24639"/>
    <cellStyle name="Vírgula 2 2 3 2 4 4 2 2" xfId="50872"/>
    <cellStyle name="Vírgula 2 2 3 2 4 4 3" xfId="32303"/>
    <cellStyle name="Vírgula 2 2 3 2 4 5" xfId="18725"/>
    <cellStyle name="Vírgula 2 2 3 2 4 5 2" xfId="44964"/>
    <cellStyle name="Vírgula 2 2 3 2 4 6" xfId="12446"/>
    <cellStyle name="Vírgula 2 2 3 2 4 6 2" xfId="38688"/>
    <cellStyle name="Vírgula 2 2 3 2 4 7" xfId="30606"/>
    <cellStyle name="Vírgula 2 2 3 2 5" xfId="4465"/>
    <cellStyle name="Vírgula 2 2 3 2 5 2" xfId="7867"/>
    <cellStyle name="Vírgula 2 2 3 2 5 2 2" xfId="10912"/>
    <cellStyle name="Vírgula 2 2 3 2 5 2 2 2" xfId="29126"/>
    <cellStyle name="Vírgula 2 2 3 2 5 2 2 2 2" xfId="55356"/>
    <cellStyle name="Vírgula 2 2 3 2 5 2 2 3" xfId="23212"/>
    <cellStyle name="Vírgula 2 2 3 2 5 2 2 3 2" xfId="49448"/>
    <cellStyle name="Vírgula 2 2 3 2 5 2 2 4" xfId="17298"/>
    <cellStyle name="Vírgula 2 2 3 2 5 2 2 4 2" xfId="43540"/>
    <cellStyle name="Vírgula 2 2 3 2 5 2 2 5" xfId="37154"/>
    <cellStyle name="Vírgula 2 2 3 2 5 2 3" xfId="26169"/>
    <cellStyle name="Vírgula 2 2 3 2 5 2 3 2" xfId="52402"/>
    <cellStyle name="Vírgula 2 2 3 2 5 2 4" xfId="20255"/>
    <cellStyle name="Vírgula 2 2 3 2 5 2 4 2" xfId="46494"/>
    <cellStyle name="Vírgula 2 2 3 2 5 2 5" xfId="14256"/>
    <cellStyle name="Vírgula 2 2 3 2 5 2 5 2" xfId="40498"/>
    <cellStyle name="Vírgula 2 2 3 2 5 2 6" xfId="34112"/>
    <cellStyle name="Vírgula 2 2 3 2 5 3" xfId="9444"/>
    <cellStyle name="Vírgula 2 2 3 2 5 3 2" xfId="27658"/>
    <cellStyle name="Vírgula 2 2 3 2 5 3 2 2" xfId="53888"/>
    <cellStyle name="Vírgula 2 2 3 2 5 3 3" xfId="21744"/>
    <cellStyle name="Vírgula 2 2 3 2 5 3 3 2" xfId="47980"/>
    <cellStyle name="Vírgula 2 2 3 2 5 3 4" xfId="15830"/>
    <cellStyle name="Vírgula 2 2 3 2 5 3 4 2" xfId="42072"/>
    <cellStyle name="Vírgula 2 2 3 2 5 3 5" xfId="35686"/>
    <cellStyle name="Vírgula 2 2 3 2 5 4" xfId="6167"/>
    <cellStyle name="Vírgula 2 2 3 2 5 4 2" xfId="24701"/>
    <cellStyle name="Vírgula 2 2 3 2 5 4 2 2" xfId="50934"/>
    <cellStyle name="Vírgula 2 2 3 2 5 4 3" xfId="32412"/>
    <cellStyle name="Vírgula 2 2 3 2 5 5" xfId="18787"/>
    <cellStyle name="Vírgula 2 2 3 2 5 5 2" xfId="45026"/>
    <cellStyle name="Vírgula 2 2 3 2 5 6" xfId="12555"/>
    <cellStyle name="Vírgula 2 2 3 2 5 6 2" xfId="38797"/>
    <cellStyle name="Vírgula 2 2 3 2 5 7" xfId="30714"/>
    <cellStyle name="Vírgula 2 2 3 2 6" xfId="4573"/>
    <cellStyle name="Vírgula 2 2 3 2 6 2" xfId="7975"/>
    <cellStyle name="Vírgula 2 2 3 2 6 2 2" xfId="10974"/>
    <cellStyle name="Vírgula 2 2 3 2 6 2 2 2" xfId="29188"/>
    <cellStyle name="Vírgula 2 2 3 2 6 2 2 2 2" xfId="55418"/>
    <cellStyle name="Vírgula 2 2 3 2 6 2 2 3" xfId="23274"/>
    <cellStyle name="Vírgula 2 2 3 2 6 2 2 3 2" xfId="49510"/>
    <cellStyle name="Vírgula 2 2 3 2 6 2 2 4" xfId="17360"/>
    <cellStyle name="Vírgula 2 2 3 2 6 2 2 4 2" xfId="43602"/>
    <cellStyle name="Vírgula 2 2 3 2 6 2 2 5" xfId="37216"/>
    <cellStyle name="Vírgula 2 2 3 2 6 2 3" xfId="26231"/>
    <cellStyle name="Vírgula 2 2 3 2 6 2 3 2" xfId="52464"/>
    <cellStyle name="Vírgula 2 2 3 2 6 2 4" xfId="20317"/>
    <cellStyle name="Vírgula 2 2 3 2 6 2 4 2" xfId="46556"/>
    <cellStyle name="Vírgula 2 2 3 2 6 2 5" xfId="14364"/>
    <cellStyle name="Vírgula 2 2 3 2 6 2 5 2" xfId="40606"/>
    <cellStyle name="Vírgula 2 2 3 2 6 2 6" xfId="34220"/>
    <cellStyle name="Vírgula 2 2 3 2 6 3" xfId="9506"/>
    <cellStyle name="Vírgula 2 2 3 2 6 3 2" xfId="27720"/>
    <cellStyle name="Vírgula 2 2 3 2 6 3 2 2" xfId="53950"/>
    <cellStyle name="Vírgula 2 2 3 2 6 3 3" xfId="21806"/>
    <cellStyle name="Vírgula 2 2 3 2 6 3 3 2" xfId="48042"/>
    <cellStyle name="Vírgula 2 2 3 2 6 3 4" xfId="15892"/>
    <cellStyle name="Vírgula 2 2 3 2 6 3 4 2" xfId="42134"/>
    <cellStyle name="Vírgula 2 2 3 2 6 3 5" xfId="35748"/>
    <cellStyle name="Vírgula 2 2 3 2 6 4" xfId="6274"/>
    <cellStyle name="Vírgula 2 2 3 2 6 4 2" xfId="24763"/>
    <cellStyle name="Vírgula 2 2 3 2 6 4 2 2" xfId="50996"/>
    <cellStyle name="Vírgula 2 2 3 2 6 4 3" xfId="32519"/>
    <cellStyle name="Vírgula 2 2 3 2 6 5" xfId="18849"/>
    <cellStyle name="Vírgula 2 2 3 2 6 5 2" xfId="45088"/>
    <cellStyle name="Vírgula 2 2 3 2 6 6" xfId="12663"/>
    <cellStyle name="Vírgula 2 2 3 2 6 6 2" xfId="38905"/>
    <cellStyle name="Vírgula 2 2 3 2 6 7" xfId="30822"/>
    <cellStyle name="Vírgula 2 2 3 2 7" xfId="5981"/>
    <cellStyle name="Vírgula 2 2 3 2 7 2" xfId="7681"/>
    <cellStyle name="Vírgula 2 2 3 2 7 2 2" xfId="10807"/>
    <cellStyle name="Vírgula 2 2 3 2 7 2 2 2" xfId="29021"/>
    <cellStyle name="Vírgula 2 2 3 2 7 2 2 2 2" xfId="55251"/>
    <cellStyle name="Vírgula 2 2 3 2 7 2 2 3" xfId="23107"/>
    <cellStyle name="Vírgula 2 2 3 2 7 2 2 3 2" xfId="49343"/>
    <cellStyle name="Vírgula 2 2 3 2 7 2 2 4" xfId="17193"/>
    <cellStyle name="Vírgula 2 2 3 2 7 2 2 4 2" xfId="43435"/>
    <cellStyle name="Vírgula 2 2 3 2 7 2 2 5" xfId="37049"/>
    <cellStyle name="Vírgula 2 2 3 2 7 2 3" xfId="26064"/>
    <cellStyle name="Vírgula 2 2 3 2 7 2 3 2" xfId="52297"/>
    <cellStyle name="Vírgula 2 2 3 2 7 2 4" xfId="20150"/>
    <cellStyle name="Vírgula 2 2 3 2 7 2 4 2" xfId="46389"/>
    <cellStyle name="Vírgula 2 2 3 2 7 2 5" xfId="14070"/>
    <cellStyle name="Vírgula 2 2 3 2 7 2 5 2" xfId="40312"/>
    <cellStyle name="Vírgula 2 2 3 2 7 2 6" xfId="33926"/>
    <cellStyle name="Vírgula 2 2 3 2 7 3" xfId="9339"/>
    <cellStyle name="Vírgula 2 2 3 2 7 3 2" xfId="27553"/>
    <cellStyle name="Vírgula 2 2 3 2 7 3 2 2" xfId="53783"/>
    <cellStyle name="Vírgula 2 2 3 2 7 3 3" xfId="21639"/>
    <cellStyle name="Vírgula 2 2 3 2 7 3 3 2" xfId="47875"/>
    <cellStyle name="Vírgula 2 2 3 2 7 3 4" xfId="15725"/>
    <cellStyle name="Vírgula 2 2 3 2 7 3 4 2" xfId="41967"/>
    <cellStyle name="Vírgula 2 2 3 2 7 3 5" xfId="35581"/>
    <cellStyle name="Vírgula 2 2 3 2 7 4" xfId="24596"/>
    <cellStyle name="Vírgula 2 2 3 2 7 4 2" xfId="50829"/>
    <cellStyle name="Vírgula 2 2 3 2 7 5" xfId="18682"/>
    <cellStyle name="Vírgula 2 2 3 2 7 5 2" xfId="44921"/>
    <cellStyle name="Vírgula 2 2 3 2 7 6" xfId="12369"/>
    <cellStyle name="Vírgula 2 2 3 2 7 6 2" xfId="38611"/>
    <cellStyle name="Vírgula 2 2 3 2 7 7" xfId="32226"/>
    <cellStyle name="Vírgula 2 2 3 2 8" xfId="6383"/>
    <cellStyle name="Vírgula 2 2 3 2 8 2" xfId="9568"/>
    <cellStyle name="Vírgula 2 2 3 2 8 2 2" xfId="27782"/>
    <cellStyle name="Vírgula 2 2 3 2 8 2 2 2" xfId="54012"/>
    <cellStyle name="Vírgula 2 2 3 2 8 2 3" xfId="21868"/>
    <cellStyle name="Vírgula 2 2 3 2 8 2 3 2" xfId="48104"/>
    <cellStyle name="Vírgula 2 2 3 2 8 2 4" xfId="15954"/>
    <cellStyle name="Vírgula 2 2 3 2 8 2 4 2" xfId="42196"/>
    <cellStyle name="Vírgula 2 2 3 2 8 2 5" xfId="35810"/>
    <cellStyle name="Vírgula 2 2 3 2 8 3" xfId="24825"/>
    <cellStyle name="Vírgula 2 2 3 2 8 3 2" xfId="51058"/>
    <cellStyle name="Vírgula 2 2 3 2 8 4" xfId="18911"/>
    <cellStyle name="Vírgula 2 2 3 2 8 4 2" xfId="45150"/>
    <cellStyle name="Vírgula 2 2 3 2 8 5" xfId="12772"/>
    <cellStyle name="Vírgula 2 2 3 2 8 5 2" xfId="39014"/>
    <cellStyle name="Vírgula 2 2 3 2 8 6" xfId="32628"/>
    <cellStyle name="Vírgula 2 2 3 2 9" xfId="8075"/>
    <cellStyle name="Vírgula 2 2 3 2 9 2" xfId="11032"/>
    <cellStyle name="Vírgula 2 2 3 2 9 2 2" xfId="29246"/>
    <cellStyle name="Vírgula 2 2 3 2 9 2 2 2" xfId="55476"/>
    <cellStyle name="Vírgula 2 2 3 2 9 2 3" xfId="23332"/>
    <cellStyle name="Vírgula 2 2 3 2 9 2 3 2" xfId="49568"/>
    <cellStyle name="Vírgula 2 2 3 2 9 2 4" xfId="17418"/>
    <cellStyle name="Vírgula 2 2 3 2 9 2 4 2" xfId="43660"/>
    <cellStyle name="Vírgula 2 2 3 2 9 2 5" xfId="37274"/>
    <cellStyle name="Vírgula 2 2 3 2 9 3" xfId="26289"/>
    <cellStyle name="Vírgula 2 2 3 2 9 3 2" xfId="52522"/>
    <cellStyle name="Vírgula 2 2 3 2 9 4" xfId="20375"/>
    <cellStyle name="Vírgula 2 2 3 2 9 4 2" xfId="46614"/>
    <cellStyle name="Vírgula 2 2 3 2 9 5" xfId="14464"/>
    <cellStyle name="Vírgula 2 2 3 2 9 5 2" xfId="40706"/>
    <cellStyle name="Vírgula 2 2 3 2 9 6" xfId="34320"/>
    <cellStyle name="Vírgula 2 2 3 3" xfId="4300"/>
    <cellStyle name="Vírgula 2 2 3 3 10" xfId="11091"/>
    <cellStyle name="Vírgula 2 2 3 3 10 2" xfId="37333"/>
    <cellStyle name="Vírgula 2 2 3 3 11" xfId="30549"/>
    <cellStyle name="Vírgula 2 2 3 3 2" xfId="4377"/>
    <cellStyle name="Vírgula 2 2 3 3 2 2" xfId="7778"/>
    <cellStyle name="Vírgula 2 2 3 3 2 2 2" xfId="10861"/>
    <cellStyle name="Vírgula 2 2 3 3 2 2 2 2" xfId="29075"/>
    <cellStyle name="Vírgula 2 2 3 3 2 2 2 2 2" xfId="55305"/>
    <cellStyle name="Vírgula 2 2 3 3 2 2 2 3" xfId="23161"/>
    <cellStyle name="Vírgula 2 2 3 3 2 2 2 3 2" xfId="49397"/>
    <cellStyle name="Vírgula 2 2 3 3 2 2 2 4" xfId="17247"/>
    <cellStyle name="Vírgula 2 2 3 3 2 2 2 4 2" xfId="43489"/>
    <cellStyle name="Vírgula 2 2 3 3 2 2 2 5" xfId="37103"/>
    <cellStyle name="Vírgula 2 2 3 3 2 2 3" xfId="26118"/>
    <cellStyle name="Vírgula 2 2 3 3 2 2 3 2" xfId="52351"/>
    <cellStyle name="Vírgula 2 2 3 3 2 2 4" xfId="20204"/>
    <cellStyle name="Vírgula 2 2 3 3 2 2 4 2" xfId="46443"/>
    <cellStyle name="Vírgula 2 2 3 3 2 2 5" xfId="14167"/>
    <cellStyle name="Vírgula 2 2 3 3 2 2 5 2" xfId="40409"/>
    <cellStyle name="Vírgula 2 2 3 3 2 2 6" xfId="34023"/>
    <cellStyle name="Vírgula 2 2 3 3 2 3" xfId="9393"/>
    <cellStyle name="Vírgula 2 2 3 3 2 3 2" xfId="27607"/>
    <cellStyle name="Vírgula 2 2 3 3 2 3 2 2" xfId="53837"/>
    <cellStyle name="Vírgula 2 2 3 3 2 3 3" xfId="21693"/>
    <cellStyle name="Vírgula 2 2 3 3 2 3 3 2" xfId="47929"/>
    <cellStyle name="Vírgula 2 2 3 3 2 3 4" xfId="15779"/>
    <cellStyle name="Vírgula 2 2 3 3 2 3 4 2" xfId="42021"/>
    <cellStyle name="Vírgula 2 2 3 3 2 3 5" xfId="35635"/>
    <cellStyle name="Vírgula 2 2 3 3 2 4" xfId="6078"/>
    <cellStyle name="Vírgula 2 2 3 3 2 4 2" xfId="24650"/>
    <cellStyle name="Vírgula 2 2 3 3 2 4 2 2" xfId="50883"/>
    <cellStyle name="Vírgula 2 2 3 3 2 4 3" xfId="32323"/>
    <cellStyle name="Vírgula 2 2 3 3 2 5" xfId="18736"/>
    <cellStyle name="Vírgula 2 2 3 3 2 5 2" xfId="44975"/>
    <cellStyle name="Vírgula 2 2 3 3 2 6" xfId="12466"/>
    <cellStyle name="Vírgula 2 2 3 3 2 6 2" xfId="38708"/>
    <cellStyle name="Vírgula 2 2 3 3 2 7" xfId="30626"/>
    <cellStyle name="Vírgula 2 2 3 3 3" xfId="4485"/>
    <cellStyle name="Vírgula 2 2 3 3 3 2" xfId="7887"/>
    <cellStyle name="Vírgula 2 2 3 3 3 2 2" xfId="10923"/>
    <cellStyle name="Vírgula 2 2 3 3 3 2 2 2" xfId="29137"/>
    <cellStyle name="Vírgula 2 2 3 3 3 2 2 2 2" xfId="55367"/>
    <cellStyle name="Vírgula 2 2 3 3 3 2 2 3" xfId="23223"/>
    <cellStyle name="Vírgula 2 2 3 3 3 2 2 3 2" xfId="49459"/>
    <cellStyle name="Vírgula 2 2 3 3 3 2 2 4" xfId="17309"/>
    <cellStyle name="Vírgula 2 2 3 3 3 2 2 4 2" xfId="43551"/>
    <cellStyle name="Vírgula 2 2 3 3 3 2 2 5" xfId="37165"/>
    <cellStyle name="Vírgula 2 2 3 3 3 2 3" xfId="26180"/>
    <cellStyle name="Vírgula 2 2 3 3 3 2 3 2" xfId="52413"/>
    <cellStyle name="Vírgula 2 2 3 3 3 2 4" xfId="20266"/>
    <cellStyle name="Vírgula 2 2 3 3 3 2 4 2" xfId="46505"/>
    <cellStyle name="Vírgula 2 2 3 3 3 2 5" xfId="14276"/>
    <cellStyle name="Vírgula 2 2 3 3 3 2 5 2" xfId="40518"/>
    <cellStyle name="Vírgula 2 2 3 3 3 2 6" xfId="34132"/>
    <cellStyle name="Vírgula 2 2 3 3 3 3" xfId="9455"/>
    <cellStyle name="Vírgula 2 2 3 3 3 3 2" xfId="27669"/>
    <cellStyle name="Vírgula 2 2 3 3 3 3 2 2" xfId="53899"/>
    <cellStyle name="Vírgula 2 2 3 3 3 3 3" xfId="21755"/>
    <cellStyle name="Vírgula 2 2 3 3 3 3 3 2" xfId="47991"/>
    <cellStyle name="Vírgula 2 2 3 3 3 3 4" xfId="15841"/>
    <cellStyle name="Vírgula 2 2 3 3 3 3 4 2" xfId="42083"/>
    <cellStyle name="Vírgula 2 2 3 3 3 3 5" xfId="35697"/>
    <cellStyle name="Vírgula 2 2 3 3 3 4" xfId="6187"/>
    <cellStyle name="Vírgula 2 2 3 3 3 4 2" xfId="24712"/>
    <cellStyle name="Vírgula 2 2 3 3 3 4 2 2" xfId="50945"/>
    <cellStyle name="Vírgula 2 2 3 3 3 4 3" xfId="32432"/>
    <cellStyle name="Vírgula 2 2 3 3 3 5" xfId="18798"/>
    <cellStyle name="Vírgula 2 2 3 3 3 5 2" xfId="45037"/>
    <cellStyle name="Vírgula 2 2 3 3 3 6" xfId="12575"/>
    <cellStyle name="Vírgula 2 2 3 3 3 6 2" xfId="38817"/>
    <cellStyle name="Vírgula 2 2 3 3 3 7" xfId="30734"/>
    <cellStyle name="Vírgula 2 2 3 3 4" xfId="4593"/>
    <cellStyle name="Vírgula 2 2 3 3 4 2" xfId="7995"/>
    <cellStyle name="Vírgula 2 2 3 3 4 2 2" xfId="10985"/>
    <cellStyle name="Vírgula 2 2 3 3 4 2 2 2" xfId="29199"/>
    <cellStyle name="Vírgula 2 2 3 3 4 2 2 2 2" xfId="55429"/>
    <cellStyle name="Vírgula 2 2 3 3 4 2 2 3" xfId="23285"/>
    <cellStyle name="Vírgula 2 2 3 3 4 2 2 3 2" xfId="49521"/>
    <cellStyle name="Vírgula 2 2 3 3 4 2 2 4" xfId="17371"/>
    <cellStyle name="Vírgula 2 2 3 3 4 2 2 4 2" xfId="43613"/>
    <cellStyle name="Vírgula 2 2 3 3 4 2 2 5" xfId="37227"/>
    <cellStyle name="Vírgula 2 2 3 3 4 2 3" xfId="26242"/>
    <cellStyle name="Vírgula 2 2 3 3 4 2 3 2" xfId="52475"/>
    <cellStyle name="Vírgula 2 2 3 3 4 2 4" xfId="20328"/>
    <cellStyle name="Vírgula 2 2 3 3 4 2 4 2" xfId="46567"/>
    <cellStyle name="Vírgula 2 2 3 3 4 2 5" xfId="14384"/>
    <cellStyle name="Vírgula 2 2 3 3 4 2 5 2" xfId="40626"/>
    <cellStyle name="Vírgula 2 2 3 3 4 2 6" xfId="34240"/>
    <cellStyle name="Vírgula 2 2 3 3 4 3" xfId="9517"/>
    <cellStyle name="Vírgula 2 2 3 3 4 3 2" xfId="27731"/>
    <cellStyle name="Vírgula 2 2 3 3 4 3 2 2" xfId="53961"/>
    <cellStyle name="Vírgula 2 2 3 3 4 3 3" xfId="21817"/>
    <cellStyle name="Vírgula 2 2 3 3 4 3 3 2" xfId="48053"/>
    <cellStyle name="Vírgula 2 2 3 3 4 3 4" xfId="15903"/>
    <cellStyle name="Vírgula 2 2 3 3 4 3 4 2" xfId="42145"/>
    <cellStyle name="Vírgula 2 2 3 3 4 3 5" xfId="35759"/>
    <cellStyle name="Vírgula 2 2 3 3 4 4" xfId="6294"/>
    <cellStyle name="Vírgula 2 2 3 3 4 4 2" xfId="24774"/>
    <cellStyle name="Vírgula 2 2 3 3 4 4 2 2" xfId="51007"/>
    <cellStyle name="Vírgula 2 2 3 3 4 4 3" xfId="32539"/>
    <cellStyle name="Vírgula 2 2 3 3 4 5" xfId="18860"/>
    <cellStyle name="Vírgula 2 2 3 3 4 5 2" xfId="45099"/>
    <cellStyle name="Vírgula 2 2 3 3 4 6" xfId="12683"/>
    <cellStyle name="Vírgula 2 2 3 3 4 6 2" xfId="38925"/>
    <cellStyle name="Vírgula 2 2 3 3 4 7" xfId="30842"/>
    <cellStyle name="Vírgula 2 2 3 3 5" xfId="6001"/>
    <cellStyle name="Vírgula 2 2 3 3 5 2" xfId="7701"/>
    <cellStyle name="Vírgula 2 2 3 3 5 2 2" xfId="10818"/>
    <cellStyle name="Vírgula 2 2 3 3 5 2 2 2" xfId="29032"/>
    <cellStyle name="Vírgula 2 2 3 3 5 2 2 2 2" xfId="55262"/>
    <cellStyle name="Vírgula 2 2 3 3 5 2 2 3" xfId="23118"/>
    <cellStyle name="Vírgula 2 2 3 3 5 2 2 3 2" xfId="49354"/>
    <cellStyle name="Vírgula 2 2 3 3 5 2 2 4" xfId="17204"/>
    <cellStyle name="Vírgula 2 2 3 3 5 2 2 4 2" xfId="43446"/>
    <cellStyle name="Vírgula 2 2 3 3 5 2 2 5" xfId="37060"/>
    <cellStyle name="Vírgula 2 2 3 3 5 2 3" xfId="26075"/>
    <cellStyle name="Vírgula 2 2 3 3 5 2 3 2" xfId="52308"/>
    <cellStyle name="Vírgula 2 2 3 3 5 2 4" xfId="20161"/>
    <cellStyle name="Vírgula 2 2 3 3 5 2 4 2" xfId="46400"/>
    <cellStyle name="Vírgula 2 2 3 3 5 2 5" xfId="14090"/>
    <cellStyle name="Vírgula 2 2 3 3 5 2 5 2" xfId="40332"/>
    <cellStyle name="Vírgula 2 2 3 3 5 2 6" xfId="33946"/>
    <cellStyle name="Vírgula 2 2 3 3 5 3" xfId="9350"/>
    <cellStyle name="Vírgula 2 2 3 3 5 3 2" xfId="27564"/>
    <cellStyle name="Vírgula 2 2 3 3 5 3 2 2" xfId="53794"/>
    <cellStyle name="Vírgula 2 2 3 3 5 3 3" xfId="21650"/>
    <cellStyle name="Vírgula 2 2 3 3 5 3 3 2" xfId="47886"/>
    <cellStyle name="Vírgula 2 2 3 3 5 3 4" xfId="15736"/>
    <cellStyle name="Vírgula 2 2 3 3 5 3 4 2" xfId="41978"/>
    <cellStyle name="Vírgula 2 2 3 3 5 3 5" xfId="35592"/>
    <cellStyle name="Vírgula 2 2 3 3 5 4" xfId="24607"/>
    <cellStyle name="Vírgula 2 2 3 3 5 4 2" xfId="50840"/>
    <cellStyle name="Vírgula 2 2 3 3 5 5" xfId="18693"/>
    <cellStyle name="Vírgula 2 2 3 3 5 5 2" xfId="44932"/>
    <cellStyle name="Vírgula 2 2 3 3 5 6" xfId="12389"/>
    <cellStyle name="Vírgula 2 2 3 3 5 6 2" xfId="38631"/>
    <cellStyle name="Vírgula 2 2 3 3 5 7" xfId="32246"/>
    <cellStyle name="Vírgula 2 2 3 3 6" xfId="6403"/>
    <cellStyle name="Vírgula 2 2 3 3 6 2" xfId="9579"/>
    <cellStyle name="Vírgula 2 2 3 3 6 2 2" xfId="27793"/>
    <cellStyle name="Vírgula 2 2 3 3 6 2 2 2" xfId="54023"/>
    <cellStyle name="Vírgula 2 2 3 3 6 2 3" xfId="21879"/>
    <cellStyle name="Vírgula 2 2 3 3 6 2 3 2" xfId="48115"/>
    <cellStyle name="Vírgula 2 2 3 3 6 2 4" xfId="15965"/>
    <cellStyle name="Vírgula 2 2 3 3 6 2 4 2" xfId="42207"/>
    <cellStyle name="Vírgula 2 2 3 3 6 2 5" xfId="35821"/>
    <cellStyle name="Vírgula 2 2 3 3 6 3" xfId="24836"/>
    <cellStyle name="Vírgula 2 2 3 3 6 3 2" xfId="51069"/>
    <cellStyle name="Vírgula 2 2 3 3 6 4" xfId="18922"/>
    <cellStyle name="Vírgula 2 2 3 3 6 4 2" xfId="45161"/>
    <cellStyle name="Vírgula 2 2 3 3 6 5" xfId="12792"/>
    <cellStyle name="Vírgula 2 2 3 3 6 5 2" xfId="39034"/>
    <cellStyle name="Vírgula 2 2 3 3 6 6" xfId="32648"/>
    <cellStyle name="Vírgula 2 2 3 3 7" xfId="8108"/>
    <cellStyle name="Vírgula 2 2 3 3 7 2" xfId="26322"/>
    <cellStyle name="Vírgula 2 2 3 3 7 2 2" xfId="52555"/>
    <cellStyle name="Vírgula 2 2 3 3 7 3" xfId="20408"/>
    <cellStyle name="Vírgula 2 2 3 3 7 3 2" xfId="46647"/>
    <cellStyle name="Vírgula 2 2 3 3 7 4" xfId="14497"/>
    <cellStyle name="Vírgula 2 2 3 3 7 4 2" xfId="40739"/>
    <cellStyle name="Vírgula 2 2 3 3 7 5" xfId="34353"/>
    <cellStyle name="Vírgula 2 2 3 3 8" xfId="4700"/>
    <cellStyle name="Vírgula 2 2 3 3 8 2" xfId="23365"/>
    <cellStyle name="Vírgula 2 2 3 3 8 2 2" xfId="49601"/>
    <cellStyle name="Vírgula 2 2 3 3 8 3" xfId="30949"/>
    <cellStyle name="Vírgula 2 2 3 3 9" xfId="17451"/>
    <cellStyle name="Vírgula 2 2 3 3 9 2" xfId="43693"/>
    <cellStyle name="Vírgula 2 2 3 4" xfId="4265"/>
    <cellStyle name="Vírgula 2 2 3 4 10" xfId="11123"/>
    <cellStyle name="Vírgula 2 2 3 4 10 2" xfId="37365"/>
    <cellStyle name="Vírgula 2 2 3 4 11" xfId="30514"/>
    <cellStyle name="Vírgula 2 2 3 4 2" xfId="4409"/>
    <cellStyle name="Vírgula 2 2 3 4 2 2" xfId="7810"/>
    <cellStyle name="Vírgula 2 2 3 4 2 2 2" xfId="10880"/>
    <cellStyle name="Vírgula 2 2 3 4 2 2 2 2" xfId="29094"/>
    <cellStyle name="Vírgula 2 2 3 4 2 2 2 2 2" xfId="55324"/>
    <cellStyle name="Vírgula 2 2 3 4 2 2 2 3" xfId="23180"/>
    <cellStyle name="Vírgula 2 2 3 4 2 2 2 3 2" xfId="49416"/>
    <cellStyle name="Vírgula 2 2 3 4 2 2 2 4" xfId="17266"/>
    <cellStyle name="Vírgula 2 2 3 4 2 2 2 4 2" xfId="43508"/>
    <cellStyle name="Vírgula 2 2 3 4 2 2 2 5" xfId="37122"/>
    <cellStyle name="Vírgula 2 2 3 4 2 2 3" xfId="26137"/>
    <cellStyle name="Vírgula 2 2 3 4 2 2 3 2" xfId="52370"/>
    <cellStyle name="Vírgula 2 2 3 4 2 2 4" xfId="20223"/>
    <cellStyle name="Vírgula 2 2 3 4 2 2 4 2" xfId="46462"/>
    <cellStyle name="Vírgula 2 2 3 4 2 2 5" xfId="14199"/>
    <cellStyle name="Vírgula 2 2 3 4 2 2 5 2" xfId="40441"/>
    <cellStyle name="Vírgula 2 2 3 4 2 2 6" xfId="34055"/>
    <cellStyle name="Vírgula 2 2 3 4 2 3" xfId="9412"/>
    <cellStyle name="Vírgula 2 2 3 4 2 3 2" xfId="27626"/>
    <cellStyle name="Vírgula 2 2 3 4 2 3 2 2" xfId="53856"/>
    <cellStyle name="Vírgula 2 2 3 4 2 3 3" xfId="21712"/>
    <cellStyle name="Vírgula 2 2 3 4 2 3 3 2" xfId="47948"/>
    <cellStyle name="Vírgula 2 2 3 4 2 3 4" xfId="15798"/>
    <cellStyle name="Vírgula 2 2 3 4 2 3 4 2" xfId="42040"/>
    <cellStyle name="Vírgula 2 2 3 4 2 3 5" xfId="35654"/>
    <cellStyle name="Vírgula 2 2 3 4 2 4" xfId="6110"/>
    <cellStyle name="Vírgula 2 2 3 4 2 4 2" xfId="24669"/>
    <cellStyle name="Vírgula 2 2 3 4 2 4 2 2" xfId="50902"/>
    <cellStyle name="Vírgula 2 2 3 4 2 4 3" xfId="32355"/>
    <cellStyle name="Vírgula 2 2 3 4 2 5" xfId="18755"/>
    <cellStyle name="Vírgula 2 2 3 4 2 5 2" xfId="44994"/>
    <cellStyle name="Vírgula 2 2 3 4 2 6" xfId="12498"/>
    <cellStyle name="Vírgula 2 2 3 4 2 6 2" xfId="38740"/>
    <cellStyle name="Vírgula 2 2 3 4 2 7" xfId="30658"/>
    <cellStyle name="Vírgula 2 2 3 4 3" xfId="4517"/>
    <cellStyle name="Vírgula 2 2 3 4 3 2" xfId="7919"/>
    <cellStyle name="Vírgula 2 2 3 4 3 2 2" xfId="10942"/>
    <cellStyle name="Vírgula 2 2 3 4 3 2 2 2" xfId="29156"/>
    <cellStyle name="Vírgula 2 2 3 4 3 2 2 2 2" xfId="55386"/>
    <cellStyle name="Vírgula 2 2 3 4 3 2 2 3" xfId="23242"/>
    <cellStyle name="Vírgula 2 2 3 4 3 2 2 3 2" xfId="49478"/>
    <cellStyle name="Vírgula 2 2 3 4 3 2 2 4" xfId="17328"/>
    <cellStyle name="Vírgula 2 2 3 4 3 2 2 4 2" xfId="43570"/>
    <cellStyle name="Vírgula 2 2 3 4 3 2 2 5" xfId="37184"/>
    <cellStyle name="Vírgula 2 2 3 4 3 2 3" xfId="26199"/>
    <cellStyle name="Vírgula 2 2 3 4 3 2 3 2" xfId="52432"/>
    <cellStyle name="Vírgula 2 2 3 4 3 2 4" xfId="20285"/>
    <cellStyle name="Vírgula 2 2 3 4 3 2 4 2" xfId="46524"/>
    <cellStyle name="Vírgula 2 2 3 4 3 2 5" xfId="14308"/>
    <cellStyle name="Vírgula 2 2 3 4 3 2 5 2" xfId="40550"/>
    <cellStyle name="Vírgula 2 2 3 4 3 2 6" xfId="34164"/>
    <cellStyle name="Vírgula 2 2 3 4 3 3" xfId="9474"/>
    <cellStyle name="Vírgula 2 2 3 4 3 3 2" xfId="27688"/>
    <cellStyle name="Vírgula 2 2 3 4 3 3 2 2" xfId="53918"/>
    <cellStyle name="Vírgula 2 2 3 4 3 3 3" xfId="21774"/>
    <cellStyle name="Vírgula 2 2 3 4 3 3 3 2" xfId="48010"/>
    <cellStyle name="Vírgula 2 2 3 4 3 3 4" xfId="15860"/>
    <cellStyle name="Vírgula 2 2 3 4 3 3 4 2" xfId="42102"/>
    <cellStyle name="Vírgula 2 2 3 4 3 3 5" xfId="35716"/>
    <cellStyle name="Vírgula 2 2 3 4 3 4" xfId="6218"/>
    <cellStyle name="Vírgula 2 2 3 4 3 4 2" xfId="24731"/>
    <cellStyle name="Vírgula 2 2 3 4 3 4 2 2" xfId="50964"/>
    <cellStyle name="Vírgula 2 2 3 4 3 4 3" xfId="32463"/>
    <cellStyle name="Vírgula 2 2 3 4 3 5" xfId="18817"/>
    <cellStyle name="Vírgula 2 2 3 4 3 5 2" xfId="45056"/>
    <cellStyle name="Vírgula 2 2 3 4 3 6" xfId="12607"/>
    <cellStyle name="Vírgula 2 2 3 4 3 6 2" xfId="38849"/>
    <cellStyle name="Vírgula 2 2 3 4 3 7" xfId="30766"/>
    <cellStyle name="Vírgula 2 2 3 4 4" xfId="4625"/>
    <cellStyle name="Vírgula 2 2 3 4 4 2" xfId="8027"/>
    <cellStyle name="Vírgula 2 2 3 4 4 2 2" xfId="11004"/>
    <cellStyle name="Vírgula 2 2 3 4 4 2 2 2" xfId="29218"/>
    <cellStyle name="Vírgula 2 2 3 4 4 2 2 2 2" xfId="55448"/>
    <cellStyle name="Vírgula 2 2 3 4 4 2 2 3" xfId="23304"/>
    <cellStyle name="Vírgula 2 2 3 4 4 2 2 3 2" xfId="49540"/>
    <cellStyle name="Vírgula 2 2 3 4 4 2 2 4" xfId="17390"/>
    <cellStyle name="Vírgula 2 2 3 4 4 2 2 4 2" xfId="43632"/>
    <cellStyle name="Vírgula 2 2 3 4 4 2 2 5" xfId="37246"/>
    <cellStyle name="Vírgula 2 2 3 4 4 2 3" xfId="26261"/>
    <cellStyle name="Vírgula 2 2 3 4 4 2 3 2" xfId="52494"/>
    <cellStyle name="Vírgula 2 2 3 4 4 2 4" xfId="20347"/>
    <cellStyle name="Vírgula 2 2 3 4 4 2 4 2" xfId="46586"/>
    <cellStyle name="Vírgula 2 2 3 4 4 2 5" xfId="14416"/>
    <cellStyle name="Vírgula 2 2 3 4 4 2 5 2" xfId="40658"/>
    <cellStyle name="Vírgula 2 2 3 4 4 2 6" xfId="34272"/>
    <cellStyle name="Vírgula 2 2 3 4 4 3" xfId="9536"/>
    <cellStyle name="Vírgula 2 2 3 4 4 3 2" xfId="27750"/>
    <cellStyle name="Vírgula 2 2 3 4 4 3 2 2" xfId="53980"/>
    <cellStyle name="Vírgula 2 2 3 4 4 3 3" xfId="21836"/>
    <cellStyle name="Vírgula 2 2 3 4 4 3 3 2" xfId="48072"/>
    <cellStyle name="Vírgula 2 2 3 4 4 3 4" xfId="15922"/>
    <cellStyle name="Vírgula 2 2 3 4 4 3 4 2" xfId="42164"/>
    <cellStyle name="Vírgula 2 2 3 4 4 3 5" xfId="35778"/>
    <cellStyle name="Vírgula 2 2 3 4 4 4" xfId="6326"/>
    <cellStyle name="Vírgula 2 2 3 4 4 4 2" xfId="24793"/>
    <cellStyle name="Vírgula 2 2 3 4 4 4 2 2" xfId="51026"/>
    <cellStyle name="Vírgula 2 2 3 4 4 4 3" xfId="32571"/>
    <cellStyle name="Vírgula 2 2 3 4 4 5" xfId="18879"/>
    <cellStyle name="Vírgula 2 2 3 4 4 5 2" xfId="45118"/>
    <cellStyle name="Vírgula 2 2 3 4 4 6" xfId="12715"/>
    <cellStyle name="Vírgula 2 2 3 4 4 6 2" xfId="38957"/>
    <cellStyle name="Vírgula 2 2 3 4 4 7" xfId="30874"/>
    <cellStyle name="Vírgula 2 2 3 4 5" xfId="5965"/>
    <cellStyle name="Vírgula 2 2 3 4 5 2" xfId="7665"/>
    <cellStyle name="Vírgula 2 2 3 4 5 2 2" xfId="10798"/>
    <cellStyle name="Vírgula 2 2 3 4 5 2 2 2" xfId="29012"/>
    <cellStyle name="Vírgula 2 2 3 4 5 2 2 2 2" xfId="55242"/>
    <cellStyle name="Vírgula 2 2 3 4 5 2 2 3" xfId="23098"/>
    <cellStyle name="Vírgula 2 2 3 4 5 2 2 3 2" xfId="49334"/>
    <cellStyle name="Vírgula 2 2 3 4 5 2 2 4" xfId="17184"/>
    <cellStyle name="Vírgula 2 2 3 4 5 2 2 4 2" xfId="43426"/>
    <cellStyle name="Vírgula 2 2 3 4 5 2 2 5" xfId="37040"/>
    <cellStyle name="Vírgula 2 2 3 4 5 2 3" xfId="26055"/>
    <cellStyle name="Vírgula 2 2 3 4 5 2 3 2" xfId="52288"/>
    <cellStyle name="Vírgula 2 2 3 4 5 2 4" xfId="20141"/>
    <cellStyle name="Vírgula 2 2 3 4 5 2 4 2" xfId="46380"/>
    <cellStyle name="Vírgula 2 2 3 4 5 2 5" xfId="14054"/>
    <cellStyle name="Vírgula 2 2 3 4 5 2 5 2" xfId="40296"/>
    <cellStyle name="Vírgula 2 2 3 4 5 2 6" xfId="33910"/>
    <cellStyle name="Vírgula 2 2 3 4 5 3" xfId="9330"/>
    <cellStyle name="Vírgula 2 2 3 4 5 3 2" xfId="27544"/>
    <cellStyle name="Vírgula 2 2 3 4 5 3 2 2" xfId="53774"/>
    <cellStyle name="Vírgula 2 2 3 4 5 3 3" xfId="21630"/>
    <cellStyle name="Vírgula 2 2 3 4 5 3 3 2" xfId="47866"/>
    <cellStyle name="Vírgula 2 2 3 4 5 3 4" xfId="15716"/>
    <cellStyle name="Vírgula 2 2 3 4 5 3 4 2" xfId="41958"/>
    <cellStyle name="Vírgula 2 2 3 4 5 3 5" xfId="35572"/>
    <cellStyle name="Vírgula 2 2 3 4 5 4" xfId="24587"/>
    <cellStyle name="Vírgula 2 2 3 4 5 4 2" xfId="50820"/>
    <cellStyle name="Vírgula 2 2 3 4 5 5" xfId="18673"/>
    <cellStyle name="Vírgula 2 2 3 4 5 5 2" xfId="44912"/>
    <cellStyle name="Vírgula 2 2 3 4 5 6" xfId="12353"/>
    <cellStyle name="Vírgula 2 2 3 4 5 6 2" xfId="38595"/>
    <cellStyle name="Vírgula 2 2 3 4 5 7" xfId="32210"/>
    <cellStyle name="Vírgula 2 2 3 4 6" xfId="6435"/>
    <cellStyle name="Vírgula 2 2 3 4 6 2" xfId="9598"/>
    <cellStyle name="Vírgula 2 2 3 4 6 2 2" xfId="27812"/>
    <cellStyle name="Vírgula 2 2 3 4 6 2 2 2" xfId="54042"/>
    <cellStyle name="Vírgula 2 2 3 4 6 2 3" xfId="21898"/>
    <cellStyle name="Vírgula 2 2 3 4 6 2 3 2" xfId="48134"/>
    <cellStyle name="Vírgula 2 2 3 4 6 2 4" xfId="15984"/>
    <cellStyle name="Vírgula 2 2 3 4 6 2 4 2" xfId="42226"/>
    <cellStyle name="Vírgula 2 2 3 4 6 2 5" xfId="35840"/>
    <cellStyle name="Vírgula 2 2 3 4 6 3" xfId="24855"/>
    <cellStyle name="Vírgula 2 2 3 4 6 3 2" xfId="51088"/>
    <cellStyle name="Vírgula 2 2 3 4 6 4" xfId="18941"/>
    <cellStyle name="Vírgula 2 2 3 4 6 4 2" xfId="45180"/>
    <cellStyle name="Vírgula 2 2 3 4 6 5" xfId="12824"/>
    <cellStyle name="Vírgula 2 2 3 4 6 5 2" xfId="39066"/>
    <cellStyle name="Vírgula 2 2 3 4 6 6" xfId="32680"/>
    <cellStyle name="Vírgula 2 2 3 4 7" xfId="8127"/>
    <cellStyle name="Vírgula 2 2 3 4 7 2" xfId="26341"/>
    <cellStyle name="Vírgula 2 2 3 4 7 2 2" xfId="52574"/>
    <cellStyle name="Vírgula 2 2 3 4 7 3" xfId="20427"/>
    <cellStyle name="Vírgula 2 2 3 4 7 3 2" xfId="46666"/>
    <cellStyle name="Vírgula 2 2 3 4 7 4" xfId="14516"/>
    <cellStyle name="Vírgula 2 2 3 4 7 4 2" xfId="40758"/>
    <cellStyle name="Vírgula 2 2 3 4 7 5" xfId="34372"/>
    <cellStyle name="Vírgula 2 2 3 4 8" xfId="4732"/>
    <cellStyle name="Vírgula 2 2 3 4 8 2" xfId="23384"/>
    <cellStyle name="Vírgula 2 2 3 4 8 2 2" xfId="49620"/>
    <cellStyle name="Vírgula 2 2 3 4 8 3" xfId="30981"/>
    <cellStyle name="Vírgula 2 2 3 4 9" xfId="17470"/>
    <cellStyle name="Vírgula 2 2 3 4 9 2" xfId="43712"/>
    <cellStyle name="Vírgula 2 2 3 5" xfId="4341"/>
    <cellStyle name="Vírgula 2 2 3 5 2" xfId="7742"/>
    <cellStyle name="Vírgula 2 2 3 5 2 2" xfId="10841"/>
    <cellStyle name="Vírgula 2 2 3 5 2 2 2" xfId="29055"/>
    <cellStyle name="Vírgula 2 2 3 5 2 2 2 2" xfId="55285"/>
    <cellStyle name="Vírgula 2 2 3 5 2 2 3" xfId="23141"/>
    <cellStyle name="Vírgula 2 2 3 5 2 2 3 2" xfId="49377"/>
    <cellStyle name="Vírgula 2 2 3 5 2 2 4" xfId="17227"/>
    <cellStyle name="Vírgula 2 2 3 5 2 2 4 2" xfId="43469"/>
    <cellStyle name="Vírgula 2 2 3 5 2 2 5" xfId="37083"/>
    <cellStyle name="Vírgula 2 2 3 5 2 3" xfId="26098"/>
    <cellStyle name="Vírgula 2 2 3 5 2 3 2" xfId="52331"/>
    <cellStyle name="Vírgula 2 2 3 5 2 4" xfId="20184"/>
    <cellStyle name="Vírgula 2 2 3 5 2 4 2" xfId="46423"/>
    <cellStyle name="Vírgula 2 2 3 5 2 5" xfId="14131"/>
    <cellStyle name="Vírgula 2 2 3 5 2 5 2" xfId="40373"/>
    <cellStyle name="Vírgula 2 2 3 5 2 6" xfId="33987"/>
    <cellStyle name="Vírgula 2 2 3 5 3" xfId="9373"/>
    <cellStyle name="Vírgula 2 2 3 5 3 2" xfId="27587"/>
    <cellStyle name="Vírgula 2 2 3 5 3 2 2" xfId="53817"/>
    <cellStyle name="Vírgula 2 2 3 5 3 3" xfId="21673"/>
    <cellStyle name="Vírgula 2 2 3 5 3 3 2" xfId="47909"/>
    <cellStyle name="Vírgula 2 2 3 5 3 4" xfId="15759"/>
    <cellStyle name="Vírgula 2 2 3 5 3 4 2" xfId="42001"/>
    <cellStyle name="Vírgula 2 2 3 5 3 5" xfId="35615"/>
    <cellStyle name="Vírgula 2 2 3 5 4" xfId="6042"/>
    <cellStyle name="Vírgula 2 2 3 5 4 2" xfId="24630"/>
    <cellStyle name="Vírgula 2 2 3 5 4 2 2" xfId="50863"/>
    <cellStyle name="Vírgula 2 2 3 5 4 3" xfId="32287"/>
    <cellStyle name="Vírgula 2 2 3 5 5" xfId="18716"/>
    <cellStyle name="Vírgula 2 2 3 5 5 2" xfId="44955"/>
    <cellStyle name="Vírgula 2 2 3 5 6" xfId="12430"/>
    <cellStyle name="Vírgula 2 2 3 5 6 2" xfId="38672"/>
    <cellStyle name="Vírgula 2 2 3 5 7" xfId="30590"/>
    <cellStyle name="Vírgula 2 2 3 6" xfId="4449"/>
    <cellStyle name="Vírgula 2 2 3 6 2" xfId="7851"/>
    <cellStyle name="Vírgula 2 2 3 6 2 2" xfId="10903"/>
    <cellStyle name="Vírgula 2 2 3 6 2 2 2" xfId="29117"/>
    <cellStyle name="Vírgula 2 2 3 6 2 2 2 2" xfId="55347"/>
    <cellStyle name="Vírgula 2 2 3 6 2 2 3" xfId="23203"/>
    <cellStyle name="Vírgula 2 2 3 6 2 2 3 2" xfId="49439"/>
    <cellStyle name="Vírgula 2 2 3 6 2 2 4" xfId="17289"/>
    <cellStyle name="Vírgula 2 2 3 6 2 2 4 2" xfId="43531"/>
    <cellStyle name="Vírgula 2 2 3 6 2 2 5" xfId="37145"/>
    <cellStyle name="Vírgula 2 2 3 6 2 3" xfId="26160"/>
    <cellStyle name="Vírgula 2 2 3 6 2 3 2" xfId="52393"/>
    <cellStyle name="Vírgula 2 2 3 6 2 4" xfId="20246"/>
    <cellStyle name="Vírgula 2 2 3 6 2 4 2" xfId="46485"/>
    <cellStyle name="Vírgula 2 2 3 6 2 5" xfId="14240"/>
    <cellStyle name="Vírgula 2 2 3 6 2 5 2" xfId="40482"/>
    <cellStyle name="Vírgula 2 2 3 6 2 6" xfId="34096"/>
    <cellStyle name="Vírgula 2 2 3 6 3" xfId="9435"/>
    <cellStyle name="Vírgula 2 2 3 6 3 2" xfId="27649"/>
    <cellStyle name="Vírgula 2 2 3 6 3 2 2" xfId="53879"/>
    <cellStyle name="Vírgula 2 2 3 6 3 3" xfId="21735"/>
    <cellStyle name="Vírgula 2 2 3 6 3 3 2" xfId="47971"/>
    <cellStyle name="Vírgula 2 2 3 6 3 4" xfId="15821"/>
    <cellStyle name="Vírgula 2 2 3 6 3 4 2" xfId="42063"/>
    <cellStyle name="Vírgula 2 2 3 6 3 5" xfId="35677"/>
    <cellStyle name="Vírgula 2 2 3 6 4" xfId="6151"/>
    <cellStyle name="Vírgula 2 2 3 6 4 2" xfId="24692"/>
    <cellStyle name="Vírgula 2 2 3 6 4 2 2" xfId="50925"/>
    <cellStyle name="Vírgula 2 2 3 6 4 3" xfId="32396"/>
    <cellStyle name="Vírgula 2 2 3 6 5" xfId="18778"/>
    <cellStyle name="Vírgula 2 2 3 6 5 2" xfId="45017"/>
    <cellStyle name="Vírgula 2 2 3 6 6" xfId="12539"/>
    <cellStyle name="Vírgula 2 2 3 6 6 2" xfId="38781"/>
    <cellStyle name="Vírgula 2 2 3 6 7" xfId="30698"/>
    <cellStyle name="Vírgula 2 2 3 7" xfId="4557"/>
    <cellStyle name="Vírgula 2 2 3 7 2" xfId="7959"/>
    <cellStyle name="Vírgula 2 2 3 7 2 2" xfId="10965"/>
    <cellStyle name="Vírgula 2 2 3 7 2 2 2" xfId="29179"/>
    <cellStyle name="Vírgula 2 2 3 7 2 2 2 2" xfId="55409"/>
    <cellStyle name="Vírgula 2 2 3 7 2 2 3" xfId="23265"/>
    <cellStyle name="Vírgula 2 2 3 7 2 2 3 2" xfId="49501"/>
    <cellStyle name="Vírgula 2 2 3 7 2 2 4" xfId="17351"/>
    <cellStyle name="Vírgula 2 2 3 7 2 2 4 2" xfId="43593"/>
    <cellStyle name="Vírgula 2 2 3 7 2 2 5" xfId="37207"/>
    <cellStyle name="Vírgula 2 2 3 7 2 3" xfId="26222"/>
    <cellStyle name="Vírgula 2 2 3 7 2 3 2" xfId="52455"/>
    <cellStyle name="Vírgula 2 2 3 7 2 4" xfId="20308"/>
    <cellStyle name="Vírgula 2 2 3 7 2 4 2" xfId="46547"/>
    <cellStyle name="Vírgula 2 2 3 7 2 5" xfId="14348"/>
    <cellStyle name="Vírgula 2 2 3 7 2 5 2" xfId="40590"/>
    <cellStyle name="Vírgula 2 2 3 7 2 6" xfId="34204"/>
    <cellStyle name="Vírgula 2 2 3 7 3" xfId="9497"/>
    <cellStyle name="Vírgula 2 2 3 7 3 2" xfId="27711"/>
    <cellStyle name="Vírgula 2 2 3 7 3 2 2" xfId="53941"/>
    <cellStyle name="Vírgula 2 2 3 7 3 3" xfId="21797"/>
    <cellStyle name="Vírgula 2 2 3 7 3 3 2" xfId="48033"/>
    <cellStyle name="Vírgula 2 2 3 7 3 4" xfId="15883"/>
    <cellStyle name="Vírgula 2 2 3 7 3 4 2" xfId="42125"/>
    <cellStyle name="Vírgula 2 2 3 7 3 5" xfId="35739"/>
    <cellStyle name="Vírgula 2 2 3 7 4" xfId="6258"/>
    <cellStyle name="Vírgula 2 2 3 7 4 2" xfId="24754"/>
    <cellStyle name="Vírgula 2 2 3 7 4 2 2" xfId="50987"/>
    <cellStyle name="Vírgula 2 2 3 7 4 3" xfId="32503"/>
    <cellStyle name="Vírgula 2 2 3 7 5" xfId="18840"/>
    <cellStyle name="Vírgula 2 2 3 7 5 2" xfId="45079"/>
    <cellStyle name="Vírgula 2 2 3 7 6" xfId="12647"/>
    <cellStyle name="Vírgula 2 2 3 7 6 2" xfId="38889"/>
    <cellStyle name="Vírgula 2 2 3 7 7" xfId="30806"/>
    <cellStyle name="Vírgula 2 2 3 8" xfId="5040"/>
    <cellStyle name="Vírgula 2 2 3 8 2" xfId="6739"/>
    <cellStyle name="Vírgula 2 2 3 8 2 2" xfId="9886"/>
    <cellStyle name="Vírgula 2 2 3 8 2 2 2" xfId="28100"/>
    <cellStyle name="Vírgula 2 2 3 8 2 2 2 2" xfId="54330"/>
    <cellStyle name="Vírgula 2 2 3 8 2 2 3" xfId="22186"/>
    <cellStyle name="Vírgula 2 2 3 8 2 2 3 2" xfId="48422"/>
    <cellStyle name="Vírgula 2 2 3 8 2 2 4" xfId="16272"/>
    <cellStyle name="Vírgula 2 2 3 8 2 2 4 2" xfId="42514"/>
    <cellStyle name="Vírgula 2 2 3 8 2 2 5" xfId="36128"/>
    <cellStyle name="Vírgula 2 2 3 8 2 3" xfId="25143"/>
    <cellStyle name="Vírgula 2 2 3 8 2 3 2" xfId="51376"/>
    <cellStyle name="Vírgula 2 2 3 8 2 4" xfId="19229"/>
    <cellStyle name="Vírgula 2 2 3 8 2 4 2" xfId="45468"/>
    <cellStyle name="Vírgula 2 2 3 8 2 5" xfId="13128"/>
    <cellStyle name="Vírgula 2 2 3 8 2 5 2" xfId="39370"/>
    <cellStyle name="Vírgula 2 2 3 8 2 6" xfId="32984"/>
    <cellStyle name="Vírgula 2 2 3 8 3" xfId="8418"/>
    <cellStyle name="Vírgula 2 2 3 8 3 2" xfId="26632"/>
    <cellStyle name="Vírgula 2 2 3 8 3 2 2" xfId="52862"/>
    <cellStyle name="Vírgula 2 2 3 8 3 3" xfId="20718"/>
    <cellStyle name="Vírgula 2 2 3 8 3 3 2" xfId="46954"/>
    <cellStyle name="Vírgula 2 2 3 8 3 4" xfId="14804"/>
    <cellStyle name="Vírgula 2 2 3 8 3 4 2" xfId="41046"/>
    <cellStyle name="Vírgula 2 2 3 8 3 5" xfId="34660"/>
    <cellStyle name="Vírgula 2 2 3 8 4" xfId="23675"/>
    <cellStyle name="Vírgula 2 2 3 8 4 2" xfId="49908"/>
    <cellStyle name="Vírgula 2 2 3 8 5" xfId="17761"/>
    <cellStyle name="Vírgula 2 2 3 8 5 2" xfId="44000"/>
    <cellStyle name="Vírgula 2 2 3 8 6" xfId="11427"/>
    <cellStyle name="Vírgula 2 2 3 8 6 2" xfId="37669"/>
    <cellStyle name="Vírgula 2 2 3 8 7" xfId="31285"/>
    <cellStyle name="Vírgula 2 2 3 9" xfId="6367"/>
    <cellStyle name="Vírgula 2 2 3 9 2" xfId="9559"/>
    <cellStyle name="Vírgula 2 2 3 9 2 2" xfId="27773"/>
    <cellStyle name="Vírgula 2 2 3 9 2 2 2" xfId="54003"/>
    <cellStyle name="Vírgula 2 2 3 9 2 3" xfId="21859"/>
    <cellStyle name="Vírgula 2 2 3 9 2 3 2" xfId="48095"/>
    <cellStyle name="Vírgula 2 2 3 9 2 4" xfId="15945"/>
    <cellStyle name="Vírgula 2 2 3 9 2 4 2" xfId="42187"/>
    <cellStyle name="Vírgula 2 2 3 9 2 5" xfId="35801"/>
    <cellStyle name="Vírgula 2 2 3 9 3" xfId="24816"/>
    <cellStyle name="Vírgula 2 2 3 9 3 2" xfId="51049"/>
    <cellStyle name="Vírgula 2 2 3 9 4" xfId="18902"/>
    <cellStyle name="Vírgula 2 2 3 9 4 2" xfId="45141"/>
    <cellStyle name="Vírgula 2 2 3 9 5" xfId="12756"/>
    <cellStyle name="Vírgula 2 2 3 9 5 2" xfId="38998"/>
    <cellStyle name="Vírgula 2 2 3 9 6" xfId="32612"/>
    <cellStyle name="Vírgula 2 2 4" xfId="1345"/>
    <cellStyle name="Vírgula 2 2 4 10" xfId="8091"/>
    <cellStyle name="Vírgula 2 2 4 10 2" xfId="26305"/>
    <cellStyle name="Vírgula 2 2 4 10 2 2" xfId="52538"/>
    <cellStyle name="Vírgula 2 2 4 10 3" xfId="20391"/>
    <cellStyle name="Vírgula 2 2 4 10 3 2" xfId="46630"/>
    <cellStyle name="Vírgula 2 2 4 10 4" xfId="14480"/>
    <cellStyle name="Vírgula 2 2 4 10 4 2" xfId="40722"/>
    <cellStyle name="Vírgula 2 2 4 10 5" xfId="34336"/>
    <cellStyle name="Vírgula 2 2 4 11" xfId="4670"/>
    <cellStyle name="Vírgula 2 2 4 11 2" xfId="23348"/>
    <cellStyle name="Vírgula 2 2 4 11 2 2" xfId="49584"/>
    <cellStyle name="Vírgula 2 2 4 11 3" xfId="30919"/>
    <cellStyle name="Vírgula 2 2 4 12" xfId="17434"/>
    <cellStyle name="Vírgula 2 2 4 12 2" xfId="43676"/>
    <cellStyle name="Vírgula 2 2 4 13" xfId="11061"/>
    <cellStyle name="Vírgula 2 2 4 13 2" xfId="37303"/>
    <cellStyle name="Vírgula 2 2 4 14" xfId="29685"/>
    <cellStyle name="Vírgula 2 2 4 2" xfId="4305"/>
    <cellStyle name="Vírgula 2 2 4 2 10" xfId="11096"/>
    <cellStyle name="Vírgula 2 2 4 2 10 2" xfId="37338"/>
    <cellStyle name="Vírgula 2 2 4 2 11" xfId="30554"/>
    <cellStyle name="Vírgula 2 2 4 2 2" xfId="4382"/>
    <cellStyle name="Vírgula 2 2 4 2 2 2" xfId="7783"/>
    <cellStyle name="Vírgula 2 2 4 2 2 2 2" xfId="10864"/>
    <cellStyle name="Vírgula 2 2 4 2 2 2 2 2" xfId="29078"/>
    <cellStyle name="Vírgula 2 2 4 2 2 2 2 2 2" xfId="55308"/>
    <cellStyle name="Vírgula 2 2 4 2 2 2 2 3" xfId="23164"/>
    <cellStyle name="Vírgula 2 2 4 2 2 2 2 3 2" xfId="49400"/>
    <cellStyle name="Vírgula 2 2 4 2 2 2 2 4" xfId="17250"/>
    <cellStyle name="Vírgula 2 2 4 2 2 2 2 4 2" xfId="43492"/>
    <cellStyle name="Vírgula 2 2 4 2 2 2 2 5" xfId="37106"/>
    <cellStyle name="Vírgula 2 2 4 2 2 2 3" xfId="26121"/>
    <cellStyle name="Vírgula 2 2 4 2 2 2 3 2" xfId="52354"/>
    <cellStyle name="Vírgula 2 2 4 2 2 2 4" xfId="20207"/>
    <cellStyle name="Vírgula 2 2 4 2 2 2 4 2" xfId="46446"/>
    <cellStyle name="Vírgula 2 2 4 2 2 2 5" xfId="14172"/>
    <cellStyle name="Vírgula 2 2 4 2 2 2 5 2" xfId="40414"/>
    <cellStyle name="Vírgula 2 2 4 2 2 2 6" xfId="34028"/>
    <cellStyle name="Vírgula 2 2 4 2 2 3" xfId="9396"/>
    <cellStyle name="Vírgula 2 2 4 2 2 3 2" xfId="27610"/>
    <cellStyle name="Vírgula 2 2 4 2 2 3 2 2" xfId="53840"/>
    <cellStyle name="Vírgula 2 2 4 2 2 3 3" xfId="21696"/>
    <cellStyle name="Vírgula 2 2 4 2 2 3 3 2" xfId="47932"/>
    <cellStyle name="Vírgula 2 2 4 2 2 3 4" xfId="15782"/>
    <cellStyle name="Vírgula 2 2 4 2 2 3 4 2" xfId="42024"/>
    <cellStyle name="Vírgula 2 2 4 2 2 3 5" xfId="35638"/>
    <cellStyle name="Vírgula 2 2 4 2 2 4" xfId="6083"/>
    <cellStyle name="Vírgula 2 2 4 2 2 4 2" xfId="24653"/>
    <cellStyle name="Vírgula 2 2 4 2 2 4 2 2" xfId="50886"/>
    <cellStyle name="Vírgula 2 2 4 2 2 4 3" xfId="32328"/>
    <cellStyle name="Vírgula 2 2 4 2 2 5" xfId="18739"/>
    <cellStyle name="Vírgula 2 2 4 2 2 5 2" xfId="44978"/>
    <cellStyle name="Vírgula 2 2 4 2 2 6" xfId="12471"/>
    <cellStyle name="Vírgula 2 2 4 2 2 6 2" xfId="38713"/>
    <cellStyle name="Vírgula 2 2 4 2 2 7" xfId="30631"/>
    <cellStyle name="Vírgula 2 2 4 2 3" xfId="4490"/>
    <cellStyle name="Vírgula 2 2 4 2 3 2" xfId="7892"/>
    <cellStyle name="Vírgula 2 2 4 2 3 2 2" xfId="10926"/>
    <cellStyle name="Vírgula 2 2 4 2 3 2 2 2" xfId="29140"/>
    <cellStyle name="Vírgula 2 2 4 2 3 2 2 2 2" xfId="55370"/>
    <cellStyle name="Vírgula 2 2 4 2 3 2 2 3" xfId="23226"/>
    <cellStyle name="Vírgula 2 2 4 2 3 2 2 3 2" xfId="49462"/>
    <cellStyle name="Vírgula 2 2 4 2 3 2 2 4" xfId="17312"/>
    <cellStyle name="Vírgula 2 2 4 2 3 2 2 4 2" xfId="43554"/>
    <cellStyle name="Vírgula 2 2 4 2 3 2 2 5" xfId="37168"/>
    <cellStyle name="Vírgula 2 2 4 2 3 2 3" xfId="26183"/>
    <cellStyle name="Vírgula 2 2 4 2 3 2 3 2" xfId="52416"/>
    <cellStyle name="Vírgula 2 2 4 2 3 2 4" xfId="20269"/>
    <cellStyle name="Vírgula 2 2 4 2 3 2 4 2" xfId="46508"/>
    <cellStyle name="Vírgula 2 2 4 2 3 2 5" xfId="14281"/>
    <cellStyle name="Vírgula 2 2 4 2 3 2 5 2" xfId="40523"/>
    <cellStyle name="Vírgula 2 2 4 2 3 2 6" xfId="34137"/>
    <cellStyle name="Vírgula 2 2 4 2 3 3" xfId="9458"/>
    <cellStyle name="Vírgula 2 2 4 2 3 3 2" xfId="27672"/>
    <cellStyle name="Vírgula 2 2 4 2 3 3 2 2" xfId="53902"/>
    <cellStyle name="Vírgula 2 2 4 2 3 3 3" xfId="21758"/>
    <cellStyle name="Vírgula 2 2 4 2 3 3 3 2" xfId="47994"/>
    <cellStyle name="Vírgula 2 2 4 2 3 3 4" xfId="15844"/>
    <cellStyle name="Vírgula 2 2 4 2 3 3 4 2" xfId="42086"/>
    <cellStyle name="Vírgula 2 2 4 2 3 3 5" xfId="35700"/>
    <cellStyle name="Vírgula 2 2 4 2 3 4" xfId="6192"/>
    <cellStyle name="Vírgula 2 2 4 2 3 4 2" xfId="24715"/>
    <cellStyle name="Vírgula 2 2 4 2 3 4 2 2" xfId="50948"/>
    <cellStyle name="Vírgula 2 2 4 2 3 4 3" xfId="32437"/>
    <cellStyle name="Vírgula 2 2 4 2 3 5" xfId="18801"/>
    <cellStyle name="Vírgula 2 2 4 2 3 5 2" xfId="45040"/>
    <cellStyle name="Vírgula 2 2 4 2 3 6" xfId="12580"/>
    <cellStyle name="Vírgula 2 2 4 2 3 6 2" xfId="38822"/>
    <cellStyle name="Vírgula 2 2 4 2 3 7" xfId="30739"/>
    <cellStyle name="Vírgula 2 2 4 2 4" xfId="4598"/>
    <cellStyle name="Vírgula 2 2 4 2 4 2" xfId="8000"/>
    <cellStyle name="Vírgula 2 2 4 2 4 2 2" xfId="10988"/>
    <cellStyle name="Vírgula 2 2 4 2 4 2 2 2" xfId="29202"/>
    <cellStyle name="Vírgula 2 2 4 2 4 2 2 2 2" xfId="55432"/>
    <cellStyle name="Vírgula 2 2 4 2 4 2 2 3" xfId="23288"/>
    <cellStyle name="Vírgula 2 2 4 2 4 2 2 3 2" xfId="49524"/>
    <cellStyle name="Vírgula 2 2 4 2 4 2 2 4" xfId="17374"/>
    <cellStyle name="Vírgula 2 2 4 2 4 2 2 4 2" xfId="43616"/>
    <cellStyle name="Vírgula 2 2 4 2 4 2 2 5" xfId="37230"/>
    <cellStyle name="Vírgula 2 2 4 2 4 2 3" xfId="26245"/>
    <cellStyle name="Vírgula 2 2 4 2 4 2 3 2" xfId="52478"/>
    <cellStyle name="Vírgula 2 2 4 2 4 2 4" xfId="20331"/>
    <cellStyle name="Vírgula 2 2 4 2 4 2 4 2" xfId="46570"/>
    <cellStyle name="Vírgula 2 2 4 2 4 2 5" xfId="14389"/>
    <cellStyle name="Vírgula 2 2 4 2 4 2 5 2" xfId="40631"/>
    <cellStyle name="Vírgula 2 2 4 2 4 2 6" xfId="34245"/>
    <cellStyle name="Vírgula 2 2 4 2 4 3" xfId="9520"/>
    <cellStyle name="Vírgula 2 2 4 2 4 3 2" xfId="27734"/>
    <cellStyle name="Vírgula 2 2 4 2 4 3 2 2" xfId="53964"/>
    <cellStyle name="Vírgula 2 2 4 2 4 3 3" xfId="21820"/>
    <cellStyle name="Vírgula 2 2 4 2 4 3 3 2" xfId="48056"/>
    <cellStyle name="Vírgula 2 2 4 2 4 3 4" xfId="15906"/>
    <cellStyle name="Vírgula 2 2 4 2 4 3 4 2" xfId="42148"/>
    <cellStyle name="Vírgula 2 2 4 2 4 3 5" xfId="35762"/>
    <cellStyle name="Vírgula 2 2 4 2 4 4" xfId="6299"/>
    <cellStyle name="Vírgula 2 2 4 2 4 4 2" xfId="24777"/>
    <cellStyle name="Vírgula 2 2 4 2 4 4 2 2" xfId="51010"/>
    <cellStyle name="Vírgula 2 2 4 2 4 4 3" xfId="32544"/>
    <cellStyle name="Vírgula 2 2 4 2 4 5" xfId="18863"/>
    <cellStyle name="Vírgula 2 2 4 2 4 5 2" xfId="45102"/>
    <cellStyle name="Vírgula 2 2 4 2 4 6" xfId="12688"/>
    <cellStyle name="Vírgula 2 2 4 2 4 6 2" xfId="38930"/>
    <cellStyle name="Vírgula 2 2 4 2 4 7" xfId="30847"/>
    <cellStyle name="Vírgula 2 2 4 2 5" xfId="6006"/>
    <cellStyle name="Vírgula 2 2 4 2 5 2" xfId="7706"/>
    <cellStyle name="Vírgula 2 2 4 2 5 2 2" xfId="10821"/>
    <cellStyle name="Vírgula 2 2 4 2 5 2 2 2" xfId="29035"/>
    <cellStyle name="Vírgula 2 2 4 2 5 2 2 2 2" xfId="55265"/>
    <cellStyle name="Vírgula 2 2 4 2 5 2 2 3" xfId="23121"/>
    <cellStyle name="Vírgula 2 2 4 2 5 2 2 3 2" xfId="49357"/>
    <cellStyle name="Vírgula 2 2 4 2 5 2 2 4" xfId="17207"/>
    <cellStyle name="Vírgula 2 2 4 2 5 2 2 4 2" xfId="43449"/>
    <cellStyle name="Vírgula 2 2 4 2 5 2 2 5" xfId="37063"/>
    <cellStyle name="Vírgula 2 2 4 2 5 2 3" xfId="26078"/>
    <cellStyle name="Vírgula 2 2 4 2 5 2 3 2" xfId="52311"/>
    <cellStyle name="Vírgula 2 2 4 2 5 2 4" xfId="20164"/>
    <cellStyle name="Vírgula 2 2 4 2 5 2 4 2" xfId="46403"/>
    <cellStyle name="Vírgula 2 2 4 2 5 2 5" xfId="14095"/>
    <cellStyle name="Vírgula 2 2 4 2 5 2 5 2" xfId="40337"/>
    <cellStyle name="Vírgula 2 2 4 2 5 2 6" xfId="33951"/>
    <cellStyle name="Vírgula 2 2 4 2 5 3" xfId="9353"/>
    <cellStyle name="Vírgula 2 2 4 2 5 3 2" xfId="27567"/>
    <cellStyle name="Vírgula 2 2 4 2 5 3 2 2" xfId="53797"/>
    <cellStyle name="Vírgula 2 2 4 2 5 3 3" xfId="21653"/>
    <cellStyle name="Vírgula 2 2 4 2 5 3 3 2" xfId="47889"/>
    <cellStyle name="Vírgula 2 2 4 2 5 3 4" xfId="15739"/>
    <cellStyle name="Vírgula 2 2 4 2 5 3 4 2" xfId="41981"/>
    <cellStyle name="Vírgula 2 2 4 2 5 3 5" xfId="35595"/>
    <cellStyle name="Vírgula 2 2 4 2 5 4" xfId="24610"/>
    <cellStyle name="Vírgula 2 2 4 2 5 4 2" xfId="50843"/>
    <cellStyle name="Vírgula 2 2 4 2 5 5" xfId="18696"/>
    <cellStyle name="Vírgula 2 2 4 2 5 5 2" xfId="44935"/>
    <cellStyle name="Vírgula 2 2 4 2 5 6" xfId="12394"/>
    <cellStyle name="Vírgula 2 2 4 2 5 6 2" xfId="38636"/>
    <cellStyle name="Vírgula 2 2 4 2 5 7" xfId="32251"/>
    <cellStyle name="Vírgula 2 2 4 2 6" xfId="6408"/>
    <cellStyle name="Vírgula 2 2 4 2 6 2" xfId="9582"/>
    <cellStyle name="Vírgula 2 2 4 2 6 2 2" xfId="27796"/>
    <cellStyle name="Vírgula 2 2 4 2 6 2 2 2" xfId="54026"/>
    <cellStyle name="Vírgula 2 2 4 2 6 2 3" xfId="21882"/>
    <cellStyle name="Vírgula 2 2 4 2 6 2 3 2" xfId="48118"/>
    <cellStyle name="Vírgula 2 2 4 2 6 2 4" xfId="15968"/>
    <cellStyle name="Vírgula 2 2 4 2 6 2 4 2" xfId="42210"/>
    <cellStyle name="Vírgula 2 2 4 2 6 2 5" xfId="35824"/>
    <cellStyle name="Vírgula 2 2 4 2 6 3" xfId="24839"/>
    <cellStyle name="Vírgula 2 2 4 2 6 3 2" xfId="51072"/>
    <cellStyle name="Vírgula 2 2 4 2 6 4" xfId="18925"/>
    <cellStyle name="Vírgula 2 2 4 2 6 4 2" xfId="45164"/>
    <cellStyle name="Vírgula 2 2 4 2 6 5" xfId="12797"/>
    <cellStyle name="Vírgula 2 2 4 2 6 5 2" xfId="39039"/>
    <cellStyle name="Vírgula 2 2 4 2 6 6" xfId="32653"/>
    <cellStyle name="Vírgula 2 2 4 2 7" xfId="8111"/>
    <cellStyle name="Vírgula 2 2 4 2 7 2" xfId="26325"/>
    <cellStyle name="Vírgula 2 2 4 2 7 2 2" xfId="52558"/>
    <cellStyle name="Vírgula 2 2 4 2 7 3" xfId="20411"/>
    <cellStyle name="Vírgula 2 2 4 2 7 3 2" xfId="46650"/>
    <cellStyle name="Vírgula 2 2 4 2 7 4" xfId="14500"/>
    <cellStyle name="Vírgula 2 2 4 2 7 4 2" xfId="40742"/>
    <cellStyle name="Vírgula 2 2 4 2 7 5" xfId="34356"/>
    <cellStyle name="Vírgula 2 2 4 2 8" xfId="4705"/>
    <cellStyle name="Vírgula 2 2 4 2 8 2" xfId="23368"/>
    <cellStyle name="Vírgula 2 2 4 2 8 2 2" xfId="49604"/>
    <cellStyle name="Vírgula 2 2 4 2 8 3" xfId="30954"/>
    <cellStyle name="Vírgula 2 2 4 2 9" xfId="17454"/>
    <cellStyle name="Vírgula 2 2 4 2 9 2" xfId="43696"/>
    <cellStyle name="Vírgula 2 2 4 3" xfId="4270"/>
    <cellStyle name="Vírgula 2 2 4 3 10" xfId="11129"/>
    <cellStyle name="Vírgula 2 2 4 3 10 2" xfId="37371"/>
    <cellStyle name="Vírgula 2 2 4 3 11" xfId="30519"/>
    <cellStyle name="Vírgula 2 2 4 3 2" xfId="4414"/>
    <cellStyle name="Vírgula 2 2 4 3 2 2" xfId="7816"/>
    <cellStyle name="Vírgula 2 2 4 3 2 2 2" xfId="10883"/>
    <cellStyle name="Vírgula 2 2 4 3 2 2 2 2" xfId="29097"/>
    <cellStyle name="Vírgula 2 2 4 3 2 2 2 2 2" xfId="55327"/>
    <cellStyle name="Vírgula 2 2 4 3 2 2 2 3" xfId="23183"/>
    <cellStyle name="Vírgula 2 2 4 3 2 2 2 3 2" xfId="49419"/>
    <cellStyle name="Vírgula 2 2 4 3 2 2 2 4" xfId="17269"/>
    <cellStyle name="Vírgula 2 2 4 3 2 2 2 4 2" xfId="43511"/>
    <cellStyle name="Vírgula 2 2 4 3 2 2 2 5" xfId="37125"/>
    <cellStyle name="Vírgula 2 2 4 3 2 2 3" xfId="26140"/>
    <cellStyle name="Vírgula 2 2 4 3 2 2 3 2" xfId="52373"/>
    <cellStyle name="Vírgula 2 2 4 3 2 2 4" xfId="20226"/>
    <cellStyle name="Vírgula 2 2 4 3 2 2 4 2" xfId="46465"/>
    <cellStyle name="Vírgula 2 2 4 3 2 2 5" xfId="14205"/>
    <cellStyle name="Vírgula 2 2 4 3 2 2 5 2" xfId="40447"/>
    <cellStyle name="Vírgula 2 2 4 3 2 2 6" xfId="34061"/>
    <cellStyle name="Vírgula 2 2 4 3 2 3" xfId="9415"/>
    <cellStyle name="Vírgula 2 2 4 3 2 3 2" xfId="27629"/>
    <cellStyle name="Vírgula 2 2 4 3 2 3 2 2" xfId="53859"/>
    <cellStyle name="Vírgula 2 2 4 3 2 3 3" xfId="21715"/>
    <cellStyle name="Vírgula 2 2 4 3 2 3 3 2" xfId="47951"/>
    <cellStyle name="Vírgula 2 2 4 3 2 3 4" xfId="15801"/>
    <cellStyle name="Vírgula 2 2 4 3 2 3 4 2" xfId="42043"/>
    <cellStyle name="Vírgula 2 2 4 3 2 3 5" xfId="35657"/>
    <cellStyle name="Vírgula 2 2 4 3 2 4" xfId="6116"/>
    <cellStyle name="Vírgula 2 2 4 3 2 4 2" xfId="24672"/>
    <cellStyle name="Vírgula 2 2 4 3 2 4 2 2" xfId="50905"/>
    <cellStyle name="Vírgula 2 2 4 3 2 4 3" xfId="32361"/>
    <cellStyle name="Vírgula 2 2 4 3 2 5" xfId="18758"/>
    <cellStyle name="Vírgula 2 2 4 3 2 5 2" xfId="44997"/>
    <cellStyle name="Vírgula 2 2 4 3 2 6" xfId="12504"/>
    <cellStyle name="Vírgula 2 2 4 3 2 6 2" xfId="38746"/>
    <cellStyle name="Vírgula 2 2 4 3 2 7" xfId="30663"/>
    <cellStyle name="Vírgula 2 2 4 3 3" xfId="4522"/>
    <cellStyle name="Vírgula 2 2 4 3 3 2" xfId="7924"/>
    <cellStyle name="Vírgula 2 2 4 3 3 2 2" xfId="10945"/>
    <cellStyle name="Vírgula 2 2 4 3 3 2 2 2" xfId="29159"/>
    <cellStyle name="Vírgula 2 2 4 3 3 2 2 2 2" xfId="55389"/>
    <cellStyle name="Vírgula 2 2 4 3 3 2 2 3" xfId="23245"/>
    <cellStyle name="Vírgula 2 2 4 3 3 2 2 3 2" xfId="49481"/>
    <cellStyle name="Vírgula 2 2 4 3 3 2 2 4" xfId="17331"/>
    <cellStyle name="Vírgula 2 2 4 3 3 2 2 4 2" xfId="43573"/>
    <cellStyle name="Vírgula 2 2 4 3 3 2 2 5" xfId="37187"/>
    <cellStyle name="Vírgula 2 2 4 3 3 2 3" xfId="26202"/>
    <cellStyle name="Vírgula 2 2 4 3 3 2 3 2" xfId="52435"/>
    <cellStyle name="Vírgula 2 2 4 3 3 2 4" xfId="20288"/>
    <cellStyle name="Vírgula 2 2 4 3 3 2 4 2" xfId="46527"/>
    <cellStyle name="Vírgula 2 2 4 3 3 2 5" xfId="14313"/>
    <cellStyle name="Vírgula 2 2 4 3 3 2 5 2" xfId="40555"/>
    <cellStyle name="Vírgula 2 2 4 3 3 2 6" xfId="34169"/>
    <cellStyle name="Vírgula 2 2 4 3 3 3" xfId="9477"/>
    <cellStyle name="Vírgula 2 2 4 3 3 3 2" xfId="27691"/>
    <cellStyle name="Vírgula 2 2 4 3 3 3 2 2" xfId="53921"/>
    <cellStyle name="Vírgula 2 2 4 3 3 3 3" xfId="21777"/>
    <cellStyle name="Vírgula 2 2 4 3 3 3 3 2" xfId="48013"/>
    <cellStyle name="Vírgula 2 2 4 3 3 3 4" xfId="15863"/>
    <cellStyle name="Vírgula 2 2 4 3 3 3 4 2" xfId="42105"/>
    <cellStyle name="Vírgula 2 2 4 3 3 3 5" xfId="35719"/>
    <cellStyle name="Vírgula 2 2 4 3 3 4" xfId="6223"/>
    <cellStyle name="Vírgula 2 2 4 3 3 4 2" xfId="24734"/>
    <cellStyle name="Vírgula 2 2 4 3 3 4 2 2" xfId="50967"/>
    <cellStyle name="Vírgula 2 2 4 3 3 4 3" xfId="32468"/>
    <cellStyle name="Vírgula 2 2 4 3 3 5" xfId="18820"/>
    <cellStyle name="Vírgula 2 2 4 3 3 5 2" xfId="45059"/>
    <cellStyle name="Vírgula 2 2 4 3 3 6" xfId="12612"/>
    <cellStyle name="Vírgula 2 2 4 3 3 6 2" xfId="38854"/>
    <cellStyle name="Vírgula 2 2 4 3 3 7" xfId="30771"/>
    <cellStyle name="Vírgula 2 2 4 3 4" xfId="4630"/>
    <cellStyle name="Vírgula 2 2 4 3 4 2" xfId="8033"/>
    <cellStyle name="Vírgula 2 2 4 3 4 2 2" xfId="11007"/>
    <cellStyle name="Vírgula 2 2 4 3 4 2 2 2" xfId="29221"/>
    <cellStyle name="Vírgula 2 2 4 3 4 2 2 2 2" xfId="55451"/>
    <cellStyle name="Vírgula 2 2 4 3 4 2 2 3" xfId="23307"/>
    <cellStyle name="Vírgula 2 2 4 3 4 2 2 3 2" xfId="49543"/>
    <cellStyle name="Vírgula 2 2 4 3 4 2 2 4" xfId="17393"/>
    <cellStyle name="Vírgula 2 2 4 3 4 2 2 4 2" xfId="43635"/>
    <cellStyle name="Vírgula 2 2 4 3 4 2 2 5" xfId="37249"/>
    <cellStyle name="Vírgula 2 2 4 3 4 2 3" xfId="26264"/>
    <cellStyle name="Vírgula 2 2 4 3 4 2 3 2" xfId="52497"/>
    <cellStyle name="Vírgula 2 2 4 3 4 2 4" xfId="20350"/>
    <cellStyle name="Vírgula 2 2 4 3 4 2 4 2" xfId="46589"/>
    <cellStyle name="Vírgula 2 2 4 3 4 2 5" xfId="14422"/>
    <cellStyle name="Vírgula 2 2 4 3 4 2 5 2" xfId="40664"/>
    <cellStyle name="Vírgula 2 2 4 3 4 2 6" xfId="34278"/>
    <cellStyle name="Vírgula 2 2 4 3 4 3" xfId="9539"/>
    <cellStyle name="Vírgula 2 2 4 3 4 3 2" xfId="27753"/>
    <cellStyle name="Vírgula 2 2 4 3 4 3 2 2" xfId="53983"/>
    <cellStyle name="Vírgula 2 2 4 3 4 3 3" xfId="21839"/>
    <cellStyle name="Vírgula 2 2 4 3 4 3 3 2" xfId="48075"/>
    <cellStyle name="Vírgula 2 2 4 3 4 3 4" xfId="15925"/>
    <cellStyle name="Vírgula 2 2 4 3 4 3 4 2" xfId="42167"/>
    <cellStyle name="Vírgula 2 2 4 3 4 3 5" xfId="35781"/>
    <cellStyle name="Vírgula 2 2 4 3 4 4" xfId="6332"/>
    <cellStyle name="Vírgula 2 2 4 3 4 4 2" xfId="24796"/>
    <cellStyle name="Vírgula 2 2 4 3 4 4 2 2" xfId="51029"/>
    <cellStyle name="Vírgula 2 2 4 3 4 4 3" xfId="32577"/>
    <cellStyle name="Vírgula 2 2 4 3 4 5" xfId="18882"/>
    <cellStyle name="Vírgula 2 2 4 3 4 5 2" xfId="45121"/>
    <cellStyle name="Vírgula 2 2 4 3 4 6" xfId="12721"/>
    <cellStyle name="Vírgula 2 2 4 3 4 6 2" xfId="38963"/>
    <cellStyle name="Vírgula 2 2 4 3 4 7" xfId="30879"/>
    <cellStyle name="Vírgula 2 2 4 3 5" xfId="5971"/>
    <cellStyle name="Vírgula 2 2 4 3 5 2" xfId="7671"/>
    <cellStyle name="Vírgula 2 2 4 3 5 2 2" xfId="10801"/>
    <cellStyle name="Vírgula 2 2 4 3 5 2 2 2" xfId="29015"/>
    <cellStyle name="Vírgula 2 2 4 3 5 2 2 2 2" xfId="55245"/>
    <cellStyle name="Vírgula 2 2 4 3 5 2 2 3" xfId="23101"/>
    <cellStyle name="Vírgula 2 2 4 3 5 2 2 3 2" xfId="49337"/>
    <cellStyle name="Vírgula 2 2 4 3 5 2 2 4" xfId="17187"/>
    <cellStyle name="Vírgula 2 2 4 3 5 2 2 4 2" xfId="43429"/>
    <cellStyle name="Vírgula 2 2 4 3 5 2 2 5" xfId="37043"/>
    <cellStyle name="Vírgula 2 2 4 3 5 2 3" xfId="26058"/>
    <cellStyle name="Vírgula 2 2 4 3 5 2 3 2" xfId="52291"/>
    <cellStyle name="Vírgula 2 2 4 3 5 2 4" xfId="20144"/>
    <cellStyle name="Vírgula 2 2 4 3 5 2 4 2" xfId="46383"/>
    <cellStyle name="Vírgula 2 2 4 3 5 2 5" xfId="14060"/>
    <cellStyle name="Vírgula 2 2 4 3 5 2 5 2" xfId="40302"/>
    <cellStyle name="Vírgula 2 2 4 3 5 2 6" xfId="33916"/>
    <cellStyle name="Vírgula 2 2 4 3 5 3" xfId="9333"/>
    <cellStyle name="Vírgula 2 2 4 3 5 3 2" xfId="27547"/>
    <cellStyle name="Vírgula 2 2 4 3 5 3 2 2" xfId="53777"/>
    <cellStyle name="Vírgula 2 2 4 3 5 3 3" xfId="21633"/>
    <cellStyle name="Vírgula 2 2 4 3 5 3 3 2" xfId="47869"/>
    <cellStyle name="Vírgula 2 2 4 3 5 3 4" xfId="15719"/>
    <cellStyle name="Vírgula 2 2 4 3 5 3 4 2" xfId="41961"/>
    <cellStyle name="Vírgula 2 2 4 3 5 3 5" xfId="35575"/>
    <cellStyle name="Vírgula 2 2 4 3 5 4" xfId="24590"/>
    <cellStyle name="Vírgula 2 2 4 3 5 4 2" xfId="50823"/>
    <cellStyle name="Vírgula 2 2 4 3 5 5" xfId="18676"/>
    <cellStyle name="Vírgula 2 2 4 3 5 5 2" xfId="44915"/>
    <cellStyle name="Vírgula 2 2 4 3 5 6" xfId="12359"/>
    <cellStyle name="Vírgula 2 2 4 3 5 6 2" xfId="38601"/>
    <cellStyle name="Vírgula 2 2 4 3 5 7" xfId="32216"/>
    <cellStyle name="Vírgula 2 2 4 3 6" xfId="6441"/>
    <cellStyle name="Vírgula 2 2 4 3 6 2" xfId="9601"/>
    <cellStyle name="Vírgula 2 2 4 3 6 2 2" xfId="27815"/>
    <cellStyle name="Vírgula 2 2 4 3 6 2 2 2" xfId="54045"/>
    <cellStyle name="Vírgula 2 2 4 3 6 2 3" xfId="21901"/>
    <cellStyle name="Vírgula 2 2 4 3 6 2 3 2" xfId="48137"/>
    <cellStyle name="Vírgula 2 2 4 3 6 2 4" xfId="15987"/>
    <cellStyle name="Vírgula 2 2 4 3 6 2 4 2" xfId="42229"/>
    <cellStyle name="Vírgula 2 2 4 3 6 2 5" xfId="35843"/>
    <cellStyle name="Vírgula 2 2 4 3 6 3" xfId="24858"/>
    <cellStyle name="Vírgula 2 2 4 3 6 3 2" xfId="51091"/>
    <cellStyle name="Vírgula 2 2 4 3 6 4" xfId="18944"/>
    <cellStyle name="Vírgula 2 2 4 3 6 4 2" xfId="45183"/>
    <cellStyle name="Vírgula 2 2 4 3 6 5" xfId="12830"/>
    <cellStyle name="Vírgula 2 2 4 3 6 5 2" xfId="39072"/>
    <cellStyle name="Vírgula 2 2 4 3 6 6" xfId="32686"/>
    <cellStyle name="Vírgula 2 2 4 3 7" xfId="8130"/>
    <cellStyle name="Vírgula 2 2 4 3 7 2" xfId="26344"/>
    <cellStyle name="Vírgula 2 2 4 3 7 2 2" xfId="52577"/>
    <cellStyle name="Vírgula 2 2 4 3 7 3" xfId="20430"/>
    <cellStyle name="Vírgula 2 2 4 3 7 3 2" xfId="46669"/>
    <cellStyle name="Vírgula 2 2 4 3 7 4" xfId="14519"/>
    <cellStyle name="Vírgula 2 2 4 3 7 4 2" xfId="40761"/>
    <cellStyle name="Vírgula 2 2 4 3 7 5" xfId="34375"/>
    <cellStyle name="Vírgula 2 2 4 3 8" xfId="4738"/>
    <cellStyle name="Vírgula 2 2 4 3 8 2" xfId="23387"/>
    <cellStyle name="Vírgula 2 2 4 3 8 2 2" xfId="49623"/>
    <cellStyle name="Vírgula 2 2 4 3 8 3" xfId="30987"/>
    <cellStyle name="Vírgula 2 2 4 3 9" xfId="17473"/>
    <cellStyle name="Vírgula 2 2 4 3 9 2" xfId="43715"/>
    <cellStyle name="Vírgula 2 2 4 4" xfId="4347"/>
    <cellStyle name="Vírgula 2 2 4 4 2" xfId="7748"/>
    <cellStyle name="Vírgula 2 2 4 4 2 2" xfId="10844"/>
    <cellStyle name="Vírgula 2 2 4 4 2 2 2" xfId="29058"/>
    <cellStyle name="Vírgula 2 2 4 4 2 2 2 2" xfId="55288"/>
    <cellStyle name="Vírgula 2 2 4 4 2 2 3" xfId="23144"/>
    <cellStyle name="Vírgula 2 2 4 4 2 2 3 2" xfId="49380"/>
    <cellStyle name="Vírgula 2 2 4 4 2 2 4" xfId="17230"/>
    <cellStyle name="Vírgula 2 2 4 4 2 2 4 2" xfId="43472"/>
    <cellStyle name="Vírgula 2 2 4 4 2 2 5" xfId="37086"/>
    <cellStyle name="Vírgula 2 2 4 4 2 3" xfId="26101"/>
    <cellStyle name="Vírgula 2 2 4 4 2 3 2" xfId="52334"/>
    <cellStyle name="Vírgula 2 2 4 4 2 4" xfId="20187"/>
    <cellStyle name="Vírgula 2 2 4 4 2 4 2" xfId="46426"/>
    <cellStyle name="Vírgula 2 2 4 4 2 5" xfId="14137"/>
    <cellStyle name="Vírgula 2 2 4 4 2 5 2" xfId="40379"/>
    <cellStyle name="Vírgula 2 2 4 4 2 6" xfId="33993"/>
    <cellStyle name="Vírgula 2 2 4 4 3" xfId="9376"/>
    <cellStyle name="Vírgula 2 2 4 4 3 2" xfId="27590"/>
    <cellStyle name="Vírgula 2 2 4 4 3 2 2" xfId="53820"/>
    <cellStyle name="Vírgula 2 2 4 4 3 3" xfId="21676"/>
    <cellStyle name="Vírgula 2 2 4 4 3 3 2" xfId="47912"/>
    <cellStyle name="Vírgula 2 2 4 4 3 4" xfId="15762"/>
    <cellStyle name="Vírgula 2 2 4 4 3 4 2" xfId="42004"/>
    <cellStyle name="Vírgula 2 2 4 4 3 5" xfId="35618"/>
    <cellStyle name="Vírgula 2 2 4 4 4" xfId="6048"/>
    <cellStyle name="Vírgula 2 2 4 4 4 2" xfId="24633"/>
    <cellStyle name="Vírgula 2 2 4 4 4 2 2" xfId="50866"/>
    <cellStyle name="Vírgula 2 2 4 4 4 3" xfId="32293"/>
    <cellStyle name="Vírgula 2 2 4 4 5" xfId="18719"/>
    <cellStyle name="Vírgula 2 2 4 4 5 2" xfId="44958"/>
    <cellStyle name="Vírgula 2 2 4 4 6" xfId="12436"/>
    <cellStyle name="Vírgula 2 2 4 4 6 2" xfId="38678"/>
    <cellStyle name="Vírgula 2 2 4 4 7" xfId="30596"/>
    <cellStyle name="Vírgula 2 2 4 5" xfId="4455"/>
    <cellStyle name="Vírgula 2 2 4 5 2" xfId="7857"/>
    <cellStyle name="Vírgula 2 2 4 5 2 2" xfId="10906"/>
    <cellStyle name="Vírgula 2 2 4 5 2 2 2" xfId="29120"/>
    <cellStyle name="Vírgula 2 2 4 5 2 2 2 2" xfId="55350"/>
    <cellStyle name="Vírgula 2 2 4 5 2 2 3" xfId="23206"/>
    <cellStyle name="Vírgula 2 2 4 5 2 2 3 2" xfId="49442"/>
    <cellStyle name="Vírgula 2 2 4 5 2 2 4" xfId="17292"/>
    <cellStyle name="Vírgula 2 2 4 5 2 2 4 2" xfId="43534"/>
    <cellStyle name="Vírgula 2 2 4 5 2 2 5" xfId="37148"/>
    <cellStyle name="Vírgula 2 2 4 5 2 3" xfId="26163"/>
    <cellStyle name="Vírgula 2 2 4 5 2 3 2" xfId="52396"/>
    <cellStyle name="Vírgula 2 2 4 5 2 4" xfId="20249"/>
    <cellStyle name="Vírgula 2 2 4 5 2 4 2" xfId="46488"/>
    <cellStyle name="Vírgula 2 2 4 5 2 5" xfId="14246"/>
    <cellStyle name="Vírgula 2 2 4 5 2 5 2" xfId="40488"/>
    <cellStyle name="Vírgula 2 2 4 5 2 6" xfId="34102"/>
    <cellStyle name="Vírgula 2 2 4 5 3" xfId="9438"/>
    <cellStyle name="Vírgula 2 2 4 5 3 2" xfId="27652"/>
    <cellStyle name="Vírgula 2 2 4 5 3 2 2" xfId="53882"/>
    <cellStyle name="Vírgula 2 2 4 5 3 3" xfId="21738"/>
    <cellStyle name="Vírgula 2 2 4 5 3 3 2" xfId="47974"/>
    <cellStyle name="Vírgula 2 2 4 5 3 4" xfId="15824"/>
    <cellStyle name="Vírgula 2 2 4 5 3 4 2" xfId="42066"/>
    <cellStyle name="Vírgula 2 2 4 5 3 5" xfId="35680"/>
    <cellStyle name="Vírgula 2 2 4 5 4" xfId="6157"/>
    <cellStyle name="Vírgula 2 2 4 5 4 2" xfId="24695"/>
    <cellStyle name="Vírgula 2 2 4 5 4 2 2" xfId="50928"/>
    <cellStyle name="Vírgula 2 2 4 5 4 3" xfId="32402"/>
    <cellStyle name="Vírgula 2 2 4 5 5" xfId="18781"/>
    <cellStyle name="Vírgula 2 2 4 5 5 2" xfId="45020"/>
    <cellStyle name="Vírgula 2 2 4 5 6" xfId="12545"/>
    <cellStyle name="Vírgula 2 2 4 5 6 2" xfId="38787"/>
    <cellStyle name="Vírgula 2 2 4 5 7" xfId="30704"/>
    <cellStyle name="Vírgula 2 2 4 6" xfId="4563"/>
    <cellStyle name="Vírgula 2 2 4 6 2" xfId="7965"/>
    <cellStyle name="Vírgula 2 2 4 6 2 2" xfId="10968"/>
    <cellStyle name="Vírgula 2 2 4 6 2 2 2" xfId="29182"/>
    <cellStyle name="Vírgula 2 2 4 6 2 2 2 2" xfId="55412"/>
    <cellStyle name="Vírgula 2 2 4 6 2 2 3" xfId="23268"/>
    <cellStyle name="Vírgula 2 2 4 6 2 2 3 2" xfId="49504"/>
    <cellStyle name="Vírgula 2 2 4 6 2 2 4" xfId="17354"/>
    <cellStyle name="Vírgula 2 2 4 6 2 2 4 2" xfId="43596"/>
    <cellStyle name="Vírgula 2 2 4 6 2 2 5" xfId="37210"/>
    <cellStyle name="Vírgula 2 2 4 6 2 3" xfId="26225"/>
    <cellStyle name="Vírgula 2 2 4 6 2 3 2" xfId="52458"/>
    <cellStyle name="Vírgula 2 2 4 6 2 4" xfId="20311"/>
    <cellStyle name="Vírgula 2 2 4 6 2 4 2" xfId="46550"/>
    <cellStyle name="Vírgula 2 2 4 6 2 5" xfId="14354"/>
    <cellStyle name="Vírgula 2 2 4 6 2 5 2" xfId="40596"/>
    <cellStyle name="Vírgula 2 2 4 6 2 6" xfId="34210"/>
    <cellStyle name="Vírgula 2 2 4 6 3" xfId="9500"/>
    <cellStyle name="Vírgula 2 2 4 6 3 2" xfId="27714"/>
    <cellStyle name="Vírgula 2 2 4 6 3 2 2" xfId="53944"/>
    <cellStyle name="Vírgula 2 2 4 6 3 3" xfId="21800"/>
    <cellStyle name="Vírgula 2 2 4 6 3 3 2" xfId="48036"/>
    <cellStyle name="Vírgula 2 2 4 6 3 4" xfId="15886"/>
    <cellStyle name="Vírgula 2 2 4 6 3 4 2" xfId="42128"/>
    <cellStyle name="Vírgula 2 2 4 6 3 5" xfId="35742"/>
    <cellStyle name="Vírgula 2 2 4 6 4" xfId="6264"/>
    <cellStyle name="Vírgula 2 2 4 6 4 2" xfId="24757"/>
    <cellStyle name="Vírgula 2 2 4 6 4 2 2" xfId="50990"/>
    <cellStyle name="Vírgula 2 2 4 6 4 3" xfId="32509"/>
    <cellStyle name="Vírgula 2 2 4 6 5" xfId="18843"/>
    <cellStyle name="Vírgula 2 2 4 6 5 2" xfId="45082"/>
    <cellStyle name="Vírgula 2 2 4 6 6" xfId="12653"/>
    <cellStyle name="Vírgula 2 2 4 6 6 2" xfId="38895"/>
    <cellStyle name="Vírgula 2 2 4 6 7" xfId="30812"/>
    <cellStyle name="Vírgula 2 2 4 7" xfId="5138"/>
    <cellStyle name="Vírgula 2 2 4 7 2" xfId="6837"/>
    <cellStyle name="Vírgula 2 2 4 7 2 2" xfId="9984"/>
    <cellStyle name="Vírgula 2 2 4 7 2 2 2" xfId="28198"/>
    <cellStyle name="Vírgula 2 2 4 7 2 2 2 2" xfId="54428"/>
    <cellStyle name="Vírgula 2 2 4 7 2 2 3" xfId="22284"/>
    <cellStyle name="Vírgula 2 2 4 7 2 2 3 2" xfId="48520"/>
    <cellStyle name="Vírgula 2 2 4 7 2 2 4" xfId="16370"/>
    <cellStyle name="Vírgula 2 2 4 7 2 2 4 2" xfId="42612"/>
    <cellStyle name="Vírgula 2 2 4 7 2 2 5" xfId="36226"/>
    <cellStyle name="Vírgula 2 2 4 7 2 3" xfId="25241"/>
    <cellStyle name="Vírgula 2 2 4 7 2 3 2" xfId="51474"/>
    <cellStyle name="Vírgula 2 2 4 7 2 4" xfId="19327"/>
    <cellStyle name="Vírgula 2 2 4 7 2 4 2" xfId="45566"/>
    <cellStyle name="Vírgula 2 2 4 7 2 5" xfId="13226"/>
    <cellStyle name="Vírgula 2 2 4 7 2 5 2" xfId="39468"/>
    <cellStyle name="Vírgula 2 2 4 7 2 6" xfId="33082"/>
    <cellStyle name="Vírgula 2 2 4 7 3" xfId="8516"/>
    <cellStyle name="Vírgula 2 2 4 7 3 2" xfId="26730"/>
    <cellStyle name="Vírgula 2 2 4 7 3 2 2" xfId="52960"/>
    <cellStyle name="Vírgula 2 2 4 7 3 3" xfId="20816"/>
    <cellStyle name="Vírgula 2 2 4 7 3 3 2" xfId="47052"/>
    <cellStyle name="Vírgula 2 2 4 7 3 4" xfId="14902"/>
    <cellStyle name="Vírgula 2 2 4 7 3 4 2" xfId="41144"/>
    <cellStyle name="Vírgula 2 2 4 7 3 5" xfId="34758"/>
    <cellStyle name="Vírgula 2 2 4 7 4" xfId="23773"/>
    <cellStyle name="Vírgula 2 2 4 7 4 2" xfId="50006"/>
    <cellStyle name="Vírgula 2 2 4 7 5" xfId="17859"/>
    <cellStyle name="Vírgula 2 2 4 7 5 2" xfId="44098"/>
    <cellStyle name="Vírgula 2 2 4 7 6" xfId="11525"/>
    <cellStyle name="Vírgula 2 2 4 7 6 2" xfId="37767"/>
    <cellStyle name="Vírgula 2 2 4 7 7" xfId="31383"/>
    <cellStyle name="Vírgula 2 2 4 8" xfId="6373"/>
    <cellStyle name="Vírgula 2 2 4 8 2" xfId="9562"/>
    <cellStyle name="Vírgula 2 2 4 8 2 2" xfId="27776"/>
    <cellStyle name="Vírgula 2 2 4 8 2 2 2" xfId="54006"/>
    <cellStyle name="Vírgula 2 2 4 8 2 3" xfId="21862"/>
    <cellStyle name="Vírgula 2 2 4 8 2 3 2" xfId="48098"/>
    <cellStyle name="Vírgula 2 2 4 8 2 4" xfId="15948"/>
    <cellStyle name="Vírgula 2 2 4 8 2 4 2" xfId="42190"/>
    <cellStyle name="Vírgula 2 2 4 8 2 5" xfId="35804"/>
    <cellStyle name="Vírgula 2 2 4 8 3" xfId="24819"/>
    <cellStyle name="Vírgula 2 2 4 8 3 2" xfId="51052"/>
    <cellStyle name="Vírgula 2 2 4 8 4" xfId="18905"/>
    <cellStyle name="Vírgula 2 2 4 8 4 2" xfId="45144"/>
    <cellStyle name="Vírgula 2 2 4 8 5" xfId="12762"/>
    <cellStyle name="Vírgula 2 2 4 8 5 2" xfId="39004"/>
    <cellStyle name="Vírgula 2 2 4 8 6" xfId="32618"/>
    <cellStyle name="Vírgula 2 2 4 9" xfId="8065"/>
    <cellStyle name="Vírgula 2 2 4 9 2" xfId="11026"/>
    <cellStyle name="Vírgula 2 2 4 9 2 2" xfId="29240"/>
    <cellStyle name="Vírgula 2 2 4 9 2 2 2" xfId="55470"/>
    <cellStyle name="Vírgula 2 2 4 9 2 3" xfId="23326"/>
    <cellStyle name="Vírgula 2 2 4 9 2 3 2" xfId="49562"/>
    <cellStyle name="Vírgula 2 2 4 9 2 4" xfId="17412"/>
    <cellStyle name="Vírgula 2 2 4 9 2 4 2" xfId="43654"/>
    <cellStyle name="Vírgula 2 2 4 9 2 5" xfId="37268"/>
    <cellStyle name="Vírgula 2 2 4 9 3" xfId="26283"/>
    <cellStyle name="Vírgula 2 2 4 9 3 2" xfId="52516"/>
    <cellStyle name="Vírgula 2 2 4 9 4" xfId="20369"/>
    <cellStyle name="Vírgula 2 2 4 9 4 2" xfId="46608"/>
    <cellStyle name="Vírgula 2 2 4 9 5" xfId="14454"/>
    <cellStyle name="Vírgula 2 2 4 9 5 2" xfId="40696"/>
    <cellStyle name="Vírgula 2 2 4 9 6" xfId="34310"/>
    <cellStyle name="Vírgula 2 2 5" xfId="1780"/>
    <cellStyle name="Vírgula 2 2 5 10" xfId="17445"/>
    <cellStyle name="Vírgula 2 2 5 10 2" xfId="43687"/>
    <cellStyle name="Vírgula 2 2 5 11" xfId="11081"/>
    <cellStyle name="Vírgula 2 2 5 11 2" xfId="37323"/>
    <cellStyle name="Vírgula 2 2 5 12" xfId="29804"/>
    <cellStyle name="Vírgula 2 2 5 2" xfId="4290"/>
    <cellStyle name="Vírgula 2 2 5 2 2" xfId="7691"/>
    <cellStyle name="Vírgula 2 2 5 2 2 2" xfId="10812"/>
    <cellStyle name="Vírgula 2 2 5 2 2 2 2" xfId="29026"/>
    <cellStyle name="Vírgula 2 2 5 2 2 2 2 2" xfId="55256"/>
    <cellStyle name="Vírgula 2 2 5 2 2 2 3" xfId="23112"/>
    <cellStyle name="Vírgula 2 2 5 2 2 2 3 2" xfId="49348"/>
    <cellStyle name="Vírgula 2 2 5 2 2 2 4" xfId="17198"/>
    <cellStyle name="Vírgula 2 2 5 2 2 2 4 2" xfId="43440"/>
    <cellStyle name="Vírgula 2 2 5 2 2 2 5" xfId="37054"/>
    <cellStyle name="Vírgula 2 2 5 2 2 3" xfId="26069"/>
    <cellStyle name="Vírgula 2 2 5 2 2 3 2" xfId="52302"/>
    <cellStyle name="Vírgula 2 2 5 2 2 4" xfId="20155"/>
    <cellStyle name="Vírgula 2 2 5 2 2 4 2" xfId="46394"/>
    <cellStyle name="Vírgula 2 2 5 2 2 5" xfId="14080"/>
    <cellStyle name="Vírgula 2 2 5 2 2 5 2" xfId="40322"/>
    <cellStyle name="Vírgula 2 2 5 2 2 6" xfId="33936"/>
    <cellStyle name="Vírgula 2 2 5 2 3" xfId="9344"/>
    <cellStyle name="Vírgula 2 2 5 2 3 2" xfId="27558"/>
    <cellStyle name="Vírgula 2 2 5 2 3 2 2" xfId="53788"/>
    <cellStyle name="Vírgula 2 2 5 2 3 3" xfId="21644"/>
    <cellStyle name="Vírgula 2 2 5 2 3 3 2" xfId="47880"/>
    <cellStyle name="Vírgula 2 2 5 2 3 4" xfId="15730"/>
    <cellStyle name="Vírgula 2 2 5 2 3 4 2" xfId="41972"/>
    <cellStyle name="Vírgula 2 2 5 2 3 5" xfId="35586"/>
    <cellStyle name="Vírgula 2 2 5 2 4" xfId="5991"/>
    <cellStyle name="Vírgula 2 2 5 2 4 2" xfId="24601"/>
    <cellStyle name="Vírgula 2 2 5 2 4 2 2" xfId="50834"/>
    <cellStyle name="Vírgula 2 2 5 2 4 3" xfId="32236"/>
    <cellStyle name="Vírgula 2 2 5 2 5" xfId="18687"/>
    <cellStyle name="Vírgula 2 2 5 2 5 2" xfId="44926"/>
    <cellStyle name="Vírgula 2 2 5 2 6" xfId="12379"/>
    <cellStyle name="Vírgula 2 2 5 2 6 2" xfId="38621"/>
    <cellStyle name="Vírgula 2 2 5 2 7" xfId="30539"/>
    <cellStyle name="Vírgula 2 2 5 3" xfId="4367"/>
    <cellStyle name="Vírgula 2 2 5 3 2" xfId="7768"/>
    <cellStyle name="Vírgula 2 2 5 3 2 2" xfId="10855"/>
    <cellStyle name="Vírgula 2 2 5 3 2 2 2" xfId="29069"/>
    <cellStyle name="Vírgula 2 2 5 3 2 2 2 2" xfId="55299"/>
    <cellStyle name="Vírgula 2 2 5 3 2 2 3" xfId="23155"/>
    <cellStyle name="Vírgula 2 2 5 3 2 2 3 2" xfId="49391"/>
    <cellStyle name="Vírgula 2 2 5 3 2 2 4" xfId="17241"/>
    <cellStyle name="Vírgula 2 2 5 3 2 2 4 2" xfId="43483"/>
    <cellStyle name="Vírgula 2 2 5 3 2 2 5" xfId="37097"/>
    <cellStyle name="Vírgula 2 2 5 3 2 3" xfId="26112"/>
    <cellStyle name="Vírgula 2 2 5 3 2 3 2" xfId="52345"/>
    <cellStyle name="Vírgula 2 2 5 3 2 4" xfId="20198"/>
    <cellStyle name="Vírgula 2 2 5 3 2 4 2" xfId="46437"/>
    <cellStyle name="Vírgula 2 2 5 3 2 5" xfId="14157"/>
    <cellStyle name="Vírgula 2 2 5 3 2 5 2" xfId="40399"/>
    <cellStyle name="Vírgula 2 2 5 3 2 6" xfId="34013"/>
    <cellStyle name="Vírgula 2 2 5 3 3" xfId="9387"/>
    <cellStyle name="Vírgula 2 2 5 3 3 2" xfId="27601"/>
    <cellStyle name="Vírgula 2 2 5 3 3 2 2" xfId="53831"/>
    <cellStyle name="Vírgula 2 2 5 3 3 3" xfId="21687"/>
    <cellStyle name="Vírgula 2 2 5 3 3 3 2" xfId="47923"/>
    <cellStyle name="Vírgula 2 2 5 3 3 4" xfId="15773"/>
    <cellStyle name="Vírgula 2 2 5 3 3 4 2" xfId="42015"/>
    <cellStyle name="Vírgula 2 2 5 3 3 5" xfId="35629"/>
    <cellStyle name="Vírgula 2 2 5 3 4" xfId="6068"/>
    <cellStyle name="Vírgula 2 2 5 3 4 2" xfId="24644"/>
    <cellStyle name="Vírgula 2 2 5 3 4 2 2" xfId="50877"/>
    <cellStyle name="Vírgula 2 2 5 3 4 3" xfId="32313"/>
    <cellStyle name="Vírgula 2 2 5 3 5" xfId="18730"/>
    <cellStyle name="Vírgula 2 2 5 3 5 2" xfId="44969"/>
    <cellStyle name="Vírgula 2 2 5 3 6" xfId="12456"/>
    <cellStyle name="Vírgula 2 2 5 3 6 2" xfId="38698"/>
    <cellStyle name="Vírgula 2 2 5 3 7" xfId="30616"/>
    <cellStyle name="Vírgula 2 2 5 4" xfId="4475"/>
    <cellStyle name="Vírgula 2 2 5 4 2" xfId="7877"/>
    <cellStyle name="Vírgula 2 2 5 4 2 2" xfId="10917"/>
    <cellStyle name="Vírgula 2 2 5 4 2 2 2" xfId="29131"/>
    <cellStyle name="Vírgula 2 2 5 4 2 2 2 2" xfId="55361"/>
    <cellStyle name="Vírgula 2 2 5 4 2 2 3" xfId="23217"/>
    <cellStyle name="Vírgula 2 2 5 4 2 2 3 2" xfId="49453"/>
    <cellStyle name="Vírgula 2 2 5 4 2 2 4" xfId="17303"/>
    <cellStyle name="Vírgula 2 2 5 4 2 2 4 2" xfId="43545"/>
    <cellStyle name="Vírgula 2 2 5 4 2 2 5" xfId="37159"/>
    <cellStyle name="Vírgula 2 2 5 4 2 3" xfId="26174"/>
    <cellStyle name="Vírgula 2 2 5 4 2 3 2" xfId="52407"/>
    <cellStyle name="Vírgula 2 2 5 4 2 4" xfId="20260"/>
    <cellStyle name="Vírgula 2 2 5 4 2 4 2" xfId="46499"/>
    <cellStyle name="Vírgula 2 2 5 4 2 5" xfId="14266"/>
    <cellStyle name="Vírgula 2 2 5 4 2 5 2" xfId="40508"/>
    <cellStyle name="Vírgula 2 2 5 4 2 6" xfId="34122"/>
    <cellStyle name="Vírgula 2 2 5 4 3" xfId="9449"/>
    <cellStyle name="Vírgula 2 2 5 4 3 2" xfId="27663"/>
    <cellStyle name="Vírgula 2 2 5 4 3 2 2" xfId="53893"/>
    <cellStyle name="Vírgula 2 2 5 4 3 3" xfId="21749"/>
    <cellStyle name="Vírgula 2 2 5 4 3 3 2" xfId="47985"/>
    <cellStyle name="Vírgula 2 2 5 4 3 4" xfId="15835"/>
    <cellStyle name="Vírgula 2 2 5 4 3 4 2" xfId="42077"/>
    <cellStyle name="Vírgula 2 2 5 4 3 5" xfId="35691"/>
    <cellStyle name="Vírgula 2 2 5 4 4" xfId="6177"/>
    <cellStyle name="Vírgula 2 2 5 4 4 2" xfId="24706"/>
    <cellStyle name="Vírgula 2 2 5 4 4 2 2" xfId="50939"/>
    <cellStyle name="Vírgula 2 2 5 4 4 3" xfId="32422"/>
    <cellStyle name="Vírgula 2 2 5 4 5" xfId="18792"/>
    <cellStyle name="Vírgula 2 2 5 4 5 2" xfId="45031"/>
    <cellStyle name="Vírgula 2 2 5 4 6" xfId="12565"/>
    <cellStyle name="Vírgula 2 2 5 4 6 2" xfId="38807"/>
    <cellStyle name="Vírgula 2 2 5 4 7" xfId="30724"/>
    <cellStyle name="Vírgula 2 2 5 5" xfId="4583"/>
    <cellStyle name="Vírgula 2 2 5 5 2" xfId="7985"/>
    <cellStyle name="Vírgula 2 2 5 5 2 2" xfId="10979"/>
    <cellStyle name="Vírgula 2 2 5 5 2 2 2" xfId="29193"/>
    <cellStyle name="Vírgula 2 2 5 5 2 2 2 2" xfId="55423"/>
    <cellStyle name="Vírgula 2 2 5 5 2 2 3" xfId="23279"/>
    <cellStyle name="Vírgula 2 2 5 5 2 2 3 2" xfId="49515"/>
    <cellStyle name="Vírgula 2 2 5 5 2 2 4" xfId="17365"/>
    <cellStyle name="Vírgula 2 2 5 5 2 2 4 2" xfId="43607"/>
    <cellStyle name="Vírgula 2 2 5 5 2 2 5" xfId="37221"/>
    <cellStyle name="Vírgula 2 2 5 5 2 3" xfId="26236"/>
    <cellStyle name="Vírgula 2 2 5 5 2 3 2" xfId="52469"/>
    <cellStyle name="Vírgula 2 2 5 5 2 4" xfId="20322"/>
    <cellStyle name="Vírgula 2 2 5 5 2 4 2" xfId="46561"/>
    <cellStyle name="Vírgula 2 2 5 5 2 5" xfId="14374"/>
    <cellStyle name="Vírgula 2 2 5 5 2 5 2" xfId="40616"/>
    <cellStyle name="Vírgula 2 2 5 5 2 6" xfId="34230"/>
    <cellStyle name="Vírgula 2 2 5 5 3" xfId="9511"/>
    <cellStyle name="Vírgula 2 2 5 5 3 2" xfId="27725"/>
    <cellStyle name="Vírgula 2 2 5 5 3 2 2" xfId="53955"/>
    <cellStyle name="Vírgula 2 2 5 5 3 3" xfId="21811"/>
    <cellStyle name="Vírgula 2 2 5 5 3 3 2" xfId="48047"/>
    <cellStyle name="Vírgula 2 2 5 5 3 4" xfId="15897"/>
    <cellStyle name="Vírgula 2 2 5 5 3 4 2" xfId="42139"/>
    <cellStyle name="Vírgula 2 2 5 5 3 5" xfId="35753"/>
    <cellStyle name="Vírgula 2 2 5 5 4" xfId="6284"/>
    <cellStyle name="Vírgula 2 2 5 5 4 2" xfId="24768"/>
    <cellStyle name="Vírgula 2 2 5 5 4 2 2" xfId="51001"/>
    <cellStyle name="Vírgula 2 2 5 5 4 3" xfId="32529"/>
    <cellStyle name="Vírgula 2 2 5 5 5" xfId="18854"/>
    <cellStyle name="Vírgula 2 2 5 5 5 2" xfId="45093"/>
    <cellStyle name="Vírgula 2 2 5 5 6" xfId="12673"/>
    <cellStyle name="Vírgula 2 2 5 5 6 2" xfId="38915"/>
    <cellStyle name="Vírgula 2 2 5 5 7" xfId="30832"/>
    <cellStyle name="Vírgula 2 2 5 6" xfId="5257"/>
    <cellStyle name="Vírgula 2 2 5 6 2" xfId="6956"/>
    <cellStyle name="Vírgula 2 2 5 6 2 2" xfId="10103"/>
    <cellStyle name="Vírgula 2 2 5 6 2 2 2" xfId="28317"/>
    <cellStyle name="Vírgula 2 2 5 6 2 2 2 2" xfId="54547"/>
    <cellStyle name="Vírgula 2 2 5 6 2 2 3" xfId="22403"/>
    <cellStyle name="Vírgula 2 2 5 6 2 2 3 2" xfId="48639"/>
    <cellStyle name="Vírgula 2 2 5 6 2 2 4" xfId="16489"/>
    <cellStyle name="Vírgula 2 2 5 6 2 2 4 2" xfId="42731"/>
    <cellStyle name="Vírgula 2 2 5 6 2 2 5" xfId="36345"/>
    <cellStyle name="Vírgula 2 2 5 6 2 3" xfId="25360"/>
    <cellStyle name="Vírgula 2 2 5 6 2 3 2" xfId="51593"/>
    <cellStyle name="Vírgula 2 2 5 6 2 4" xfId="19446"/>
    <cellStyle name="Vírgula 2 2 5 6 2 4 2" xfId="45685"/>
    <cellStyle name="Vírgula 2 2 5 6 2 5" xfId="13345"/>
    <cellStyle name="Vírgula 2 2 5 6 2 5 2" xfId="39587"/>
    <cellStyle name="Vírgula 2 2 5 6 2 6" xfId="33201"/>
    <cellStyle name="Vírgula 2 2 5 6 3" xfId="8635"/>
    <cellStyle name="Vírgula 2 2 5 6 3 2" xfId="26849"/>
    <cellStyle name="Vírgula 2 2 5 6 3 2 2" xfId="53079"/>
    <cellStyle name="Vírgula 2 2 5 6 3 3" xfId="20935"/>
    <cellStyle name="Vírgula 2 2 5 6 3 3 2" xfId="47171"/>
    <cellStyle name="Vírgula 2 2 5 6 3 4" xfId="15021"/>
    <cellStyle name="Vírgula 2 2 5 6 3 4 2" xfId="41263"/>
    <cellStyle name="Vírgula 2 2 5 6 3 5" xfId="34877"/>
    <cellStyle name="Vírgula 2 2 5 6 4" xfId="23892"/>
    <cellStyle name="Vírgula 2 2 5 6 4 2" xfId="50125"/>
    <cellStyle name="Vírgula 2 2 5 6 5" xfId="17978"/>
    <cellStyle name="Vírgula 2 2 5 6 5 2" xfId="44217"/>
    <cellStyle name="Vírgula 2 2 5 6 6" xfId="11644"/>
    <cellStyle name="Vírgula 2 2 5 6 6 2" xfId="37886"/>
    <cellStyle name="Vírgula 2 2 5 6 7" xfId="31502"/>
    <cellStyle name="Vírgula 2 2 5 7" xfId="6393"/>
    <cellStyle name="Vírgula 2 2 5 7 2" xfId="9573"/>
    <cellStyle name="Vírgula 2 2 5 7 2 2" xfId="27787"/>
    <cellStyle name="Vírgula 2 2 5 7 2 2 2" xfId="54017"/>
    <cellStyle name="Vírgula 2 2 5 7 2 3" xfId="21873"/>
    <cellStyle name="Vírgula 2 2 5 7 2 3 2" xfId="48109"/>
    <cellStyle name="Vírgula 2 2 5 7 2 4" xfId="15959"/>
    <cellStyle name="Vírgula 2 2 5 7 2 4 2" xfId="42201"/>
    <cellStyle name="Vírgula 2 2 5 7 2 5" xfId="35815"/>
    <cellStyle name="Vírgula 2 2 5 7 3" xfId="24830"/>
    <cellStyle name="Vírgula 2 2 5 7 3 2" xfId="51063"/>
    <cellStyle name="Vírgula 2 2 5 7 4" xfId="18916"/>
    <cellStyle name="Vírgula 2 2 5 7 4 2" xfId="45155"/>
    <cellStyle name="Vírgula 2 2 5 7 5" xfId="12782"/>
    <cellStyle name="Vírgula 2 2 5 7 5 2" xfId="39024"/>
    <cellStyle name="Vírgula 2 2 5 7 6" xfId="32638"/>
    <cellStyle name="Vírgula 2 2 5 8" xfId="8102"/>
    <cellStyle name="Vírgula 2 2 5 8 2" xfId="26316"/>
    <cellStyle name="Vírgula 2 2 5 8 2 2" xfId="52549"/>
    <cellStyle name="Vírgula 2 2 5 8 3" xfId="20402"/>
    <cellStyle name="Vírgula 2 2 5 8 3 2" xfId="46641"/>
    <cellStyle name="Vírgula 2 2 5 8 4" xfId="14491"/>
    <cellStyle name="Vírgula 2 2 5 8 4 2" xfId="40733"/>
    <cellStyle name="Vírgula 2 2 5 8 5" xfId="34347"/>
    <cellStyle name="Vírgula 2 2 5 9" xfId="4690"/>
    <cellStyle name="Vírgula 2 2 5 9 2" xfId="23359"/>
    <cellStyle name="Vírgula 2 2 5 9 2 2" xfId="49595"/>
    <cellStyle name="Vírgula 2 2 5 9 3" xfId="30939"/>
    <cellStyle name="Vírgula 2 2 6" xfId="2310"/>
    <cellStyle name="Vírgula 2 2 6 10" xfId="11113"/>
    <cellStyle name="Vírgula 2 2 6 10 2" xfId="37355"/>
    <cellStyle name="Vírgula 2 2 6 11" xfId="29954"/>
    <cellStyle name="Vírgula 2 2 6 2" xfId="4399"/>
    <cellStyle name="Vírgula 2 2 6 2 2" xfId="7800"/>
    <cellStyle name="Vírgula 2 2 6 2 2 2" xfId="10874"/>
    <cellStyle name="Vírgula 2 2 6 2 2 2 2" xfId="29088"/>
    <cellStyle name="Vírgula 2 2 6 2 2 2 2 2" xfId="55318"/>
    <cellStyle name="Vírgula 2 2 6 2 2 2 3" xfId="23174"/>
    <cellStyle name="Vírgula 2 2 6 2 2 2 3 2" xfId="49410"/>
    <cellStyle name="Vírgula 2 2 6 2 2 2 4" xfId="17260"/>
    <cellStyle name="Vírgula 2 2 6 2 2 2 4 2" xfId="43502"/>
    <cellStyle name="Vírgula 2 2 6 2 2 2 5" xfId="37116"/>
    <cellStyle name="Vírgula 2 2 6 2 2 3" xfId="26131"/>
    <cellStyle name="Vírgula 2 2 6 2 2 3 2" xfId="52364"/>
    <cellStyle name="Vírgula 2 2 6 2 2 4" xfId="20217"/>
    <cellStyle name="Vírgula 2 2 6 2 2 4 2" xfId="46456"/>
    <cellStyle name="Vírgula 2 2 6 2 2 5" xfId="14189"/>
    <cellStyle name="Vírgula 2 2 6 2 2 5 2" xfId="40431"/>
    <cellStyle name="Vírgula 2 2 6 2 2 6" xfId="34045"/>
    <cellStyle name="Vírgula 2 2 6 2 3" xfId="9406"/>
    <cellStyle name="Vírgula 2 2 6 2 3 2" xfId="27620"/>
    <cellStyle name="Vírgula 2 2 6 2 3 2 2" xfId="53850"/>
    <cellStyle name="Vírgula 2 2 6 2 3 3" xfId="21706"/>
    <cellStyle name="Vírgula 2 2 6 2 3 3 2" xfId="47942"/>
    <cellStyle name="Vírgula 2 2 6 2 3 4" xfId="15792"/>
    <cellStyle name="Vírgula 2 2 6 2 3 4 2" xfId="42034"/>
    <cellStyle name="Vírgula 2 2 6 2 3 5" xfId="35648"/>
    <cellStyle name="Vírgula 2 2 6 2 4" xfId="6100"/>
    <cellStyle name="Vírgula 2 2 6 2 4 2" xfId="24663"/>
    <cellStyle name="Vírgula 2 2 6 2 4 2 2" xfId="50896"/>
    <cellStyle name="Vírgula 2 2 6 2 4 3" xfId="32345"/>
    <cellStyle name="Vírgula 2 2 6 2 5" xfId="18749"/>
    <cellStyle name="Vírgula 2 2 6 2 5 2" xfId="44988"/>
    <cellStyle name="Vírgula 2 2 6 2 6" xfId="12488"/>
    <cellStyle name="Vírgula 2 2 6 2 6 2" xfId="38730"/>
    <cellStyle name="Vírgula 2 2 6 2 7" xfId="30648"/>
    <cellStyle name="Vírgula 2 2 6 3" xfId="4507"/>
    <cellStyle name="Vírgula 2 2 6 3 2" xfId="7909"/>
    <cellStyle name="Vírgula 2 2 6 3 2 2" xfId="10936"/>
    <cellStyle name="Vírgula 2 2 6 3 2 2 2" xfId="29150"/>
    <cellStyle name="Vírgula 2 2 6 3 2 2 2 2" xfId="55380"/>
    <cellStyle name="Vírgula 2 2 6 3 2 2 3" xfId="23236"/>
    <cellStyle name="Vírgula 2 2 6 3 2 2 3 2" xfId="49472"/>
    <cellStyle name="Vírgula 2 2 6 3 2 2 4" xfId="17322"/>
    <cellStyle name="Vírgula 2 2 6 3 2 2 4 2" xfId="43564"/>
    <cellStyle name="Vírgula 2 2 6 3 2 2 5" xfId="37178"/>
    <cellStyle name="Vírgula 2 2 6 3 2 3" xfId="26193"/>
    <cellStyle name="Vírgula 2 2 6 3 2 3 2" xfId="52426"/>
    <cellStyle name="Vírgula 2 2 6 3 2 4" xfId="20279"/>
    <cellStyle name="Vírgula 2 2 6 3 2 4 2" xfId="46518"/>
    <cellStyle name="Vírgula 2 2 6 3 2 5" xfId="14298"/>
    <cellStyle name="Vírgula 2 2 6 3 2 5 2" xfId="40540"/>
    <cellStyle name="Vírgula 2 2 6 3 2 6" xfId="34154"/>
    <cellStyle name="Vírgula 2 2 6 3 3" xfId="9468"/>
    <cellStyle name="Vírgula 2 2 6 3 3 2" xfId="27682"/>
    <cellStyle name="Vírgula 2 2 6 3 3 2 2" xfId="53912"/>
    <cellStyle name="Vírgula 2 2 6 3 3 3" xfId="21768"/>
    <cellStyle name="Vírgula 2 2 6 3 3 3 2" xfId="48004"/>
    <cellStyle name="Vírgula 2 2 6 3 3 4" xfId="15854"/>
    <cellStyle name="Vírgula 2 2 6 3 3 4 2" xfId="42096"/>
    <cellStyle name="Vírgula 2 2 6 3 3 5" xfId="35710"/>
    <cellStyle name="Vírgula 2 2 6 3 4" xfId="6208"/>
    <cellStyle name="Vírgula 2 2 6 3 4 2" xfId="24725"/>
    <cellStyle name="Vírgula 2 2 6 3 4 2 2" xfId="50958"/>
    <cellStyle name="Vírgula 2 2 6 3 4 3" xfId="32453"/>
    <cellStyle name="Vírgula 2 2 6 3 5" xfId="18811"/>
    <cellStyle name="Vírgula 2 2 6 3 5 2" xfId="45050"/>
    <cellStyle name="Vírgula 2 2 6 3 6" xfId="12597"/>
    <cellStyle name="Vírgula 2 2 6 3 6 2" xfId="38839"/>
    <cellStyle name="Vírgula 2 2 6 3 7" xfId="30756"/>
    <cellStyle name="Vírgula 2 2 6 4" xfId="4615"/>
    <cellStyle name="Vírgula 2 2 6 4 2" xfId="8017"/>
    <cellStyle name="Vírgula 2 2 6 4 2 2" xfId="10998"/>
    <cellStyle name="Vírgula 2 2 6 4 2 2 2" xfId="29212"/>
    <cellStyle name="Vírgula 2 2 6 4 2 2 2 2" xfId="55442"/>
    <cellStyle name="Vírgula 2 2 6 4 2 2 3" xfId="23298"/>
    <cellStyle name="Vírgula 2 2 6 4 2 2 3 2" xfId="49534"/>
    <cellStyle name="Vírgula 2 2 6 4 2 2 4" xfId="17384"/>
    <cellStyle name="Vírgula 2 2 6 4 2 2 4 2" xfId="43626"/>
    <cellStyle name="Vírgula 2 2 6 4 2 2 5" xfId="37240"/>
    <cellStyle name="Vírgula 2 2 6 4 2 3" xfId="26255"/>
    <cellStyle name="Vírgula 2 2 6 4 2 3 2" xfId="52488"/>
    <cellStyle name="Vírgula 2 2 6 4 2 4" xfId="20341"/>
    <cellStyle name="Vírgula 2 2 6 4 2 4 2" xfId="46580"/>
    <cellStyle name="Vírgula 2 2 6 4 2 5" xfId="14406"/>
    <cellStyle name="Vírgula 2 2 6 4 2 5 2" xfId="40648"/>
    <cellStyle name="Vírgula 2 2 6 4 2 6" xfId="34262"/>
    <cellStyle name="Vírgula 2 2 6 4 3" xfId="9530"/>
    <cellStyle name="Vírgula 2 2 6 4 3 2" xfId="27744"/>
    <cellStyle name="Vírgula 2 2 6 4 3 2 2" xfId="53974"/>
    <cellStyle name="Vírgula 2 2 6 4 3 3" xfId="21830"/>
    <cellStyle name="Vírgula 2 2 6 4 3 3 2" xfId="48066"/>
    <cellStyle name="Vírgula 2 2 6 4 3 4" xfId="15916"/>
    <cellStyle name="Vírgula 2 2 6 4 3 4 2" xfId="42158"/>
    <cellStyle name="Vírgula 2 2 6 4 3 5" xfId="35772"/>
    <cellStyle name="Vírgula 2 2 6 4 4" xfId="6316"/>
    <cellStyle name="Vírgula 2 2 6 4 4 2" xfId="24787"/>
    <cellStyle name="Vírgula 2 2 6 4 4 2 2" xfId="51020"/>
    <cellStyle name="Vírgula 2 2 6 4 4 3" xfId="32561"/>
    <cellStyle name="Vírgula 2 2 6 4 5" xfId="18873"/>
    <cellStyle name="Vírgula 2 2 6 4 5 2" xfId="45112"/>
    <cellStyle name="Vírgula 2 2 6 4 6" xfId="12705"/>
    <cellStyle name="Vírgula 2 2 6 4 6 2" xfId="38947"/>
    <cellStyle name="Vírgula 2 2 6 4 7" xfId="30864"/>
    <cellStyle name="Vírgula 2 2 6 5" xfId="5407"/>
    <cellStyle name="Vírgula 2 2 6 5 2" xfId="7106"/>
    <cellStyle name="Vírgula 2 2 6 5 2 2" xfId="10250"/>
    <cellStyle name="Vírgula 2 2 6 5 2 2 2" xfId="28464"/>
    <cellStyle name="Vírgula 2 2 6 5 2 2 2 2" xfId="54694"/>
    <cellStyle name="Vírgula 2 2 6 5 2 2 3" xfId="22550"/>
    <cellStyle name="Vírgula 2 2 6 5 2 2 3 2" xfId="48786"/>
    <cellStyle name="Vírgula 2 2 6 5 2 2 4" xfId="16636"/>
    <cellStyle name="Vírgula 2 2 6 5 2 2 4 2" xfId="42878"/>
    <cellStyle name="Vírgula 2 2 6 5 2 2 5" xfId="36492"/>
    <cellStyle name="Vírgula 2 2 6 5 2 3" xfId="25507"/>
    <cellStyle name="Vírgula 2 2 6 5 2 3 2" xfId="51740"/>
    <cellStyle name="Vírgula 2 2 6 5 2 4" xfId="19593"/>
    <cellStyle name="Vírgula 2 2 6 5 2 4 2" xfId="45832"/>
    <cellStyle name="Vírgula 2 2 6 5 2 5" xfId="13495"/>
    <cellStyle name="Vírgula 2 2 6 5 2 5 2" xfId="39737"/>
    <cellStyle name="Vírgula 2 2 6 5 2 6" xfId="33351"/>
    <cellStyle name="Vírgula 2 2 6 5 3" xfId="8782"/>
    <cellStyle name="Vírgula 2 2 6 5 3 2" xfId="26996"/>
    <cellStyle name="Vírgula 2 2 6 5 3 2 2" xfId="53226"/>
    <cellStyle name="Vírgula 2 2 6 5 3 3" xfId="21082"/>
    <cellStyle name="Vírgula 2 2 6 5 3 3 2" xfId="47318"/>
    <cellStyle name="Vírgula 2 2 6 5 3 4" xfId="15168"/>
    <cellStyle name="Vírgula 2 2 6 5 3 4 2" xfId="41410"/>
    <cellStyle name="Vírgula 2 2 6 5 3 5" xfId="35024"/>
    <cellStyle name="Vírgula 2 2 6 5 4" xfId="24039"/>
    <cellStyle name="Vírgula 2 2 6 5 4 2" xfId="50272"/>
    <cellStyle name="Vírgula 2 2 6 5 5" xfId="18125"/>
    <cellStyle name="Vírgula 2 2 6 5 5 2" xfId="44364"/>
    <cellStyle name="Vírgula 2 2 6 5 6" xfId="11794"/>
    <cellStyle name="Vírgula 2 2 6 5 6 2" xfId="38036"/>
    <cellStyle name="Vírgula 2 2 6 5 7" xfId="31652"/>
    <cellStyle name="Vírgula 2 2 6 6" xfId="6425"/>
    <cellStyle name="Vírgula 2 2 6 6 2" xfId="9592"/>
    <cellStyle name="Vírgula 2 2 6 6 2 2" xfId="27806"/>
    <cellStyle name="Vírgula 2 2 6 6 2 2 2" xfId="54036"/>
    <cellStyle name="Vírgula 2 2 6 6 2 3" xfId="21892"/>
    <cellStyle name="Vírgula 2 2 6 6 2 3 2" xfId="48128"/>
    <cellStyle name="Vírgula 2 2 6 6 2 4" xfId="15978"/>
    <cellStyle name="Vírgula 2 2 6 6 2 4 2" xfId="42220"/>
    <cellStyle name="Vírgula 2 2 6 6 2 5" xfId="35834"/>
    <cellStyle name="Vírgula 2 2 6 6 3" xfId="24849"/>
    <cellStyle name="Vírgula 2 2 6 6 3 2" xfId="51082"/>
    <cellStyle name="Vírgula 2 2 6 6 4" xfId="18935"/>
    <cellStyle name="Vírgula 2 2 6 6 4 2" xfId="45174"/>
    <cellStyle name="Vírgula 2 2 6 6 5" xfId="12814"/>
    <cellStyle name="Vírgula 2 2 6 6 5 2" xfId="39056"/>
    <cellStyle name="Vírgula 2 2 6 6 6" xfId="32670"/>
    <cellStyle name="Vírgula 2 2 6 7" xfId="8121"/>
    <cellStyle name="Vírgula 2 2 6 7 2" xfId="26335"/>
    <cellStyle name="Vírgula 2 2 6 7 2 2" xfId="52568"/>
    <cellStyle name="Vírgula 2 2 6 7 3" xfId="20421"/>
    <cellStyle name="Vírgula 2 2 6 7 3 2" xfId="46660"/>
    <cellStyle name="Vírgula 2 2 6 7 4" xfId="14510"/>
    <cellStyle name="Vírgula 2 2 6 7 4 2" xfId="40752"/>
    <cellStyle name="Vírgula 2 2 6 7 5" xfId="34366"/>
    <cellStyle name="Vírgula 2 2 6 8" xfId="4722"/>
    <cellStyle name="Vírgula 2 2 6 8 2" xfId="23378"/>
    <cellStyle name="Vírgula 2 2 6 8 2 2" xfId="49614"/>
    <cellStyle name="Vírgula 2 2 6 8 3" xfId="30971"/>
    <cellStyle name="Vírgula 2 2 6 9" xfId="17464"/>
    <cellStyle name="Vírgula 2 2 6 9 2" xfId="43706"/>
    <cellStyle name="Vírgula 2 2 7" xfId="2837"/>
    <cellStyle name="Vírgula 2 2 7 2" xfId="7253"/>
    <cellStyle name="Vírgula 2 2 7 2 2" xfId="10397"/>
    <cellStyle name="Vírgula 2 2 7 2 2 2" xfId="28611"/>
    <cellStyle name="Vírgula 2 2 7 2 2 2 2" xfId="54841"/>
    <cellStyle name="Vírgula 2 2 7 2 2 3" xfId="22697"/>
    <cellStyle name="Vírgula 2 2 7 2 2 3 2" xfId="48933"/>
    <cellStyle name="Vírgula 2 2 7 2 2 4" xfId="16783"/>
    <cellStyle name="Vírgula 2 2 7 2 2 4 2" xfId="43025"/>
    <cellStyle name="Vírgula 2 2 7 2 2 5" xfId="36639"/>
    <cellStyle name="Vírgula 2 2 7 2 3" xfId="25654"/>
    <cellStyle name="Vírgula 2 2 7 2 3 2" xfId="51887"/>
    <cellStyle name="Vírgula 2 2 7 2 4" xfId="19740"/>
    <cellStyle name="Vírgula 2 2 7 2 4 2" xfId="45979"/>
    <cellStyle name="Vírgula 2 2 7 2 5" xfId="13642"/>
    <cellStyle name="Vírgula 2 2 7 2 5 2" xfId="39884"/>
    <cellStyle name="Vírgula 2 2 7 2 6" xfId="33498"/>
    <cellStyle name="Vírgula 2 2 7 3" xfId="8929"/>
    <cellStyle name="Vírgula 2 2 7 3 2" xfId="27143"/>
    <cellStyle name="Vírgula 2 2 7 3 2 2" xfId="53373"/>
    <cellStyle name="Vírgula 2 2 7 3 3" xfId="21229"/>
    <cellStyle name="Vírgula 2 2 7 3 3 2" xfId="47465"/>
    <cellStyle name="Vírgula 2 2 7 3 4" xfId="15315"/>
    <cellStyle name="Vírgula 2 2 7 3 4 2" xfId="41557"/>
    <cellStyle name="Vírgula 2 2 7 3 5" xfId="35171"/>
    <cellStyle name="Vírgula 2 2 7 4" xfId="5554"/>
    <cellStyle name="Vírgula 2 2 7 4 2" xfId="24186"/>
    <cellStyle name="Vírgula 2 2 7 4 2 2" xfId="50419"/>
    <cellStyle name="Vírgula 2 2 7 4 3" xfId="31799"/>
    <cellStyle name="Vírgula 2 2 7 5" xfId="18272"/>
    <cellStyle name="Vírgula 2 2 7 5 2" xfId="44511"/>
    <cellStyle name="Vírgula 2 2 7 6" xfId="11941"/>
    <cellStyle name="Vírgula 2 2 7 6 2" xfId="38183"/>
    <cellStyle name="Vírgula 2 2 7 7" xfId="30101"/>
    <cellStyle name="Vírgula 2 2 8" xfId="3364"/>
    <cellStyle name="Vírgula 2 2 8 2" xfId="7400"/>
    <cellStyle name="Vírgula 2 2 8 2 2" xfId="10544"/>
    <cellStyle name="Vírgula 2 2 8 2 2 2" xfId="28758"/>
    <cellStyle name="Vírgula 2 2 8 2 2 2 2" xfId="54988"/>
    <cellStyle name="Vírgula 2 2 8 2 2 3" xfId="22844"/>
    <cellStyle name="Vírgula 2 2 8 2 2 3 2" xfId="49080"/>
    <cellStyle name="Vírgula 2 2 8 2 2 4" xfId="16930"/>
    <cellStyle name="Vírgula 2 2 8 2 2 4 2" xfId="43172"/>
    <cellStyle name="Vírgula 2 2 8 2 2 5" xfId="36786"/>
    <cellStyle name="Vírgula 2 2 8 2 3" xfId="25801"/>
    <cellStyle name="Vírgula 2 2 8 2 3 2" xfId="52034"/>
    <cellStyle name="Vírgula 2 2 8 2 4" xfId="19887"/>
    <cellStyle name="Vírgula 2 2 8 2 4 2" xfId="46126"/>
    <cellStyle name="Vírgula 2 2 8 2 5" xfId="13789"/>
    <cellStyle name="Vírgula 2 2 8 2 5 2" xfId="40031"/>
    <cellStyle name="Vírgula 2 2 8 2 6" xfId="33645"/>
    <cellStyle name="Vírgula 2 2 8 3" xfId="9076"/>
    <cellStyle name="Vírgula 2 2 8 3 2" xfId="27290"/>
    <cellStyle name="Vírgula 2 2 8 3 2 2" xfId="53520"/>
    <cellStyle name="Vírgula 2 2 8 3 3" xfId="21376"/>
    <cellStyle name="Vírgula 2 2 8 3 3 2" xfId="47612"/>
    <cellStyle name="Vírgula 2 2 8 3 4" xfId="15462"/>
    <cellStyle name="Vírgula 2 2 8 3 4 2" xfId="41704"/>
    <cellStyle name="Vírgula 2 2 8 3 5" xfId="35318"/>
    <cellStyle name="Vírgula 2 2 8 4" xfId="5701"/>
    <cellStyle name="Vírgula 2 2 8 4 2" xfId="24333"/>
    <cellStyle name="Vírgula 2 2 8 4 2 2" xfId="50566"/>
    <cellStyle name="Vírgula 2 2 8 4 3" xfId="31946"/>
    <cellStyle name="Vírgula 2 2 8 5" xfId="18419"/>
    <cellStyle name="Vírgula 2 2 8 5 2" xfId="44658"/>
    <cellStyle name="Vírgula 2 2 8 6" xfId="12088"/>
    <cellStyle name="Vírgula 2 2 8 6 2" xfId="38330"/>
    <cellStyle name="Vírgula 2 2 8 7" xfId="30248"/>
    <cellStyle name="Vírgula 2 2 9" xfId="3891"/>
    <cellStyle name="Vírgula 2 2 9 2" xfId="7547"/>
    <cellStyle name="Vírgula 2 2 9 2 2" xfId="10691"/>
    <cellStyle name="Vírgula 2 2 9 2 2 2" xfId="28905"/>
    <cellStyle name="Vírgula 2 2 9 2 2 2 2" xfId="55135"/>
    <cellStyle name="Vírgula 2 2 9 2 2 3" xfId="22991"/>
    <cellStyle name="Vírgula 2 2 9 2 2 3 2" xfId="49227"/>
    <cellStyle name="Vírgula 2 2 9 2 2 4" xfId="17077"/>
    <cellStyle name="Vírgula 2 2 9 2 2 4 2" xfId="43319"/>
    <cellStyle name="Vírgula 2 2 9 2 2 5" xfId="36933"/>
    <cellStyle name="Vírgula 2 2 9 2 3" xfId="25948"/>
    <cellStyle name="Vírgula 2 2 9 2 3 2" xfId="52181"/>
    <cellStyle name="Vírgula 2 2 9 2 4" xfId="20034"/>
    <cellStyle name="Vírgula 2 2 9 2 4 2" xfId="46273"/>
    <cellStyle name="Vírgula 2 2 9 2 5" xfId="13936"/>
    <cellStyle name="Vírgula 2 2 9 2 5 2" xfId="40178"/>
    <cellStyle name="Vírgula 2 2 9 2 6" xfId="33792"/>
    <cellStyle name="Vírgula 2 2 9 3" xfId="9223"/>
    <cellStyle name="Vírgula 2 2 9 3 2" xfId="27437"/>
    <cellStyle name="Vírgula 2 2 9 3 2 2" xfId="53667"/>
    <cellStyle name="Vírgula 2 2 9 3 3" xfId="21523"/>
    <cellStyle name="Vírgula 2 2 9 3 3 2" xfId="47759"/>
    <cellStyle name="Vírgula 2 2 9 3 4" xfId="15609"/>
    <cellStyle name="Vírgula 2 2 9 3 4 2" xfId="41851"/>
    <cellStyle name="Vírgula 2 2 9 3 5" xfId="35465"/>
    <cellStyle name="Vírgula 2 2 9 4" xfId="5848"/>
    <cellStyle name="Vírgula 2 2 9 4 2" xfId="24480"/>
    <cellStyle name="Vírgula 2 2 9 4 2 2" xfId="50713"/>
    <cellStyle name="Vírgula 2 2 9 4 3" xfId="32093"/>
    <cellStyle name="Vírgula 2 2 9 5" xfId="18566"/>
    <cellStyle name="Vírgula 2 2 9 5 2" xfId="44805"/>
    <cellStyle name="Vírgula 2 2 9 6" xfId="12235"/>
    <cellStyle name="Vírgula 2 2 9 6 2" xfId="38477"/>
    <cellStyle name="Vírgula 2 2 9 7" xfId="30395"/>
    <cellStyle name="Vírgula 2 3" xfId="16"/>
    <cellStyle name="Vírgula 2 3 10" xfId="4251"/>
    <cellStyle name="Vírgula 2 3 10 2" xfId="7651"/>
    <cellStyle name="Vírgula 2 3 10 2 2" xfId="10790"/>
    <cellStyle name="Vírgula 2 3 10 2 2 2" xfId="29004"/>
    <cellStyle name="Vírgula 2 3 10 2 2 2 2" xfId="55234"/>
    <cellStyle name="Vírgula 2 3 10 2 2 3" xfId="23090"/>
    <cellStyle name="Vírgula 2 3 10 2 2 3 2" xfId="49326"/>
    <cellStyle name="Vírgula 2 3 10 2 2 4" xfId="17176"/>
    <cellStyle name="Vírgula 2 3 10 2 2 4 2" xfId="43418"/>
    <cellStyle name="Vírgula 2 3 10 2 2 5" xfId="37032"/>
    <cellStyle name="Vírgula 2 3 10 2 3" xfId="26047"/>
    <cellStyle name="Vírgula 2 3 10 2 3 2" xfId="52280"/>
    <cellStyle name="Vírgula 2 3 10 2 4" xfId="20133"/>
    <cellStyle name="Vírgula 2 3 10 2 4 2" xfId="46372"/>
    <cellStyle name="Vírgula 2 3 10 2 5" xfId="14040"/>
    <cellStyle name="Vírgula 2 3 10 2 5 2" xfId="40282"/>
    <cellStyle name="Vírgula 2 3 10 2 6" xfId="33896"/>
    <cellStyle name="Vírgula 2 3 10 3" xfId="9322"/>
    <cellStyle name="Vírgula 2 3 10 3 2" xfId="27536"/>
    <cellStyle name="Vírgula 2 3 10 3 2 2" xfId="53766"/>
    <cellStyle name="Vírgula 2 3 10 3 3" xfId="21622"/>
    <cellStyle name="Vírgula 2 3 10 3 3 2" xfId="47858"/>
    <cellStyle name="Vírgula 2 3 10 3 4" xfId="15708"/>
    <cellStyle name="Vírgula 2 3 10 3 4 2" xfId="41950"/>
    <cellStyle name="Vírgula 2 3 10 3 5" xfId="35564"/>
    <cellStyle name="Vírgula 2 3 10 4" xfId="5952"/>
    <cellStyle name="Vírgula 2 3 10 4 2" xfId="24579"/>
    <cellStyle name="Vírgula 2 3 10 4 2 2" xfId="50812"/>
    <cellStyle name="Vírgula 2 3 10 4 3" xfId="32197"/>
    <cellStyle name="Vírgula 2 3 10 5" xfId="18665"/>
    <cellStyle name="Vírgula 2 3 10 5 2" xfId="44904"/>
    <cellStyle name="Vírgula 2 3 10 6" xfId="12339"/>
    <cellStyle name="Vírgula 2 3 10 6 2" xfId="38581"/>
    <cellStyle name="Vírgula 2 3 10 7" xfId="30500"/>
    <cellStyle name="Vírgula 2 3 11" xfId="4327"/>
    <cellStyle name="Vírgula 2 3 11 2" xfId="7728"/>
    <cellStyle name="Vírgula 2 3 11 2 2" xfId="10833"/>
    <cellStyle name="Vírgula 2 3 11 2 2 2" xfId="29047"/>
    <cellStyle name="Vírgula 2 3 11 2 2 2 2" xfId="55277"/>
    <cellStyle name="Vírgula 2 3 11 2 2 3" xfId="23133"/>
    <cellStyle name="Vírgula 2 3 11 2 2 3 2" xfId="49369"/>
    <cellStyle name="Vírgula 2 3 11 2 2 4" xfId="17219"/>
    <cellStyle name="Vírgula 2 3 11 2 2 4 2" xfId="43461"/>
    <cellStyle name="Vírgula 2 3 11 2 2 5" xfId="37075"/>
    <cellStyle name="Vírgula 2 3 11 2 3" xfId="26090"/>
    <cellStyle name="Vírgula 2 3 11 2 3 2" xfId="52323"/>
    <cellStyle name="Vírgula 2 3 11 2 4" xfId="20176"/>
    <cellStyle name="Vírgula 2 3 11 2 4 2" xfId="46415"/>
    <cellStyle name="Vírgula 2 3 11 2 5" xfId="14117"/>
    <cellStyle name="Vírgula 2 3 11 2 5 2" xfId="40359"/>
    <cellStyle name="Vírgula 2 3 11 2 6" xfId="33973"/>
    <cellStyle name="Vírgula 2 3 11 3" xfId="9365"/>
    <cellStyle name="Vírgula 2 3 11 3 2" xfId="27579"/>
    <cellStyle name="Vírgula 2 3 11 3 2 2" xfId="53809"/>
    <cellStyle name="Vírgula 2 3 11 3 3" xfId="21665"/>
    <cellStyle name="Vírgula 2 3 11 3 3 2" xfId="47901"/>
    <cellStyle name="Vírgula 2 3 11 3 4" xfId="15751"/>
    <cellStyle name="Vírgula 2 3 11 3 4 2" xfId="41993"/>
    <cellStyle name="Vírgula 2 3 11 3 5" xfId="35607"/>
    <cellStyle name="Vírgula 2 3 11 4" xfId="6028"/>
    <cellStyle name="Vírgula 2 3 11 4 2" xfId="24622"/>
    <cellStyle name="Vírgula 2 3 11 4 2 2" xfId="50855"/>
    <cellStyle name="Vírgula 2 3 11 4 3" xfId="32273"/>
    <cellStyle name="Vírgula 2 3 11 5" xfId="18708"/>
    <cellStyle name="Vírgula 2 3 11 5 2" xfId="44947"/>
    <cellStyle name="Vírgula 2 3 11 6" xfId="12416"/>
    <cellStyle name="Vírgula 2 3 11 6 2" xfId="38658"/>
    <cellStyle name="Vírgula 2 3 11 7" xfId="30576"/>
    <cellStyle name="Vírgula 2 3 12" xfId="4435"/>
    <cellStyle name="Vírgula 2 3 12 2" xfId="7837"/>
    <cellStyle name="Vírgula 2 3 12 2 2" xfId="10895"/>
    <cellStyle name="Vírgula 2 3 12 2 2 2" xfId="29109"/>
    <cellStyle name="Vírgula 2 3 12 2 2 2 2" xfId="55339"/>
    <cellStyle name="Vírgula 2 3 12 2 2 3" xfId="23195"/>
    <cellStyle name="Vírgula 2 3 12 2 2 3 2" xfId="49431"/>
    <cellStyle name="Vírgula 2 3 12 2 2 4" xfId="17281"/>
    <cellStyle name="Vírgula 2 3 12 2 2 4 2" xfId="43523"/>
    <cellStyle name="Vírgula 2 3 12 2 2 5" xfId="37137"/>
    <cellStyle name="Vírgula 2 3 12 2 3" xfId="26152"/>
    <cellStyle name="Vírgula 2 3 12 2 3 2" xfId="52385"/>
    <cellStyle name="Vírgula 2 3 12 2 4" xfId="20238"/>
    <cellStyle name="Vírgula 2 3 12 2 4 2" xfId="46477"/>
    <cellStyle name="Vírgula 2 3 12 2 5" xfId="14226"/>
    <cellStyle name="Vírgula 2 3 12 2 5 2" xfId="40468"/>
    <cellStyle name="Vírgula 2 3 12 2 6" xfId="34082"/>
    <cellStyle name="Vírgula 2 3 12 3" xfId="9427"/>
    <cellStyle name="Vírgula 2 3 12 3 2" xfId="27641"/>
    <cellStyle name="Vírgula 2 3 12 3 2 2" xfId="53871"/>
    <cellStyle name="Vírgula 2 3 12 3 3" xfId="21727"/>
    <cellStyle name="Vírgula 2 3 12 3 3 2" xfId="47963"/>
    <cellStyle name="Vírgula 2 3 12 3 4" xfId="15813"/>
    <cellStyle name="Vírgula 2 3 12 3 4 2" xfId="42055"/>
    <cellStyle name="Vírgula 2 3 12 3 5" xfId="35669"/>
    <cellStyle name="Vírgula 2 3 12 4" xfId="6137"/>
    <cellStyle name="Vírgula 2 3 12 4 2" xfId="24684"/>
    <cellStyle name="Vírgula 2 3 12 4 2 2" xfId="50917"/>
    <cellStyle name="Vírgula 2 3 12 4 3" xfId="32382"/>
    <cellStyle name="Vírgula 2 3 12 5" xfId="18770"/>
    <cellStyle name="Vírgula 2 3 12 5 2" xfId="45009"/>
    <cellStyle name="Vírgula 2 3 12 6" xfId="12525"/>
    <cellStyle name="Vírgula 2 3 12 6 2" xfId="38767"/>
    <cellStyle name="Vírgula 2 3 12 7" xfId="30684"/>
    <cellStyle name="Vírgula 2 3 13" xfId="4543"/>
    <cellStyle name="Vírgula 2 3 13 2" xfId="7945"/>
    <cellStyle name="Vírgula 2 3 13 2 2" xfId="10957"/>
    <cellStyle name="Vírgula 2 3 13 2 2 2" xfId="29171"/>
    <cellStyle name="Vírgula 2 3 13 2 2 2 2" xfId="55401"/>
    <cellStyle name="Vírgula 2 3 13 2 2 3" xfId="23257"/>
    <cellStyle name="Vírgula 2 3 13 2 2 3 2" xfId="49493"/>
    <cellStyle name="Vírgula 2 3 13 2 2 4" xfId="17343"/>
    <cellStyle name="Vírgula 2 3 13 2 2 4 2" xfId="43585"/>
    <cellStyle name="Vírgula 2 3 13 2 2 5" xfId="37199"/>
    <cellStyle name="Vírgula 2 3 13 2 3" xfId="26214"/>
    <cellStyle name="Vírgula 2 3 13 2 3 2" xfId="52447"/>
    <cellStyle name="Vírgula 2 3 13 2 4" xfId="20300"/>
    <cellStyle name="Vírgula 2 3 13 2 4 2" xfId="46539"/>
    <cellStyle name="Vírgula 2 3 13 2 5" xfId="14334"/>
    <cellStyle name="Vírgula 2 3 13 2 5 2" xfId="40576"/>
    <cellStyle name="Vírgula 2 3 13 2 6" xfId="34190"/>
    <cellStyle name="Vírgula 2 3 13 3" xfId="9489"/>
    <cellStyle name="Vírgula 2 3 13 3 2" xfId="27703"/>
    <cellStyle name="Vírgula 2 3 13 3 2 2" xfId="53933"/>
    <cellStyle name="Vírgula 2 3 13 3 3" xfId="21789"/>
    <cellStyle name="Vírgula 2 3 13 3 3 2" xfId="48025"/>
    <cellStyle name="Vírgula 2 3 13 3 4" xfId="15875"/>
    <cellStyle name="Vírgula 2 3 13 3 4 2" xfId="42117"/>
    <cellStyle name="Vírgula 2 3 13 3 5" xfId="35731"/>
    <cellStyle name="Vírgula 2 3 13 4" xfId="6244"/>
    <cellStyle name="Vírgula 2 3 13 4 2" xfId="24746"/>
    <cellStyle name="Vírgula 2 3 13 4 2 2" xfId="50979"/>
    <cellStyle name="Vírgula 2 3 13 4 3" xfId="32489"/>
    <cellStyle name="Vírgula 2 3 13 5" xfId="18832"/>
    <cellStyle name="Vírgula 2 3 13 5 2" xfId="45071"/>
    <cellStyle name="Vírgula 2 3 13 6" xfId="12633"/>
    <cellStyle name="Vírgula 2 3 13 6 2" xfId="38875"/>
    <cellStyle name="Vírgula 2 3 13 7" xfId="30792"/>
    <cellStyle name="Vírgula 2 3 14" xfId="4838"/>
    <cellStyle name="Vírgula 2 3 14 2" xfId="6539"/>
    <cellStyle name="Vírgula 2 3 14 2 2" xfId="9689"/>
    <cellStyle name="Vírgula 2 3 14 2 2 2" xfId="27903"/>
    <cellStyle name="Vírgula 2 3 14 2 2 2 2" xfId="54133"/>
    <cellStyle name="Vírgula 2 3 14 2 2 3" xfId="21989"/>
    <cellStyle name="Vírgula 2 3 14 2 2 3 2" xfId="48225"/>
    <cellStyle name="Vírgula 2 3 14 2 2 4" xfId="16075"/>
    <cellStyle name="Vírgula 2 3 14 2 2 4 2" xfId="42317"/>
    <cellStyle name="Vírgula 2 3 14 2 2 5" xfId="35931"/>
    <cellStyle name="Vírgula 2 3 14 2 3" xfId="24946"/>
    <cellStyle name="Vírgula 2 3 14 2 3 2" xfId="51179"/>
    <cellStyle name="Vírgula 2 3 14 2 4" xfId="19032"/>
    <cellStyle name="Vírgula 2 3 14 2 4 2" xfId="45271"/>
    <cellStyle name="Vírgula 2 3 14 2 5" xfId="12928"/>
    <cellStyle name="Vírgula 2 3 14 2 5 2" xfId="39170"/>
    <cellStyle name="Vírgula 2 3 14 2 6" xfId="32784"/>
    <cellStyle name="Vírgula 2 3 14 3" xfId="8218"/>
    <cellStyle name="Vírgula 2 3 14 3 2" xfId="26432"/>
    <cellStyle name="Vírgula 2 3 14 3 2 2" xfId="52665"/>
    <cellStyle name="Vírgula 2 3 14 3 3" xfId="20518"/>
    <cellStyle name="Vírgula 2 3 14 3 3 2" xfId="46757"/>
    <cellStyle name="Vírgula 2 3 14 3 4" xfId="14607"/>
    <cellStyle name="Vírgula 2 3 14 3 4 2" xfId="40849"/>
    <cellStyle name="Vírgula 2 3 14 3 5" xfId="34463"/>
    <cellStyle name="Vírgula 2 3 14 4" xfId="23475"/>
    <cellStyle name="Vírgula 2 3 14 4 2" xfId="49711"/>
    <cellStyle name="Vírgula 2 3 14 5" xfId="17561"/>
    <cellStyle name="Vírgula 2 3 14 5 2" xfId="43803"/>
    <cellStyle name="Vírgula 2 3 14 6" xfId="11227"/>
    <cellStyle name="Vírgula 2 3 14 6 2" xfId="37469"/>
    <cellStyle name="Vírgula 2 3 14 7" xfId="31085"/>
    <cellStyle name="Vírgula 2 3 15" xfId="6353"/>
    <cellStyle name="Vírgula 2 3 15 2" xfId="9551"/>
    <cellStyle name="Vírgula 2 3 15 2 2" xfId="27765"/>
    <cellStyle name="Vírgula 2 3 15 2 2 2" xfId="53995"/>
    <cellStyle name="Vírgula 2 3 15 2 3" xfId="21851"/>
    <cellStyle name="Vírgula 2 3 15 2 3 2" xfId="48087"/>
    <cellStyle name="Vírgula 2 3 15 2 4" xfId="15937"/>
    <cellStyle name="Vírgula 2 3 15 2 4 2" xfId="42179"/>
    <cellStyle name="Vírgula 2 3 15 2 5" xfId="35793"/>
    <cellStyle name="Vírgula 2 3 15 3" xfId="24808"/>
    <cellStyle name="Vírgula 2 3 15 3 2" xfId="51041"/>
    <cellStyle name="Vírgula 2 3 15 4" xfId="18894"/>
    <cellStyle name="Vírgula 2 3 15 4 2" xfId="45133"/>
    <cellStyle name="Vírgula 2 3 15 5" xfId="12742"/>
    <cellStyle name="Vírgula 2 3 15 5 2" xfId="38984"/>
    <cellStyle name="Vírgula 2 3 15 6" xfId="32598"/>
    <cellStyle name="Vírgula 2 3 16" xfId="8080"/>
    <cellStyle name="Vírgula 2 3 16 2" xfId="26294"/>
    <cellStyle name="Vírgula 2 3 16 2 2" xfId="52527"/>
    <cellStyle name="Vírgula 2 3 16 3" xfId="20380"/>
    <cellStyle name="Vírgula 2 3 16 3 2" xfId="46619"/>
    <cellStyle name="Vírgula 2 3 16 4" xfId="14469"/>
    <cellStyle name="Vírgula 2 3 16 4 2" xfId="40711"/>
    <cellStyle name="Vírgula 2 3 16 5" xfId="34325"/>
    <cellStyle name="Vírgula 2 3 17" xfId="4651"/>
    <cellStyle name="Vírgula 2 3 17 2" xfId="23337"/>
    <cellStyle name="Vírgula 2 3 17 2 2" xfId="49573"/>
    <cellStyle name="Vírgula 2 3 17 3" xfId="30900"/>
    <cellStyle name="Vírgula 2 3 18" xfId="17423"/>
    <cellStyle name="Vírgula 2 3 18 2" xfId="43665"/>
    <cellStyle name="Vírgula 2 3 19" xfId="11042"/>
    <cellStyle name="Vírgula 2 3 19 2" xfId="37284"/>
    <cellStyle name="Vírgula 2 3 2" xfId="41"/>
    <cellStyle name="Vírgula 2 3 2 2" xfId="6634"/>
    <cellStyle name="Vírgula 2 3 2 2 2" xfId="9781"/>
    <cellStyle name="Vírgula 2 3 2 2 2 2" xfId="27995"/>
    <cellStyle name="Vírgula 2 3 2 2 2 2 2" xfId="54225"/>
    <cellStyle name="Vírgula 2 3 2 2 2 3" xfId="22081"/>
    <cellStyle name="Vírgula 2 3 2 2 2 3 2" xfId="48317"/>
    <cellStyle name="Vírgula 2 3 2 2 2 4" xfId="16167"/>
    <cellStyle name="Vírgula 2 3 2 2 2 4 2" xfId="42409"/>
    <cellStyle name="Vírgula 2 3 2 2 2 5" xfId="36023"/>
    <cellStyle name="Vírgula 2 3 2 2 3" xfId="25038"/>
    <cellStyle name="Vírgula 2 3 2 2 3 2" xfId="51271"/>
    <cellStyle name="Vírgula 2 3 2 2 4" xfId="19124"/>
    <cellStyle name="Vírgula 2 3 2 2 4 2" xfId="45363"/>
    <cellStyle name="Vírgula 2 3 2 2 5" xfId="13023"/>
    <cellStyle name="Vírgula 2 3 2 2 5 2" xfId="39265"/>
    <cellStyle name="Vírgula 2 3 2 2 6" xfId="32879"/>
    <cellStyle name="Vírgula 2 3 2 3" xfId="8313"/>
    <cellStyle name="Vírgula 2 3 2 3 2" xfId="26527"/>
    <cellStyle name="Vírgula 2 3 2 3 2 2" xfId="52757"/>
    <cellStyle name="Vírgula 2 3 2 3 3" xfId="20613"/>
    <cellStyle name="Vírgula 2 3 2 3 3 2" xfId="46849"/>
    <cellStyle name="Vírgula 2 3 2 3 4" xfId="14699"/>
    <cellStyle name="Vírgula 2 3 2 3 4 2" xfId="40941"/>
    <cellStyle name="Vírgula 2 3 2 3 5" xfId="34555"/>
    <cellStyle name="Vírgula 2 3 2 4" xfId="4935"/>
    <cellStyle name="Vírgula 2 3 2 4 2" xfId="23570"/>
    <cellStyle name="Vírgula 2 3 2 4 2 2" xfId="49803"/>
    <cellStyle name="Vírgula 2 3 2 4 3" xfId="31180"/>
    <cellStyle name="Vírgula 2 3 2 5" xfId="17656"/>
    <cellStyle name="Vírgula 2 3 2 5 2" xfId="43895"/>
    <cellStyle name="Vírgula 2 3 2 6" xfId="11322"/>
    <cellStyle name="Vírgula 2 3 2 6 2" xfId="37564"/>
    <cellStyle name="Vírgula 2 3 2 7" xfId="699"/>
    <cellStyle name="Vírgula 2 3 2 7 2" xfId="29482"/>
    <cellStyle name="Vírgula 2 3 2 8" xfId="29287"/>
    <cellStyle name="Vírgula 2 3 20" xfId="344"/>
    <cellStyle name="Vírgula 2 3 20 2" xfId="29387"/>
    <cellStyle name="Vírgula 2 3 21" xfId="29266"/>
    <cellStyle name="Vírgula 2 3 3" xfId="903"/>
    <cellStyle name="Vírgula 2 3 3 2" xfId="6711"/>
    <cellStyle name="Vírgula 2 3 3 2 2" xfId="9858"/>
    <cellStyle name="Vírgula 2 3 3 2 2 2" xfId="28072"/>
    <cellStyle name="Vírgula 2 3 3 2 2 2 2" xfId="54302"/>
    <cellStyle name="Vírgula 2 3 3 2 2 3" xfId="22158"/>
    <cellStyle name="Vírgula 2 3 3 2 2 3 2" xfId="48394"/>
    <cellStyle name="Vírgula 2 3 3 2 2 4" xfId="16244"/>
    <cellStyle name="Vírgula 2 3 3 2 2 4 2" xfId="42486"/>
    <cellStyle name="Vírgula 2 3 3 2 2 5" xfId="36100"/>
    <cellStyle name="Vírgula 2 3 3 2 3" xfId="25115"/>
    <cellStyle name="Vírgula 2 3 3 2 3 2" xfId="51348"/>
    <cellStyle name="Vírgula 2 3 3 2 4" xfId="19201"/>
    <cellStyle name="Vírgula 2 3 3 2 4 2" xfId="45440"/>
    <cellStyle name="Vírgula 2 3 3 2 5" xfId="13100"/>
    <cellStyle name="Vírgula 2 3 3 2 5 2" xfId="39342"/>
    <cellStyle name="Vírgula 2 3 3 2 6" xfId="32956"/>
    <cellStyle name="Vírgula 2 3 3 3" xfId="8390"/>
    <cellStyle name="Vírgula 2 3 3 3 2" xfId="26604"/>
    <cellStyle name="Vírgula 2 3 3 3 2 2" xfId="52834"/>
    <cellStyle name="Vírgula 2 3 3 3 3" xfId="20690"/>
    <cellStyle name="Vírgula 2 3 3 3 3 2" xfId="46926"/>
    <cellStyle name="Vírgula 2 3 3 3 4" xfId="14776"/>
    <cellStyle name="Vírgula 2 3 3 3 4 2" xfId="41018"/>
    <cellStyle name="Vírgula 2 3 3 3 5" xfId="34632"/>
    <cellStyle name="Vírgula 2 3 3 4" xfId="5012"/>
    <cellStyle name="Vírgula 2 3 3 4 2" xfId="23647"/>
    <cellStyle name="Vírgula 2 3 3 4 2 2" xfId="49880"/>
    <cellStyle name="Vírgula 2 3 3 4 3" xfId="31257"/>
    <cellStyle name="Vírgula 2 3 3 5" xfId="17733"/>
    <cellStyle name="Vírgula 2 3 3 5 2" xfId="43972"/>
    <cellStyle name="Vírgula 2 3 3 6" xfId="11399"/>
    <cellStyle name="Vírgula 2 3 3 6 2" xfId="37641"/>
    <cellStyle name="Vírgula 2 3 3 7" xfId="29559"/>
    <cellStyle name="Vírgula 2 3 4" xfId="1254"/>
    <cellStyle name="Vírgula 2 3 4 2" xfId="6809"/>
    <cellStyle name="Vírgula 2 3 4 2 2" xfId="9956"/>
    <cellStyle name="Vírgula 2 3 4 2 2 2" xfId="28170"/>
    <cellStyle name="Vírgula 2 3 4 2 2 2 2" xfId="54400"/>
    <cellStyle name="Vírgula 2 3 4 2 2 3" xfId="22256"/>
    <cellStyle name="Vírgula 2 3 4 2 2 3 2" xfId="48492"/>
    <cellStyle name="Vírgula 2 3 4 2 2 4" xfId="16342"/>
    <cellStyle name="Vírgula 2 3 4 2 2 4 2" xfId="42584"/>
    <cellStyle name="Vírgula 2 3 4 2 2 5" xfId="36198"/>
    <cellStyle name="Vírgula 2 3 4 2 3" xfId="25213"/>
    <cellStyle name="Vírgula 2 3 4 2 3 2" xfId="51446"/>
    <cellStyle name="Vírgula 2 3 4 2 4" xfId="19299"/>
    <cellStyle name="Vírgula 2 3 4 2 4 2" xfId="45538"/>
    <cellStyle name="Vírgula 2 3 4 2 5" xfId="13198"/>
    <cellStyle name="Vírgula 2 3 4 2 5 2" xfId="39440"/>
    <cellStyle name="Vírgula 2 3 4 2 6" xfId="33054"/>
    <cellStyle name="Vírgula 2 3 4 3" xfId="8488"/>
    <cellStyle name="Vírgula 2 3 4 3 2" xfId="26702"/>
    <cellStyle name="Vírgula 2 3 4 3 2 2" xfId="52932"/>
    <cellStyle name="Vírgula 2 3 4 3 3" xfId="20788"/>
    <cellStyle name="Vírgula 2 3 4 3 3 2" xfId="47024"/>
    <cellStyle name="Vírgula 2 3 4 3 4" xfId="14874"/>
    <cellStyle name="Vírgula 2 3 4 3 4 2" xfId="41116"/>
    <cellStyle name="Vírgula 2 3 4 3 5" xfId="34730"/>
    <cellStyle name="Vírgula 2 3 4 4" xfId="5110"/>
    <cellStyle name="Vírgula 2 3 4 4 2" xfId="23745"/>
    <cellStyle name="Vírgula 2 3 4 4 2 2" xfId="49978"/>
    <cellStyle name="Vírgula 2 3 4 4 3" xfId="31355"/>
    <cellStyle name="Vírgula 2 3 4 5" xfId="17831"/>
    <cellStyle name="Vírgula 2 3 4 5 2" xfId="44070"/>
    <cellStyle name="Vírgula 2 3 4 6" xfId="11497"/>
    <cellStyle name="Vírgula 2 3 4 6 2" xfId="37739"/>
    <cellStyle name="Vírgula 2 3 4 7" xfId="29657"/>
    <cellStyle name="Vírgula 2 3 5" xfId="1689"/>
    <cellStyle name="Vírgula 2 3 5 2" xfId="6928"/>
    <cellStyle name="Vírgula 2 3 5 2 2" xfId="10075"/>
    <cellStyle name="Vírgula 2 3 5 2 2 2" xfId="28289"/>
    <cellStyle name="Vírgula 2 3 5 2 2 2 2" xfId="54519"/>
    <cellStyle name="Vírgula 2 3 5 2 2 3" xfId="22375"/>
    <cellStyle name="Vírgula 2 3 5 2 2 3 2" xfId="48611"/>
    <cellStyle name="Vírgula 2 3 5 2 2 4" xfId="16461"/>
    <cellStyle name="Vírgula 2 3 5 2 2 4 2" xfId="42703"/>
    <cellStyle name="Vírgula 2 3 5 2 2 5" xfId="36317"/>
    <cellStyle name="Vírgula 2 3 5 2 3" xfId="25332"/>
    <cellStyle name="Vírgula 2 3 5 2 3 2" xfId="51565"/>
    <cellStyle name="Vírgula 2 3 5 2 4" xfId="19418"/>
    <cellStyle name="Vírgula 2 3 5 2 4 2" xfId="45657"/>
    <cellStyle name="Vírgula 2 3 5 2 5" xfId="13317"/>
    <cellStyle name="Vírgula 2 3 5 2 5 2" xfId="39559"/>
    <cellStyle name="Vírgula 2 3 5 2 6" xfId="33173"/>
    <cellStyle name="Vírgula 2 3 5 3" xfId="8607"/>
    <cellStyle name="Vírgula 2 3 5 3 2" xfId="26821"/>
    <cellStyle name="Vírgula 2 3 5 3 2 2" xfId="53051"/>
    <cellStyle name="Vírgula 2 3 5 3 3" xfId="20907"/>
    <cellStyle name="Vírgula 2 3 5 3 3 2" xfId="47143"/>
    <cellStyle name="Vírgula 2 3 5 3 4" xfId="14993"/>
    <cellStyle name="Vírgula 2 3 5 3 4 2" xfId="41235"/>
    <cellStyle name="Vírgula 2 3 5 3 5" xfId="34849"/>
    <cellStyle name="Vírgula 2 3 5 4" xfId="5229"/>
    <cellStyle name="Vírgula 2 3 5 4 2" xfId="23864"/>
    <cellStyle name="Vírgula 2 3 5 4 2 2" xfId="50097"/>
    <cellStyle name="Vírgula 2 3 5 4 3" xfId="31474"/>
    <cellStyle name="Vírgula 2 3 5 5" xfId="17950"/>
    <cellStyle name="Vírgula 2 3 5 5 2" xfId="44189"/>
    <cellStyle name="Vírgula 2 3 5 6" xfId="11616"/>
    <cellStyle name="Vírgula 2 3 5 6 2" xfId="37858"/>
    <cellStyle name="Vírgula 2 3 5 7" xfId="29776"/>
    <cellStyle name="Vírgula 2 3 6" xfId="2219"/>
    <cellStyle name="Vírgula 2 3 6 2" xfId="7078"/>
    <cellStyle name="Vírgula 2 3 6 2 2" xfId="10222"/>
    <cellStyle name="Vírgula 2 3 6 2 2 2" xfId="28436"/>
    <cellStyle name="Vírgula 2 3 6 2 2 2 2" xfId="54666"/>
    <cellStyle name="Vírgula 2 3 6 2 2 3" xfId="22522"/>
    <cellStyle name="Vírgula 2 3 6 2 2 3 2" xfId="48758"/>
    <cellStyle name="Vírgula 2 3 6 2 2 4" xfId="16608"/>
    <cellStyle name="Vírgula 2 3 6 2 2 4 2" xfId="42850"/>
    <cellStyle name="Vírgula 2 3 6 2 2 5" xfId="36464"/>
    <cellStyle name="Vírgula 2 3 6 2 3" xfId="25479"/>
    <cellStyle name="Vírgula 2 3 6 2 3 2" xfId="51712"/>
    <cellStyle name="Vírgula 2 3 6 2 4" xfId="19565"/>
    <cellStyle name="Vírgula 2 3 6 2 4 2" xfId="45804"/>
    <cellStyle name="Vírgula 2 3 6 2 5" xfId="13467"/>
    <cellStyle name="Vírgula 2 3 6 2 5 2" xfId="39709"/>
    <cellStyle name="Vírgula 2 3 6 2 6" xfId="33323"/>
    <cellStyle name="Vírgula 2 3 6 3" xfId="8754"/>
    <cellStyle name="Vírgula 2 3 6 3 2" xfId="26968"/>
    <cellStyle name="Vírgula 2 3 6 3 2 2" xfId="53198"/>
    <cellStyle name="Vírgula 2 3 6 3 3" xfId="21054"/>
    <cellStyle name="Vírgula 2 3 6 3 3 2" xfId="47290"/>
    <cellStyle name="Vírgula 2 3 6 3 4" xfId="15140"/>
    <cellStyle name="Vírgula 2 3 6 3 4 2" xfId="41382"/>
    <cellStyle name="Vírgula 2 3 6 3 5" xfId="34996"/>
    <cellStyle name="Vírgula 2 3 6 4" xfId="5379"/>
    <cellStyle name="Vírgula 2 3 6 4 2" xfId="24011"/>
    <cellStyle name="Vírgula 2 3 6 4 2 2" xfId="50244"/>
    <cellStyle name="Vírgula 2 3 6 4 3" xfId="31624"/>
    <cellStyle name="Vírgula 2 3 6 5" xfId="18097"/>
    <cellStyle name="Vírgula 2 3 6 5 2" xfId="44336"/>
    <cellStyle name="Vírgula 2 3 6 6" xfId="11766"/>
    <cellStyle name="Vírgula 2 3 6 6 2" xfId="38008"/>
    <cellStyle name="Vírgula 2 3 6 7" xfId="29926"/>
    <cellStyle name="Vírgula 2 3 7" xfId="2746"/>
    <cellStyle name="Vírgula 2 3 7 2" xfId="7225"/>
    <cellStyle name="Vírgula 2 3 7 2 2" xfId="10369"/>
    <cellStyle name="Vírgula 2 3 7 2 2 2" xfId="28583"/>
    <cellStyle name="Vírgula 2 3 7 2 2 2 2" xfId="54813"/>
    <cellStyle name="Vírgula 2 3 7 2 2 3" xfId="22669"/>
    <cellStyle name="Vírgula 2 3 7 2 2 3 2" xfId="48905"/>
    <cellStyle name="Vírgula 2 3 7 2 2 4" xfId="16755"/>
    <cellStyle name="Vírgula 2 3 7 2 2 4 2" xfId="42997"/>
    <cellStyle name="Vírgula 2 3 7 2 2 5" xfId="36611"/>
    <cellStyle name="Vírgula 2 3 7 2 3" xfId="25626"/>
    <cellStyle name="Vírgula 2 3 7 2 3 2" xfId="51859"/>
    <cellStyle name="Vírgula 2 3 7 2 4" xfId="19712"/>
    <cellStyle name="Vírgula 2 3 7 2 4 2" xfId="45951"/>
    <cellStyle name="Vírgula 2 3 7 2 5" xfId="13614"/>
    <cellStyle name="Vírgula 2 3 7 2 5 2" xfId="39856"/>
    <cellStyle name="Vírgula 2 3 7 2 6" xfId="33470"/>
    <cellStyle name="Vírgula 2 3 7 3" xfId="8901"/>
    <cellStyle name="Vírgula 2 3 7 3 2" xfId="27115"/>
    <cellStyle name="Vírgula 2 3 7 3 2 2" xfId="53345"/>
    <cellStyle name="Vírgula 2 3 7 3 3" xfId="21201"/>
    <cellStyle name="Vírgula 2 3 7 3 3 2" xfId="47437"/>
    <cellStyle name="Vírgula 2 3 7 3 4" xfId="15287"/>
    <cellStyle name="Vírgula 2 3 7 3 4 2" xfId="41529"/>
    <cellStyle name="Vírgula 2 3 7 3 5" xfId="35143"/>
    <cellStyle name="Vírgula 2 3 7 4" xfId="5526"/>
    <cellStyle name="Vírgula 2 3 7 4 2" xfId="24158"/>
    <cellStyle name="Vírgula 2 3 7 4 2 2" xfId="50391"/>
    <cellStyle name="Vírgula 2 3 7 4 3" xfId="31771"/>
    <cellStyle name="Vírgula 2 3 7 5" xfId="18244"/>
    <cellStyle name="Vírgula 2 3 7 5 2" xfId="44483"/>
    <cellStyle name="Vírgula 2 3 7 6" xfId="11913"/>
    <cellStyle name="Vírgula 2 3 7 6 2" xfId="38155"/>
    <cellStyle name="Vírgula 2 3 7 7" xfId="30073"/>
    <cellStyle name="Vírgula 2 3 8" xfId="3273"/>
    <cellStyle name="Vírgula 2 3 8 2" xfId="7372"/>
    <cellStyle name="Vírgula 2 3 8 2 2" xfId="10516"/>
    <cellStyle name="Vírgula 2 3 8 2 2 2" xfId="28730"/>
    <cellStyle name="Vírgula 2 3 8 2 2 2 2" xfId="54960"/>
    <cellStyle name="Vírgula 2 3 8 2 2 3" xfId="22816"/>
    <cellStyle name="Vírgula 2 3 8 2 2 3 2" xfId="49052"/>
    <cellStyle name="Vírgula 2 3 8 2 2 4" xfId="16902"/>
    <cellStyle name="Vírgula 2 3 8 2 2 4 2" xfId="43144"/>
    <cellStyle name="Vírgula 2 3 8 2 2 5" xfId="36758"/>
    <cellStyle name="Vírgula 2 3 8 2 3" xfId="25773"/>
    <cellStyle name="Vírgula 2 3 8 2 3 2" xfId="52006"/>
    <cellStyle name="Vírgula 2 3 8 2 4" xfId="19859"/>
    <cellStyle name="Vírgula 2 3 8 2 4 2" xfId="46098"/>
    <cellStyle name="Vírgula 2 3 8 2 5" xfId="13761"/>
    <cellStyle name="Vírgula 2 3 8 2 5 2" xfId="40003"/>
    <cellStyle name="Vírgula 2 3 8 2 6" xfId="33617"/>
    <cellStyle name="Vírgula 2 3 8 3" xfId="9048"/>
    <cellStyle name="Vírgula 2 3 8 3 2" xfId="27262"/>
    <cellStyle name="Vírgula 2 3 8 3 2 2" xfId="53492"/>
    <cellStyle name="Vírgula 2 3 8 3 3" xfId="21348"/>
    <cellStyle name="Vírgula 2 3 8 3 3 2" xfId="47584"/>
    <cellStyle name="Vírgula 2 3 8 3 4" xfId="15434"/>
    <cellStyle name="Vírgula 2 3 8 3 4 2" xfId="41676"/>
    <cellStyle name="Vírgula 2 3 8 3 5" xfId="35290"/>
    <cellStyle name="Vírgula 2 3 8 4" xfId="5673"/>
    <cellStyle name="Vírgula 2 3 8 4 2" xfId="24305"/>
    <cellStyle name="Vírgula 2 3 8 4 2 2" xfId="50538"/>
    <cellStyle name="Vírgula 2 3 8 4 3" xfId="31918"/>
    <cellStyle name="Vírgula 2 3 8 5" xfId="18391"/>
    <cellStyle name="Vírgula 2 3 8 5 2" xfId="44630"/>
    <cellStyle name="Vírgula 2 3 8 6" xfId="12060"/>
    <cellStyle name="Vírgula 2 3 8 6 2" xfId="38302"/>
    <cellStyle name="Vírgula 2 3 8 7" xfId="30220"/>
    <cellStyle name="Vírgula 2 3 9" xfId="3800"/>
    <cellStyle name="Vírgula 2 3 9 2" xfId="7519"/>
    <cellStyle name="Vírgula 2 3 9 2 2" xfId="10663"/>
    <cellStyle name="Vírgula 2 3 9 2 2 2" xfId="28877"/>
    <cellStyle name="Vírgula 2 3 9 2 2 2 2" xfId="55107"/>
    <cellStyle name="Vírgula 2 3 9 2 2 3" xfId="22963"/>
    <cellStyle name="Vírgula 2 3 9 2 2 3 2" xfId="49199"/>
    <cellStyle name="Vírgula 2 3 9 2 2 4" xfId="17049"/>
    <cellStyle name="Vírgula 2 3 9 2 2 4 2" xfId="43291"/>
    <cellStyle name="Vírgula 2 3 9 2 2 5" xfId="36905"/>
    <cellStyle name="Vírgula 2 3 9 2 3" xfId="25920"/>
    <cellStyle name="Vírgula 2 3 9 2 3 2" xfId="52153"/>
    <cellStyle name="Vírgula 2 3 9 2 4" xfId="20006"/>
    <cellStyle name="Vírgula 2 3 9 2 4 2" xfId="46245"/>
    <cellStyle name="Vírgula 2 3 9 2 5" xfId="13908"/>
    <cellStyle name="Vírgula 2 3 9 2 5 2" xfId="40150"/>
    <cellStyle name="Vírgula 2 3 9 2 6" xfId="33764"/>
    <cellStyle name="Vírgula 2 3 9 3" xfId="9195"/>
    <cellStyle name="Vírgula 2 3 9 3 2" xfId="27409"/>
    <cellStyle name="Vírgula 2 3 9 3 2 2" xfId="53639"/>
    <cellStyle name="Vírgula 2 3 9 3 3" xfId="21495"/>
    <cellStyle name="Vírgula 2 3 9 3 3 2" xfId="47731"/>
    <cellStyle name="Vírgula 2 3 9 3 4" xfId="15581"/>
    <cellStyle name="Vírgula 2 3 9 3 4 2" xfId="41823"/>
    <cellStyle name="Vírgula 2 3 9 3 5" xfId="35437"/>
    <cellStyle name="Vírgula 2 3 9 4" xfId="5820"/>
    <cellStyle name="Vírgula 2 3 9 4 2" xfId="24452"/>
    <cellStyle name="Vírgula 2 3 9 4 2 2" xfId="50685"/>
    <cellStyle name="Vírgula 2 3 9 4 3" xfId="32065"/>
    <cellStyle name="Vírgula 2 3 9 5" xfId="18538"/>
    <cellStyle name="Vírgula 2 3 9 5 2" xfId="44777"/>
    <cellStyle name="Vírgula 2 3 9 6" xfId="12207"/>
    <cellStyle name="Vírgula 2 3 9 6 2" xfId="38449"/>
    <cellStyle name="Vírgula 2 3 9 7" xfId="30367"/>
    <cellStyle name="Vírgula 2 4" xfId="27"/>
    <cellStyle name="Vírgula 2 4 10" xfId="11072"/>
    <cellStyle name="Vírgula 2 4 10 2" xfId="37314"/>
    <cellStyle name="Vírgula 2 4 11" xfId="4281"/>
    <cellStyle name="Vírgula 2 4 11 2" xfId="30530"/>
    <cellStyle name="Vírgula 2 4 12" xfId="29273"/>
    <cellStyle name="Vírgula 2 4 2" xfId="49"/>
    <cellStyle name="Vírgula 2 4 2 2" xfId="7759"/>
    <cellStyle name="Vírgula 2 4 2 2 2" xfId="10851"/>
    <cellStyle name="Vírgula 2 4 2 2 2 2" xfId="29065"/>
    <cellStyle name="Vírgula 2 4 2 2 2 2 2" xfId="55295"/>
    <cellStyle name="Vírgula 2 4 2 2 2 3" xfId="23151"/>
    <cellStyle name="Vírgula 2 4 2 2 2 3 2" xfId="49387"/>
    <cellStyle name="Vírgula 2 4 2 2 2 4" xfId="17237"/>
    <cellStyle name="Vírgula 2 4 2 2 2 4 2" xfId="43479"/>
    <cellStyle name="Vírgula 2 4 2 2 2 5" xfId="37093"/>
    <cellStyle name="Vírgula 2 4 2 2 3" xfId="26108"/>
    <cellStyle name="Vírgula 2 4 2 2 3 2" xfId="52341"/>
    <cellStyle name="Vírgula 2 4 2 2 4" xfId="20194"/>
    <cellStyle name="Vírgula 2 4 2 2 4 2" xfId="46433"/>
    <cellStyle name="Vírgula 2 4 2 2 5" xfId="14148"/>
    <cellStyle name="Vírgula 2 4 2 2 5 2" xfId="40390"/>
    <cellStyle name="Vírgula 2 4 2 2 6" xfId="34004"/>
    <cellStyle name="Vírgula 2 4 2 3" xfId="9383"/>
    <cellStyle name="Vírgula 2 4 2 3 2" xfId="27597"/>
    <cellStyle name="Vírgula 2 4 2 3 2 2" xfId="53827"/>
    <cellStyle name="Vírgula 2 4 2 3 3" xfId="21683"/>
    <cellStyle name="Vírgula 2 4 2 3 3 2" xfId="47919"/>
    <cellStyle name="Vírgula 2 4 2 3 4" xfId="15769"/>
    <cellStyle name="Vírgula 2 4 2 3 4 2" xfId="42011"/>
    <cellStyle name="Vírgula 2 4 2 3 5" xfId="35625"/>
    <cellStyle name="Vírgula 2 4 2 4" xfId="6059"/>
    <cellStyle name="Vírgula 2 4 2 4 2" xfId="24640"/>
    <cellStyle name="Vírgula 2 4 2 4 2 2" xfId="50873"/>
    <cellStyle name="Vírgula 2 4 2 4 3" xfId="32304"/>
    <cellStyle name="Vírgula 2 4 2 5" xfId="18726"/>
    <cellStyle name="Vírgula 2 4 2 5 2" xfId="44965"/>
    <cellStyle name="Vírgula 2 4 2 6" xfId="12447"/>
    <cellStyle name="Vírgula 2 4 2 6 2" xfId="38689"/>
    <cellStyle name="Vírgula 2 4 2 7" xfId="4358"/>
    <cellStyle name="Vírgula 2 4 2 7 2" xfId="30607"/>
    <cellStyle name="Vírgula 2 4 2 8" xfId="29295"/>
    <cellStyle name="Vírgula 2 4 3" xfId="4466"/>
    <cellStyle name="Vírgula 2 4 3 2" xfId="7868"/>
    <cellStyle name="Vírgula 2 4 3 2 2" xfId="10913"/>
    <cellStyle name="Vírgula 2 4 3 2 2 2" xfId="29127"/>
    <cellStyle name="Vírgula 2 4 3 2 2 2 2" xfId="55357"/>
    <cellStyle name="Vírgula 2 4 3 2 2 3" xfId="23213"/>
    <cellStyle name="Vírgula 2 4 3 2 2 3 2" xfId="49449"/>
    <cellStyle name="Vírgula 2 4 3 2 2 4" xfId="17299"/>
    <cellStyle name="Vírgula 2 4 3 2 2 4 2" xfId="43541"/>
    <cellStyle name="Vírgula 2 4 3 2 2 5" xfId="37155"/>
    <cellStyle name="Vírgula 2 4 3 2 3" xfId="26170"/>
    <cellStyle name="Vírgula 2 4 3 2 3 2" xfId="52403"/>
    <cellStyle name="Vírgula 2 4 3 2 4" xfId="20256"/>
    <cellStyle name="Vírgula 2 4 3 2 4 2" xfId="46495"/>
    <cellStyle name="Vírgula 2 4 3 2 5" xfId="14257"/>
    <cellStyle name="Vírgula 2 4 3 2 5 2" xfId="40499"/>
    <cellStyle name="Vírgula 2 4 3 2 6" xfId="34113"/>
    <cellStyle name="Vírgula 2 4 3 3" xfId="9445"/>
    <cellStyle name="Vírgula 2 4 3 3 2" xfId="27659"/>
    <cellStyle name="Vírgula 2 4 3 3 2 2" xfId="53889"/>
    <cellStyle name="Vírgula 2 4 3 3 3" xfId="21745"/>
    <cellStyle name="Vírgula 2 4 3 3 3 2" xfId="47981"/>
    <cellStyle name="Vírgula 2 4 3 3 4" xfId="15831"/>
    <cellStyle name="Vírgula 2 4 3 3 4 2" xfId="42073"/>
    <cellStyle name="Vírgula 2 4 3 3 5" xfId="35687"/>
    <cellStyle name="Vírgula 2 4 3 4" xfId="6168"/>
    <cellStyle name="Vírgula 2 4 3 4 2" xfId="24702"/>
    <cellStyle name="Vírgula 2 4 3 4 2 2" xfId="50935"/>
    <cellStyle name="Vírgula 2 4 3 4 3" xfId="32413"/>
    <cellStyle name="Vírgula 2 4 3 5" xfId="18788"/>
    <cellStyle name="Vírgula 2 4 3 5 2" xfId="45027"/>
    <cellStyle name="Vírgula 2 4 3 6" xfId="12556"/>
    <cellStyle name="Vírgula 2 4 3 6 2" xfId="38798"/>
    <cellStyle name="Vírgula 2 4 3 7" xfId="30715"/>
    <cellStyle name="Vírgula 2 4 4" xfId="4574"/>
    <cellStyle name="Vírgula 2 4 4 2" xfId="7976"/>
    <cellStyle name="Vírgula 2 4 4 2 2" xfId="10975"/>
    <cellStyle name="Vírgula 2 4 4 2 2 2" xfId="29189"/>
    <cellStyle name="Vírgula 2 4 4 2 2 2 2" xfId="55419"/>
    <cellStyle name="Vírgula 2 4 4 2 2 3" xfId="23275"/>
    <cellStyle name="Vírgula 2 4 4 2 2 3 2" xfId="49511"/>
    <cellStyle name="Vírgula 2 4 4 2 2 4" xfId="17361"/>
    <cellStyle name="Vírgula 2 4 4 2 2 4 2" xfId="43603"/>
    <cellStyle name="Vírgula 2 4 4 2 2 5" xfId="37217"/>
    <cellStyle name="Vírgula 2 4 4 2 3" xfId="26232"/>
    <cellStyle name="Vírgula 2 4 4 2 3 2" xfId="52465"/>
    <cellStyle name="Vírgula 2 4 4 2 4" xfId="20318"/>
    <cellStyle name="Vírgula 2 4 4 2 4 2" xfId="46557"/>
    <cellStyle name="Vírgula 2 4 4 2 5" xfId="14365"/>
    <cellStyle name="Vírgula 2 4 4 2 5 2" xfId="40607"/>
    <cellStyle name="Vírgula 2 4 4 2 6" xfId="34221"/>
    <cellStyle name="Vírgula 2 4 4 3" xfId="9507"/>
    <cellStyle name="Vírgula 2 4 4 3 2" xfId="27721"/>
    <cellStyle name="Vírgula 2 4 4 3 2 2" xfId="53951"/>
    <cellStyle name="Vírgula 2 4 4 3 3" xfId="21807"/>
    <cellStyle name="Vírgula 2 4 4 3 3 2" xfId="48043"/>
    <cellStyle name="Vírgula 2 4 4 3 4" xfId="15893"/>
    <cellStyle name="Vírgula 2 4 4 3 4 2" xfId="42135"/>
    <cellStyle name="Vírgula 2 4 4 3 5" xfId="35749"/>
    <cellStyle name="Vírgula 2 4 4 4" xfId="6275"/>
    <cellStyle name="Vírgula 2 4 4 4 2" xfId="24764"/>
    <cellStyle name="Vírgula 2 4 4 4 2 2" xfId="50997"/>
    <cellStyle name="Vírgula 2 4 4 4 3" xfId="32520"/>
    <cellStyle name="Vírgula 2 4 4 5" xfId="18850"/>
    <cellStyle name="Vírgula 2 4 4 5 2" xfId="45089"/>
    <cellStyle name="Vírgula 2 4 4 6" xfId="12664"/>
    <cellStyle name="Vírgula 2 4 4 6 2" xfId="38906"/>
    <cellStyle name="Vírgula 2 4 4 7" xfId="30823"/>
    <cellStyle name="Vírgula 2 4 5" xfId="5982"/>
    <cellStyle name="Vírgula 2 4 5 2" xfId="7682"/>
    <cellStyle name="Vírgula 2 4 5 2 2" xfId="10808"/>
    <cellStyle name="Vírgula 2 4 5 2 2 2" xfId="29022"/>
    <cellStyle name="Vírgula 2 4 5 2 2 2 2" xfId="55252"/>
    <cellStyle name="Vírgula 2 4 5 2 2 3" xfId="23108"/>
    <cellStyle name="Vírgula 2 4 5 2 2 3 2" xfId="49344"/>
    <cellStyle name="Vírgula 2 4 5 2 2 4" xfId="17194"/>
    <cellStyle name="Vírgula 2 4 5 2 2 4 2" xfId="43436"/>
    <cellStyle name="Vírgula 2 4 5 2 2 5" xfId="37050"/>
    <cellStyle name="Vírgula 2 4 5 2 3" xfId="26065"/>
    <cellStyle name="Vírgula 2 4 5 2 3 2" xfId="52298"/>
    <cellStyle name="Vírgula 2 4 5 2 4" xfId="20151"/>
    <cellStyle name="Vírgula 2 4 5 2 4 2" xfId="46390"/>
    <cellStyle name="Vírgula 2 4 5 2 5" xfId="14071"/>
    <cellStyle name="Vírgula 2 4 5 2 5 2" xfId="40313"/>
    <cellStyle name="Vírgula 2 4 5 2 6" xfId="33927"/>
    <cellStyle name="Vírgula 2 4 5 3" xfId="9340"/>
    <cellStyle name="Vírgula 2 4 5 3 2" xfId="27554"/>
    <cellStyle name="Vírgula 2 4 5 3 2 2" xfId="53784"/>
    <cellStyle name="Vírgula 2 4 5 3 3" xfId="21640"/>
    <cellStyle name="Vírgula 2 4 5 3 3 2" xfId="47876"/>
    <cellStyle name="Vírgula 2 4 5 3 4" xfId="15726"/>
    <cellStyle name="Vírgula 2 4 5 3 4 2" xfId="41968"/>
    <cellStyle name="Vírgula 2 4 5 3 5" xfId="35582"/>
    <cellStyle name="Vírgula 2 4 5 4" xfId="24597"/>
    <cellStyle name="Vírgula 2 4 5 4 2" xfId="50830"/>
    <cellStyle name="Vírgula 2 4 5 5" xfId="18683"/>
    <cellStyle name="Vírgula 2 4 5 5 2" xfId="44922"/>
    <cellStyle name="Vírgula 2 4 5 6" xfId="12370"/>
    <cellStyle name="Vírgula 2 4 5 6 2" xfId="38612"/>
    <cellStyle name="Vírgula 2 4 5 7" xfId="32227"/>
    <cellStyle name="Vírgula 2 4 6" xfId="6384"/>
    <cellStyle name="Vírgula 2 4 6 2" xfId="9569"/>
    <cellStyle name="Vírgula 2 4 6 2 2" xfId="27783"/>
    <cellStyle name="Vírgula 2 4 6 2 2 2" xfId="54013"/>
    <cellStyle name="Vírgula 2 4 6 2 3" xfId="21869"/>
    <cellStyle name="Vírgula 2 4 6 2 3 2" xfId="48105"/>
    <cellStyle name="Vírgula 2 4 6 2 4" xfId="15955"/>
    <cellStyle name="Vírgula 2 4 6 2 4 2" xfId="42197"/>
    <cellStyle name="Vírgula 2 4 6 2 5" xfId="35811"/>
    <cellStyle name="Vírgula 2 4 6 3" xfId="24826"/>
    <cellStyle name="Vírgula 2 4 6 3 2" xfId="51059"/>
    <cellStyle name="Vírgula 2 4 6 4" xfId="18912"/>
    <cellStyle name="Vírgula 2 4 6 4 2" xfId="45151"/>
    <cellStyle name="Vírgula 2 4 6 5" xfId="12773"/>
    <cellStyle name="Vírgula 2 4 6 5 2" xfId="39015"/>
    <cellStyle name="Vírgula 2 4 6 6" xfId="32629"/>
    <cellStyle name="Vírgula 2 4 7" xfId="8098"/>
    <cellStyle name="Vírgula 2 4 7 2" xfId="26312"/>
    <cellStyle name="Vírgula 2 4 7 2 2" xfId="52545"/>
    <cellStyle name="Vírgula 2 4 7 3" xfId="20398"/>
    <cellStyle name="Vírgula 2 4 7 3 2" xfId="46637"/>
    <cellStyle name="Vírgula 2 4 7 4" xfId="14487"/>
    <cellStyle name="Vírgula 2 4 7 4 2" xfId="40729"/>
    <cellStyle name="Vírgula 2 4 7 5" xfId="34343"/>
    <cellStyle name="Vírgula 2 4 8" xfId="4681"/>
    <cellStyle name="Vírgula 2 4 8 2" xfId="23355"/>
    <cellStyle name="Vírgula 2 4 8 2 2" xfId="49591"/>
    <cellStyle name="Vírgula 2 4 8 3" xfId="30930"/>
    <cellStyle name="Vírgula 2 4 9" xfId="17441"/>
    <cellStyle name="Vírgula 2 4 9 2" xfId="43683"/>
    <cellStyle name="Vírgula 2 5" xfId="32"/>
    <cellStyle name="Vírgula 2 5 10" xfId="11036"/>
    <cellStyle name="Vírgula 2 5 10 2" xfId="37278"/>
    <cellStyle name="Vírgula 2 5 11" xfId="4245"/>
    <cellStyle name="Vírgula 2 5 11 2" xfId="30494"/>
    <cellStyle name="Vírgula 2 5 12" xfId="29278"/>
    <cellStyle name="Vírgula 2 5 2" xfId="54"/>
    <cellStyle name="Vírgula 2 5 2 2" xfId="7722"/>
    <cellStyle name="Vírgula 2 5 2 2 2" xfId="10830"/>
    <cellStyle name="Vírgula 2 5 2 2 2 2" xfId="29044"/>
    <cellStyle name="Vírgula 2 5 2 2 2 2 2" xfId="55274"/>
    <cellStyle name="Vírgula 2 5 2 2 2 3" xfId="23130"/>
    <cellStyle name="Vírgula 2 5 2 2 2 3 2" xfId="49366"/>
    <cellStyle name="Vírgula 2 5 2 2 2 4" xfId="17216"/>
    <cellStyle name="Vírgula 2 5 2 2 2 4 2" xfId="43458"/>
    <cellStyle name="Vírgula 2 5 2 2 2 5" xfId="37072"/>
    <cellStyle name="Vírgula 2 5 2 2 3" xfId="26087"/>
    <cellStyle name="Vírgula 2 5 2 2 3 2" xfId="52320"/>
    <cellStyle name="Vírgula 2 5 2 2 4" xfId="20173"/>
    <cellStyle name="Vírgula 2 5 2 2 4 2" xfId="46412"/>
    <cellStyle name="Vírgula 2 5 2 2 5" xfId="14111"/>
    <cellStyle name="Vírgula 2 5 2 2 5 2" xfId="40353"/>
    <cellStyle name="Vírgula 2 5 2 2 6" xfId="33967"/>
    <cellStyle name="Vírgula 2 5 2 3" xfId="9362"/>
    <cellStyle name="Vírgula 2 5 2 3 2" xfId="27576"/>
    <cellStyle name="Vírgula 2 5 2 3 2 2" xfId="53806"/>
    <cellStyle name="Vírgula 2 5 2 3 3" xfId="21662"/>
    <cellStyle name="Vírgula 2 5 2 3 3 2" xfId="47898"/>
    <cellStyle name="Vírgula 2 5 2 3 4" xfId="15748"/>
    <cellStyle name="Vírgula 2 5 2 3 4 2" xfId="41990"/>
    <cellStyle name="Vírgula 2 5 2 3 5" xfId="35604"/>
    <cellStyle name="Vírgula 2 5 2 4" xfId="6022"/>
    <cellStyle name="Vírgula 2 5 2 4 2" xfId="24619"/>
    <cellStyle name="Vírgula 2 5 2 4 2 2" xfId="50852"/>
    <cellStyle name="Vírgula 2 5 2 4 3" xfId="32267"/>
    <cellStyle name="Vírgula 2 5 2 5" xfId="18705"/>
    <cellStyle name="Vírgula 2 5 2 5 2" xfId="44944"/>
    <cellStyle name="Vírgula 2 5 2 6" xfId="12410"/>
    <cellStyle name="Vírgula 2 5 2 6 2" xfId="38652"/>
    <cellStyle name="Vírgula 2 5 2 7" xfId="4321"/>
    <cellStyle name="Vírgula 2 5 2 7 2" xfId="30570"/>
    <cellStyle name="Vírgula 2 5 2 8" xfId="29300"/>
    <cellStyle name="Vírgula 2 5 3" xfId="4429"/>
    <cellStyle name="Vírgula 2 5 3 2" xfId="7831"/>
    <cellStyle name="Vírgula 2 5 3 2 2" xfId="10892"/>
    <cellStyle name="Vírgula 2 5 3 2 2 2" xfId="29106"/>
    <cellStyle name="Vírgula 2 5 3 2 2 2 2" xfId="55336"/>
    <cellStyle name="Vírgula 2 5 3 2 2 3" xfId="23192"/>
    <cellStyle name="Vírgula 2 5 3 2 2 3 2" xfId="49428"/>
    <cellStyle name="Vírgula 2 5 3 2 2 4" xfId="17278"/>
    <cellStyle name="Vírgula 2 5 3 2 2 4 2" xfId="43520"/>
    <cellStyle name="Vírgula 2 5 3 2 2 5" xfId="37134"/>
    <cellStyle name="Vírgula 2 5 3 2 3" xfId="26149"/>
    <cellStyle name="Vírgula 2 5 3 2 3 2" xfId="52382"/>
    <cellStyle name="Vírgula 2 5 3 2 4" xfId="20235"/>
    <cellStyle name="Vírgula 2 5 3 2 4 2" xfId="46474"/>
    <cellStyle name="Vírgula 2 5 3 2 5" xfId="14220"/>
    <cellStyle name="Vírgula 2 5 3 2 5 2" xfId="40462"/>
    <cellStyle name="Vírgula 2 5 3 2 6" xfId="34076"/>
    <cellStyle name="Vírgula 2 5 3 3" xfId="9424"/>
    <cellStyle name="Vírgula 2 5 3 3 2" xfId="27638"/>
    <cellStyle name="Vírgula 2 5 3 3 2 2" xfId="53868"/>
    <cellStyle name="Vírgula 2 5 3 3 3" xfId="21724"/>
    <cellStyle name="Vírgula 2 5 3 3 3 2" xfId="47960"/>
    <cellStyle name="Vírgula 2 5 3 3 4" xfId="15810"/>
    <cellStyle name="Vírgula 2 5 3 3 4 2" xfId="42052"/>
    <cellStyle name="Vírgula 2 5 3 3 5" xfId="35666"/>
    <cellStyle name="Vírgula 2 5 3 4" xfId="6131"/>
    <cellStyle name="Vírgula 2 5 3 4 2" xfId="24681"/>
    <cellStyle name="Vírgula 2 5 3 4 2 2" xfId="50914"/>
    <cellStyle name="Vírgula 2 5 3 4 3" xfId="32376"/>
    <cellStyle name="Vírgula 2 5 3 5" xfId="18767"/>
    <cellStyle name="Vírgula 2 5 3 5 2" xfId="45006"/>
    <cellStyle name="Vírgula 2 5 3 6" xfId="12519"/>
    <cellStyle name="Vírgula 2 5 3 6 2" xfId="38761"/>
    <cellStyle name="Vírgula 2 5 3 7" xfId="30678"/>
    <cellStyle name="Vírgula 2 5 4" xfId="4537"/>
    <cellStyle name="Vírgula 2 5 4 2" xfId="7939"/>
    <cellStyle name="Vírgula 2 5 4 2 2" xfId="10954"/>
    <cellStyle name="Vírgula 2 5 4 2 2 2" xfId="29168"/>
    <cellStyle name="Vírgula 2 5 4 2 2 2 2" xfId="55398"/>
    <cellStyle name="Vírgula 2 5 4 2 2 3" xfId="23254"/>
    <cellStyle name="Vírgula 2 5 4 2 2 3 2" xfId="49490"/>
    <cellStyle name="Vírgula 2 5 4 2 2 4" xfId="17340"/>
    <cellStyle name="Vírgula 2 5 4 2 2 4 2" xfId="43582"/>
    <cellStyle name="Vírgula 2 5 4 2 2 5" xfId="37196"/>
    <cellStyle name="Vírgula 2 5 4 2 3" xfId="26211"/>
    <cellStyle name="Vírgula 2 5 4 2 3 2" xfId="52444"/>
    <cellStyle name="Vírgula 2 5 4 2 4" xfId="20297"/>
    <cellStyle name="Vírgula 2 5 4 2 4 2" xfId="46536"/>
    <cellStyle name="Vírgula 2 5 4 2 5" xfId="14328"/>
    <cellStyle name="Vírgula 2 5 4 2 5 2" xfId="40570"/>
    <cellStyle name="Vírgula 2 5 4 2 6" xfId="34184"/>
    <cellStyle name="Vírgula 2 5 4 3" xfId="9486"/>
    <cellStyle name="Vírgula 2 5 4 3 2" xfId="27700"/>
    <cellStyle name="Vírgula 2 5 4 3 2 2" xfId="53930"/>
    <cellStyle name="Vírgula 2 5 4 3 3" xfId="21786"/>
    <cellStyle name="Vírgula 2 5 4 3 3 2" xfId="48022"/>
    <cellStyle name="Vírgula 2 5 4 3 4" xfId="15872"/>
    <cellStyle name="Vírgula 2 5 4 3 4 2" xfId="42114"/>
    <cellStyle name="Vírgula 2 5 4 3 5" xfId="35728"/>
    <cellStyle name="Vírgula 2 5 4 4" xfId="6238"/>
    <cellStyle name="Vírgula 2 5 4 4 2" xfId="24743"/>
    <cellStyle name="Vírgula 2 5 4 4 2 2" xfId="50976"/>
    <cellStyle name="Vírgula 2 5 4 4 3" xfId="32483"/>
    <cellStyle name="Vírgula 2 5 4 5" xfId="18829"/>
    <cellStyle name="Vírgula 2 5 4 5 2" xfId="45068"/>
    <cellStyle name="Vírgula 2 5 4 6" xfId="12627"/>
    <cellStyle name="Vírgula 2 5 4 6 2" xfId="38869"/>
    <cellStyle name="Vírgula 2 5 4 7" xfId="30786"/>
    <cellStyle name="Vírgula 2 5 5" xfId="5946"/>
    <cellStyle name="Vírgula 2 5 5 2" xfId="7645"/>
    <cellStyle name="Vírgula 2 5 5 2 2" xfId="10787"/>
    <cellStyle name="Vírgula 2 5 5 2 2 2" xfId="29001"/>
    <cellStyle name="Vírgula 2 5 5 2 2 2 2" xfId="55231"/>
    <cellStyle name="Vírgula 2 5 5 2 2 3" xfId="23087"/>
    <cellStyle name="Vírgula 2 5 5 2 2 3 2" xfId="49323"/>
    <cellStyle name="Vírgula 2 5 5 2 2 4" xfId="17173"/>
    <cellStyle name="Vírgula 2 5 5 2 2 4 2" xfId="43415"/>
    <cellStyle name="Vírgula 2 5 5 2 2 5" xfId="37029"/>
    <cellStyle name="Vírgula 2 5 5 2 3" xfId="26044"/>
    <cellStyle name="Vírgula 2 5 5 2 3 2" xfId="52277"/>
    <cellStyle name="Vírgula 2 5 5 2 4" xfId="20130"/>
    <cellStyle name="Vírgula 2 5 5 2 4 2" xfId="46369"/>
    <cellStyle name="Vírgula 2 5 5 2 5" xfId="14034"/>
    <cellStyle name="Vírgula 2 5 5 2 5 2" xfId="40276"/>
    <cellStyle name="Vírgula 2 5 5 2 6" xfId="33890"/>
    <cellStyle name="Vírgula 2 5 5 3" xfId="9319"/>
    <cellStyle name="Vírgula 2 5 5 3 2" xfId="27533"/>
    <cellStyle name="Vírgula 2 5 5 3 2 2" xfId="53763"/>
    <cellStyle name="Vírgula 2 5 5 3 3" xfId="21619"/>
    <cellStyle name="Vírgula 2 5 5 3 3 2" xfId="47855"/>
    <cellStyle name="Vírgula 2 5 5 3 4" xfId="15705"/>
    <cellStyle name="Vírgula 2 5 5 3 4 2" xfId="41947"/>
    <cellStyle name="Vírgula 2 5 5 3 5" xfId="35561"/>
    <cellStyle name="Vírgula 2 5 5 4" xfId="24576"/>
    <cellStyle name="Vírgula 2 5 5 4 2" xfId="50809"/>
    <cellStyle name="Vírgula 2 5 5 5" xfId="18662"/>
    <cellStyle name="Vírgula 2 5 5 5 2" xfId="44901"/>
    <cellStyle name="Vírgula 2 5 5 6" xfId="12333"/>
    <cellStyle name="Vírgula 2 5 5 6 2" xfId="38575"/>
    <cellStyle name="Vírgula 2 5 5 7" xfId="32191"/>
    <cellStyle name="Vírgula 2 5 6" xfId="6347"/>
    <cellStyle name="Vírgula 2 5 6 2" xfId="9548"/>
    <cellStyle name="Vírgula 2 5 6 2 2" xfId="27762"/>
    <cellStyle name="Vírgula 2 5 6 2 2 2" xfId="53992"/>
    <cellStyle name="Vírgula 2 5 6 2 3" xfId="21848"/>
    <cellStyle name="Vírgula 2 5 6 2 3 2" xfId="48084"/>
    <cellStyle name="Vírgula 2 5 6 2 4" xfId="15934"/>
    <cellStyle name="Vírgula 2 5 6 2 4 2" xfId="42176"/>
    <cellStyle name="Vírgula 2 5 6 2 5" xfId="35790"/>
    <cellStyle name="Vírgula 2 5 6 3" xfId="24805"/>
    <cellStyle name="Vírgula 2 5 6 3 2" xfId="51038"/>
    <cellStyle name="Vírgula 2 5 6 4" xfId="18891"/>
    <cellStyle name="Vírgula 2 5 6 4 2" xfId="45130"/>
    <cellStyle name="Vírgula 2 5 6 5" xfId="12736"/>
    <cellStyle name="Vírgula 2 5 6 5 2" xfId="38978"/>
    <cellStyle name="Vírgula 2 5 6 6" xfId="32592"/>
    <cellStyle name="Vírgula 2 5 7" xfId="8077"/>
    <cellStyle name="Vírgula 2 5 7 2" xfId="26291"/>
    <cellStyle name="Vírgula 2 5 7 2 2" xfId="52524"/>
    <cellStyle name="Vírgula 2 5 7 3" xfId="20377"/>
    <cellStyle name="Vírgula 2 5 7 3 2" xfId="46616"/>
    <cellStyle name="Vírgula 2 5 7 4" xfId="14466"/>
    <cellStyle name="Vírgula 2 5 7 4 2" xfId="40708"/>
    <cellStyle name="Vírgula 2 5 7 5" xfId="34322"/>
    <cellStyle name="Vírgula 2 5 8" xfId="4645"/>
    <cellStyle name="Vírgula 2 5 8 2" xfId="23334"/>
    <cellStyle name="Vírgula 2 5 8 2 2" xfId="49570"/>
    <cellStyle name="Vírgula 2 5 8 3" xfId="30894"/>
    <cellStyle name="Vírgula 2 5 9" xfId="17420"/>
    <cellStyle name="Vírgula 2 5 9 2" xfId="43662"/>
    <cellStyle name="Vírgula 2 6" xfId="37"/>
    <cellStyle name="Vírgula 2 6 2" xfId="7641"/>
    <cellStyle name="Vírgula 2 6 2 2" xfId="10785"/>
    <cellStyle name="Vírgula 2 6 2 2 2" xfId="28999"/>
    <cellStyle name="Vírgula 2 6 2 2 2 2" xfId="55229"/>
    <cellStyle name="Vírgula 2 6 2 2 3" xfId="23085"/>
    <cellStyle name="Vírgula 2 6 2 2 3 2" xfId="49321"/>
    <cellStyle name="Vírgula 2 6 2 2 4" xfId="17171"/>
    <cellStyle name="Vírgula 2 6 2 2 4 2" xfId="43413"/>
    <cellStyle name="Vírgula 2 6 2 2 5" xfId="37027"/>
    <cellStyle name="Vírgula 2 6 2 3" xfId="26042"/>
    <cellStyle name="Vírgula 2 6 2 3 2" xfId="52275"/>
    <cellStyle name="Vírgula 2 6 2 4" xfId="20128"/>
    <cellStyle name="Vírgula 2 6 2 4 2" xfId="46367"/>
    <cellStyle name="Vírgula 2 6 2 5" xfId="14030"/>
    <cellStyle name="Vírgula 2 6 2 5 2" xfId="40272"/>
    <cellStyle name="Vírgula 2 6 2 6" xfId="33886"/>
    <cellStyle name="Vírgula 2 6 3" xfId="9317"/>
    <cellStyle name="Vírgula 2 6 3 2" xfId="27531"/>
    <cellStyle name="Vírgula 2 6 3 2 2" xfId="53761"/>
    <cellStyle name="Vírgula 2 6 3 3" xfId="21617"/>
    <cellStyle name="Vírgula 2 6 3 3 2" xfId="47853"/>
    <cellStyle name="Vírgula 2 6 3 4" xfId="15703"/>
    <cellStyle name="Vírgula 2 6 3 4 2" xfId="41945"/>
    <cellStyle name="Vírgula 2 6 3 5" xfId="35559"/>
    <cellStyle name="Vírgula 2 6 4" xfId="5942"/>
    <cellStyle name="Vírgula 2 6 4 2" xfId="24574"/>
    <cellStyle name="Vírgula 2 6 4 2 2" xfId="50807"/>
    <cellStyle name="Vírgula 2 6 4 3" xfId="32187"/>
    <cellStyle name="Vírgula 2 6 5" xfId="18660"/>
    <cellStyle name="Vírgula 2 6 5 2" xfId="44899"/>
    <cellStyle name="Vírgula 2 6 6" xfId="12329"/>
    <cellStyle name="Vírgula 2 6 6 2" xfId="38571"/>
    <cellStyle name="Vírgula 2 6 7" xfId="4239"/>
    <cellStyle name="Vírgula 2 6 7 2" xfId="30490"/>
    <cellStyle name="Vírgula 2 6 8" xfId="29283"/>
    <cellStyle name="Vírgula 2 7" xfId="155"/>
    <cellStyle name="Vírgula 2 7 2" xfId="29327"/>
    <cellStyle name="Vírgula 2 8" xfId="29262"/>
    <cellStyle name="Vírgula 3" xfId="11"/>
    <cellStyle name="Vírgula 3 10" xfId="4240"/>
    <cellStyle name="Vírgula 3 10 2" xfId="7642"/>
    <cellStyle name="Vírgula 3 10 2 2" xfId="10786"/>
    <cellStyle name="Vírgula 3 10 2 2 2" xfId="29000"/>
    <cellStyle name="Vírgula 3 10 2 2 2 2" xfId="55230"/>
    <cellStyle name="Vírgula 3 10 2 2 3" xfId="23086"/>
    <cellStyle name="Vírgula 3 10 2 2 3 2" xfId="49322"/>
    <cellStyle name="Vírgula 3 10 2 2 4" xfId="17172"/>
    <cellStyle name="Vírgula 3 10 2 2 4 2" xfId="43414"/>
    <cellStyle name="Vírgula 3 10 2 2 5" xfId="37028"/>
    <cellStyle name="Vírgula 3 10 2 3" xfId="26043"/>
    <cellStyle name="Vírgula 3 10 2 3 2" xfId="52276"/>
    <cellStyle name="Vírgula 3 10 2 4" xfId="20129"/>
    <cellStyle name="Vírgula 3 10 2 4 2" xfId="46368"/>
    <cellStyle name="Vírgula 3 10 2 5" xfId="14031"/>
    <cellStyle name="Vírgula 3 10 2 5 2" xfId="40273"/>
    <cellStyle name="Vírgula 3 10 2 6" xfId="33887"/>
    <cellStyle name="Vírgula 3 10 3" xfId="9318"/>
    <cellStyle name="Vírgula 3 10 3 2" xfId="27532"/>
    <cellStyle name="Vírgula 3 10 3 2 2" xfId="53762"/>
    <cellStyle name="Vírgula 3 10 3 3" xfId="21618"/>
    <cellStyle name="Vírgula 3 10 3 3 2" xfId="47854"/>
    <cellStyle name="Vírgula 3 10 3 4" xfId="15704"/>
    <cellStyle name="Vírgula 3 10 3 4 2" xfId="41946"/>
    <cellStyle name="Vírgula 3 10 3 5" xfId="35560"/>
    <cellStyle name="Vírgula 3 10 4" xfId="5943"/>
    <cellStyle name="Vírgula 3 10 4 2" xfId="24575"/>
    <cellStyle name="Vírgula 3 10 4 2 2" xfId="50808"/>
    <cellStyle name="Vírgula 3 10 4 3" xfId="32188"/>
    <cellStyle name="Vírgula 3 10 5" xfId="18661"/>
    <cellStyle name="Vírgula 3 10 5 2" xfId="44900"/>
    <cellStyle name="Vírgula 3 10 6" xfId="12330"/>
    <cellStyle name="Vírgula 3 10 6 2" xfId="38572"/>
    <cellStyle name="Vírgula 3 10 7" xfId="30491"/>
    <cellStyle name="Vírgula 3 11" xfId="4318"/>
    <cellStyle name="Vírgula 3 11 2" xfId="7719"/>
    <cellStyle name="Vírgula 3 11 2 2" xfId="10829"/>
    <cellStyle name="Vírgula 3 11 2 2 2" xfId="29043"/>
    <cellStyle name="Vírgula 3 11 2 2 2 2" xfId="55273"/>
    <cellStyle name="Vírgula 3 11 2 2 3" xfId="23129"/>
    <cellStyle name="Vírgula 3 11 2 2 3 2" xfId="49365"/>
    <cellStyle name="Vírgula 3 11 2 2 4" xfId="17215"/>
    <cellStyle name="Vírgula 3 11 2 2 4 2" xfId="43457"/>
    <cellStyle name="Vírgula 3 11 2 2 5" xfId="37071"/>
    <cellStyle name="Vírgula 3 11 2 3" xfId="26086"/>
    <cellStyle name="Vírgula 3 11 2 3 2" xfId="52319"/>
    <cellStyle name="Vírgula 3 11 2 4" xfId="20172"/>
    <cellStyle name="Vírgula 3 11 2 4 2" xfId="46411"/>
    <cellStyle name="Vírgula 3 11 2 5" xfId="14108"/>
    <cellStyle name="Vírgula 3 11 2 5 2" xfId="40350"/>
    <cellStyle name="Vírgula 3 11 2 6" xfId="33964"/>
    <cellStyle name="Vírgula 3 11 3" xfId="9361"/>
    <cellStyle name="Vírgula 3 11 3 2" xfId="27575"/>
    <cellStyle name="Vírgula 3 11 3 2 2" xfId="53805"/>
    <cellStyle name="Vírgula 3 11 3 3" xfId="21661"/>
    <cellStyle name="Vírgula 3 11 3 3 2" xfId="47897"/>
    <cellStyle name="Vírgula 3 11 3 4" xfId="15747"/>
    <cellStyle name="Vírgula 3 11 3 4 2" xfId="41989"/>
    <cellStyle name="Vírgula 3 11 3 5" xfId="35603"/>
    <cellStyle name="Vírgula 3 11 4" xfId="6019"/>
    <cellStyle name="Vírgula 3 11 4 2" xfId="24618"/>
    <cellStyle name="Vírgula 3 11 4 2 2" xfId="50851"/>
    <cellStyle name="Vírgula 3 11 4 3" xfId="32264"/>
    <cellStyle name="Vírgula 3 11 5" xfId="18704"/>
    <cellStyle name="Vírgula 3 11 5 2" xfId="44943"/>
    <cellStyle name="Vírgula 3 11 6" xfId="12407"/>
    <cellStyle name="Vírgula 3 11 6 2" xfId="38649"/>
    <cellStyle name="Vírgula 3 11 7" xfId="30567"/>
    <cellStyle name="Vírgula 3 12" xfId="4426"/>
    <cellStyle name="Vírgula 3 12 2" xfId="7828"/>
    <cellStyle name="Vírgula 3 12 2 2" xfId="10891"/>
    <cellStyle name="Vírgula 3 12 2 2 2" xfId="29105"/>
    <cellStyle name="Vírgula 3 12 2 2 2 2" xfId="55335"/>
    <cellStyle name="Vírgula 3 12 2 2 3" xfId="23191"/>
    <cellStyle name="Vírgula 3 12 2 2 3 2" xfId="49427"/>
    <cellStyle name="Vírgula 3 12 2 2 4" xfId="17277"/>
    <cellStyle name="Vírgula 3 12 2 2 4 2" xfId="43519"/>
    <cellStyle name="Vírgula 3 12 2 2 5" xfId="37133"/>
    <cellStyle name="Vírgula 3 12 2 3" xfId="26148"/>
    <cellStyle name="Vírgula 3 12 2 3 2" xfId="52381"/>
    <cellStyle name="Vírgula 3 12 2 4" xfId="20234"/>
    <cellStyle name="Vírgula 3 12 2 4 2" xfId="46473"/>
    <cellStyle name="Vírgula 3 12 2 5" xfId="14217"/>
    <cellStyle name="Vírgula 3 12 2 5 2" xfId="40459"/>
    <cellStyle name="Vírgula 3 12 2 6" xfId="34073"/>
    <cellStyle name="Vírgula 3 12 3" xfId="9423"/>
    <cellStyle name="Vírgula 3 12 3 2" xfId="27637"/>
    <cellStyle name="Vírgula 3 12 3 2 2" xfId="53867"/>
    <cellStyle name="Vírgula 3 12 3 3" xfId="21723"/>
    <cellStyle name="Vírgula 3 12 3 3 2" xfId="47959"/>
    <cellStyle name="Vírgula 3 12 3 4" xfId="15809"/>
    <cellStyle name="Vírgula 3 12 3 4 2" xfId="42051"/>
    <cellStyle name="Vírgula 3 12 3 5" xfId="35665"/>
    <cellStyle name="Vírgula 3 12 4" xfId="6128"/>
    <cellStyle name="Vírgula 3 12 4 2" xfId="24680"/>
    <cellStyle name="Vírgula 3 12 4 2 2" xfId="50913"/>
    <cellStyle name="Vírgula 3 12 4 3" xfId="32373"/>
    <cellStyle name="Vírgula 3 12 5" xfId="18766"/>
    <cellStyle name="Vírgula 3 12 5 2" xfId="45005"/>
    <cellStyle name="Vírgula 3 12 6" xfId="12516"/>
    <cellStyle name="Vírgula 3 12 6 2" xfId="38758"/>
    <cellStyle name="Vírgula 3 12 7" xfId="30675"/>
    <cellStyle name="Vírgula 3 13" xfId="4534"/>
    <cellStyle name="Vírgula 3 13 2" xfId="7936"/>
    <cellStyle name="Vírgula 3 13 2 2" xfId="10953"/>
    <cellStyle name="Vírgula 3 13 2 2 2" xfId="29167"/>
    <cellStyle name="Vírgula 3 13 2 2 2 2" xfId="55397"/>
    <cellStyle name="Vírgula 3 13 2 2 3" xfId="23253"/>
    <cellStyle name="Vírgula 3 13 2 2 3 2" xfId="49489"/>
    <cellStyle name="Vírgula 3 13 2 2 4" xfId="17339"/>
    <cellStyle name="Vírgula 3 13 2 2 4 2" xfId="43581"/>
    <cellStyle name="Vírgula 3 13 2 2 5" xfId="37195"/>
    <cellStyle name="Vírgula 3 13 2 3" xfId="26210"/>
    <cellStyle name="Vírgula 3 13 2 3 2" xfId="52443"/>
    <cellStyle name="Vírgula 3 13 2 4" xfId="20296"/>
    <cellStyle name="Vírgula 3 13 2 4 2" xfId="46535"/>
    <cellStyle name="Vírgula 3 13 2 5" xfId="14325"/>
    <cellStyle name="Vírgula 3 13 2 5 2" xfId="40567"/>
    <cellStyle name="Vírgula 3 13 2 6" xfId="34181"/>
    <cellStyle name="Vírgula 3 13 3" xfId="9485"/>
    <cellStyle name="Vírgula 3 13 3 2" xfId="27699"/>
    <cellStyle name="Vírgula 3 13 3 2 2" xfId="53929"/>
    <cellStyle name="Vírgula 3 13 3 3" xfId="21785"/>
    <cellStyle name="Vírgula 3 13 3 3 2" xfId="48021"/>
    <cellStyle name="Vírgula 3 13 3 4" xfId="15871"/>
    <cellStyle name="Vírgula 3 13 3 4 2" xfId="42113"/>
    <cellStyle name="Vírgula 3 13 3 5" xfId="35727"/>
    <cellStyle name="Vírgula 3 13 4" xfId="6235"/>
    <cellStyle name="Vírgula 3 13 4 2" xfId="24742"/>
    <cellStyle name="Vírgula 3 13 4 2 2" xfId="50975"/>
    <cellStyle name="Vírgula 3 13 4 3" xfId="32480"/>
    <cellStyle name="Vírgula 3 13 5" xfId="18828"/>
    <cellStyle name="Vírgula 3 13 5 2" xfId="45067"/>
    <cellStyle name="Vírgula 3 13 6" xfId="12624"/>
    <cellStyle name="Vírgula 3 13 6 2" xfId="38866"/>
    <cellStyle name="Vírgula 3 13 7" xfId="30783"/>
    <cellStyle name="Vírgula 3 14" xfId="4781"/>
    <cellStyle name="Vírgula 3 14 2" xfId="6482"/>
    <cellStyle name="Vírgula 3 14 2 2" xfId="9636"/>
    <cellStyle name="Vírgula 3 14 2 2 2" xfId="27850"/>
    <cellStyle name="Vírgula 3 14 2 2 2 2" xfId="54080"/>
    <cellStyle name="Vírgula 3 14 2 2 3" xfId="21936"/>
    <cellStyle name="Vírgula 3 14 2 2 3 2" xfId="48172"/>
    <cellStyle name="Vírgula 3 14 2 2 4" xfId="16022"/>
    <cellStyle name="Vírgula 3 14 2 2 4 2" xfId="42264"/>
    <cellStyle name="Vírgula 3 14 2 2 5" xfId="35878"/>
    <cellStyle name="Vírgula 3 14 2 3" xfId="24893"/>
    <cellStyle name="Vírgula 3 14 2 3 2" xfId="51126"/>
    <cellStyle name="Vírgula 3 14 2 4" xfId="18979"/>
    <cellStyle name="Vírgula 3 14 2 4 2" xfId="45218"/>
    <cellStyle name="Vírgula 3 14 2 5" xfId="12871"/>
    <cellStyle name="Vírgula 3 14 2 5 2" xfId="39113"/>
    <cellStyle name="Vírgula 3 14 2 6" xfId="32727"/>
    <cellStyle name="Vírgula 3 14 3" xfId="8165"/>
    <cellStyle name="Vírgula 3 14 3 2" xfId="26379"/>
    <cellStyle name="Vírgula 3 14 3 2 2" xfId="52612"/>
    <cellStyle name="Vírgula 3 14 3 3" xfId="20465"/>
    <cellStyle name="Vírgula 3 14 3 3 2" xfId="46704"/>
    <cellStyle name="Vírgula 3 14 3 4" xfId="14554"/>
    <cellStyle name="Vírgula 3 14 3 4 2" xfId="40796"/>
    <cellStyle name="Vírgula 3 14 3 5" xfId="34410"/>
    <cellStyle name="Vírgula 3 14 4" xfId="23422"/>
    <cellStyle name="Vírgula 3 14 4 2" xfId="49658"/>
    <cellStyle name="Vírgula 3 14 5" xfId="17508"/>
    <cellStyle name="Vírgula 3 14 5 2" xfId="43750"/>
    <cellStyle name="Vírgula 3 14 6" xfId="11170"/>
    <cellStyle name="Vírgula 3 14 6 2" xfId="37412"/>
    <cellStyle name="Vírgula 3 14 7" xfId="31028"/>
    <cellStyle name="Vírgula 3 15" xfId="6344"/>
    <cellStyle name="Vírgula 3 15 2" xfId="9547"/>
    <cellStyle name="Vírgula 3 15 2 2" xfId="27761"/>
    <cellStyle name="Vírgula 3 15 2 2 2" xfId="53991"/>
    <cellStyle name="Vírgula 3 15 2 3" xfId="21847"/>
    <cellStyle name="Vírgula 3 15 2 3 2" xfId="48083"/>
    <cellStyle name="Vírgula 3 15 2 4" xfId="15933"/>
    <cellStyle name="Vírgula 3 15 2 4 2" xfId="42175"/>
    <cellStyle name="Vírgula 3 15 2 5" xfId="35789"/>
    <cellStyle name="Vírgula 3 15 3" xfId="24804"/>
    <cellStyle name="Vírgula 3 15 3 2" xfId="51037"/>
    <cellStyle name="Vírgula 3 15 4" xfId="18890"/>
    <cellStyle name="Vírgula 3 15 4 2" xfId="45129"/>
    <cellStyle name="Vírgula 3 15 5" xfId="12733"/>
    <cellStyle name="Vírgula 3 15 5 2" xfId="38975"/>
    <cellStyle name="Vírgula 3 15 6" xfId="32589"/>
    <cellStyle name="Vírgula 3 16" xfId="8046"/>
    <cellStyle name="Vírgula 3 16 2" xfId="11016"/>
    <cellStyle name="Vírgula 3 16 2 2" xfId="29230"/>
    <cellStyle name="Vírgula 3 16 2 2 2" xfId="55460"/>
    <cellStyle name="Vírgula 3 16 2 3" xfId="23316"/>
    <cellStyle name="Vírgula 3 16 2 3 2" xfId="49552"/>
    <cellStyle name="Vírgula 3 16 2 4" xfId="17402"/>
    <cellStyle name="Vírgula 3 16 2 4 2" xfId="43644"/>
    <cellStyle name="Vírgula 3 16 2 5" xfId="37258"/>
    <cellStyle name="Vírgula 3 16 3" xfId="26273"/>
    <cellStyle name="Vírgula 3 16 3 2" xfId="52506"/>
    <cellStyle name="Vírgula 3 16 4" xfId="20359"/>
    <cellStyle name="Vírgula 3 16 4 2" xfId="46598"/>
    <cellStyle name="Vírgula 3 16 5" xfId="14435"/>
    <cellStyle name="Vírgula 3 16 5 2" xfId="40677"/>
    <cellStyle name="Vírgula 3 16 6" xfId="34291"/>
    <cellStyle name="Vírgula 3 17" xfId="8076"/>
    <cellStyle name="Vírgula 3 17 2" xfId="26290"/>
    <cellStyle name="Vírgula 3 17 2 2" xfId="52523"/>
    <cellStyle name="Vírgula 3 17 3" xfId="20376"/>
    <cellStyle name="Vírgula 3 17 3 2" xfId="46615"/>
    <cellStyle name="Vírgula 3 17 4" xfId="14465"/>
    <cellStyle name="Vírgula 3 17 4 2" xfId="40707"/>
    <cellStyle name="Vírgula 3 17 5" xfId="34321"/>
    <cellStyle name="Vírgula 3 18" xfId="4642"/>
    <cellStyle name="Vírgula 3 18 2" xfId="23333"/>
    <cellStyle name="Vírgula 3 18 2 2" xfId="49569"/>
    <cellStyle name="Vírgula 3 18 3" xfId="30891"/>
    <cellStyle name="Vírgula 3 19" xfId="17419"/>
    <cellStyle name="Vírgula 3 19 2" xfId="43661"/>
    <cellStyle name="Vírgula 3 2" xfId="18"/>
    <cellStyle name="Vírgula 3 2 10" xfId="4550"/>
    <cellStyle name="Vírgula 3 2 10 2" xfId="7952"/>
    <cellStyle name="Vírgula 3 2 10 2 2" xfId="10961"/>
    <cellStyle name="Vírgula 3 2 10 2 2 2" xfId="29175"/>
    <cellStyle name="Vírgula 3 2 10 2 2 2 2" xfId="55405"/>
    <cellStyle name="Vírgula 3 2 10 2 2 3" xfId="23261"/>
    <cellStyle name="Vírgula 3 2 10 2 2 3 2" xfId="49497"/>
    <cellStyle name="Vírgula 3 2 10 2 2 4" xfId="17347"/>
    <cellStyle name="Vírgula 3 2 10 2 2 4 2" xfId="43589"/>
    <cellStyle name="Vírgula 3 2 10 2 2 5" xfId="37203"/>
    <cellStyle name="Vírgula 3 2 10 2 3" xfId="26218"/>
    <cellStyle name="Vírgula 3 2 10 2 3 2" xfId="52451"/>
    <cellStyle name="Vírgula 3 2 10 2 4" xfId="20304"/>
    <cellStyle name="Vírgula 3 2 10 2 4 2" xfId="46543"/>
    <cellStyle name="Vírgula 3 2 10 2 5" xfId="14341"/>
    <cellStyle name="Vírgula 3 2 10 2 5 2" xfId="40583"/>
    <cellStyle name="Vírgula 3 2 10 2 6" xfId="34197"/>
    <cellStyle name="Vírgula 3 2 10 3" xfId="9493"/>
    <cellStyle name="Vírgula 3 2 10 3 2" xfId="27707"/>
    <cellStyle name="Vírgula 3 2 10 3 2 2" xfId="53937"/>
    <cellStyle name="Vírgula 3 2 10 3 3" xfId="21793"/>
    <cellStyle name="Vírgula 3 2 10 3 3 2" xfId="48029"/>
    <cellStyle name="Vírgula 3 2 10 3 4" xfId="15879"/>
    <cellStyle name="Vírgula 3 2 10 3 4 2" xfId="42121"/>
    <cellStyle name="Vírgula 3 2 10 3 5" xfId="35735"/>
    <cellStyle name="Vírgula 3 2 10 4" xfId="6251"/>
    <cellStyle name="Vírgula 3 2 10 4 2" xfId="24750"/>
    <cellStyle name="Vírgula 3 2 10 4 2 2" xfId="50983"/>
    <cellStyle name="Vírgula 3 2 10 4 3" xfId="32496"/>
    <cellStyle name="Vírgula 3 2 10 5" xfId="18836"/>
    <cellStyle name="Vírgula 3 2 10 5 2" xfId="45075"/>
    <cellStyle name="Vírgula 3 2 10 6" xfId="12640"/>
    <cellStyle name="Vírgula 3 2 10 6 2" xfId="38882"/>
    <cellStyle name="Vírgula 3 2 10 7" xfId="30799"/>
    <cellStyle name="Vírgula 3 2 11" xfId="4938"/>
    <cellStyle name="Vírgula 3 2 11 2" xfId="6637"/>
    <cellStyle name="Vírgula 3 2 11 2 2" xfId="9784"/>
    <cellStyle name="Vírgula 3 2 11 2 2 2" xfId="27998"/>
    <cellStyle name="Vírgula 3 2 11 2 2 2 2" xfId="54228"/>
    <cellStyle name="Vírgula 3 2 11 2 2 3" xfId="22084"/>
    <cellStyle name="Vírgula 3 2 11 2 2 3 2" xfId="48320"/>
    <cellStyle name="Vírgula 3 2 11 2 2 4" xfId="16170"/>
    <cellStyle name="Vírgula 3 2 11 2 2 4 2" xfId="42412"/>
    <cellStyle name="Vírgula 3 2 11 2 2 5" xfId="36026"/>
    <cellStyle name="Vírgula 3 2 11 2 3" xfId="25041"/>
    <cellStyle name="Vírgula 3 2 11 2 3 2" xfId="51274"/>
    <cellStyle name="Vírgula 3 2 11 2 4" xfId="19127"/>
    <cellStyle name="Vírgula 3 2 11 2 4 2" xfId="45366"/>
    <cellStyle name="Vírgula 3 2 11 2 5" xfId="13026"/>
    <cellStyle name="Vírgula 3 2 11 2 5 2" xfId="39268"/>
    <cellStyle name="Vírgula 3 2 11 2 6" xfId="32882"/>
    <cellStyle name="Vírgula 3 2 11 3" xfId="8316"/>
    <cellStyle name="Vírgula 3 2 11 3 2" xfId="26530"/>
    <cellStyle name="Vírgula 3 2 11 3 2 2" xfId="52760"/>
    <cellStyle name="Vírgula 3 2 11 3 3" xfId="20616"/>
    <cellStyle name="Vírgula 3 2 11 3 3 2" xfId="46852"/>
    <cellStyle name="Vírgula 3 2 11 3 4" xfId="14702"/>
    <cellStyle name="Vírgula 3 2 11 3 4 2" xfId="40944"/>
    <cellStyle name="Vírgula 3 2 11 3 5" xfId="34558"/>
    <cellStyle name="Vírgula 3 2 11 4" xfId="23573"/>
    <cellStyle name="Vírgula 3 2 11 4 2" xfId="49806"/>
    <cellStyle name="Vírgula 3 2 11 5" xfId="17659"/>
    <cellStyle name="Vírgula 3 2 11 5 2" xfId="43898"/>
    <cellStyle name="Vírgula 3 2 11 6" xfId="11325"/>
    <cellStyle name="Vírgula 3 2 11 6 2" xfId="37567"/>
    <cellStyle name="Vírgula 3 2 11 7" xfId="31183"/>
    <cellStyle name="Vírgula 3 2 12" xfId="6360"/>
    <cellStyle name="Vírgula 3 2 12 2" xfId="9555"/>
    <cellStyle name="Vírgula 3 2 12 2 2" xfId="27769"/>
    <cellStyle name="Vírgula 3 2 12 2 2 2" xfId="53999"/>
    <cellStyle name="Vírgula 3 2 12 2 3" xfId="21855"/>
    <cellStyle name="Vírgula 3 2 12 2 3 2" xfId="48091"/>
    <cellStyle name="Vírgula 3 2 12 2 4" xfId="15941"/>
    <cellStyle name="Vírgula 3 2 12 2 4 2" xfId="42183"/>
    <cellStyle name="Vírgula 3 2 12 2 5" xfId="35797"/>
    <cellStyle name="Vírgula 3 2 12 3" xfId="24812"/>
    <cellStyle name="Vírgula 3 2 12 3 2" xfId="51045"/>
    <cellStyle name="Vírgula 3 2 12 4" xfId="18898"/>
    <cellStyle name="Vírgula 3 2 12 4 2" xfId="45137"/>
    <cellStyle name="Vírgula 3 2 12 5" xfId="12749"/>
    <cellStyle name="Vírgula 3 2 12 5 2" xfId="38991"/>
    <cellStyle name="Vírgula 3 2 12 6" xfId="32605"/>
    <cellStyle name="Vírgula 3 2 13" xfId="8052"/>
    <cellStyle name="Vírgula 3 2 13 2" xfId="11019"/>
    <cellStyle name="Vírgula 3 2 13 2 2" xfId="29233"/>
    <cellStyle name="Vírgula 3 2 13 2 2 2" xfId="55463"/>
    <cellStyle name="Vírgula 3 2 13 2 3" xfId="23319"/>
    <cellStyle name="Vírgula 3 2 13 2 3 2" xfId="49555"/>
    <cellStyle name="Vírgula 3 2 13 2 4" xfId="17405"/>
    <cellStyle name="Vírgula 3 2 13 2 4 2" xfId="43647"/>
    <cellStyle name="Vírgula 3 2 13 2 5" xfId="37261"/>
    <cellStyle name="Vírgula 3 2 13 3" xfId="26276"/>
    <cellStyle name="Vírgula 3 2 13 3 2" xfId="52509"/>
    <cellStyle name="Vírgula 3 2 13 4" xfId="20362"/>
    <cellStyle name="Vírgula 3 2 13 4 2" xfId="46601"/>
    <cellStyle name="Vírgula 3 2 13 5" xfId="14441"/>
    <cellStyle name="Vírgula 3 2 13 5 2" xfId="40683"/>
    <cellStyle name="Vírgula 3 2 13 6" xfId="34297"/>
    <cellStyle name="Vírgula 3 2 14" xfId="8084"/>
    <cellStyle name="Vírgula 3 2 14 2" xfId="26298"/>
    <cellStyle name="Vírgula 3 2 14 2 2" xfId="52531"/>
    <cellStyle name="Vírgula 3 2 14 3" xfId="20384"/>
    <cellStyle name="Vírgula 3 2 14 3 2" xfId="46623"/>
    <cellStyle name="Vírgula 3 2 14 4" xfId="14473"/>
    <cellStyle name="Vírgula 3 2 14 4 2" xfId="40715"/>
    <cellStyle name="Vírgula 3 2 14 5" xfId="34329"/>
    <cellStyle name="Vírgula 3 2 15" xfId="4658"/>
    <cellStyle name="Vírgula 3 2 15 2" xfId="23341"/>
    <cellStyle name="Vírgula 3 2 15 2 2" xfId="49577"/>
    <cellStyle name="Vírgula 3 2 15 3" xfId="30907"/>
    <cellStyle name="Vírgula 3 2 16" xfId="17427"/>
    <cellStyle name="Vírgula 3 2 16 2" xfId="43669"/>
    <cellStyle name="Vírgula 3 2 17" xfId="11049"/>
    <cellStyle name="Vírgula 3 2 17 2" xfId="37291"/>
    <cellStyle name="Vírgula 3 2 18" xfId="702"/>
    <cellStyle name="Vírgula 3 2 18 2" xfId="29485"/>
    <cellStyle name="Vírgula 3 2 19" xfId="29267"/>
    <cellStyle name="Vírgula 3 2 2" xfId="43"/>
    <cellStyle name="Vírgula 3 2 2 10" xfId="8093"/>
    <cellStyle name="Vírgula 3 2 2 10 2" xfId="26307"/>
    <cellStyle name="Vírgula 3 2 2 10 2 2" xfId="52540"/>
    <cellStyle name="Vírgula 3 2 2 10 3" xfId="20393"/>
    <cellStyle name="Vírgula 3 2 2 10 3 2" xfId="46632"/>
    <cellStyle name="Vírgula 3 2 2 10 4" xfId="14482"/>
    <cellStyle name="Vírgula 3 2 2 10 4 2" xfId="40724"/>
    <cellStyle name="Vírgula 3 2 2 10 5" xfId="34338"/>
    <cellStyle name="Vírgula 3 2 2 11" xfId="4673"/>
    <cellStyle name="Vírgula 3 2 2 11 2" xfId="23350"/>
    <cellStyle name="Vírgula 3 2 2 11 2 2" xfId="49586"/>
    <cellStyle name="Vírgula 3 2 2 11 3" xfId="30922"/>
    <cellStyle name="Vírgula 3 2 2 12" xfId="17436"/>
    <cellStyle name="Vírgula 3 2 2 12 2" xfId="43678"/>
    <cellStyle name="Vírgula 3 2 2 13" xfId="11064"/>
    <cellStyle name="Vírgula 3 2 2 13 2" xfId="37306"/>
    <cellStyle name="Vírgula 3 2 2 14" xfId="1952"/>
    <cellStyle name="Vírgula 3 2 2 14 2" xfId="29849"/>
    <cellStyle name="Vírgula 3 2 2 15" xfId="29289"/>
    <cellStyle name="Vírgula 3 2 2 2" xfId="4308"/>
    <cellStyle name="Vírgula 3 2 2 2 10" xfId="11099"/>
    <cellStyle name="Vírgula 3 2 2 2 10 2" xfId="37341"/>
    <cellStyle name="Vírgula 3 2 2 2 11" xfId="30557"/>
    <cellStyle name="Vírgula 3 2 2 2 2" xfId="4385"/>
    <cellStyle name="Vírgula 3 2 2 2 2 2" xfId="7786"/>
    <cellStyle name="Vírgula 3 2 2 2 2 2 2" xfId="10866"/>
    <cellStyle name="Vírgula 3 2 2 2 2 2 2 2" xfId="29080"/>
    <cellStyle name="Vírgula 3 2 2 2 2 2 2 2 2" xfId="55310"/>
    <cellStyle name="Vírgula 3 2 2 2 2 2 2 3" xfId="23166"/>
    <cellStyle name="Vírgula 3 2 2 2 2 2 2 3 2" xfId="49402"/>
    <cellStyle name="Vírgula 3 2 2 2 2 2 2 4" xfId="17252"/>
    <cellStyle name="Vírgula 3 2 2 2 2 2 2 4 2" xfId="43494"/>
    <cellStyle name="Vírgula 3 2 2 2 2 2 2 5" xfId="37108"/>
    <cellStyle name="Vírgula 3 2 2 2 2 2 3" xfId="26123"/>
    <cellStyle name="Vírgula 3 2 2 2 2 2 3 2" xfId="52356"/>
    <cellStyle name="Vírgula 3 2 2 2 2 2 4" xfId="20209"/>
    <cellStyle name="Vírgula 3 2 2 2 2 2 4 2" xfId="46448"/>
    <cellStyle name="Vírgula 3 2 2 2 2 2 5" xfId="14175"/>
    <cellStyle name="Vírgula 3 2 2 2 2 2 5 2" xfId="40417"/>
    <cellStyle name="Vírgula 3 2 2 2 2 2 6" xfId="34031"/>
    <cellStyle name="Vírgula 3 2 2 2 2 3" xfId="9398"/>
    <cellStyle name="Vírgula 3 2 2 2 2 3 2" xfId="27612"/>
    <cellStyle name="Vírgula 3 2 2 2 2 3 2 2" xfId="53842"/>
    <cellStyle name="Vírgula 3 2 2 2 2 3 3" xfId="21698"/>
    <cellStyle name="Vírgula 3 2 2 2 2 3 3 2" xfId="47934"/>
    <cellStyle name="Vírgula 3 2 2 2 2 3 4" xfId="15784"/>
    <cellStyle name="Vírgula 3 2 2 2 2 3 4 2" xfId="42026"/>
    <cellStyle name="Vírgula 3 2 2 2 2 3 5" xfId="35640"/>
    <cellStyle name="Vírgula 3 2 2 2 2 4" xfId="6086"/>
    <cellStyle name="Vírgula 3 2 2 2 2 4 2" xfId="24655"/>
    <cellStyle name="Vírgula 3 2 2 2 2 4 2 2" xfId="50888"/>
    <cellStyle name="Vírgula 3 2 2 2 2 4 3" xfId="32331"/>
    <cellStyle name="Vírgula 3 2 2 2 2 5" xfId="18741"/>
    <cellStyle name="Vírgula 3 2 2 2 2 5 2" xfId="44980"/>
    <cellStyle name="Vírgula 3 2 2 2 2 6" xfId="12474"/>
    <cellStyle name="Vírgula 3 2 2 2 2 6 2" xfId="38716"/>
    <cellStyle name="Vírgula 3 2 2 2 2 7" xfId="30634"/>
    <cellStyle name="Vírgula 3 2 2 2 3" xfId="4493"/>
    <cellStyle name="Vírgula 3 2 2 2 3 2" xfId="7895"/>
    <cellStyle name="Vírgula 3 2 2 2 3 2 2" xfId="10928"/>
    <cellStyle name="Vírgula 3 2 2 2 3 2 2 2" xfId="29142"/>
    <cellStyle name="Vírgula 3 2 2 2 3 2 2 2 2" xfId="55372"/>
    <cellStyle name="Vírgula 3 2 2 2 3 2 2 3" xfId="23228"/>
    <cellStyle name="Vírgula 3 2 2 2 3 2 2 3 2" xfId="49464"/>
    <cellStyle name="Vírgula 3 2 2 2 3 2 2 4" xfId="17314"/>
    <cellStyle name="Vírgula 3 2 2 2 3 2 2 4 2" xfId="43556"/>
    <cellStyle name="Vírgula 3 2 2 2 3 2 2 5" xfId="37170"/>
    <cellStyle name="Vírgula 3 2 2 2 3 2 3" xfId="26185"/>
    <cellStyle name="Vírgula 3 2 2 2 3 2 3 2" xfId="52418"/>
    <cellStyle name="Vírgula 3 2 2 2 3 2 4" xfId="20271"/>
    <cellStyle name="Vírgula 3 2 2 2 3 2 4 2" xfId="46510"/>
    <cellStyle name="Vírgula 3 2 2 2 3 2 5" xfId="14284"/>
    <cellStyle name="Vírgula 3 2 2 2 3 2 5 2" xfId="40526"/>
    <cellStyle name="Vírgula 3 2 2 2 3 2 6" xfId="34140"/>
    <cellStyle name="Vírgula 3 2 2 2 3 3" xfId="9460"/>
    <cellStyle name="Vírgula 3 2 2 2 3 3 2" xfId="27674"/>
    <cellStyle name="Vírgula 3 2 2 2 3 3 2 2" xfId="53904"/>
    <cellStyle name="Vírgula 3 2 2 2 3 3 3" xfId="21760"/>
    <cellStyle name="Vírgula 3 2 2 2 3 3 3 2" xfId="47996"/>
    <cellStyle name="Vírgula 3 2 2 2 3 3 4" xfId="15846"/>
    <cellStyle name="Vírgula 3 2 2 2 3 3 4 2" xfId="42088"/>
    <cellStyle name="Vírgula 3 2 2 2 3 3 5" xfId="35702"/>
    <cellStyle name="Vírgula 3 2 2 2 3 4" xfId="6195"/>
    <cellStyle name="Vírgula 3 2 2 2 3 4 2" xfId="24717"/>
    <cellStyle name="Vírgula 3 2 2 2 3 4 2 2" xfId="50950"/>
    <cellStyle name="Vírgula 3 2 2 2 3 4 3" xfId="32440"/>
    <cellStyle name="Vírgula 3 2 2 2 3 5" xfId="18803"/>
    <cellStyle name="Vírgula 3 2 2 2 3 5 2" xfId="45042"/>
    <cellStyle name="Vírgula 3 2 2 2 3 6" xfId="12583"/>
    <cellStyle name="Vírgula 3 2 2 2 3 6 2" xfId="38825"/>
    <cellStyle name="Vírgula 3 2 2 2 3 7" xfId="30742"/>
    <cellStyle name="Vírgula 3 2 2 2 4" xfId="4601"/>
    <cellStyle name="Vírgula 3 2 2 2 4 2" xfId="8003"/>
    <cellStyle name="Vírgula 3 2 2 2 4 2 2" xfId="10990"/>
    <cellStyle name="Vírgula 3 2 2 2 4 2 2 2" xfId="29204"/>
    <cellStyle name="Vírgula 3 2 2 2 4 2 2 2 2" xfId="55434"/>
    <cellStyle name="Vírgula 3 2 2 2 4 2 2 3" xfId="23290"/>
    <cellStyle name="Vírgula 3 2 2 2 4 2 2 3 2" xfId="49526"/>
    <cellStyle name="Vírgula 3 2 2 2 4 2 2 4" xfId="17376"/>
    <cellStyle name="Vírgula 3 2 2 2 4 2 2 4 2" xfId="43618"/>
    <cellStyle name="Vírgula 3 2 2 2 4 2 2 5" xfId="37232"/>
    <cellStyle name="Vírgula 3 2 2 2 4 2 3" xfId="26247"/>
    <cellStyle name="Vírgula 3 2 2 2 4 2 3 2" xfId="52480"/>
    <cellStyle name="Vírgula 3 2 2 2 4 2 4" xfId="20333"/>
    <cellStyle name="Vírgula 3 2 2 2 4 2 4 2" xfId="46572"/>
    <cellStyle name="Vírgula 3 2 2 2 4 2 5" xfId="14392"/>
    <cellStyle name="Vírgula 3 2 2 2 4 2 5 2" xfId="40634"/>
    <cellStyle name="Vírgula 3 2 2 2 4 2 6" xfId="34248"/>
    <cellStyle name="Vírgula 3 2 2 2 4 3" xfId="9522"/>
    <cellStyle name="Vírgula 3 2 2 2 4 3 2" xfId="27736"/>
    <cellStyle name="Vírgula 3 2 2 2 4 3 2 2" xfId="53966"/>
    <cellStyle name="Vírgula 3 2 2 2 4 3 3" xfId="21822"/>
    <cellStyle name="Vírgula 3 2 2 2 4 3 3 2" xfId="48058"/>
    <cellStyle name="Vírgula 3 2 2 2 4 3 4" xfId="15908"/>
    <cellStyle name="Vírgula 3 2 2 2 4 3 4 2" xfId="42150"/>
    <cellStyle name="Vírgula 3 2 2 2 4 3 5" xfId="35764"/>
    <cellStyle name="Vírgula 3 2 2 2 4 4" xfId="6302"/>
    <cellStyle name="Vírgula 3 2 2 2 4 4 2" xfId="24779"/>
    <cellStyle name="Vírgula 3 2 2 2 4 4 2 2" xfId="51012"/>
    <cellStyle name="Vírgula 3 2 2 2 4 4 3" xfId="32547"/>
    <cellStyle name="Vírgula 3 2 2 2 4 5" xfId="18865"/>
    <cellStyle name="Vírgula 3 2 2 2 4 5 2" xfId="45104"/>
    <cellStyle name="Vírgula 3 2 2 2 4 6" xfId="12691"/>
    <cellStyle name="Vírgula 3 2 2 2 4 6 2" xfId="38933"/>
    <cellStyle name="Vírgula 3 2 2 2 4 7" xfId="30850"/>
    <cellStyle name="Vírgula 3 2 2 2 5" xfId="6009"/>
    <cellStyle name="Vírgula 3 2 2 2 5 2" xfId="7709"/>
    <cellStyle name="Vírgula 3 2 2 2 5 2 2" xfId="10823"/>
    <cellStyle name="Vírgula 3 2 2 2 5 2 2 2" xfId="29037"/>
    <cellStyle name="Vírgula 3 2 2 2 5 2 2 2 2" xfId="55267"/>
    <cellStyle name="Vírgula 3 2 2 2 5 2 2 3" xfId="23123"/>
    <cellStyle name="Vírgula 3 2 2 2 5 2 2 3 2" xfId="49359"/>
    <cellStyle name="Vírgula 3 2 2 2 5 2 2 4" xfId="17209"/>
    <cellStyle name="Vírgula 3 2 2 2 5 2 2 4 2" xfId="43451"/>
    <cellStyle name="Vírgula 3 2 2 2 5 2 2 5" xfId="37065"/>
    <cellStyle name="Vírgula 3 2 2 2 5 2 3" xfId="26080"/>
    <cellStyle name="Vírgula 3 2 2 2 5 2 3 2" xfId="52313"/>
    <cellStyle name="Vírgula 3 2 2 2 5 2 4" xfId="20166"/>
    <cellStyle name="Vírgula 3 2 2 2 5 2 4 2" xfId="46405"/>
    <cellStyle name="Vírgula 3 2 2 2 5 2 5" xfId="14098"/>
    <cellStyle name="Vírgula 3 2 2 2 5 2 5 2" xfId="40340"/>
    <cellStyle name="Vírgula 3 2 2 2 5 2 6" xfId="33954"/>
    <cellStyle name="Vírgula 3 2 2 2 5 3" xfId="9355"/>
    <cellStyle name="Vírgula 3 2 2 2 5 3 2" xfId="27569"/>
    <cellStyle name="Vírgula 3 2 2 2 5 3 2 2" xfId="53799"/>
    <cellStyle name="Vírgula 3 2 2 2 5 3 3" xfId="21655"/>
    <cellStyle name="Vírgula 3 2 2 2 5 3 3 2" xfId="47891"/>
    <cellStyle name="Vírgula 3 2 2 2 5 3 4" xfId="15741"/>
    <cellStyle name="Vírgula 3 2 2 2 5 3 4 2" xfId="41983"/>
    <cellStyle name="Vírgula 3 2 2 2 5 3 5" xfId="35597"/>
    <cellStyle name="Vírgula 3 2 2 2 5 4" xfId="24612"/>
    <cellStyle name="Vírgula 3 2 2 2 5 4 2" xfId="50845"/>
    <cellStyle name="Vírgula 3 2 2 2 5 5" xfId="18698"/>
    <cellStyle name="Vírgula 3 2 2 2 5 5 2" xfId="44937"/>
    <cellStyle name="Vírgula 3 2 2 2 5 6" xfId="12397"/>
    <cellStyle name="Vírgula 3 2 2 2 5 6 2" xfId="38639"/>
    <cellStyle name="Vírgula 3 2 2 2 5 7" xfId="32254"/>
    <cellStyle name="Vírgula 3 2 2 2 6" xfId="6411"/>
    <cellStyle name="Vírgula 3 2 2 2 6 2" xfId="9584"/>
    <cellStyle name="Vírgula 3 2 2 2 6 2 2" xfId="27798"/>
    <cellStyle name="Vírgula 3 2 2 2 6 2 2 2" xfId="54028"/>
    <cellStyle name="Vírgula 3 2 2 2 6 2 3" xfId="21884"/>
    <cellStyle name="Vírgula 3 2 2 2 6 2 3 2" xfId="48120"/>
    <cellStyle name="Vírgula 3 2 2 2 6 2 4" xfId="15970"/>
    <cellStyle name="Vírgula 3 2 2 2 6 2 4 2" xfId="42212"/>
    <cellStyle name="Vírgula 3 2 2 2 6 2 5" xfId="35826"/>
    <cellStyle name="Vírgula 3 2 2 2 6 3" xfId="24841"/>
    <cellStyle name="Vírgula 3 2 2 2 6 3 2" xfId="51074"/>
    <cellStyle name="Vírgula 3 2 2 2 6 4" xfId="18927"/>
    <cellStyle name="Vírgula 3 2 2 2 6 4 2" xfId="45166"/>
    <cellStyle name="Vírgula 3 2 2 2 6 5" xfId="12800"/>
    <cellStyle name="Vírgula 3 2 2 2 6 5 2" xfId="39042"/>
    <cellStyle name="Vírgula 3 2 2 2 6 6" xfId="32656"/>
    <cellStyle name="Vírgula 3 2 2 2 7" xfId="8113"/>
    <cellStyle name="Vírgula 3 2 2 2 7 2" xfId="26327"/>
    <cellStyle name="Vírgula 3 2 2 2 7 2 2" xfId="52560"/>
    <cellStyle name="Vírgula 3 2 2 2 7 3" xfId="20413"/>
    <cellStyle name="Vírgula 3 2 2 2 7 3 2" xfId="46652"/>
    <cellStyle name="Vírgula 3 2 2 2 7 4" xfId="14502"/>
    <cellStyle name="Vírgula 3 2 2 2 7 4 2" xfId="40744"/>
    <cellStyle name="Vírgula 3 2 2 2 7 5" xfId="34358"/>
    <cellStyle name="Vírgula 3 2 2 2 8" xfId="4708"/>
    <cellStyle name="Vírgula 3 2 2 2 8 2" xfId="23370"/>
    <cellStyle name="Vírgula 3 2 2 2 8 2 2" xfId="49606"/>
    <cellStyle name="Vírgula 3 2 2 2 8 3" xfId="30957"/>
    <cellStyle name="Vírgula 3 2 2 2 9" xfId="17456"/>
    <cellStyle name="Vírgula 3 2 2 2 9 2" xfId="43698"/>
    <cellStyle name="Vírgula 3 2 2 3" xfId="4273"/>
    <cellStyle name="Vírgula 3 2 2 3 10" xfId="11132"/>
    <cellStyle name="Vírgula 3 2 2 3 10 2" xfId="37374"/>
    <cellStyle name="Vírgula 3 2 2 3 11" xfId="30522"/>
    <cellStyle name="Vírgula 3 2 2 3 2" xfId="4417"/>
    <cellStyle name="Vírgula 3 2 2 3 2 2" xfId="7819"/>
    <cellStyle name="Vírgula 3 2 2 3 2 2 2" xfId="10885"/>
    <cellStyle name="Vírgula 3 2 2 3 2 2 2 2" xfId="29099"/>
    <cellStyle name="Vírgula 3 2 2 3 2 2 2 2 2" xfId="55329"/>
    <cellStyle name="Vírgula 3 2 2 3 2 2 2 3" xfId="23185"/>
    <cellStyle name="Vírgula 3 2 2 3 2 2 2 3 2" xfId="49421"/>
    <cellStyle name="Vírgula 3 2 2 3 2 2 2 4" xfId="17271"/>
    <cellStyle name="Vírgula 3 2 2 3 2 2 2 4 2" xfId="43513"/>
    <cellStyle name="Vírgula 3 2 2 3 2 2 2 5" xfId="37127"/>
    <cellStyle name="Vírgula 3 2 2 3 2 2 3" xfId="26142"/>
    <cellStyle name="Vírgula 3 2 2 3 2 2 3 2" xfId="52375"/>
    <cellStyle name="Vírgula 3 2 2 3 2 2 4" xfId="20228"/>
    <cellStyle name="Vírgula 3 2 2 3 2 2 4 2" xfId="46467"/>
    <cellStyle name="Vírgula 3 2 2 3 2 2 5" xfId="14208"/>
    <cellStyle name="Vírgula 3 2 2 3 2 2 5 2" xfId="40450"/>
    <cellStyle name="Vírgula 3 2 2 3 2 2 6" xfId="34064"/>
    <cellStyle name="Vírgula 3 2 2 3 2 3" xfId="9417"/>
    <cellStyle name="Vírgula 3 2 2 3 2 3 2" xfId="27631"/>
    <cellStyle name="Vírgula 3 2 2 3 2 3 2 2" xfId="53861"/>
    <cellStyle name="Vírgula 3 2 2 3 2 3 3" xfId="21717"/>
    <cellStyle name="Vírgula 3 2 2 3 2 3 3 2" xfId="47953"/>
    <cellStyle name="Vírgula 3 2 2 3 2 3 4" xfId="15803"/>
    <cellStyle name="Vírgula 3 2 2 3 2 3 4 2" xfId="42045"/>
    <cellStyle name="Vírgula 3 2 2 3 2 3 5" xfId="35659"/>
    <cellStyle name="Vírgula 3 2 2 3 2 4" xfId="6119"/>
    <cellStyle name="Vírgula 3 2 2 3 2 4 2" xfId="24674"/>
    <cellStyle name="Vírgula 3 2 2 3 2 4 2 2" xfId="50907"/>
    <cellStyle name="Vírgula 3 2 2 3 2 4 3" xfId="32364"/>
    <cellStyle name="Vírgula 3 2 2 3 2 5" xfId="18760"/>
    <cellStyle name="Vírgula 3 2 2 3 2 5 2" xfId="44999"/>
    <cellStyle name="Vírgula 3 2 2 3 2 6" xfId="12507"/>
    <cellStyle name="Vírgula 3 2 2 3 2 6 2" xfId="38749"/>
    <cellStyle name="Vírgula 3 2 2 3 2 7" xfId="30666"/>
    <cellStyle name="Vírgula 3 2 2 3 3" xfId="4525"/>
    <cellStyle name="Vírgula 3 2 2 3 3 2" xfId="7927"/>
    <cellStyle name="Vírgula 3 2 2 3 3 2 2" xfId="10947"/>
    <cellStyle name="Vírgula 3 2 2 3 3 2 2 2" xfId="29161"/>
    <cellStyle name="Vírgula 3 2 2 3 3 2 2 2 2" xfId="55391"/>
    <cellStyle name="Vírgula 3 2 2 3 3 2 2 3" xfId="23247"/>
    <cellStyle name="Vírgula 3 2 2 3 3 2 2 3 2" xfId="49483"/>
    <cellStyle name="Vírgula 3 2 2 3 3 2 2 4" xfId="17333"/>
    <cellStyle name="Vírgula 3 2 2 3 3 2 2 4 2" xfId="43575"/>
    <cellStyle name="Vírgula 3 2 2 3 3 2 2 5" xfId="37189"/>
    <cellStyle name="Vírgula 3 2 2 3 3 2 3" xfId="26204"/>
    <cellStyle name="Vírgula 3 2 2 3 3 2 3 2" xfId="52437"/>
    <cellStyle name="Vírgula 3 2 2 3 3 2 4" xfId="20290"/>
    <cellStyle name="Vírgula 3 2 2 3 3 2 4 2" xfId="46529"/>
    <cellStyle name="Vírgula 3 2 2 3 3 2 5" xfId="14316"/>
    <cellStyle name="Vírgula 3 2 2 3 3 2 5 2" xfId="40558"/>
    <cellStyle name="Vírgula 3 2 2 3 3 2 6" xfId="34172"/>
    <cellStyle name="Vírgula 3 2 2 3 3 3" xfId="9479"/>
    <cellStyle name="Vírgula 3 2 2 3 3 3 2" xfId="27693"/>
    <cellStyle name="Vírgula 3 2 2 3 3 3 2 2" xfId="53923"/>
    <cellStyle name="Vírgula 3 2 2 3 3 3 3" xfId="21779"/>
    <cellStyle name="Vírgula 3 2 2 3 3 3 3 2" xfId="48015"/>
    <cellStyle name="Vírgula 3 2 2 3 3 3 4" xfId="15865"/>
    <cellStyle name="Vírgula 3 2 2 3 3 3 4 2" xfId="42107"/>
    <cellStyle name="Vírgula 3 2 2 3 3 3 5" xfId="35721"/>
    <cellStyle name="Vírgula 3 2 2 3 3 4" xfId="6226"/>
    <cellStyle name="Vírgula 3 2 2 3 3 4 2" xfId="24736"/>
    <cellStyle name="Vírgula 3 2 2 3 3 4 2 2" xfId="50969"/>
    <cellStyle name="Vírgula 3 2 2 3 3 4 3" xfId="32471"/>
    <cellStyle name="Vírgula 3 2 2 3 3 5" xfId="18822"/>
    <cellStyle name="Vírgula 3 2 2 3 3 5 2" xfId="45061"/>
    <cellStyle name="Vírgula 3 2 2 3 3 6" xfId="12615"/>
    <cellStyle name="Vírgula 3 2 2 3 3 6 2" xfId="38857"/>
    <cellStyle name="Vírgula 3 2 2 3 3 7" xfId="30774"/>
    <cellStyle name="Vírgula 3 2 2 3 4" xfId="4633"/>
    <cellStyle name="Vírgula 3 2 2 3 4 2" xfId="8036"/>
    <cellStyle name="Vírgula 3 2 2 3 4 2 2" xfId="11009"/>
    <cellStyle name="Vírgula 3 2 2 3 4 2 2 2" xfId="29223"/>
    <cellStyle name="Vírgula 3 2 2 3 4 2 2 2 2" xfId="55453"/>
    <cellStyle name="Vírgula 3 2 2 3 4 2 2 3" xfId="23309"/>
    <cellStyle name="Vírgula 3 2 2 3 4 2 2 3 2" xfId="49545"/>
    <cellStyle name="Vírgula 3 2 2 3 4 2 2 4" xfId="17395"/>
    <cellStyle name="Vírgula 3 2 2 3 4 2 2 4 2" xfId="43637"/>
    <cellStyle name="Vírgula 3 2 2 3 4 2 2 5" xfId="37251"/>
    <cellStyle name="Vírgula 3 2 2 3 4 2 3" xfId="26266"/>
    <cellStyle name="Vírgula 3 2 2 3 4 2 3 2" xfId="52499"/>
    <cellStyle name="Vírgula 3 2 2 3 4 2 4" xfId="20352"/>
    <cellStyle name="Vírgula 3 2 2 3 4 2 4 2" xfId="46591"/>
    <cellStyle name="Vírgula 3 2 2 3 4 2 5" xfId="14425"/>
    <cellStyle name="Vírgula 3 2 2 3 4 2 5 2" xfId="40667"/>
    <cellStyle name="Vírgula 3 2 2 3 4 2 6" xfId="34281"/>
    <cellStyle name="Vírgula 3 2 2 3 4 3" xfId="9541"/>
    <cellStyle name="Vírgula 3 2 2 3 4 3 2" xfId="27755"/>
    <cellStyle name="Vírgula 3 2 2 3 4 3 2 2" xfId="53985"/>
    <cellStyle name="Vírgula 3 2 2 3 4 3 3" xfId="21841"/>
    <cellStyle name="Vírgula 3 2 2 3 4 3 3 2" xfId="48077"/>
    <cellStyle name="Vírgula 3 2 2 3 4 3 4" xfId="15927"/>
    <cellStyle name="Vírgula 3 2 2 3 4 3 4 2" xfId="42169"/>
    <cellStyle name="Vírgula 3 2 2 3 4 3 5" xfId="35783"/>
    <cellStyle name="Vírgula 3 2 2 3 4 4" xfId="6335"/>
    <cellStyle name="Vírgula 3 2 2 3 4 4 2" xfId="24798"/>
    <cellStyle name="Vírgula 3 2 2 3 4 4 2 2" xfId="51031"/>
    <cellStyle name="Vírgula 3 2 2 3 4 4 3" xfId="32580"/>
    <cellStyle name="Vírgula 3 2 2 3 4 5" xfId="18884"/>
    <cellStyle name="Vírgula 3 2 2 3 4 5 2" xfId="45123"/>
    <cellStyle name="Vírgula 3 2 2 3 4 6" xfId="12724"/>
    <cellStyle name="Vírgula 3 2 2 3 4 6 2" xfId="38966"/>
    <cellStyle name="Vírgula 3 2 2 3 4 7" xfId="30882"/>
    <cellStyle name="Vírgula 3 2 2 3 5" xfId="5974"/>
    <cellStyle name="Vírgula 3 2 2 3 5 2" xfId="7674"/>
    <cellStyle name="Vírgula 3 2 2 3 5 2 2" xfId="10803"/>
    <cellStyle name="Vírgula 3 2 2 3 5 2 2 2" xfId="29017"/>
    <cellStyle name="Vírgula 3 2 2 3 5 2 2 2 2" xfId="55247"/>
    <cellStyle name="Vírgula 3 2 2 3 5 2 2 3" xfId="23103"/>
    <cellStyle name="Vírgula 3 2 2 3 5 2 2 3 2" xfId="49339"/>
    <cellStyle name="Vírgula 3 2 2 3 5 2 2 4" xfId="17189"/>
    <cellStyle name="Vírgula 3 2 2 3 5 2 2 4 2" xfId="43431"/>
    <cellStyle name="Vírgula 3 2 2 3 5 2 2 5" xfId="37045"/>
    <cellStyle name="Vírgula 3 2 2 3 5 2 3" xfId="26060"/>
    <cellStyle name="Vírgula 3 2 2 3 5 2 3 2" xfId="52293"/>
    <cellStyle name="Vírgula 3 2 2 3 5 2 4" xfId="20146"/>
    <cellStyle name="Vírgula 3 2 2 3 5 2 4 2" xfId="46385"/>
    <cellStyle name="Vírgula 3 2 2 3 5 2 5" xfId="14063"/>
    <cellStyle name="Vírgula 3 2 2 3 5 2 5 2" xfId="40305"/>
    <cellStyle name="Vírgula 3 2 2 3 5 2 6" xfId="33919"/>
    <cellStyle name="Vírgula 3 2 2 3 5 3" xfId="9335"/>
    <cellStyle name="Vírgula 3 2 2 3 5 3 2" xfId="27549"/>
    <cellStyle name="Vírgula 3 2 2 3 5 3 2 2" xfId="53779"/>
    <cellStyle name="Vírgula 3 2 2 3 5 3 3" xfId="21635"/>
    <cellStyle name="Vírgula 3 2 2 3 5 3 3 2" xfId="47871"/>
    <cellStyle name="Vírgula 3 2 2 3 5 3 4" xfId="15721"/>
    <cellStyle name="Vírgula 3 2 2 3 5 3 4 2" xfId="41963"/>
    <cellStyle name="Vírgula 3 2 2 3 5 3 5" xfId="35577"/>
    <cellStyle name="Vírgula 3 2 2 3 5 4" xfId="24592"/>
    <cellStyle name="Vírgula 3 2 2 3 5 4 2" xfId="50825"/>
    <cellStyle name="Vírgula 3 2 2 3 5 5" xfId="18678"/>
    <cellStyle name="Vírgula 3 2 2 3 5 5 2" xfId="44917"/>
    <cellStyle name="Vírgula 3 2 2 3 5 6" xfId="12362"/>
    <cellStyle name="Vírgula 3 2 2 3 5 6 2" xfId="38604"/>
    <cellStyle name="Vírgula 3 2 2 3 5 7" xfId="32219"/>
    <cellStyle name="Vírgula 3 2 2 3 6" xfId="6444"/>
    <cellStyle name="Vírgula 3 2 2 3 6 2" xfId="9603"/>
    <cellStyle name="Vírgula 3 2 2 3 6 2 2" xfId="27817"/>
    <cellStyle name="Vírgula 3 2 2 3 6 2 2 2" xfId="54047"/>
    <cellStyle name="Vírgula 3 2 2 3 6 2 3" xfId="21903"/>
    <cellStyle name="Vírgula 3 2 2 3 6 2 3 2" xfId="48139"/>
    <cellStyle name="Vírgula 3 2 2 3 6 2 4" xfId="15989"/>
    <cellStyle name="Vírgula 3 2 2 3 6 2 4 2" xfId="42231"/>
    <cellStyle name="Vírgula 3 2 2 3 6 2 5" xfId="35845"/>
    <cellStyle name="Vírgula 3 2 2 3 6 3" xfId="24860"/>
    <cellStyle name="Vírgula 3 2 2 3 6 3 2" xfId="51093"/>
    <cellStyle name="Vírgula 3 2 2 3 6 4" xfId="18946"/>
    <cellStyle name="Vírgula 3 2 2 3 6 4 2" xfId="45185"/>
    <cellStyle name="Vírgula 3 2 2 3 6 5" xfId="12833"/>
    <cellStyle name="Vírgula 3 2 2 3 6 5 2" xfId="39075"/>
    <cellStyle name="Vírgula 3 2 2 3 6 6" xfId="32689"/>
    <cellStyle name="Vírgula 3 2 2 3 7" xfId="8132"/>
    <cellStyle name="Vírgula 3 2 2 3 7 2" xfId="26346"/>
    <cellStyle name="Vírgula 3 2 2 3 7 2 2" xfId="52579"/>
    <cellStyle name="Vírgula 3 2 2 3 7 3" xfId="20432"/>
    <cellStyle name="Vírgula 3 2 2 3 7 3 2" xfId="46671"/>
    <cellStyle name="Vírgula 3 2 2 3 7 4" xfId="14521"/>
    <cellStyle name="Vírgula 3 2 2 3 7 4 2" xfId="40763"/>
    <cellStyle name="Vírgula 3 2 2 3 7 5" xfId="34377"/>
    <cellStyle name="Vírgula 3 2 2 3 8" xfId="4741"/>
    <cellStyle name="Vírgula 3 2 2 3 8 2" xfId="23389"/>
    <cellStyle name="Vírgula 3 2 2 3 8 2 2" xfId="49625"/>
    <cellStyle name="Vírgula 3 2 2 3 8 3" xfId="30990"/>
    <cellStyle name="Vírgula 3 2 2 3 9" xfId="17475"/>
    <cellStyle name="Vírgula 3 2 2 3 9 2" xfId="43717"/>
    <cellStyle name="Vírgula 3 2 2 4" xfId="4350"/>
    <cellStyle name="Vírgula 3 2 2 4 2" xfId="7751"/>
    <cellStyle name="Vírgula 3 2 2 4 2 2" xfId="10846"/>
    <cellStyle name="Vírgula 3 2 2 4 2 2 2" xfId="29060"/>
    <cellStyle name="Vírgula 3 2 2 4 2 2 2 2" xfId="55290"/>
    <cellStyle name="Vírgula 3 2 2 4 2 2 3" xfId="23146"/>
    <cellStyle name="Vírgula 3 2 2 4 2 2 3 2" xfId="49382"/>
    <cellStyle name="Vírgula 3 2 2 4 2 2 4" xfId="17232"/>
    <cellStyle name="Vírgula 3 2 2 4 2 2 4 2" xfId="43474"/>
    <cellStyle name="Vírgula 3 2 2 4 2 2 5" xfId="37088"/>
    <cellStyle name="Vírgula 3 2 2 4 2 3" xfId="26103"/>
    <cellStyle name="Vírgula 3 2 2 4 2 3 2" xfId="52336"/>
    <cellStyle name="Vírgula 3 2 2 4 2 4" xfId="20189"/>
    <cellStyle name="Vírgula 3 2 2 4 2 4 2" xfId="46428"/>
    <cellStyle name="Vírgula 3 2 2 4 2 5" xfId="14140"/>
    <cellStyle name="Vírgula 3 2 2 4 2 5 2" xfId="40382"/>
    <cellStyle name="Vírgula 3 2 2 4 2 6" xfId="33996"/>
    <cellStyle name="Vírgula 3 2 2 4 3" xfId="9378"/>
    <cellStyle name="Vírgula 3 2 2 4 3 2" xfId="27592"/>
    <cellStyle name="Vírgula 3 2 2 4 3 2 2" xfId="53822"/>
    <cellStyle name="Vírgula 3 2 2 4 3 3" xfId="21678"/>
    <cellStyle name="Vírgula 3 2 2 4 3 3 2" xfId="47914"/>
    <cellStyle name="Vírgula 3 2 2 4 3 4" xfId="15764"/>
    <cellStyle name="Vírgula 3 2 2 4 3 4 2" xfId="42006"/>
    <cellStyle name="Vírgula 3 2 2 4 3 5" xfId="35620"/>
    <cellStyle name="Vírgula 3 2 2 4 4" xfId="6051"/>
    <cellStyle name="Vírgula 3 2 2 4 4 2" xfId="24635"/>
    <cellStyle name="Vírgula 3 2 2 4 4 2 2" xfId="50868"/>
    <cellStyle name="Vírgula 3 2 2 4 4 3" xfId="32296"/>
    <cellStyle name="Vírgula 3 2 2 4 5" xfId="18721"/>
    <cellStyle name="Vírgula 3 2 2 4 5 2" xfId="44960"/>
    <cellStyle name="Vírgula 3 2 2 4 6" xfId="12439"/>
    <cellStyle name="Vírgula 3 2 2 4 6 2" xfId="38681"/>
    <cellStyle name="Vírgula 3 2 2 4 7" xfId="30599"/>
    <cellStyle name="Vírgula 3 2 2 5" xfId="4458"/>
    <cellStyle name="Vírgula 3 2 2 5 2" xfId="7860"/>
    <cellStyle name="Vírgula 3 2 2 5 2 2" xfId="10908"/>
    <cellStyle name="Vírgula 3 2 2 5 2 2 2" xfId="29122"/>
    <cellStyle name="Vírgula 3 2 2 5 2 2 2 2" xfId="55352"/>
    <cellStyle name="Vírgula 3 2 2 5 2 2 3" xfId="23208"/>
    <cellStyle name="Vírgula 3 2 2 5 2 2 3 2" xfId="49444"/>
    <cellStyle name="Vírgula 3 2 2 5 2 2 4" xfId="17294"/>
    <cellStyle name="Vírgula 3 2 2 5 2 2 4 2" xfId="43536"/>
    <cellStyle name="Vírgula 3 2 2 5 2 2 5" xfId="37150"/>
    <cellStyle name="Vírgula 3 2 2 5 2 3" xfId="26165"/>
    <cellStyle name="Vírgula 3 2 2 5 2 3 2" xfId="52398"/>
    <cellStyle name="Vírgula 3 2 2 5 2 4" xfId="20251"/>
    <cellStyle name="Vírgula 3 2 2 5 2 4 2" xfId="46490"/>
    <cellStyle name="Vírgula 3 2 2 5 2 5" xfId="14249"/>
    <cellStyle name="Vírgula 3 2 2 5 2 5 2" xfId="40491"/>
    <cellStyle name="Vírgula 3 2 2 5 2 6" xfId="34105"/>
    <cellStyle name="Vírgula 3 2 2 5 3" xfId="9440"/>
    <cellStyle name="Vírgula 3 2 2 5 3 2" xfId="27654"/>
    <cellStyle name="Vírgula 3 2 2 5 3 2 2" xfId="53884"/>
    <cellStyle name="Vírgula 3 2 2 5 3 3" xfId="21740"/>
    <cellStyle name="Vírgula 3 2 2 5 3 3 2" xfId="47976"/>
    <cellStyle name="Vírgula 3 2 2 5 3 4" xfId="15826"/>
    <cellStyle name="Vírgula 3 2 2 5 3 4 2" xfId="42068"/>
    <cellStyle name="Vírgula 3 2 2 5 3 5" xfId="35682"/>
    <cellStyle name="Vírgula 3 2 2 5 4" xfId="6160"/>
    <cellStyle name="Vírgula 3 2 2 5 4 2" xfId="24697"/>
    <cellStyle name="Vírgula 3 2 2 5 4 2 2" xfId="50930"/>
    <cellStyle name="Vírgula 3 2 2 5 4 3" xfId="32405"/>
    <cellStyle name="Vírgula 3 2 2 5 5" xfId="18783"/>
    <cellStyle name="Vírgula 3 2 2 5 5 2" xfId="45022"/>
    <cellStyle name="Vírgula 3 2 2 5 6" xfId="12548"/>
    <cellStyle name="Vírgula 3 2 2 5 6 2" xfId="38790"/>
    <cellStyle name="Vírgula 3 2 2 5 7" xfId="30707"/>
    <cellStyle name="Vírgula 3 2 2 6" xfId="4566"/>
    <cellStyle name="Vírgula 3 2 2 6 2" xfId="7968"/>
    <cellStyle name="Vírgula 3 2 2 6 2 2" xfId="10970"/>
    <cellStyle name="Vírgula 3 2 2 6 2 2 2" xfId="29184"/>
    <cellStyle name="Vírgula 3 2 2 6 2 2 2 2" xfId="55414"/>
    <cellStyle name="Vírgula 3 2 2 6 2 2 3" xfId="23270"/>
    <cellStyle name="Vírgula 3 2 2 6 2 2 3 2" xfId="49506"/>
    <cellStyle name="Vírgula 3 2 2 6 2 2 4" xfId="17356"/>
    <cellStyle name="Vírgula 3 2 2 6 2 2 4 2" xfId="43598"/>
    <cellStyle name="Vírgula 3 2 2 6 2 2 5" xfId="37212"/>
    <cellStyle name="Vírgula 3 2 2 6 2 3" xfId="26227"/>
    <cellStyle name="Vírgula 3 2 2 6 2 3 2" xfId="52460"/>
    <cellStyle name="Vírgula 3 2 2 6 2 4" xfId="20313"/>
    <cellStyle name="Vírgula 3 2 2 6 2 4 2" xfId="46552"/>
    <cellStyle name="Vírgula 3 2 2 6 2 5" xfId="14357"/>
    <cellStyle name="Vírgula 3 2 2 6 2 5 2" xfId="40599"/>
    <cellStyle name="Vírgula 3 2 2 6 2 6" xfId="34213"/>
    <cellStyle name="Vírgula 3 2 2 6 3" xfId="9502"/>
    <cellStyle name="Vírgula 3 2 2 6 3 2" xfId="27716"/>
    <cellStyle name="Vírgula 3 2 2 6 3 2 2" xfId="53946"/>
    <cellStyle name="Vírgula 3 2 2 6 3 3" xfId="21802"/>
    <cellStyle name="Vírgula 3 2 2 6 3 3 2" xfId="48038"/>
    <cellStyle name="Vírgula 3 2 2 6 3 4" xfId="15888"/>
    <cellStyle name="Vírgula 3 2 2 6 3 4 2" xfId="42130"/>
    <cellStyle name="Vírgula 3 2 2 6 3 5" xfId="35744"/>
    <cellStyle name="Vírgula 3 2 2 6 4" xfId="6267"/>
    <cellStyle name="Vírgula 3 2 2 6 4 2" xfId="24759"/>
    <cellStyle name="Vírgula 3 2 2 6 4 2 2" xfId="50992"/>
    <cellStyle name="Vírgula 3 2 2 6 4 3" xfId="32512"/>
    <cellStyle name="Vírgula 3 2 2 6 5" xfId="18845"/>
    <cellStyle name="Vírgula 3 2 2 6 5 2" xfId="45084"/>
    <cellStyle name="Vírgula 3 2 2 6 6" xfId="12656"/>
    <cellStyle name="Vírgula 3 2 2 6 6 2" xfId="38898"/>
    <cellStyle name="Vírgula 3 2 2 6 7" xfId="30815"/>
    <cellStyle name="Vírgula 3 2 2 7" xfId="5302"/>
    <cellStyle name="Vírgula 3 2 2 7 2" xfId="7001"/>
    <cellStyle name="Vírgula 3 2 2 7 2 2" xfId="10148"/>
    <cellStyle name="Vírgula 3 2 2 7 2 2 2" xfId="28362"/>
    <cellStyle name="Vírgula 3 2 2 7 2 2 2 2" xfId="54592"/>
    <cellStyle name="Vírgula 3 2 2 7 2 2 3" xfId="22448"/>
    <cellStyle name="Vírgula 3 2 2 7 2 2 3 2" xfId="48684"/>
    <cellStyle name="Vírgula 3 2 2 7 2 2 4" xfId="16534"/>
    <cellStyle name="Vírgula 3 2 2 7 2 2 4 2" xfId="42776"/>
    <cellStyle name="Vírgula 3 2 2 7 2 2 5" xfId="36390"/>
    <cellStyle name="Vírgula 3 2 2 7 2 3" xfId="25405"/>
    <cellStyle name="Vírgula 3 2 2 7 2 3 2" xfId="51638"/>
    <cellStyle name="Vírgula 3 2 2 7 2 4" xfId="19491"/>
    <cellStyle name="Vírgula 3 2 2 7 2 4 2" xfId="45730"/>
    <cellStyle name="Vírgula 3 2 2 7 2 5" xfId="13390"/>
    <cellStyle name="Vírgula 3 2 2 7 2 5 2" xfId="39632"/>
    <cellStyle name="Vírgula 3 2 2 7 2 6" xfId="33246"/>
    <cellStyle name="Vírgula 3 2 2 7 3" xfId="8680"/>
    <cellStyle name="Vírgula 3 2 2 7 3 2" xfId="26894"/>
    <cellStyle name="Vírgula 3 2 2 7 3 2 2" xfId="53124"/>
    <cellStyle name="Vírgula 3 2 2 7 3 3" xfId="20980"/>
    <cellStyle name="Vírgula 3 2 2 7 3 3 2" xfId="47216"/>
    <cellStyle name="Vírgula 3 2 2 7 3 4" xfId="15066"/>
    <cellStyle name="Vírgula 3 2 2 7 3 4 2" xfId="41308"/>
    <cellStyle name="Vírgula 3 2 2 7 3 5" xfId="34922"/>
    <cellStyle name="Vírgula 3 2 2 7 4" xfId="23937"/>
    <cellStyle name="Vírgula 3 2 2 7 4 2" xfId="50170"/>
    <cellStyle name="Vírgula 3 2 2 7 5" xfId="18023"/>
    <cellStyle name="Vírgula 3 2 2 7 5 2" xfId="44262"/>
    <cellStyle name="Vírgula 3 2 2 7 6" xfId="11689"/>
    <cellStyle name="Vírgula 3 2 2 7 6 2" xfId="37931"/>
    <cellStyle name="Vírgula 3 2 2 7 7" xfId="31547"/>
    <cellStyle name="Vírgula 3 2 2 8" xfId="6376"/>
    <cellStyle name="Vírgula 3 2 2 8 2" xfId="9564"/>
    <cellStyle name="Vírgula 3 2 2 8 2 2" xfId="27778"/>
    <cellStyle name="Vírgula 3 2 2 8 2 2 2" xfId="54008"/>
    <cellStyle name="Vírgula 3 2 2 8 2 3" xfId="21864"/>
    <cellStyle name="Vírgula 3 2 2 8 2 3 2" xfId="48100"/>
    <cellStyle name="Vírgula 3 2 2 8 2 4" xfId="15950"/>
    <cellStyle name="Vírgula 3 2 2 8 2 4 2" xfId="42192"/>
    <cellStyle name="Vírgula 3 2 2 8 2 5" xfId="35806"/>
    <cellStyle name="Vírgula 3 2 2 8 3" xfId="24821"/>
    <cellStyle name="Vírgula 3 2 2 8 3 2" xfId="51054"/>
    <cellStyle name="Vírgula 3 2 2 8 4" xfId="18907"/>
    <cellStyle name="Vírgula 3 2 2 8 4 2" xfId="45146"/>
    <cellStyle name="Vírgula 3 2 2 8 5" xfId="12765"/>
    <cellStyle name="Vírgula 3 2 2 8 5 2" xfId="39007"/>
    <cellStyle name="Vírgula 3 2 2 8 6" xfId="32621"/>
    <cellStyle name="Vírgula 3 2 2 9" xfId="8068"/>
    <cellStyle name="Vírgula 3 2 2 9 2" xfId="11028"/>
    <cellStyle name="Vírgula 3 2 2 9 2 2" xfId="29242"/>
    <cellStyle name="Vírgula 3 2 2 9 2 2 2" xfId="55472"/>
    <cellStyle name="Vírgula 3 2 2 9 2 3" xfId="23328"/>
    <cellStyle name="Vírgula 3 2 2 9 2 3 2" xfId="49564"/>
    <cellStyle name="Vírgula 3 2 2 9 2 4" xfId="17414"/>
    <cellStyle name="Vírgula 3 2 2 9 2 4 2" xfId="43656"/>
    <cellStyle name="Vírgula 3 2 2 9 2 5" xfId="37270"/>
    <cellStyle name="Vírgula 3 2 2 9 3" xfId="26285"/>
    <cellStyle name="Vírgula 3 2 2 9 3 2" xfId="52518"/>
    <cellStyle name="Vírgula 3 2 2 9 4" xfId="20371"/>
    <cellStyle name="Vírgula 3 2 2 9 4 2" xfId="46610"/>
    <cellStyle name="Vírgula 3 2 2 9 5" xfId="14457"/>
    <cellStyle name="Vírgula 3 2 2 9 5 2" xfId="40699"/>
    <cellStyle name="Vírgula 3 2 2 9 6" xfId="34313"/>
    <cellStyle name="Vírgula 3 2 3" xfId="2482"/>
    <cellStyle name="Vírgula 3 2 3 10" xfId="17447"/>
    <cellStyle name="Vírgula 3 2 3 10 2" xfId="43689"/>
    <cellStyle name="Vírgula 3 2 3 11" xfId="11084"/>
    <cellStyle name="Vírgula 3 2 3 11 2" xfId="37326"/>
    <cellStyle name="Vírgula 3 2 3 12" xfId="29999"/>
    <cellStyle name="Vírgula 3 2 3 2" xfId="4293"/>
    <cellStyle name="Vírgula 3 2 3 2 2" xfId="7694"/>
    <cellStyle name="Vírgula 3 2 3 2 2 2" xfId="10814"/>
    <cellStyle name="Vírgula 3 2 3 2 2 2 2" xfId="29028"/>
    <cellStyle name="Vírgula 3 2 3 2 2 2 2 2" xfId="55258"/>
    <cellStyle name="Vírgula 3 2 3 2 2 2 3" xfId="23114"/>
    <cellStyle name="Vírgula 3 2 3 2 2 2 3 2" xfId="49350"/>
    <cellStyle name="Vírgula 3 2 3 2 2 2 4" xfId="17200"/>
    <cellStyle name="Vírgula 3 2 3 2 2 2 4 2" xfId="43442"/>
    <cellStyle name="Vírgula 3 2 3 2 2 2 5" xfId="37056"/>
    <cellStyle name="Vírgula 3 2 3 2 2 3" xfId="26071"/>
    <cellStyle name="Vírgula 3 2 3 2 2 3 2" xfId="52304"/>
    <cellStyle name="Vírgula 3 2 3 2 2 4" xfId="20157"/>
    <cellStyle name="Vírgula 3 2 3 2 2 4 2" xfId="46396"/>
    <cellStyle name="Vírgula 3 2 3 2 2 5" xfId="14083"/>
    <cellStyle name="Vírgula 3 2 3 2 2 5 2" xfId="40325"/>
    <cellStyle name="Vírgula 3 2 3 2 2 6" xfId="33939"/>
    <cellStyle name="Vírgula 3 2 3 2 3" xfId="9346"/>
    <cellStyle name="Vírgula 3 2 3 2 3 2" xfId="27560"/>
    <cellStyle name="Vírgula 3 2 3 2 3 2 2" xfId="53790"/>
    <cellStyle name="Vírgula 3 2 3 2 3 3" xfId="21646"/>
    <cellStyle name="Vírgula 3 2 3 2 3 3 2" xfId="47882"/>
    <cellStyle name="Vírgula 3 2 3 2 3 4" xfId="15732"/>
    <cellStyle name="Vírgula 3 2 3 2 3 4 2" xfId="41974"/>
    <cellStyle name="Vírgula 3 2 3 2 3 5" xfId="35588"/>
    <cellStyle name="Vírgula 3 2 3 2 4" xfId="5994"/>
    <cellStyle name="Vírgula 3 2 3 2 4 2" xfId="24603"/>
    <cellStyle name="Vírgula 3 2 3 2 4 2 2" xfId="50836"/>
    <cellStyle name="Vírgula 3 2 3 2 4 3" xfId="32239"/>
    <cellStyle name="Vírgula 3 2 3 2 5" xfId="18689"/>
    <cellStyle name="Vírgula 3 2 3 2 5 2" xfId="44928"/>
    <cellStyle name="Vírgula 3 2 3 2 6" xfId="12382"/>
    <cellStyle name="Vírgula 3 2 3 2 6 2" xfId="38624"/>
    <cellStyle name="Vírgula 3 2 3 2 7" xfId="30542"/>
    <cellStyle name="Vírgula 3 2 3 3" xfId="4370"/>
    <cellStyle name="Vírgula 3 2 3 3 2" xfId="7771"/>
    <cellStyle name="Vírgula 3 2 3 3 2 2" xfId="10857"/>
    <cellStyle name="Vírgula 3 2 3 3 2 2 2" xfId="29071"/>
    <cellStyle name="Vírgula 3 2 3 3 2 2 2 2" xfId="55301"/>
    <cellStyle name="Vírgula 3 2 3 3 2 2 3" xfId="23157"/>
    <cellStyle name="Vírgula 3 2 3 3 2 2 3 2" xfId="49393"/>
    <cellStyle name="Vírgula 3 2 3 3 2 2 4" xfId="17243"/>
    <cellStyle name="Vírgula 3 2 3 3 2 2 4 2" xfId="43485"/>
    <cellStyle name="Vírgula 3 2 3 3 2 2 5" xfId="37099"/>
    <cellStyle name="Vírgula 3 2 3 3 2 3" xfId="26114"/>
    <cellStyle name="Vírgula 3 2 3 3 2 3 2" xfId="52347"/>
    <cellStyle name="Vírgula 3 2 3 3 2 4" xfId="20200"/>
    <cellStyle name="Vírgula 3 2 3 3 2 4 2" xfId="46439"/>
    <cellStyle name="Vírgula 3 2 3 3 2 5" xfId="14160"/>
    <cellStyle name="Vírgula 3 2 3 3 2 5 2" xfId="40402"/>
    <cellStyle name="Vírgula 3 2 3 3 2 6" xfId="34016"/>
    <cellStyle name="Vírgula 3 2 3 3 3" xfId="9389"/>
    <cellStyle name="Vírgula 3 2 3 3 3 2" xfId="27603"/>
    <cellStyle name="Vírgula 3 2 3 3 3 2 2" xfId="53833"/>
    <cellStyle name="Vírgula 3 2 3 3 3 3" xfId="21689"/>
    <cellStyle name="Vírgula 3 2 3 3 3 3 2" xfId="47925"/>
    <cellStyle name="Vírgula 3 2 3 3 3 4" xfId="15775"/>
    <cellStyle name="Vírgula 3 2 3 3 3 4 2" xfId="42017"/>
    <cellStyle name="Vírgula 3 2 3 3 3 5" xfId="35631"/>
    <cellStyle name="Vírgula 3 2 3 3 4" xfId="6071"/>
    <cellStyle name="Vírgula 3 2 3 3 4 2" xfId="24646"/>
    <cellStyle name="Vírgula 3 2 3 3 4 2 2" xfId="50879"/>
    <cellStyle name="Vírgula 3 2 3 3 4 3" xfId="32316"/>
    <cellStyle name="Vírgula 3 2 3 3 5" xfId="18732"/>
    <cellStyle name="Vírgula 3 2 3 3 5 2" xfId="44971"/>
    <cellStyle name="Vírgula 3 2 3 3 6" xfId="12459"/>
    <cellStyle name="Vírgula 3 2 3 3 6 2" xfId="38701"/>
    <cellStyle name="Vírgula 3 2 3 3 7" xfId="30619"/>
    <cellStyle name="Vírgula 3 2 3 4" xfId="4478"/>
    <cellStyle name="Vírgula 3 2 3 4 2" xfId="7880"/>
    <cellStyle name="Vírgula 3 2 3 4 2 2" xfId="10919"/>
    <cellStyle name="Vírgula 3 2 3 4 2 2 2" xfId="29133"/>
    <cellStyle name="Vírgula 3 2 3 4 2 2 2 2" xfId="55363"/>
    <cellStyle name="Vírgula 3 2 3 4 2 2 3" xfId="23219"/>
    <cellStyle name="Vírgula 3 2 3 4 2 2 3 2" xfId="49455"/>
    <cellStyle name="Vírgula 3 2 3 4 2 2 4" xfId="17305"/>
    <cellStyle name="Vírgula 3 2 3 4 2 2 4 2" xfId="43547"/>
    <cellStyle name="Vírgula 3 2 3 4 2 2 5" xfId="37161"/>
    <cellStyle name="Vírgula 3 2 3 4 2 3" xfId="26176"/>
    <cellStyle name="Vírgula 3 2 3 4 2 3 2" xfId="52409"/>
    <cellStyle name="Vírgula 3 2 3 4 2 4" xfId="20262"/>
    <cellStyle name="Vírgula 3 2 3 4 2 4 2" xfId="46501"/>
    <cellStyle name="Vírgula 3 2 3 4 2 5" xfId="14269"/>
    <cellStyle name="Vírgula 3 2 3 4 2 5 2" xfId="40511"/>
    <cellStyle name="Vírgula 3 2 3 4 2 6" xfId="34125"/>
    <cellStyle name="Vírgula 3 2 3 4 3" xfId="9451"/>
    <cellStyle name="Vírgula 3 2 3 4 3 2" xfId="27665"/>
    <cellStyle name="Vírgula 3 2 3 4 3 2 2" xfId="53895"/>
    <cellStyle name="Vírgula 3 2 3 4 3 3" xfId="21751"/>
    <cellStyle name="Vírgula 3 2 3 4 3 3 2" xfId="47987"/>
    <cellStyle name="Vírgula 3 2 3 4 3 4" xfId="15837"/>
    <cellStyle name="Vírgula 3 2 3 4 3 4 2" xfId="42079"/>
    <cellStyle name="Vírgula 3 2 3 4 3 5" xfId="35693"/>
    <cellStyle name="Vírgula 3 2 3 4 4" xfId="6180"/>
    <cellStyle name="Vírgula 3 2 3 4 4 2" xfId="24708"/>
    <cellStyle name="Vírgula 3 2 3 4 4 2 2" xfId="50941"/>
    <cellStyle name="Vírgula 3 2 3 4 4 3" xfId="32425"/>
    <cellStyle name="Vírgula 3 2 3 4 5" xfId="18794"/>
    <cellStyle name="Vírgula 3 2 3 4 5 2" xfId="45033"/>
    <cellStyle name="Vírgula 3 2 3 4 6" xfId="12568"/>
    <cellStyle name="Vírgula 3 2 3 4 6 2" xfId="38810"/>
    <cellStyle name="Vírgula 3 2 3 4 7" xfId="30727"/>
    <cellStyle name="Vírgula 3 2 3 5" xfId="4586"/>
    <cellStyle name="Vírgula 3 2 3 5 2" xfId="7988"/>
    <cellStyle name="Vírgula 3 2 3 5 2 2" xfId="10981"/>
    <cellStyle name="Vírgula 3 2 3 5 2 2 2" xfId="29195"/>
    <cellStyle name="Vírgula 3 2 3 5 2 2 2 2" xfId="55425"/>
    <cellStyle name="Vírgula 3 2 3 5 2 2 3" xfId="23281"/>
    <cellStyle name="Vírgula 3 2 3 5 2 2 3 2" xfId="49517"/>
    <cellStyle name="Vírgula 3 2 3 5 2 2 4" xfId="17367"/>
    <cellStyle name="Vírgula 3 2 3 5 2 2 4 2" xfId="43609"/>
    <cellStyle name="Vírgula 3 2 3 5 2 2 5" xfId="37223"/>
    <cellStyle name="Vírgula 3 2 3 5 2 3" xfId="26238"/>
    <cellStyle name="Vírgula 3 2 3 5 2 3 2" xfId="52471"/>
    <cellStyle name="Vírgula 3 2 3 5 2 4" xfId="20324"/>
    <cellStyle name="Vírgula 3 2 3 5 2 4 2" xfId="46563"/>
    <cellStyle name="Vírgula 3 2 3 5 2 5" xfId="14377"/>
    <cellStyle name="Vírgula 3 2 3 5 2 5 2" xfId="40619"/>
    <cellStyle name="Vírgula 3 2 3 5 2 6" xfId="34233"/>
    <cellStyle name="Vírgula 3 2 3 5 3" xfId="9513"/>
    <cellStyle name="Vírgula 3 2 3 5 3 2" xfId="27727"/>
    <cellStyle name="Vírgula 3 2 3 5 3 2 2" xfId="53957"/>
    <cellStyle name="Vírgula 3 2 3 5 3 3" xfId="21813"/>
    <cellStyle name="Vírgula 3 2 3 5 3 3 2" xfId="48049"/>
    <cellStyle name="Vírgula 3 2 3 5 3 4" xfId="15899"/>
    <cellStyle name="Vírgula 3 2 3 5 3 4 2" xfId="42141"/>
    <cellStyle name="Vírgula 3 2 3 5 3 5" xfId="35755"/>
    <cellStyle name="Vírgula 3 2 3 5 4" xfId="6287"/>
    <cellStyle name="Vírgula 3 2 3 5 4 2" xfId="24770"/>
    <cellStyle name="Vírgula 3 2 3 5 4 2 2" xfId="51003"/>
    <cellStyle name="Vírgula 3 2 3 5 4 3" xfId="32532"/>
    <cellStyle name="Vírgula 3 2 3 5 5" xfId="18856"/>
    <cellStyle name="Vírgula 3 2 3 5 5 2" xfId="45095"/>
    <cellStyle name="Vírgula 3 2 3 5 6" xfId="12676"/>
    <cellStyle name="Vírgula 3 2 3 5 6 2" xfId="38918"/>
    <cellStyle name="Vírgula 3 2 3 5 7" xfId="30835"/>
    <cellStyle name="Vírgula 3 2 3 6" xfId="5452"/>
    <cellStyle name="Vírgula 3 2 3 6 2" xfId="7151"/>
    <cellStyle name="Vírgula 3 2 3 6 2 2" xfId="10295"/>
    <cellStyle name="Vírgula 3 2 3 6 2 2 2" xfId="28509"/>
    <cellStyle name="Vírgula 3 2 3 6 2 2 2 2" xfId="54739"/>
    <cellStyle name="Vírgula 3 2 3 6 2 2 3" xfId="22595"/>
    <cellStyle name="Vírgula 3 2 3 6 2 2 3 2" xfId="48831"/>
    <cellStyle name="Vírgula 3 2 3 6 2 2 4" xfId="16681"/>
    <cellStyle name="Vírgula 3 2 3 6 2 2 4 2" xfId="42923"/>
    <cellStyle name="Vírgula 3 2 3 6 2 2 5" xfId="36537"/>
    <cellStyle name="Vírgula 3 2 3 6 2 3" xfId="25552"/>
    <cellStyle name="Vírgula 3 2 3 6 2 3 2" xfId="51785"/>
    <cellStyle name="Vírgula 3 2 3 6 2 4" xfId="19638"/>
    <cellStyle name="Vírgula 3 2 3 6 2 4 2" xfId="45877"/>
    <cellStyle name="Vírgula 3 2 3 6 2 5" xfId="13540"/>
    <cellStyle name="Vírgula 3 2 3 6 2 5 2" xfId="39782"/>
    <cellStyle name="Vírgula 3 2 3 6 2 6" xfId="33396"/>
    <cellStyle name="Vírgula 3 2 3 6 3" xfId="8827"/>
    <cellStyle name="Vírgula 3 2 3 6 3 2" xfId="27041"/>
    <cellStyle name="Vírgula 3 2 3 6 3 2 2" xfId="53271"/>
    <cellStyle name="Vírgula 3 2 3 6 3 3" xfId="21127"/>
    <cellStyle name="Vírgula 3 2 3 6 3 3 2" xfId="47363"/>
    <cellStyle name="Vírgula 3 2 3 6 3 4" xfId="15213"/>
    <cellStyle name="Vírgula 3 2 3 6 3 4 2" xfId="41455"/>
    <cellStyle name="Vírgula 3 2 3 6 3 5" xfId="35069"/>
    <cellStyle name="Vírgula 3 2 3 6 4" xfId="24084"/>
    <cellStyle name="Vírgula 3 2 3 6 4 2" xfId="50317"/>
    <cellStyle name="Vírgula 3 2 3 6 5" xfId="18170"/>
    <cellStyle name="Vírgula 3 2 3 6 5 2" xfId="44409"/>
    <cellStyle name="Vírgula 3 2 3 6 6" xfId="11839"/>
    <cellStyle name="Vírgula 3 2 3 6 6 2" xfId="38081"/>
    <cellStyle name="Vírgula 3 2 3 6 7" xfId="31697"/>
    <cellStyle name="Vírgula 3 2 3 7" xfId="6396"/>
    <cellStyle name="Vírgula 3 2 3 7 2" xfId="9575"/>
    <cellStyle name="Vírgula 3 2 3 7 2 2" xfId="27789"/>
    <cellStyle name="Vírgula 3 2 3 7 2 2 2" xfId="54019"/>
    <cellStyle name="Vírgula 3 2 3 7 2 3" xfId="21875"/>
    <cellStyle name="Vírgula 3 2 3 7 2 3 2" xfId="48111"/>
    <cellStyle name="Vírgula 3 2 3 7 2 4" xfId="15961"/>
    <cellStyle name="Vírgula 3 2 3 7 2 4 2" xfId="42203"/>
    <cellStyle name="Vírgula 3 2 3 7 2 5" xfId="35817"/>
    <cellStyle name="Vírgula 3 2 3 7 3" xfId="24832"/>
    <cellStyle name="Vírgula 3 2 3 7 3 2" xfId="51065"/>
    <cellStyle name="Vírgula 3 2 3 7 4" xfId="18918"/>
    <cellStyle name="Vírgula 3 2 3 7 4 2" xfId="45157"/>
    <cellStyle name="Vírgula 3 2 3 7 5" xfId="12785"/>
    <cellStyle name="Vírgula 3 2 3 7 5 2" xfId="39027"/>
    <cellStyle name="Vírgula 3 2 3 7 6" xfId="32641"/>
    <cellStyle name="Vírgula 3 2 3 8" xfId="8104"/>
    <cellStyle name="Vírgula 3 2 3 8 2" xfId="26318"/>
    <cellStyle name="Vírgula 3 2 3 8 2 2" xfId="52551"/>
    <cellStyle name="Vírgula 3 2 3 8 3" xfId="20404"/>
    <cellStyle name="Vírgula 3 2 3 8 3 2" xfId="46643"/>
    <cellStyle name="Vírgula 3 2 3 8 4" xfId="14493"/>
    <cellStyle name="Vírgula 3 2 3 8 4 2" xfId="40735"/>
    <cellStyle name="Vírgula 3 2 3 8 5" xfId="34349"/>
    <cellStyle name="Vírgula 3 2 3 9" xfId="4693"/>
    <cellStyle name="Vírgula 3 2 3 9 2" xfId="23361"/>
    <cellStyle name="Vírgula 3 2 3 9 2 2" xfId="49597"/>
    <cellStyle name="Vírgula 3 2 3 9 3" xfId="30942"/>
    <cellStyle name="Vírgula 3 2 4" xfId="3009"/>
    <cellStyle name="Vírgula 3 2 4 10" xfId="11116"/>
    <cellStyle name="Vírgula 3 2 4 10 2" xfId="37358"/>
    <cellStyle name="Vírgula 3 2 4 11" xfId="30146"/>
    <cellStyle name="Vírgula 3 2 4 2" xfId="4402"/>
    <cellStyle name="Vírgula 3 2 4 2 2" xfId="7803"/>
    <cellStyle name="Vírgula 3 2 4 2 2 2" xfId="10876"/>
    <cellStyle name="Vírgula 3 2 4 2 2 2 2" xfId="29090"/>
    <cellStyle name="Vírgula 3 2 4 2 2 2 2 2" xfId="55320"/>
    <cellStyle name="Vírgula 3 2 4 2 2 2 3" xfId="23176"/>
    <cellStyle name="Vírgula 3 2 4 2 2 2 3 2" xfId="49412"/>
    <cellStyle name="Vírgula 3 2 4 2 2 2 4" xfId="17262"/>
    <cellStyle name="Vírgula 3 2 4 2 2 2 4 2" xfId="43504"/>
    <cellStyle name="Vírgula 3 2 4 2 2 2 5" xfId="37118"/>
    <cellStyle name="Vírgula 3 2 4 2 2 3" xfId="26133"/>
    <cellStyle name="Vírgula 3 2 4 2 2 3 2" xfId="52366"/>
    <cellStyle name="Vírgula 3 2 4 2 2 4" xfId="20219"/>
    <cellStyle name="Vírgula 3 2 4 2 2 4 2" xfId="46458"/>
    <cellStyle name="Vírgula 3 2 4 2 2 5" xfId="14192"/>
    <cellStyle name="Vírgula 3 2 4 2 2 5 2" xfId="40434"/>
    <cellStyle name="Vírgula 3 2 4 2 2 6" xfId="34048"/>
    <cellStyle name="Vírgula 3 2 4 2 3" xfId="9408"/>
    <cellStyle name="Vírgula 3 2 4 2 3 2" xfId="27622"/>
    <cellStyle name="Vírgula 3 2 4 2 3 2 2" xfId="53852"/>
    <cellStyle name="Vírgula 3 2 4 2 3 3" xfId="21708"/>
    <cellStyle name="Vírgula 3 2 4 2 3 3 2" xfId="47944"/>
    <cellStyle name="Vírgula 3 2 4 2 3 4" xfId="15794"/>
    <cellStyle name="Vírgula 3 2 4 2 3 4 2" xfId="42036"/>
    <cellStyle name="Vírgula 3 2 4 2 3 5" xfId="35650"/>
    <cellStyle name="Vírgula 3 2 4 2 4" xfId="6103"/>
    <cellStyle name="Vírgula 3 2 4 2 4 2" xfId="24665"/>
    <cellStyle name="Vírgula 3 2 4 2 4 2 2" xfId="50898"/>
    <cellStyle name="Vírgula 3 2 4 2 4 3" xfId="32348"/>
    <cellStyle name="Vírgula 3 2 4 2 5" xfId="18751"/>
    <cellStyle name="Vírgula 3 2 4 2 5 2" xfId="44990"/>
    <cellStyle name="Vírgula 3 2 4 2 6" xfId="12491"/>
    <cellStyle name="Vírgula 3 2 4 2 6 2" xfId="38733"/>
    <cellStyle name="Vírgula 3 2 4 2 7" xfId="30651"/>
    <cellStyle name="Vírgula 3 2 4 3" xfId="4510"/>
    <cellStyle name="Vírgula 3 2 4 3 2" xfId="7912"/>
    <cellStyle name="Vírgula 3 2 4 3 2 2" xfId="10938"/>
    <cellStyle name="Vírgula 3 2 4 3 2 2 2" xfId="29152"/>
    <cellStyle name="Vírgula 3 2 4 3 2 2 2 2" xfId="55382"/>
    <cellStyle name="Vírgula 3 2 4 3 2 2 3" xfId="23238"/>
    <cellStyle name="Vírgula 3 2 4 3 2 2 3 2" xfId="49474"/>
    <cellStyle name="Vírgula 3 2 4 3 2 2 4" xfId="17324"/>
    <cellStyle name="Vírgula 3 2 4 3 2 2 4 2" xfId="43566"/>
    <cellStyle name="Vírgula 3 2 4 3 2 2 5" xfId="37180"/>
    <cellStyle name="Vírgula 3 2 4 3 2 3" xfId="26195"/>
    <cellStyle name="Vírgula 3 2 4 3 2 3 2" xfId="52428"/>
    <cellStyle name="Vírgula 3 2 4 3 2 4" xfId="20281"/>
    <cellStyle name="Vírgula 3 2 4 3 2 4 2" xfId="46520"/>
    <cellStyle name="Vírgula 3 2 4 3 2 5" xfId="14301"/>
    <cellStyle name="Vírgula 3 2 4 3 2 5 2" xfId="40543"/>
    <cellStyle name="Vírgula 3 2 4 3 2 6" xfId="34157"/>
    <cellStyle name="Vírgula 3 2 4 3 3" xfId="9470"/>
    <cellStyle name="Vírgula 3 2 4 3 3 2" xfId="27684"/>
    <cellStyle name="Vírgula 3 2 4 3 3 2 2" xfId="53914"/>
    <cellStyle name="Vírgula 3 2 4 3 3 3" xfId="21770"/>
    <cellStyle name="Vírgula 3 2 4 3 3 3 2" xfId="48006"/>
    <cellStyle name="Vírgula 3 2 4 3 3 4" xfId="15856"/>
    <cellStyle name="Vírgula 3 2 4 3 3 4 2" xfId="42098"/>
    <cellStyle name="Vírgula 3 2 4 3 3 5" xfId="35712"/>
    <cellStyle name="Vírgula 3 2 4 3 4" xfId="6211"/>
    <cellStyle name="Vírgula 3 2 4 3 4 2" xfId="24727"/>
    <cellStyle name="Vírgula 3 2 4 3 4 2 2" xfId="50960"/>
    <cellStyle name="Vírgula 3 2 4 3 4 3" xfId="32456"/>
    <cellStyle name="Vírgula 3 2 4 3 5" xfId="18813"/>
    <cellStyle name="Vírgula 3 2 4 3 5 2" xfId="45052"/>
    <cellStyle name="Vírgula 3 2 4 3 6" xfId="12600"/>
    <cellStyle name="Vírgula 3 2 4 3 6 2" xfId="38842"/>
    <cellStyle name="Vírgula 3 2 4 3 7" xfId="30759"/>
    <cellStyle name="Vírgula 3 2 4 4" xfId="4618"/>
    <cellStyle name="Vírgula 3 2 4 4 2" xfId="8020"/>
    <cellStyle name="Vírgula 3 2 4 4 2 2" xfId="11000"/>
    <cellStyle name="Vírgula 3 2 4 4 2 2 2" xfId="29214"/>
    <cellStyle name="Vírgula 3 2 4 4 2 2 2 2" xfId="55444"/>
    <cellStyle name="Vírgula 3 2 4 4 2 2 3" xfId="23300"/>
    <cellStyle name="Vírgula 3 2 4 4 2 2 3 2" xfId="49536"/>
    <cellStyle name="Vírgula 3 2 4 4 2 2 4" xfId="17386"/>
    <cellStyle name="Vírgula 3 2 4 4 2 2 4 2" xfId="43628"/>
    <cellStyle name="Vírgula 3 2 4 4 2 2 5" xfId="37242"/>
    <cellStyle name="Vírgula 3 2 4 4 2 3" xfId="26257"/>
    <cellStyle name="Vírgula 3 2 4 4 2 3 2" xfId="52490"/>
    <cellStyle name="Vírgula 3 2 4 4 2 4" xfId="20343"/>
    <cellStyle name="Vírgula 3 2 4 4 2 4 2" xfId="46582"/>
    <cellStyle name="Vírgula 3 2 4 4 2 5" xfId="14409"/>
    <cellStyle name="Vírgula 3 2 4 4 2 5 2" xfId="40651"/>
    <cellStyle name="Vírgula 3 2 4 4 2 6" xfId="34265"/>
    <cellStyle name="Vírgula 3 2 4 4 3" xfId="9532"/>
    <cellStyle name="Vírgula 3 2 4 4 3 2" xfId="27746"/>
    <cellStyle name="Vírgula 3 2 4 4 3 2 2" xfId="53976"/>
    <cellStyle name="Vírgula 3 2 4 4 3 3" xfId="21832"/>
    <cellStyle name="Vírgula 3 2 4 4 3 3 2" xfId="48068"/>
    <cellStyle name="Vírgula 3 2 4 4 3 4" xfId="15918"/>
    <cellStyle name="Vírgula 3 2 4 4 3 4 2" xfId="42160"/>
    <cellStyle name="Vírgula 3 2 4 4 3 5" xfId="35774"/>
    <cellStyle name="Vírgula 3 2 4 4 4" xfId="6319"/>
    <cellStyle name="Vírgula 3 2 4 4 4 2" xfId="24789"/>
    <cellStyle name="Vírgula 3 2 4 4 4 2 2" xfId="51022"/>
    <cellStyle name="Vírgula 3 2 4 4 4 3" xfId="32564"/>
    <cellStyle name="Vírgula 3 2 4 4 5" xfId="18875"/>
    <cellStyle name="Vírgula 3 2 4 4 5 2" xfId="45114"/>
    <cellStyle name="Vírgula 3 2 4 4 6" xfId="12708"/>
    <cellStyle name="Vírgula 3 2 4 4 6 2" xfId="38950"/>
    <cellStyle name="Vírgula 3 2 4 4 7" xfId="30867"/>
    <cellStyle name="Vírgula 3 2 4 5" xfId="5599"/>
    <cellStyle name="Vírgula 3 2 4 5 2" xfId="7298"/>
    <cellStyle name="Vírgula 3 2 4 5 2 2" xfId="10442"/>
    <cellStyle name="Vírgula 3 2 4 5 2 2 2" xfId="28656"/>
    <cellStyle name="Vírgula 3 2 4 5 2 2 2 2" xfId="54886"/>
    <cellStyle name="Vírgula 3 2 4 5 2 2 3" xfId="22742"/>
    <cellStyle name="Vírgula 3 2 4 5 2 2 3 2" xfId="48978"/>
    <cellStyle name="Vírgula 3 2 4 5 2 2 4" xfId="16828"/>
    <cellStyle name="Vírgula 3 2 4 5 2 2 4 2" xfId="43070"/>
    <cellStyle name="Vírgula 3 2 4 5 2 2 5" xfId="36684"/>
    <cellStyle name="Vírgula 3 2 4 5 2 3" xfId="25699"/>
    <cellStyle name="Vírgula 3 2 4 5 2 3 2" xfId="51932"/>
    <cellStyle name="Vírgula 3 2 4 5 2 4" xfId="19785"/>
    <cellStyle name="Vírgula 3 2 4 5 2 4 2" xfId="46024"/>
    <cellStyle name="Vírgula 3 2 4 5 2 5" xfId="13687"/>
    <cellStyle name="Vírgula 3 2 4 5 2 5 2" xfId="39929"/>
    <cellStyle name="Vírgula 3 2 4 5 2 6" xfId="33543"/>
    <cellStyle name="Vírgula 3 2 4 5 3" xfId="8974"/>
    <cellStyle name="Vírgula 3 2 4 5 3 2" xfId="27188"/>
    <cellStyle name="Vírgula 3 2 4 5 3 2 2" xfId="53418"/>
    <cellStyle name="Vírgula 3 2 4 5 3 3" xfId="21274"/>
    <cellStyle name="Vírgula 3 2 4 5 3 3 2" xfId="47510"/>
    <cellStyle name="Vírgula 3 2 4 5 3 4" xfId="15360"/>
    <cellStyle name="Vírgula 3 2 4 5 3 4 2" xfId="41602"/>
    <cellStyle name="Vírgula 3 2 4 5 3 5" xfId="35216"/>
    <cellStyle name="Vírgula 3 2 4 5 4" xfId="24231"/>
    <cellStyle name="Vírgula 3 2 4 5 4 2" xfId="50464"/>
    <cellStyle name="Vírgula 3 2 4 5 5" xfId="18317"/>
    <cellStyle name="Vírgula 3 2 4 5 5 2" xfId="44556"/>
    <cellStyle name="Vírgula 3 2 4 5 6" xfId="11986"/>
    <cellStyle name="Vírgula 3 2 4 5 6 2" xfId="38228"/>
    <cellStyle name="Vírgula 3 2 4 5 7" xfId="31844"/>
    <cellStyle name="Vírgula 3 2 4 6" xfId="6428"/>
    <cellStyle name="Vírgula 3 2 4 6 2" xfId="9594"/>
    <cellStyle name="Vírgula 3 2 4 6 2 2" xfId="27808"/>
    <cellStyle name="Vírgula 3 2 4 6 2 2 2" xfId="54038"/>
    <cellStyle name="Vírgula 3 2 4 6 2 3" xfId="21894"/>
    <cellStyle name="Vírgula 3 2 4 6 2 3 2" xfId="48130"/>
    <cellStyle name="Vírgula 3 2 4 6 2 4" xfId="15980"/>
    <cellStyle name="Vírgula 3 2 4 6 2 4 2" xfId="42222"/>
    <cellStyle name="Vírgula 3 2 4 6 2 5" xfId="35836"/>
    <cellStyle name="Vírgula 3 2 4 6 3" xfId="24851"/>
    <cellStyle name="Vírgula 3 2 4 6 3 2" xfId="51084"/>
    <cellStyle name="Vírgula 3 2 4 6 4" xfId="18937"/>
    <cellStyle name="Vírgula 3 2 4 6 4 2" xfId="45176"/>
    <cellStyle name="Vírgula 3 2 4 6 5" xfId="12817"/>
    <cellStyle name="Vírgula 3 2 4 6 5 2" xfId="39059"/>
    <cellStyle name="Vírgula 3 2 4 6 6" xfId="32673"/>
    <cellStyle name="Vírgula 3 2 4 7" xfId="8123"/>
    <cellStyle name="Vírgula 3 2 4 7 2" xfId="26337"/>
    <cellStyle name="Vírgula 3 2 4 7 2 2" xfId="52570"/>
    <cellStyle name="Vírgula 3 2 4 7 3" xfId="20423"/>
    <cellStyle name="Vírgula 3 2 4 7 3 2" xfId="46662"/>
    <cellStyle name="Vírgula 3 2 4 7 4" xfId="14512"/>
    <cellStyle name="Vírgula 3 2 4 7 4 2" xfId="40754"/>
    <cellStyle name="Vírgula 3 2 4 7 5" xfId="34368"/>
    <cellStyle name="Vírgula 3 2 4 8" xfId="4725"/>
    <cellStyle name="Vírgula 3 2 4 8 2" xfId="23380"/>
    <cellStyle name="Vírgula 3 2 4 8 2 2" xfId="49616"/>
    <cellStyle name="Vírgula 3 2 4 8 3" xfId="30974"/>
    <cellStyle name="Vírgula 3 2 4 9" xfId="17466"/>
    <cellStyle name="Vírgula 3 2 4 9 2" xfId="43708"/>
    <cellStyle name="Vírgula 3 2 5" xfId="3536"/>
    <cellStyle name="Vírgula 3 2 5 2" xfId="7445"/>
    <cellStyle name="Vírgula 3 2 5 2 2" xfId="10589"/>
    <cellStyle name="Vírgula 3 2 5 2 2 2" xfId="28803"/>
    <cellStyle name="Vírgula 3 2 5 2 2 2 2" xfId="55033"/>
    <cellStyle name="Vírgula 3 2 5 2 2 3" xfId="22889"/>
    <cellStyle name="Vírgula 3 2 5 2 2 3 2" xfId="49125"/>
    <cellStyle name="Vírgula 3 2 5 2 2 4" xfId="16975"/>
    <cellStyle name="Vírgula 3 2 5 2 2 4 2" xfId="43217"/>
    <cellStyle name="Vírgula 3 2 5 2 2 5" xfId="36831"/>
    <cellStyle name="Vírgula 3 2 5 2 3" xfId="25846"/>
    <cellStyle name="Vírgula 3 2 5 2 3 2" xfId="52079"/>
    <cellStyle name="Vírgula 3 2 5 2 4" xfId="19932"/>
    <cellStyle name="Vírgula 3 2 5 2 4 2" xfId="46171"/>
    <cellStyle name="Vírgula 3 2 5 2 5" xfId="13834"/>
    <cellStyle name="Vírgula 3 2 5 2 5 2" xfId="40076"/>
    <cellStyle name="Vírgula 3 2 5 2 6" xfId="33690"/>
    <cellStyle name="Vírgula 3 2 5 3" xfId="9121"/>
    <cellStyle name="Vírgula 3 2 5 3 2" xfId="27335"/>
    <cellStyle name="Vírgula 3 2 5 3 2 2" xfId="53565"/>
    <cellStyle name="Vírgula 3 2 5 3 3" xfId="21421"/>
    <cellStyle name="Vírgula 3 2 5 3 3 2" xfId="47657"/>
    <cellStyle name="Vírgula 3 2 5 3 4" xfId="15507"/>
    <cellStyle name="Vírgula 3 2 5 3 4 2" xfId="41749"/>
    <cellStyle name="Vírgula 3 2 5 3 5" xfId="35363"/>
    <cellStyle name="Vírgula 3 2 5 4" xfId="5746"/>
    <cellStyle name="Vírgula 3 2 5 4 2" xfId="24378"/>
    <cellStyle name="Vírgula 3 2 5 4 2 2" xfId="50611"/>
    <cellStyle name="Vírgula 3 2 5 4 3" xfId="31991"/>
    <cellStyle name="Vírgula 3 2 5 5" xfId="18464"/>
    <cellStyle name="Vírgula 3 2 5 5 2" xfId="44703"/>
    <cellStyle name="Vírgula 3 2 5 6" xfId="12133"/>
    <cellStyle name="Vírgula 3 2 5 6 2" xfId="38375"/>
    <cellStyle name="Vírgula 3 2 5 7" xfId="30293"/>
    <cellStyle name="Vírgula 3 2 6" xfId="4063"/>
    <cellStyle name="Vírgula 3 2 6 2" xfId="7592"/>
    <cellStyle name="Vírgula 3 2 6 2 2" xfId="10736"/>
    <cellStyle name="Vírgula 3 2 6 2 2 2" xfId="28950"/>
    <cellStyle name="Vírgula 3 2 6 2 2 2 2" xfId="55180"/>
    <cellStyle name="Vírgula 3 2 6 2 2 3" xfId="23036"/>
    <cellStyle name="Vírgula 3 2 6 2 2 3 2" xfId="49272"/>
    <cellStyle name="Vírgula 3 2 6 2 2 4" xfId="17122"/>
    <cellStyle name="Vírgula 3 2 6 2 2 4 2" xfId="43364"/>
    <cellStyle name="Vírgula 3 2 6 2 2 5" xfId="36978"/>
    <cellStyle name="Vírgula 3 2 6 2 3" xfId="25993"/>
    <cellStyle name="Vírgula 3 2 6 2 3 2" xfId="52226"/>
    <cellStyle name="Vírgula 3 2 6 2 4" xfId="20079"/>
    <cellStyle name="Vírgula 3 2 6 2 4 2" xfId="46318"/>
    <cellStyle name="Vírgula 3 2 6 2 5" xfId="13981"/>
    <cellStyle name="Vírgula 3 2 6 2 5 2" xfId="40223"/>
    <cellStyle name="Vírgula 3 2 6 2 6" xfId="33837"/>
    <cellStyle name="Vírgula 3 2 6 3" xfId="9268"/>
    <cellStyle name="Vírgula 3 2 6 3 2" xfId="27482"/>
    <cellStyle name="Vírgula 3 2 6 3 2 2" xfId="53712"/>
    <cellStyle name="Vírgula 3 2 6 3 3" xfId="21568"/>
    <cellStyle name="Vírgula 3 2 6 3 3 2" xfId="47804"/>
    <cellStyle name="Vírgula 3 2 6 3 4" xfId="15654"/>
    <cellStyle name="Vírgula 3 2 6 3 4 2" xfId="41896"/>
    <cellStyle name="Vírgula 3 2 6 3 5" xfId="35510"/>
    <cellStyle name="Vírgula 3 2 6 4" xfId="5893"/>
    <cellStyle name="Vírgula 3 2 6 4 2" xfId="24525"/>
    <cellStyle name="Vírgula 3 2 6 4 2 2" xfId="50758"/>
    <cellStyle name="Vírgula 3 2 6 4 3" xfId="32138"/>
    <cellStyle name="Vírgula 3 2 6 5" xfId="18611"/>
    <cellStyle name="Vírgula 3 2 6 5 2" xfId="44850"/>
    <cellStyle name="Vírgula 3 2 6 6" xfId="12280"/>
    <cellStyle name="Vírgula 3 2 6 6 2" xfId="38522"/>
    <cellStyle name="Vírgula 3 2 6 7" xfId="30440"/>
    <cellStyle name="Vírgula 3 2 7" xfId="4258"/>
    <cellStyle name="Vírgula 3 2 7 2" xfId="7658"/>
    <cellStyle name="Vírgula 3 2 7 2 2" xfId="10794"/>
    <cellStyle name="Vírgula 3 2 7 2 2 2" xfId="29008"/>
    <cellStyle name="Vírgula 3 2 7 2 2 2 2" xfId="55238"/>
    <cellStyle name="Vírgula 3 2 7 2 2 3" xfId="23094"/>
    <cellStyle name="Vírgula 3 2 7 2 2 3 2" xfId="49330"/>
    <cellStyle name="Vírgula 3 2 7 2 2 4" xfId="17180"/>
    <cellStyle name="Vírgula 3 2 7 2 2 4 2" xfId="43422"/>
    <cellStyle name="Vírgula 3 2 7 2 2 5" xfId="37036"/>
    <cellStyle name="Vírgula 3 2 7 2 3" xfId="26051"/>
    <cellStyle name="Vírgula 3 2 7 2 3 2" xfId="52284"/>
    <cellStyle name="Vírgula 3 2 7 2 4" xfId="20137"/>
    <cellStyle name="Vírgula 3 2 7 2 4 2" xfId="46376"/>
    <cellStyle name="Vírgula 3 2 7 2 5" xfId="14047"/>
    <cellStyle name="Vírgula 3 2 7 2 5 2" xfId="40289"/>
    <cellStyle name="Vírgula 3 2 7 2 6" xfId="33903"/>
    <cellStyle name="Vírgula 3 2 7 3" xfId="9326"/>
    <cellStyle name="Vírgula 3 2 7 3 2" xfId="27540"/>
    <cellStyle name="Vírgula 3 2 7 3 2 2" xfId="53770"/>
    <cellStyle name="Vírgula 3 2 7 3 3" xfId="21626"/>
    <cellStyle name="Vírgula 3 2 7 3 3 2" xfId="47862"/>
    <cellStyle name="Vírgula 3 2 7 3 4" xfId="15712"/>
    <cellStyle name="Vírgula 3 2 7 3 4 2" xfId="41954"/>
    <cellStyle name="Vírgula 3 2 7 3 5" xfId="35568"/>
    <cellStyle name="Vírgula 3 2 7 4" xfId="5958"/>
    <cellStyle name="Vírgula 3 2 7 4 2" xfId="24583"/>
    <cellStyle name="Vírgula 3 2 7 4 2 2" xfId="50816"/>
    <cellStyle name="Vírgula 3 2 7 4 3" xfId="32203"/>
    <cellStyle name="Vírgula 3 2 7 5" xfId="18669"/>
    <cellStyle name="Vírgula 3 2 7 5 2" xfId="44908"/>
    <cellStyle name="Vírgula 3 2 7 6" xfId="12346"/>
    <cellStyle name="Vírgula 3 2 7 6 2" xfId="38588"/>
    <cellStyle name="Vírgula 3 2 7 7" xfId="30507"/>
    <cellStyle name="Vírgula 3 2 8" xfId="4334"/>
    <cellStyle name="Vírgula 3 2 8 2" xfId="7735"/>
    <cellStyle name="Vírgula 3 2 8 2 2" xfId="10837"/>
    <cellStyle name="Vírgula 3 2 8 2 2 2" xfId="29051"/>
    <cellStyle name="Vírgula 3 2 8 2 2 2 2" xfId="55281"/>
    <cellStyle name="Vírgula 3 2 8 2 2 3" xfId="23137"/>
    <cellStyle name="Vírgula 3 2 8 2 2 3 2" xfId="49373"/>
    <cellStyle name="Vírgula 3 2 8 2 2 4" xfId="17223"/>
    <cellStyle name="Vírgula 3 2 8 2 2 4 2" xfId="43465"/>
    <cellStyle name="Vírgula 3 2 8 2 2 5" xfId="37079"/>
    <cellStyle name="Vírgula 3 2 8 2 3" xfId="26094"/>
    <cellStyle name="Vírgula 3 2 8 2 3 2" xfId="52327"/>
    <cellStyle name="Vírgula 3 2 8 2 4" xfId="20180"/>
    <cellStyle name="Vírgula 3 2 8 2 4 2" xfId="46419"/>
    <cellStyle name="Vírgula 3 2 8 2 5" xfId="14124"/>
    <cellStyle name="Vírgula 3 2 8 2 5 2" xfId="40366"/>
    <cellStyle name="Vírgula 3 2 8 2 6" xfId="33980"/>
    <cellStyle name="Vírgula 3 2 8 3" xfId="9369"/>
    <cellStyle name="Vírgula 3 2 8 3 2" xfId="27583"/>
    <cellStyle name="Vírgula 3 2 8 3 2 2" xfId="53813"/>
    <cellStyle name="Vírgula 3 2 8 3 3" xfId="21669"/>
    <cellStyle name="Vírgula 3 2 8 3 3 2" xfId="47905"/>
    <cellStyle name="Vírgula 3 2 8 3 4" xfId="15755"/>
    <cellStyle name="Vírgula 3 2 8 3 4 2" xfId="41997"/>
    <cellStyle name="Vírgula 3 2 8 3 5" xfId="35611"/>
    <cellStyle name="Vírgula 3 2 8 4" xfId="6035"/>
    <cellStyle name="Vírgula 3 2 8 4 2" xfId="24626"/>
    <cellStyle name="Vírgula 3 2 8 4 2 2" xfId="50859"/>
    <cellStyle name="Vírgula 3 2 8 4 3" xfId="32280"/>
    <cellStyle name="Vírgula 3 2 8 5" xfId="18712"/>
    <cellStyle name="Vírgula 3 2 8 5 2" xfId="44951"/>
    <cellStyle name="Vírgula 3 2 8 6" xfId="12423"/>
    <cellStyle name="Vírgula 3 2 8 6 2" xfId="38665"/>
    <cellStyle name="Vírgula 3 2 8 7" xfId="30583"/>
    <cellStyle name="Vírgula 3 2 9" xfId="4442"/>
    <cellStyle name="Vírgula 3 2 9 2" xfId="7844"/>
    <cellStyle name="Vírgula 3 2 9 2 2" xfId="10899"/>
    <cellStyle name="Vírgula 3 2 9 2 2 2" xfId="29113"/>
    <cellStyle name="Vírgula 3 2 9 2 2 2 2" xfId="55343"/>
    <cellStyle name="Vírgula 3 2 9 2 2 3" xfId="23199"/>
    <cellStyle name="Vírgula 3 2 9 2 2 3 2" xfId="49435"/>
    <cellStyle name="Vírgula 3 2 9 2 2 4" xfId="17285"/>
    <cellStyle name="Vírgula 3 2 9 2 2 4 2" xfId="43527"/>
    <cellStyle name="Vírgula 3 2 9 2 2 5" xfId="37141"/>
    <cellStyle name="Vírgula 3 2 9 2 3" xfId="26156"/>
    <cellStyle name="Vírgula 3 2 9 2 3 2" xfId="52389"/>
    <cellStyle name="Vírgula 3 2 9 2 4" xfId="20242"/>
    <cellStyle name="Vírgula 3 2 9 2 4 2" xfId="46481"/>
    <cellStyle name="Vírgula 3 2 9 2 5" xfId="14233"/>
    <cellStyle name="Vírgula 3 2 9 2 5 2" xfId="40475"/>
    <cellStyle name="Vírgula 3 2 9 2 6" xfId="34089"/>
    <cellStyle name="Vírgula 3 2 9 3" xfId="9431"/>
    <cellStyle name="Vírgula 3 2 9 3 2" xfId="27645"/>
    <cellStyle name="Vírgula 3 2 9 3 2 2" xfId="53875"/>
    <cellStyle name="Vírgula 3 2 9 3 3" xfId="21731"/>
    <cellStyle name="Vírgula 3 2 9 3 3 2" xfId="47967"/>
    <cellStyle name="Vírgula 3 2 9 3 4" xfId="15817"/>
    <cellStyle name="Vírgula 3 2 9 3 4 2" xfId="42059"/>
    <cellStyle name="Vírgula 3 2 9 3 5" xfId="35673"/>
    <cellStyle name="Vírgula 3 2 9 4" xfId="6144"/>
    <cellStyle name="Vírgula 3 2 9 4 2" xfId="24688"/>
    <cellStyle name="Vírgula 3 2 9 4 2 2" xfId="50921"/>
    <cellStyle name="Vírgula 3 2 9 4 3" xfId="32389"/>
    <cellStyle name="Vírgula 3 2 9 5" xfId="18774"/>
    <cellStyle name="Vírgula 3 2 9 5 2" xfId="45013"/>
    <cellStyle name="Vírgula 3 2 9 6" xfId="12532"/>
    <cellStyle name="Vírgula 3 2 9 6 2" xfId="38774"/>
    <cellStyle name="Vírgula 3 2 9 7" xfId="30691"/>
    <cellStyle name="Vírgula 3 20" xfId="11033"/>
    <cellStyle name="Vírgula 3 20 2" xfId="37275"/>
    <cellStyle name="Vírgula 3 21" xfId="160"/>
    <cellStyle name="Vírgula 3 21 2" xfId="29331"/>
    <cellStyle name="Vírgula 3 22" xfId="29263"/>
    <cellStyle name="Vírgula 3 3" xfId="38"/>
    <cellStyle name="Vírgula 3 3 10" xfId="8057"/>
    <cellStyle name="Vírgula 3 3 10 2" xfId="11022"/>
    <cellStyle name="Vírgula 3 3 10 2 2" xfId="29236"/>
    <cellStyle name="Vírgula 3 3 10 2 2 2" xfId="55466"/>
    <cellStyle name="Vírgula 3 3 10 2 3" xfId="23322"/>
    <cellStyle name="Vírgula 3 3 10 2 3 2" xfId="49558"/>
    <cellStyle name="Vírgula 3 3 10 2 4" xfId="17408"/>
    <cellStyle name="Vírgula 3 3 10 2 4 2" xfId="43650"/>
    <cellStyle name="Vírgula 3 3 10 2 5" xfId="37264"/>
    <cellStyle name="Vírgula 3 3 10 3" xfId="26279"/>
    <cellStyle name="Vírgula 3 3 10 3 2" xfId="52512"/>
    <cellStyle name="Vírgula 3 3 10 4" xfId="20365"/>
    <cellStyle name="Vírgula 3 3 10 4 2" xfId="46604"/>
    <cellStyle name="Vírgula 3 3 10 5" xfId="14446"/>
    <cellStyle name="Vírgula 3 3 10 5 2" xfId="40688"/>
    <cellStyle name="Vírgula 3 3 10 6" xfId="34302"/>
    <cellStyle name="Vírgula 3 3 11" xfId="8087"/>
    <cellStyle name="Vírgula 3 3 11 2" xfId="26301"/>
    <cellStyle name="Vírgula 3 3 11 2 2" xfId="52534"/>
    <cellStyle name="Vírgula 3 3 11 3" xfId="20387"/>
    <cellStyle name="Vírgula 3 3 11 3 2" xfId="46626"/>
    <cellStyle name="Vírgula 3 3 11 4" xfId="14476"/>
    <cellStyle name="Vírgula 3 3 11 4 2" xfId="40718"/>
    <cellStyle name="Vírgula 3 3 11 5" xfId="34332"/>
    <cellStyle name="Vírgula 3 3 12" xfId="4663"/>
    <cellStyle name="Vírgula 3 3 12 2" xfId="23344"/>
    <cellStyle name="Vírgula 3 3 12 2 2" xfId="49580"/>
    <cellStyle name="Vírgula 3 3 12 3" xfId="30912"/>
    <cellStyle name="Vírgula 3 3 13" xfId="17430"/>
    <cellStyle name="Vírgula 3 3 13 2" xfId="43672"/>
    <cellStyle name="Vírgula 3 3 14" xfId="11054"/>
    <cellStyle name="Vírgula 3 3 14 2" xfId="37296"/>
    <cellStyle name="Vírgula 3 3 15" xfId="906"/>
    <cellStyle name="Vírgula 3 3 15 2" xfId="29562"/>
    <cellStyle name="Vírgula 3 3 16" xfId="29284"/>
    <cellStyle name="Vírgula 3 3 2" xfId="4278"/>
    <cellStyle name="Vírgula 3 3 2 10" xfId="8096"/>
    <cellStyle name="Vírgula 3 3 2 10 2" xfId="26310"/>
    <cellStyle name="Vírgula 3 3 2 10 2 2" xfId="52543"/>
    <cellStyle name="Vírgula 3 3 2 10 3" xfId="20396"/>
    <cellStyle name="Vírgula 3 3 2 10 3 2" xfId="46635"/>
    <cellStyle name="Vírgula 3 3 2 10 4" xfId="14485"/>
    <cellStyle name="Vírgula 3 3 2 10 4 2" xfId="40727"/>
    <cellStyle name="Vírgula 3 3 2 10 5" xfId="34341"/>
    <cellStyle name="Vírgula 3 3 2 11" xfId="4678"/>
    <cellStyle name="Vírgula 3 3 2 11 2" xfId="23353"/>
    <cellStyle name="Vírgula 3 3 2 11 2 2" xfId="49589"/>
    <cellStyle name="Vírgula 3 3 2 11 3" xfId="30927"/>
    <cellStyle name="Vírgula 3 3 2 12" xfId="17439"/>
    <cellStyle name="Vírgula 3 3 2 12 2" xfId="43681"/>
    <cellStyle name="Vírgula 3 3 2 13" xfId="11069"/>
    <cellStyle name="Vírgula 3 3 2 13 2" xfId="37311"/>
    <cellStyle name="Vírgula 3 3 2 14" xfId="30527"/>
    <cellStyle name="Vírgula 3 3 2 2" xfId="4313"/>
    <cellStyle name="Vírgula 3 3 2 2 10" xfId="11104"/>
    <cellStyle name="Vírgula 3 3 2 2 10 2" xfId="37346"/>
    <cellStyle name="Vírgula 3 3 2 2 11" xfId="30562"/>
    <cellStyle name="Vírgula 3 3 2 2 2" xfId="4390"/>
    <cellStyle name="Vírgula 3 3 2 2 2 2" xfId="7791"/>
    <cellStyle name="Vírgula 3 3 2 2 2 2 2" xfId="10869"/>
    <cellStyle name="Vírgula 3 3 2 2 2 2 2 2" xfId="29083"/>
    <cellStyle name="Vírgula 3 3 2 2 2 2 2 2 2" xfId="55313"/>
    <cellStyle name="Vírgula 3 3 2 2 2 2 2 3" xfId="23169"/>
    <cellStyle name="Vírgula 3 3 2 2 2 2 2 3 2" xfId="49405"/>
    <cellStyle name="Vírgula 3 3 2 2 2 2 2 4" xfId="17255"/>
    <cellStyle name="Vírgula 3 3 2 2 2 2 2 4 2" xfId="43497"/>
    <cellStyle name="Vírgula 3 3 2 2 2 2 2 5" xfId="37111"/>
    <cellStyle name="Vírgula 3 3 2 2 2 2 3" xfId="26126"/>
    <cellStyle name="Vírgula 3 3 2 2 2 2 3 2" xfId="52359"/>
    <cellStyle name="Vírgula 3 3 2 2 2 2 4" xfId="20212"/>
    <cellStyle name="Vírgula 3 3 2 2 2 2 4 2" xfId="46451"/>
    <cellStyle name="Vírgula 3 3 2 2 2 2 5" xfId="14180"/>
    <cellStyle name="Vírgula 3 3 2 2 2 2 5 2" xfId="40422"/>
    <cellStyle name="Vírgula 3 3 2 2 2 2 6" xfId="34036"/>
    <cellStyle name="Vírgula 3 3 2 2 2 3" xfId="9401"/>
    <cellStyle name="Vírgula 3 3 2 2 2 3 2" xfId="27615"/>
    <cellStyle name="Vírgula 3 3 2 2 2 3 2 2" xfId="53845"/>
    <cellStyle name="Vírgula 3 3 2 2 2 3 3" xfId="21701"/>
    <cellStyle name="Vírgula 3 3 2 2 2 3 3 2" xfId="47937"/>
    <cellStyle name="Vírgula 3 3 2 2 2 3 4" xfId="15787"/>
    <cellStyle name="Vírgula 3 3 2 2 2 3 4 2" xfId="42029"/>
    <cellStyle name="Vírgula 3 3 2 2 2 3 5" xfId="35643"/>
    <cellStyle name="Vírgula 3 3 2 2 2 4" xfId="6091"/>
    <cellStyle name="Vírgula 3 3 2 2 2 4 2" xfId="24658"/>
    <cellStyle name="Vírgula 3 3 2 2 2 4 2 2" xfId="50891"/>
    <cellStyle name="Vírgula 3 3 2 2 2 4 3" xfId="32336"/>
    <cellStyle name="Vírgula 3 3 2 2 2 5" xfId="18744"/>
    <cellStyle name="Vírgula 3 3 2 2 2 5 2" xfId="44983"/>
    <cellStyle name="Vírgula 3 3 2 2 2 6" xfId="12479"/>
    <cellStyle name="Vírgula 3 3 2 2 2 6 2" xfId="38721"/>
    <cellStyle name="Vírgula 3 3 2 2 2 7" xfId="30639"/>
    <cellStyle name="Vírgula 3 3 2 2 3" xfId="4498"/>
    <cellStyle name="Vírgula 3 3 2 2 3 2" xfId="7900"/>
    <cellStyle name="Vírgula 3 3 2 2 3 2 2" xfId="10931"/>
    <cellStyle name="Vírgula 3 3 2 2 3 2 2 2" xfId="29145"/>
    <cellStyle name="Vírgula 3 3 2 2 3 2 2 2 2" xfId="55375"/>
    <cellStyle name="Vírgula 3 3 2 2 3 2 2 3" xfId="23231"/>
    <cellStyle name="Vírgula 3 3 2 2 3 2 2 3 2" xfId="49467"/>
    <cellStyle name="Vírgula 3 3 2 2 3 2 2 4" xfId="17317"/>
    <cellStyle name="Vírgula 3 3 2 2 3 2 2 4 2" xfId="43559"/>
    <cellStyle name="Vírgula 3 3 2 2 3 2 2 5" xfId="37173"/>
    <cellStyle name="Vírgula 3 3 2 2 3 2 3" xfId="26188"/>
    <cellStyle name="Vírgula 3 3 2 2 3 2 3 2" xfId="52421"/>
    <cellStyle name="Vírgula 3 3 2 2 3 2 4" xfId="20274"/>
    <cellStyle name="Vírgula 3 3 2 2 3 2 4 2" xfId="46513"/>
    <cellStyle name="Vírgula 3 3 2 2 3 2 5" xfId="14289"/>
    <cellStyle name="Vírgula 3 3 2 2 3 2 5 2" xfId="40531"/>
    <cellStyle name="Vírgula 3 3 2 2 3 2 6" xfId="34145"/>
    <cellStyle name="Vírgula 3 3 2 2 3 3" xfId="9463"/>
    <cellStyle name="Vírgula 3 3 2 2 3 3 2" xfId="27677"/>
    <cellStyle name="Vírgula 3 3 2 2 3 3 2 2" xfId="53907"/>
    <cellStyle name="Vírgula 3 3 2 2 3 3 3" xfId="21763"/>
    <cellStyle name="Vírgula 3 3 2 2 3 3 3 2" xfId="47999"/>
    <cellStyle name="Vírgula 3 3 2 2 3 3 4" xfId="15849"/>
    <cellStyle name="Vírgula 3 3 2 2 3 3 4 2" xfId="42091"/>
    <cellStyle name="Vírgula 3 3 2 2 3 3 5" xfId="35705"/>
    <cellStyle name="Vírgula 3 3 2 2 3 4" xfId="6200"/>
    <cellStyle name="Vírgula 3 3 2 2 3 4 2" xfId="24720"/>
    <cellStyle name="Vírgula 3 3 2 2 3 4 2 2" xfId="50953"/>
    <cellStyle name="Vírgula 3 3 2 2 3 4 3" xfId="32445"/>
    <cellStyle name="Vírgula 3 3 2 2 3 5" xfId="18806"/>
    <cellStyle name="Vírgula 3 3 2 2 3 5 2" xfId="45045"/>
    <cellStyle name="Vírgula 3 3 2 2 3 6" xfId="12588"/>
    <cellStyle name="Vírgula 3 3 2 2 3 6 2" xfId="38830"/>
    <cellStyle name="Vírgula 3 3 2 2 3 7" xfId="30747"/>
    <cellStyle name="Vírgula 3 3 2 2 4" xfId="4606"/>
    <cellStyle name="Vírgula 3 3 2 2 4 2" xfId="8008"/>
    <cellStyle name="Vírgula 3 3 2 2 4 2 2" xfId="10993"/>
    <cellStyle name="Vírgula 3 3 2 2 4 2 2 2" xfId="29207"/>
    <cellStyle name="Vírgula 3 3 2 2 4 2 2 2 2" xfId="55437"/>
    <cellStyle name="Vírgula 3 3 2 2 4 2 2 3" xfId="23293"/>
    <cellStyle name="Vírgula 3 3 2 2 4 2 2 3 2" xfId="49529"/>
    <cellStyle name="Vírgula 3 3 2 2 4 2 2 4" xfId="17379"/>
    <cellStyle name="Vírgula 3 3 2 2 4 2 2 4 2" xfId="43621"/>
    <cellStyle name="Vírgula 3 3 2 2 4 2 2 5" xfId="37235"/>
    <cellStyle name="Vírgula 3 3 2 2 4 2 3" xfId="26250"/>
    <cellStyle name="Vírgula 3 3 2 2 4 2 3 2" xfId="52483"/>
    <cellStyle name="Vírgula 3 3 2 2 4 2 4" xfId="20336"/>
    <cellStyle name="Vírgula 3 3 2 2 4 2 4 2" xfId="46575"/>
    <cellStyle name="Vírgula 3 3 2 2 4 2 5" xfId="14397"/>
    <cellStyle name="Vírgula 3 3 2 2 4 2 5 2" xfId="40639"/>
    <cellStyle name="Vírgula 3 3 2 2 4 2 6" xfId="34253"/>
    <cellStyle name="Vírgula 3 3 2 2 4 3" xfId="9525"/>
    <cellStyle name="Vírgula 3 3 2 2 4 3 2" xfId="27739"/>
    <cellStyle name="Vírgula 3 3 2 2 4 3 2 2" xfId="53969"/>
    <cellStyle name="Vírgula 3 3 2 2 4 3 3" xfId="21825"/>
    <cellStyle name="Vírgula 3 3 2 2 4 3 3 2" xfId="48061"/>
    <cellStyle name="Vírgula 3 3 2 2 4 3 4" xfId="15911"/>
    <cellStyle name="Vírgula 3 3 2 2 4 3 4 2" xfId="42153"/>
    <cellStyle name="Vírgula 3 3 2 2 4 3 5" xfId="35767"/>
    <cellStyle name="Vírgula 3 3 2 2 4 4" xfId="6307"/>
    <cellStyle name="Vírgula 3 3 2 2 4 4 2" xfId="24782"/>
    <cellStyle name="Vírgula 3 3 2 2 4 4 2 2" xfId="51015"/>
    <cellStyle name="Vírgula 3 3 2 2 4 4 3" xfId="32552"/>
    <cellStyle name="Vírgula 3 3 2 2 4 5" xfId="18868"/>
    <cellStyle name="Vírgula 3 3 2 2 4 5 2" xfId="45107"/>
    <cellStyle name="Vírgula 3 3 2 2 4 6" xfId="12696"/>
    <cellStyle name="Vírgula 3 3 2 2 4 6 2" xfId="38938"/>
    <cellStyle name="Vírgula 3 3 2 2 4 7" xfId="30855"/>
    <cellStyle name="Vírgula 3 3 2 2 5" xfId="6014"/>
    <cellStyle name="Vírgula 3 3 2 2 5 2" xfId="7714"/>
    <cellStyle name="Vírgula 3 3 2 2 5 2 2" xfId="10826"/>
    <cellStyle name="Vírgula 3 3 2 2 5 2 2 2" xfId="29040"/>
    <cellStyle name="Vírgula 3 3 2 2 5 2 2 2 2" xfId="55270"/>
    <cellStyle name="Vírgula 3 3 2 2 5 2 2 3" xfId="23126"/>
    <cellStyle name="Vírgula 3 3 2 2 5 2 2 3 2" xfId="49362"/>
    <cellStyle name="Vírgula 3 3 2 2 5 2 2 4" xfId="17212"/>
    <cellStyle name="Vírgula 3 3 2 2 5 2 2 4 2" xfId="43454"/>
    <cellStyle name="Vírgula 3 3 2 2 5 2 2 5" xfId="37068"/>
    <cellStyle name="Vírgula 3 3 2 2 5 2 3" xfId="26083"/>
    <cellStyle name="Vírgula 3 3 2 2 5 2 3 2" xfId="52316"/>
    <cellStyle name="Vírgula 3 3 2 2 5 2 4" xfId="20169"/>
    <cellStyle name="Vírgula 3 3 2 2 5 2 4 2" xfId="46408"/>
    <cellStyle name="Vírgula 3 3 2 2 5 2 5" xfId="14103"/>
    <cellStyle name="Vírgula 3 3 2 2 5 2 5 2" xfId="40345"/>
    <cellStyle name="Vírgula 3 3 2 2 5 2 6" xfId="33959"/>
    <cellStyle name="Vírgula 3 3 2 2 5 3" xfId="9358"/>
    <cellStyle name="Vírgula 3 3 2 2 5 3 2" xfId="27572"/>
    <cellStyle name="Vírgula 3 3 2 2 5 3 2 2" xfId="53802"/>
    <cellStyle name="Vírgula 3 3 2 2 5 3 3" xfId="21658"/>
    <cellStyle name="Vírgula 3 3 2 2 5 3 3 2" xfId="47894"/>
    <cellStyle name="Vírgula 3 3 2 2 5 3 4" xfId="15744"/>
    <cellStyle name="Vírgula 3 3 2 2 5 3 4 2" xfId="41986"/>
    <cellStyle name="Vírgula 3 3 2 2 5 3 5" xfId="35600"/>
    <cellStyle name="Vírgula 3 3 2 2 5 4" xfId="24615"/>
    <cellStyle name="Vírgula 3 3 2 2 5 4 2" xfId="50848"/>
    <cellStyle name="Vírgula 3 3 2 2 5 5" xfId="18701"/>
    <cellStyle name="Vírgula 3 3 2 2 5 5 2" xfId="44940"/>
    <cellStyle name="Vírgula 3 3 2 2 5 6" xfId="12402"/>
    <cellStyle name="Vírgula 3 3 2 2 5 6 2" xfId="38644"/>
    <cellStyle name="Vírgula 3 3 2 2 5 7" xfId="32259"/>
    <cellStyle name="Vírgula 3 3 2 2 6" xfId="6416"/>
    <cellStyle name="Vírgula 3 3 2 2 6 2" xfId="9587"/>
    <cellStyle name="Vírgula 3 3 2 2 6 2 2" xfId="27801"/>
    <cellStyle name="Vírgula 3 3 2 2 6 2 2 2" xfId="54031"/>
    <cellStyle name="Vírgula 3 3 2 2 6 2 3" xfId="21887"/>
    <cellStyle name="Vírgula 3 3 2 2 6 2 3 2" xfId="48123"/>
    <cellStyle name="Vírgula 3 3 2 2 6 2 4" xfId="15973"/>
    <cellStyle name="Vírgula 3 3 2 2 6 2 4 2" xfId="42215"/>
    <cellStyle name="Vírgula 3 3 2 2 6 2 5" xfId="35829"/>
    <cellStyle name="Vírgula 3 3 2 2 6 3" xfId="24844"/>
    <cellStyle name="Vírgula 3 3 2 2 6 3 2" xfId="51077"/>
    <cellStyle name="Vírgula 3 3 2 2 6 4" xfId="18930"/>
    <cellStyle name="Vírgula 3 3 2 2 6 4 2" xfId="45169"/>
    <cellStyle name="Vírgula 3 3 2 2 6 5" xfId="12805"/>
    <cellStyle name="Vírgula 3 3 2 2 6 5 2" xfId="39047"/>
    <cellStyle name="Vírgula 3 3 2 2 6 6" xfId="32661"/>
    <cellStyle name="Vírgula 3 3 2 2 7" xfId="8116"/>
    <cellStyle name="Vírgula 3 3 2 2 7 2" xfId="26330"/>
    <cellStyle name="Vírgula 3 3 2 2 7 2 2" xfId="52563"/>
    <cellStyle name="Vírgula 3 3 2 2 7 3" xfId="20416"/>
    <cellStyle name="Vírgula 3 3 2 2 7 3 2" xfId="46655"/>
    <cellStyle name="Vírgula 3 3 2 2 7 4" xfId="14505"/>
    <cellStyle name="Vírgula 3 3 2 2 7 4 2" xfId="40747"/>
    <cellStyle name="Vírgula 3 3 2 2 7 5" xfId="34361"/>
    <cellStyle name="Vírgula 3 3 2 2 8" xfId="4713"/>
    <cellStyle name="Vírgula 3 3 2 2 8 2" xfId="23373"/>
    <cellStyle name="Vírgula 3 3 2 2 8 2 2" xfId="49609"/>
    <cellStyle name="Vírgula 3 3 2 2 8 3" xfId="30962"/>
    <cellStyle name="Vírgula 3 3 2 2 9" xfId="17459"/>
    <cellStyle name="Vírgula 3 3 2 2 9 2" xfId="43701"/>
    <cellStyle name="Vírgula 3 3 2 3" xfId="4422"/>
    <cellStyle name="Vírgula 3 3 2 3 10" xfId="30671"/>
    <cellStyle name="Vírgula 3 3 2 3 2" xfId="4530"/>
    <cellStyle name="Vírgula 3 3 2 3 2 2" xfId="7932"/>
    <cellStyle name="Vírgula 3 3 2 3 2 2 2" xfId="10950"/>
    <cellStyle name="Vírgula 3 3 2 3 2 2 2 2" xfId="29164"/>
    <cellStyle name="Vírgula 3 3 2 3 2 2 2 2 2" xfId="55394"/>
    <cellStyle name="Vírgula 3 3 2 3 2 2 2 3" xfId="23250"/>
    <cellStyle name="Vírgula 3 3 2 3 2 2 2 3 2" xfId="49486"/>
    <cellStyle name="Vírgula 3 3 2 3 2 2 2 4" xfId="17336"/>
    <cellStyle name="Vírgula 3 3 2 3 2 2 2 4 2" xfId="43578"/>
    <cellStyle name="Vírgula 3 3 2 3 2 2 2 5" xfId="37192"/>
    <cellStyle name="Vírgula 3 3 2 3 2 2 3" xfId="26207"/>
    <cellStyle name="Vírgula 3 3 2 3 2 2 3 2" xfId="52440"/>
    <cellStyle name="Vírgula 3 3 2 3 2 2 4" xfId="20293"/>
    <cellStyle name="Vírgula 3 3 2 3 2 2 4 2" xfId="46532"/>
    <cellStyle name="Vírgula 3 3 2 3 2 2 5" xfId="14321"/>
    <cellStyle name="Vírgula 3 3 2 3 2 2 5 2" xfId="40563"/>
    <cellStyle name="Vírgula 3 3 2 3 2 2 6" xfId="34177"/>
    <cellStyle name="Vírgula 3 3 2 3 2 3" xfId="9482"/>
    <cellStyle name="Vírgula 3 3 2 3 2 3 2" xfId="27696"/>
    <cellStyle name="Vírgula 3 3 2 3 2 3 2 2" xfId="53926"/>
    <cellStyle name="Vírgula 3 3 2 3 2 3 3" xfId="21782"/>
    <cellStyle name="Vírgula 3 3 2 3 2 3 3 2" xfId="48018"/>
    <cellStyle name="Vírgula 3 3 2 3 2 3 4" xfId="15868"/>
    <cellStyle name="Vírgula 3 3 2 3 2 3 4 2" xfId="42110"/>
    <cellStyle name="Vírgula 3 3 2 3 2 3 5" xfId="35724"/>
    <cellStyle name="Vírgula 3 3 2 3 2 4" xfId="6231"/>
    <cellStyle name="Vírgula 3 3 2 3 2 4 2" xfId="24739"/>
    <cellStyle name="Vírgula 3 3 2 3 2 4 2 2" xfId="50972"/>
    <cellStyle name="Vírgula 3 3 2 3 2 4 3" xfId="32476"/>
    <cellStyle name="Vírgula 3 3 2 3 2 5" xfId="18825"/>
    <cellStyle name="Vírgula 3 3 2 3 2 5 2" xfId="45064"/>
    <cellStyle name="Vírgula 3 3 2 3 2 6" xfId="12620"/>
    <cellStyle name="Vírgula 3 3 2 3 2 6 2" xfId="38862"/>
    <cellStyle name="Vírgula 3 3 2 3 2 7" xfId="30779"/>
    <cellStyle name="Vírgula 3 3 2 3 3" xfId="4638"/>
    <cellStyle name="Vírgula 3 3 2 3 3 2" xfId="8041"/>
    <cellStyle name="Vírgula 3 3 2 3 3 2 2" xfId="11012"/>
    <cellStyle name="Vírgula 3 3 2 3 3 2 2 2" xfId="29226"/>
    <cellStyle name="Vírgula 3 3 2 3 3 2 2 2 2" xfId="55456"/>
    <cellStyle name="Vírgula 3 3 2 3 3 2 2 3" xfId="23312"/>
    <cellStyle name="Vírgula 3 3 2 3 3 2 2 3 2" xfId="49548"/>
    <cellStyle name="Vírgula 3 3 2 3 3 2 2 4" xfId="17398"/>
    <cellStyle name="Vírgula 3 3 2 3 3 2 2 4 2" xfId="43640"/>
    <cellStyle name="Vírgula 3 3 2 3 3 2 2 5" xfId="37254"/>
    <cellStyle name="Vírgula 3 3 2 3 3 2 3" xfId="26269"/>
    <cellStyle name="Vírgula 3 3 2 3 3 2 3 2" xfId="52502"/>
    <cellStyle name="Vírgula 3 3 2 3 3 2 4" xfId="20355"/>
    <cellStyle name="Vírgula 3 3 2 3 3 2 4 2" xfId="46594"/>
    <cellStyle name="Vírgula 3 3 2 3 3 2 5" xfId="14430"/>
    <cellStyle name="Vírgula 3 3 2 3 3 2 5 2" xfId="40672"/>
    <cellStyle name="Vírgula 3 3 2 3 3 2 6" xfId="34286"/>
    <cellStyle name="Vírgula 3 3 2 3 3 3" xfId="9544"/>
    <cellStyle name="Vírgula 3 3 2 3 3 3 2" xfId="27758"/>
    <cellStyle name="Vírgula 3 3 2 3 3 3 2 2" xfId="53988"/>
    <cellStyle name="Vírgula 3 3 2 3 3 3 3" xfId="21844"/>
    <cellStyle name="Vírgula 3 3 2 3 3 3 3 2" xfId="48080"/>
    <cellStyle name="Vírgula 3 3 2 3 3 3 4" xfId="15930"/>
    <cellStyle name="Vírgula 3 3 2 3 3 3 4 2" xfId="42172"/>
    <cellStyle name="Vírgula 3 3 2 3 3 3 5" xfId="35786"/>
    <cellStyle name="Vírgula 3 3 2 3 3 4" xfId="6340"/>
    <cellStyle name="Vírgula 3 3 2 3 3 4 2" xfId="24801"/>
    <cellStyle name="Vírgula 3 3 2 3 3 4 2 2" xfId="51034"/>
    <cellStyle name="Vírgula 3 3 2 3 3 4 3" xfId="32585"/>
    <cellStyle name="Vírgula 3 3 2 3 3 5" xfId="18887"/>
    <cellStyle name="Vírgula 3 3 2 3 3 5 2" xfId="45126"/>
    <cellStyle name="Vírgula 3 3 2 3 3 6" xfId="12729"/>
    <cellStyle name="Vírgula 3 3 2 3 3 6 2" xfId="38971"/>
    <cellStyle name="Vírgula 3 3 2 3 3 7" xfId="30887"/>
    <cellStyle name="Vírgula 3 3 2 3 4" xfId="6124"/>
    <cellStyle name="Vírgula 3 3 2 3 4 2" xfId="7824"/>
    <cellStyle name="Vírgula 3 3 2 3 4 2 2" xfId="10888"/>
    <cellStyle name="Vírgula 3 3 2 3 4 2 2 2" xfId="29102"/>
    <cellStyle name="Vírgula 3 3 2 3 4 2 2 2 2" xfId="55332"/>
    <cellStyle name="Vírgula 3 3 2 3 4 2 2 3" xfId="23188"/>
    <cellStyle name="Vírgula 3 3 2 3 4 2 2 3 2" xfId="49424"/>
    <cellStyle name="Vírgula 3 3 2 3 4 2 2 4" xfId="17274"/>
    <cellStyle name="Vírgula 3 3 2 3 4 2 2 4 2" xfId="43516"/>
    <cellStyle name="Vírgula 3 3 2 3 4 2 2 5" xfId="37130"/>
    <cellStyle name="Vírgula 3 3 2 3 4 2 3" xfId="26145"/>
    <cellStyle name="Vírgula 3 3 2 3 4 2 3 2" xfId="52378"/>
    <cellStyle name="Vírgula 3 3 2 3 4 2 4" xfId="20231"/>
    <cellStyle name="Vírgula 3 3 2 3 4 2 4 2" xfId="46470"/>
    <cellStyle name="Vírgula 3 3 2 3 4 2 5" xfId="14213"/>
    <cellStyle name="Vírgula 3 3 2 3 4 2 5 2" xfId="40455"/>
    <cellStyle name="Vírgula 3 3 2 3 4 2 6" xfId="34069"/>
    <cellStyle name="Vírgula 3 3 2 3 4 3" xfId="9420"/>
    <cellStyle name="Vírgula 3 3 2 3 4 3 2" xfId="27634"/>
    <cellStyle name="Vírgula 3 3 2 3 4 3 2 2" xfId="53864"/>
    <cellStyle name="Vírgula 3 3 2 3 4 3 3" xfId="21720"/>
    <cellStyle name="Vírgula 3 3 2 3 4 3 3 2" xfId="47956"/>
    <cellStyle name="Vírgula 3 3 2 3 4 3 4" xfId="15806"/>
    <cellStyle name="Vírgula 3 3 2 3 4 3 4 2" xfId="42048"/>
    <cellStyle name="Vírgula 3 3 2 3 4 3 5" xfId="35662"/>
    <cellStyle name="Vírgula 3 3 2 3 4 4" xfId="24677"/>
    <cellStyle name="Vírgula 3 3 2 3 4 4 2" xfId="50910"/>
    <cellStyle name="Vírgula 3 3 2 3 4 5" xfId="18763"/>
    <cellStyle name="Vírgula 3 3 2 3 4 5 2" xfId="45002"/>
    <cellStyle name="Vírgula 3 3 2 3 4 6" xfId="12512"/>
    <cellStyle name="Vírgula 3 3 2 3 4 6 2" xfId="38754"/>
    <cellStyle name="Vírgula 3 3 2 3 4 7" xfId="32369"/>
    <cellStyle name="Vírgula 3 3 2 3 5" xfId="6449"/>
    <cellStyle name="Vírgula 3 3 2 3 5 2" xfId="9606"/>
    <cellStyle name="Vírgula 3 3 2 3 5 2 2" xfId="27820"/>
    <cellStyle name="Vírgula 3 3 2 3 5 2 2 2" xfId="54050"/>
    <cellStyle name="Vírgula 3 3 2 3 5 2 3" xfId="21906"/>
    <cellStyle name="Vírgula 3 3 2 3 5 2 3 2" xfId="48142"/>
    <cellStyle name="Vírgula 3 3 2 3 5 2 4" xfId="15992"/>
    <cellStyle name="Vírgula 3 3 2 3 5 2 4 2" xfId="42234"/>
    <cellStyle name="Vírgula 3 3 2 3 5 2 5" xfId="35848"/>
    <cellStyle name="Vírgula 3 3 2 3 5 3" xfId="24863"/>
    <cellStyle name="Vírgula 3 3 2 3 5 3 2" xfId="51096"/>
    <cellStyle name="Vírgula 3 3 2 3 5 4" xfId="18949"/>
    <cellStyle name="Vírgula 3 3 2 3 5 4 2" xfId="45188"/>
    <cellStyle name="Vírgula 3 3 2 3 5 5" xfId="12838"/>
    <cellStyle name="Vírgula 3 3 2 3 5 5 2" xfId="39080"/>
    <cellStyle name="Vírgula 3 3 2 3 5 6" xfId="32694"/>
    <cellStyle name="Vírgula 3 3 2 3 6" xfId="8135"/>
    <cellStyle name="Vírgula 3 3 2 3 6 2" xfId="26349"/>
    <cellStyle name="Vírgula 3 3 2 3 6 2 2" xfId="52582"/>
    <cellStyle name="Vírgula 3 3 2 3 6 3" xfId="20435"/>
    <cellStyle name="Vírgula 3 3 2 3 6 3 2" xfId="46674"/>
    <cellStyle name="Vírgula 3 3 2 3 6 4" xfId="14524"/>
    <cellStyle name="Vírgula 3 3 2 3 6 4 2" xfId="40766"/>
    <cellStyle name="Vírgula 3 3 2 3 6 5" xfId="34380"/>
    <cellStyle name="Vírgula 3 3 2 3 7" xfId="4746"/>
    <cellStyle name="Vírgula 3 3 2 3 7 2" xfId="23392"/>
    <cellStyle name="Vírgula 3 3 2 3 7 2 2" xfId="49628"/>
    <cellStyle name="Vírgula 3 3 2 3 7 3" xfId="30995"/>
    <cellStyle name="Vírgula 3 3 2 3 8" xfId="17478"/>
    <cellStyle name="Vírgula 3 3 2 3 8 2" xfId="43720"/>
    <cellStyle name="Vírgula 3 3 2 3 9" xfId="11137"/>
    <cellStyle name="Vírgula 3 3 2 3 9 2" xfId="37379"/>
    <cellStyle name="Vírgula 3 3 2 4" xfId="4355"/>
    <cellStyle name="Vírgula 3 3 2 4 2" xfId="7756"/>
    <cellStyle name="Vírgula 3 3 2 4 2 2" xfId="10849"/>
    <cellStyle name="Vírgula 3 3 2 4 2 2 2" xfId="29063"/>
    <cellStyle name="Vírgula 3 3 2 4 2 2 2 2" xfId="55293"/>
    <cellStyle name="Vírgula 3 3 2 4 2 2 3" xfId="23149"/>
    <cellStyle name="Vírgula 3 3 2 4 2 2 3 2" xfId="49385"/>
    <cellStyle name="Vírgula 3 3 2 4 2 2 4" xfId="17235"/>
    <cellStyle name="Vírgula 3 3 2 4 2 2 4 2" xfId="43477"/>
    <cellStyle name="Vírgula 3 3 2 4 2 2 5" xfId="37091"/>
    <cellStyle name="Vírgula 3 3 2 4 2 3" xfId="26106"/>
    <cellStyle name="Vírgula 3 3 2 4 2 3 2" xfId="52339"/>
    <cellStyle name="Vírgula 3 3 2 4 2 4" xfId="20192"/>
    <cellStyle name="Vírgula 3 3 2 4 2 4 2" xfId="46431"/>
    <cellStyle name="Vírgula 3 3 2 4 2 5" xfId="14145"/>
    <cellStyle name="Vírgula 3 3 2 4 2 5 2" xfId="40387"/>
    <cellStyle name="Vírgula 3 3 2 4 2 6" xfId="34001"/>
    <cellStyle name="Vírgula 3 3 2 4 3" xfId="9381"/>
    <cellStyle name="Vírgula 3 3 2 4 3 2" xfId="27595"/>
    <cellStyle name="Vírgula 3 3 2 4 3 2 2" xfId="53825"/>
    <cellStyle name="Vírgula 3 3 2 4 3 3" xfId="21681"/>
    <cellStyle name="Vírgula 3 3 2 4 3 3 2" xfId="47917"/>
    <cellStyle name="Vírgula 3 3 2 4 3 4" xfId="15767"/>
    <cellStyle name="Vírgula 3 3 2 4 3 4 2" xfId="42009"/>
    <cellStyle name="Vírgula 3 3 2 4 3 5" xfId="35623"/>
    <cellStyle name="Vírgula 3 3 2 4 4" xfId="6056"/>
    <cellStyle name="Vírgula 3 3 2 4 4 2" xfId="24638"/>
    <cellStyle name="Vírgula 3 3 2 4 4 2 2" xfId="50871"/>
    <cellStyle name="Vírgula 3 3 2 4 4 3" xfId="32301"/>
    <cellStyle name="Vírgula 3 3 2 4 5" xfId="18724"/>
    <cellStyle name="Vírgula 3 3 2 4 5 2" xfId="44963"/>
    <cellStyle name="Vírgula 3 3 2 4 6" xfId="12444"/>
    <cellStyle name="Vírgula 3 3 2 4 6 2" xfId="38686"/>
    <cellStyle name="Vírgula 3 3 2 4 7" xfId="30604"/>
    <cellStyle name="Vírgula 3 3 2 5" xfId="4463"/>
    <cellStyle name="Vírgula 3 3 2 5 2" xfId="7865"/>
    <cellStyle name="Vírgula 3 3 2 5 2 2" xfId="10911"/>
    <cellStyle name="Vírgula 3 3 2 5 2 2 2" xfId="29125"/>
    <cellStyle name="Vírgula 3 3 2 5 2 2 2 2" xfId="55355"/>
    <cellStyle name="Vírgula 3 3 2 5 2 2 3" xfId="23211"/>
    <cellStyle name="Vírgula 3 3 2 5 2 2 3 2" xfId="49447"/>
    <cellStyle name="Vírgula 3 3 2 5 2 2 4" xfId="17297"/>
    <cellStyle name="Vírgula 3 3 2 5 2 2 4 2" xfId="43539"/>
    <cellStyle name="Vírgula 3 3 2 5 2 2 5" xfId="37153"/>
    <cellStyle name="Vírgula 3 3 2 5 2 3" xfId="26168"/>
    <cellStyle name="Vírgula 3 3 2 5 2 3 2" xfId="52401"/>
    <cellStyle name="Vírgula 3 3 2 5 2 4" xfId="20254"/>
    <cellStyle name="Vírgula 3 3 2 5 2 4 2" xfId="46493"/>
    <cellStyle name="Vírgula 3 3 2 5 2 5" xfId="14254"/>
    <cellStyle name="Vírgula 3 3 2 5 2 5 2" xfId="40496"/>
    <cellStyle name="Vírgula 3 3 2 5 2 6" xfId="34110"/>
    <cellStyle name="Vírgula 3 3 2 5 3" xfId="9443"/>
    <cellStyle name="Vírgula 3 3 2 5 3 2" xfId="27657"/>
    <cellStyle name="Vírgula 3 3 2 5 3 2 2" xfId="53887"/>
    <cellStyle name="Vírgula 3 3 2 5 3 3" xfId="21743"/>
    <cellStyle name="Vírgula 3 3 2 5 3 3 2" xfId="47979"/>
    <cellStyle name="Vírgula 3 3 2 5 3 4" xfId="15829"/>
    <cellStyle name="Vírgula 3 3 2 5 3 4 2" xfId="42071"/>
    <cellStyle name="Vírgula 3 3 2 5 3 5" xfId="35685"/>
    <cellStyle name="Vírgula 3 3 2 5 4" xfId="6165"/>
    <cellStyle name="Vírgula 3 3 2 5 4 2" xfId="24700"/>
    <cellStyle name="Vírgula 3 3 2 5 4 2 2" xfId="50933"/>
    <cellStyle name="Vírgula 3 3 2 5 4 3" xfId="32410"/>
    <cellStyle name="Vírgula 3 3 2 5 5" xfId="18786"/>
    <cellStyle name="Vírgula 3 3 2 5 5 2" xfId="45025"/>
    <cellStyle name="Vírgula 3 3 2 5 6" xfId="12553"/>
    <cellStyle name="Vírgula 3 3 2 5 6 2" xfId="38795"/>
    <cellStyle name="Vírgula 3 3 2 5 7" xfId="30712"/>
    <cellStyle name="Vírgula 3 3 2 6" xfId="4571"/>
    <cellStyle name="Vírgula 3 3 2 6 2" xfId="7973"/>
    <cellStyle name="Vírgula 3 3 2 6 2 2" xfId="10973"/>
    <cellStyle name="Vírgula 3 3 2 6 2 2 2" xfId="29187"/>
    <cellStyle name="Vírgula 3 3 2 6 2 2 2 2" xfId="55417"/>
    <cellStyle name="Vírgula 3 3 2 6 2 2 3" xfId="23273"/>
    <cellStyle name="Vírgula 3 3 2 6 2 2 3 2" xfId="49509"/>
    <cellStyle name="Vírgula 3 3 2 6 2 2 4" xfId="17359"/>
    <cellStyle name="Vírgula 3 3 2 6 2 2 4 2" xfId="43601"/>
    <cellStyle name="Vírgula 3 3 2 6 2 2 5" xfId="37215"/>
    <cellStyle name="Vírgula 3 3 2 6 2 3" xfId="26230"/>
    <cellStyle name="Vírgula 3 3 2 6 2 3 2" xfId="52463"/>
    <cellStyle name="Vírgula 3 3 2 6 2 4" xfId="20316"/>
    <cellStyle name="Vírgula 3 3 2 6 2 4 2" xfId="46555"/>
    <cellStyle name="Vírgula 3 3 2 6 2 5" xfId="14362"/>
    <cellStyle name="Vírgula 3 3 2 6 2 5 2" xfId="40604"/>
    <cellStyle name="Vírgula 3 3 2 6 2 6" xfId="34218"/>
    <cellStyle name="Vírgula 3 3 2 6 3" xfId="9505"/>
    <cellStyle name="Vírgula 3 3 2 6 3 2" xfId="27719"/>
    <cellStyle name="Vírgula 3 3 2 6 3 2 2" xfId="53949"/>
    <cellStyle name="Vírgula 3 3 2 6 3 3" xfId="21805"/>
    <cellStyle name="Vírgula 3 3 2 6 3 3 2" xfId="48041"/>
    <cellStyle name="Vírgula 3 3 2 6 3 4" xfId="15891"/>
    <cellStyle name="Vírgula 3 3 2 6 3 4 2" xfId="42133"/>
    <cellStyle name="Vírgula 3 3 2 6 3 5" xfId="35747"/>
    <cellStyle name="Vírgula 3 3 2 6 4" xfId="6272"/>
    <cellStyle name="Vírgula 3 3 2 6 4 2" xfId="24762"/>
    <cellStyle name="Vírgula 3 3 2 6 4 2 2" xfId="50995"/>
    <cellStyle name="Vírgula 3 3 2 6 4 3" xfId="32517"/>
    <cellStyle name="Vírgula 3 3 2 6 5" xfId="18848"/>
    <cellStyle name="Vírgula 3 3 2 6 5 2" xfId="45087"/>
    <cellStyle name="Vírgula 3 3 2 6 6" xfId="12661"/>
    <cellStyle name="Vírgula 3 3 2 6 6 2" xfId="38903"/>
    <cellStyle name="Vírgula 3 3 2 6 7" xfId="30820"/>
    <cellStyle name="Vírgula 3 3 2 7" xfId="5979"/>
    <cellStyle name="Vírgula 3 3 2 7 2" xfId="7679"/>
    <cellStyle name="Vírgula 3 3 2 7 2 2" xfId="10806"/>
    <cellStyle name="Vírgula 3 3 2 7 2 2 2" xfId="29020"/>
    <cellStyle name="Vírgula 3 3 2 7 2 2 2 2" xfId="55250"/>
    <cellStyle name="Vírgula 3 3 2 7 2 2 3" xfId="23106"/>
    <cellStyle name="Vírgula 3 3 2 7 2 2 3 2" xfId="49342"/>
    <cellStyle name="Vírgula 3 3 2 7 2 2 4" xfId="17192"/>
    <cellStyle name="Vírgula 3 3 2 7 2 2 4 2" xfId="43434"/>
    <cellStyle name="Vírgula 3 3 2 7 2 2 5" xfId="37048"/>
    <cellStyle name="Vírgula 3 3 2 7 2 3" xfId="26063"/>
    <cellStyle name="Vírgula 3 3 2 7 2 3 2" xfId="52296"/>
    <cellStyle name="Vírgula 3 3 2 7 2 4" xfId="20149"/>
    <cellStyle name="Vírgula 3 3 2 7 2 4 2" xfId="46388"/>
    <cellStyle name="Vírgula 3 3 2 7 2 5" xfId="14068"/>
    <cellStyle name="Vírgula 3 3 2 7 2 5 2" xfId="40310"/>
    <cellStyle name="Vírgula 3 3 2 7 2 6" xfId="33924"/>
    <cellStyle name="Vírgula 3 3 2 7 3" xfId="9338"/>
    <cellStyle name="Vírgula 3 3 2 7 3 2" xfId="27552"/>
    <cellStyle name="Vírgula 3 3 2 7 3 2 2" xfId="53782"/>
    <cellStyle name="Vírgula 3 3 2 7 3 3" xfId="21638"/>
    <cellStyle name="Vírgula 3 3 2 7 3 3 2" xfId="47874"/>
    <cellStyle name="Vírgula 3 3 2 7 3 4" xfId="15724"/>
    <cellStyle name="Vírgula 3 3 2 7 3 4 2" xfId="41966"/>
    <cellStyle name="Vírgula 3 3 2 7 3 5" xfId="35580"/>
    <cellStyle name="Vírgula 3 3 2 7 4" xfId="24595"/>
    <cellStyle name="Vírgula 3 3 2 7 4 2" xfId="50828"/>
    <cellStyle name="Vírgula 3 3 2 7 5" xfId="18681"/>
    <cellStyle name="Vírgula 3 3 2 7 5 2" xfId="44920"/>
    <cellStyle name="Vírgula 3 3 2 7 6" xfId="12367"/>
    <cellStyle name="Vírgula 3 3 2 7 6 2" xfId="38609"/>
    <cellStyle name="Vírgula 3 3 2 7 7" xfId="32224"/>
    <cellStyle name="Vírgula 3 3 2 8" xfId="6381"/>
    <cellStyle name="Vírgula 3 3 2 8 2" xfId="9567"/>
    <cellStyle name="Vírgula 3 3 2 8 2 2" xfId="27781"/>
    <cellStyle name="Vírgula 3 3 2 8 2 2 2" xfId="54011"/>
    <cellStyle name="Vírgula 3 3 2 8 2 3" xfId="21867"/>
    <cellStyle name="Vírgula 3 3 2 8 2 3 2" xfId="48103"/>
    <cellStyle name="Vírgula 3 3 2 8 2 4" xfId="15953"/>
    <cellStyle name="Vírgula 3 3 2 8 2 4 2" xfId="42195"/>
    <cellStyle name="Vírgula 3 3 2 8 2 5" xfId="35809"/>
    <cellStyle name="Vírgula 3 3 2 8 3" xfId="24824"/>
    <cellStyle name="Vírgula 3 3 2 8 3 2" xfId="51057"/>
    <cellStyle name="Vírgula 3 3 2 8 4" xfId="18910"/>
    <cellStyle name="Vírgula 3 3 2 8 4 2" xfId="45149"/>
    <cellStyle name="Vírgula 3 3 2 8 5" xfId="12770"/>
    <cellStyle name="Vírgula 3 3 2 8 5 2" xfId="39012"/>
    <cellStyle name="Vírgula 3 3 2 8 6" xfId="32626"/>
    <cellStyle name="Vírgula 3 3 2 9" xfId="8073"/>
    <cellStyle name="Vírgula 3 3 2 9 2" xfId="11031"/>
    <cellStyle name="Vírgula 3 3 2 9 2 2" xfId="29245"/>
    <cellStyle name="Vírgula 3 3 2 9 2 2 2" xfId="55475"/>
    <cellStyle name="Vírgula 3 3 2 9 2 3" xfId="23331"/>
    <cellStyle name="Vírgula 3 3 2 9 2 3 2" xfId="49567"/>
    <cellStyle name="Vírgula 3 3 2 9 2 4" xfId="17417"/>
    <cellStyle name="Vírgula 3 3 2 9 2 4 2" xfId="43659"/>
    <cellStyle name="Vírgula 3 3 2 9 2 5" xfId="37273"/>
    <cellStyle name="Vírgula 3 3 2 9 3" xfId="26288"/>
    <cellStyle name="Vírgula 3 3 2 9 3 2" xfId="52521"/>
    <cellStyle name="Vírgula 3 3 2 9 4" xfId="20374"/>
    <cellStyle name="Vírgula 3 3 2 9 4 2" xfId="46613"/>
    <cellStyle name="Vírgula 3 3 2 9 5" xfId="14462"/>
    <cellStyle name="Vírgula 3 3 2 9 5 2" xfId="40704"/>
    <cellStyle name="Vírgula 3 3 2 9 6" xfId="34318"/>
    <cellStyle name="Vírgula 3 3 3" xfId="4298"/>
    <cellStyle name="Vírgula 3 3 3 10" xfId="11089"/>
    <cellStyle name="Vírgula 3 3 3 10 2" xfId="37331"/>
    <cellStyle name="Vírgula 3 3 3 11" xfId="30547"/>
    <cellStyle name="Vírgula 3 3 3 2" xfId="4375"/>
    <cellStyle name="Vírgula 3 3 3 2 2" xfId="7776"/>
    <cellStyle name="Vírgula 3 3 3 2 2 2" xfId="10860"/>
    <cellStyle name="Vírgula 3 3 3 2 2 2 2" xfId="29074"/>
    <cellStyle name="Vírgula 3 3 3 2 2 2 2 2" xfId="55304"/>
    <cellStyle name="Vírgula 3 3 3 2 2 2 3" xfId="23160"/>
    <cellStyle name="Vírgula 3 3 3 2 2 2 3 2" xfId="49396"/>
    <cellStyle name="Vírgula 3 3 3 2 2 2 4" xfId="17246"/>
    <cellStyle name="Vírgula 3 3 3 2 2 2 4 2" xfId="43488"/>
    <cellStyle name="Vírgula 3 3 3 2 2 2 5" xfId="37102"/>
    <cellStyle name="Vírgula 3 3 3 2 2 3" xfId="26117"/>
    <cellStyle name="Vírgula 3 3 3 2 2 3 2" xfId="52350"/>
    <cellStyle name="Vírgula 3 3 3 2 2 4" xfId="20203"/>
    <cellStyle name="Vírgula 3 3 3 2 2 4 2" xfId="46442"/>
    <cellStyle name="Vírgula 3 3 3 2 2 5" xfId="14165"/>
    <cellStyle name="Vírgula 3 3 3 2 2 5 2" xfId="40407"/>
    <cellStyle name="Vírgula 3 3 3 2 2 6" xfId="34021"/>
    <cellStyle name="Vírgula 3 3 3 2 3" xfId="9392"/>
    <cellStyle name="Vírgula 3 3 3 2 3 2" xfId="27606"/>
    <cellStyle name="Vírgula 3 3 3 2 3 2 2" xfId="53836"/>
    <cellStyle name="Vírgula 3 3 3 2 3 3" xfId="21692"/>
    <cellStyle name="Vírgula 3 3 3 2 3 3 2" xfId="47928"/>
    <cellStyle name="Vírgula 3 3 3 2 3 4" xfId="15778"/>
    <cellStyle name="Vírgula 3 3 3 2 3 4 2" xfId="42020"/>
    <cellStyle name="Vírgula 3 3 3 2 3 5" xfId="35634"/>
    <cellStyle name="Vírgula 3 3 3 2 4" xfId="6076"/>
    <cellStyle name="Vírgula 3 3 3 2 4 2" xfId="24649"/>
    <cellStyle name="Vírgula 3 3 3 2 4 2 2" xfId="50882"/>
    <cellStyle name="Vírgula 3 3 3 2 4 3" xfId="32321"/>
    <cellStyle name="Vírgula 3 3 3 2 5" xfId="18735"/>
    <cellStyle name="Vírgula 3 3 3 2 5 2" xfId="44974"/>
    <cellStyle name="Vírgula 3 3 3 2 6" xfId="12464"/>
    <cellStyle name="Vírgula 3 3 3 2 6 2" xfId="38706"/>
    <cellStyle name="Vírgula 3 3 3 2 7" xfId="30624"/>
    <cellStyle name="Vírgula 3 3 3 3" xfId="4483"/>
    <cellStyle name="Vírgula 3 3 3 3 2" xfId="7885"/>
    <cellStyle name="Vírgula 3 3 3 3 2 2" xfId="10922"/>
    <cellStyle name="Vírgula 3 3 3 3 2 2 2" xfId="29136"/>
    <cellStyle name="Vírgula 3 3 3 3 2 2 2 2" xfId="55366"/>
    <cellStyle name="Vírgula 3 3 3 3 2 2 3" xfId="23222"/>
    <cellStyle name="Vírgula 3 3 3 3 2 2 3 2" xfId="49458"/>
    <cellStyle name="Vírgula 3 3 3 3 2 2 4" xfId="17308"/>
    <cellStyle name="Vírgula 3 3 3 3 2 2 4 2" xfId="43550"/>
    <cellStyle name="Vírgula 3 3 3 3 2 2 5" xfId="37164"/>
    <cellStyle name="Vírgula 3 3 3 3 2 3" xfId="26179"/>
    <cellStyle name="Vírgula 3 3 3 3 2 3 2" xfId="52412"/>
    <cellStyle name="Vírgula 3 3 3 3 2 4" xfId="20265"/>
    <cellStyle name="Vírgula 3 3 3 3 2 4 2" xfId="46504"/>
    <cellStyle name="Vírgula 3 3 3 3 2 5" xfId="14274"/>
    <cellStyle name="Vírgula 3 3 3 3 2 5 2" xfId="40516"/>
    <cellStyle name="Vírgula 3 3 3 3 2 6" xfId="34130"/>
    <cellStyle name="Vírgula 3 3 3 3 3" xfId="9454"/>
    <cellStyle name="Vírgula 3 3 3 3 3 2" xfId="27668"/>
    <cellStyle name="Vírgula 3 3 3 3 3 2 2" xfId="53898"/>
    <cellStyle name="Vírgula 3 3 3 3 3 3" xfId="21754"/>
    <cellStyle name="Vírgula 3 3 3 3 3 3 2" xfId="47990"/>
    <cellStyle name="Vírgula 3 3 3 3 3 4" xfId="15840"/>
    <cellStyle name="Vírgula 3 3 3 3 3 4 2" xfId="42082"/>
    <cellStyle name="Vírgula 3 3 3 3 3 5" xfId="35696"/>
    <cellStyle name="Vírgula 3 3 3 3 4" xfId="6185"/>
    <cellStyle name="Vírgula 3 3 3 3 4 2" xfId="24711"/>
    <cellStyle name="Vírgula 3 3 3 3 4 2 2" xfId="50944"/>
    <cellStyle name="Vírgula 3 3 3 3 4 3" xfId="32430"/>
    <cellStyle name="Vírgula 3 3 3 3 5" xfId="18797"/>
    <cellStyle name="Vírgula 3 3 3 3 5 2" xfId="45036"/>
    <cellStyle name="Vírgula 3 3 3 3 6" xfId="12573"/>
    <cellStyle name="Vírgula 3 3 3 3 6 2" xfId="38815"/>
    <cellStyle name="Vírgula 3 3 3 3 7" xfId="30732"/>
    <cellStyle name="Vírgula 3 3 3 4" xfId="4591"/>
    <cellStyle name="Vírgula 3 3 3 4 2" xfId="7993"/>
    <cellStyle name="Vírgula 3 3 3 4 2 2" xfId="10984"/>
    <cellStyle name="Vírgula 3 3 3 4 2 2 2" xfId="29198"/>
    <cellStyle name="Vírgula 3 3 3 4 2 2 2 2" xfId="55428"/>
    <cellStyle name="Vírgula 3 3 3 4 2 2 3" xfId="23284"/>
    <cellStyle name="Vírgula 3 3 3 4 2 2 3 2" xfId="49520"/>
    <cellStyle name="Vírgula 3 3 3 4 2 2 4" xfId="17370"/>
    <cellStyle name="Vírgula 3 3 3 4 2 2 4 2" xfId="43612"/>
    <cellStyle name="Vírgula 3 3 3 4 2 2 5" xfId="37226"/>
    <cellStyle name="Vírgula 3 3 3 4 2 3" xfId="26241"/>
    <cellStyle name="Vírgula 3 3 3 4 2 3 2" xfId="52474"/>
    <cellStyle name="Vírgula 3 3 3 4 2 4" xfId="20327"/>
    <cellStyle name="Vírgula 3 3 3 4 2 4 2" xfId="46566"/>
    <cellStyle name="Vírgula 3 3 3 4 2 5" xfId="14382"/>
    <cellStyle name="Vírgula 3 3 3 4 2 5 2" xfId="40624"/>
    <cellStyle name="Vírgula 3 3 3 4 2 6" xfId="34238"/>
    <cellStyle name="Vírgula 3 3 3 4 3" xfId="9516"/>
    <cellStyle name="Vírgula 3 3 3 4 3 2" xfId="27730"/>
    <cellStyle name="Vírgula 3 3 3 4 3 2 2" xfId="53960"/>
    <cellStyle name="Vírgula 3 3 3 4 3 3" xfId="21816"/>
    <cellStyle name="Vírgula 3 3 3 4 3 3 2" xfId="48052"/>
    <cellStyle name="Vírgula 3 3 3 4 3 4" xfId="15902"/>
    <cellStyle name="Vírgula 3 3 3 4 3 4 2" xfId="42144"/>
    <cellStyle name="Vírgula 3 3 3 4 3 5" xfId="35758"/>
    <cellStyle name="Vírgula 3 3 3 4 4" xfId="6292"/>
    <cellStyle name="Vírgula 3 3 3 4 4 2" xfId="24773"/>
    <cellStyle name="Vírgula 3 3 3 4 4 2 2" xfId="51006"/>
    <cellStyle name="Vírgula 3 3 3 4 4 3" xfId="32537"/>
    <cellStyle name="Vírgula 3 3 3 4 5" xfId="18859"/>
    <cellStyle name="Vírgula 3 3 3 4 5 2" xfId="45098"/>
    <cellStyle name="Vírgula 3 3 3 4 6" xfId="12681"/>
    <cellStyle name="Vírgula 3 3 3 4 6 2" xfId="38923"/>
    <cellStyle name="Vírgula 3 3 3 4 7" xfId="30840"/>
    <cellStyle name="Vírgula 3 3 3 5" xfId="5999"/>
    <cellStyle name="Vírgula 3 3 3 5 2" xfId="7699"/>
    <cellStyle name="Vírgula 3 3 3 5 2 2" xfId="10817"/>
    <cellStyle name="Vírgula 3 3 3 5 2 2 2" xfId="29031"/>
    <cellStyle name="Vírgula 3 3 3 5 2 2 2 2" xfId="55261"/>
    <cellStyle name="Vírgula 3 3 3 5 2 2 3" xfId="23117"/>
    <cellStyle name="Vírgula 3 3 3 5 2 2 3 2" xfId="49353"/>
    <cellStyle name="Vírgula 3 3 3 5 2 2 4" xfId="17203"/>
    <cellStyle name="Vírgula 3 3 3 5 2 2 4 2" xfId="43445"/>
    <cellStyle name="Vírgula 3 3 3 5 2 2 5" xfId="37059"/>
    <cellStyle name="Vírgula 3 3 3 5 2 3" xfId="26074"/>
    <cellStyle name="Vírgula 3 3 3 5 2 3 2" xfId="52307"/>
    <cellStyle name="Vírgula 3 3 3 5 2 4" xfId="20160"/>
    <cellStyle name="Vírgula 3 3 3 5 2 4 2" xfId="46399"/>
    <cellStyle name="Vírgula 3 3 3 5 2 5" xfId="14088"/>
    <cellStyle name="Vírgula 3 3 3 5 2 5 2" xfId="40330"/>
    <cellStyle name="Vírgula 3 3 3 5 2 6" xfId="33944"/>
    <cellStyle name="Vírgula 3 3 3 5 3" xfId="9349"/>
    <cellStyle name="Vírgula 3 3 3 5 3 2" xfId="27563"/>
    <cellStyle name="Vírgula 3 3 3 5 3 2 2" xfId="53793"/>
    <cellStyle name="Vírgula 3 3 3 5 3 3" xfId="21649"/>
    <cellStyle name="Vírgula 3 3 3 5 3 3 2" xfId="47885"/>
    <cellStyle name="Vírgula 3 3 3 5 3 4" xfId="15735"/>
    <cellStyle name="Vírgula 3 3 3 5 3 4 2" xfId="41977"/>
    <cellStyle name="Vírgula 3 3 3 5 3 5" xfId="35591"/>
    <cellStyle name="Vírgula 3 3 3 5 4" xfId="24606"/>
    <cellStyle name="Vírgula 3 3 3 5 4 2" xfId="50839"/>
    <cellStyle name="Vírgula 3 3 3 5 5" xfId="18692"/>
    <cellStyle name="Vírgula 3 3 3 5 5 2" xfId="44931"/>
    <cellStyle name="Vírgula 3 3 3 5 6" xfId="12387"/>
    <cellStyle name="Vírgula 3 3 3 5 6 2" xfId="38629"/>
    <cellStyle name="Vírgula 3 3 3 5 7" xfId="32244"/>
    <cellStyle name="Vírgula 3 3 3 6" xfId="6401"/>
    <cellStyle name="Vírgula 3 3 3 6 2" xfId="9578"/>
    <cellStyle name="Vírgula 3 3 3 6 2 2" xfId="27792"/>
    <cellStyle name="Vírgula 3 3 3 6 2 2 2" xfId="54022"/>
    <cellStyle name="Vírgula 3 3 3 6 2 3" xfId="21878"/>
    <cellStyle name="Vírgula 3 3 3 6 2 3 2" xfId="48114"/>
    <cellStyle name="Vírgula 3 3 3 6 2 4" xfId="15964"/>
    <cellStyle name="Vírgula 3 3 3 6 2 4 2" xfId="42206"/>
    <cellStyle name="Vírgula 3 3 3 6 2 5" xfId="35820"/>
    <cellStyle name="Vírgula 3 3 3 6 3" xfId="24835"/>
    <cellStyle name="Vírgula 3 3 3 6 3 2" xfId="51068"/>
    <cellStyle name="Vírgula 3 3 3 6 4" xfId="18921"/>
    <cellStyle name="Vírgula 3 3 3 6 4 2" xfId="45160"/>
    <cellStyle name="Vírgula 3 3 3 6 5" xfId="12790"/>
    <cellStyle name="Vírgula 3 3 3 6 5 2" xfId="39032"/>
    <cellStyle name="Vírgula 3 3 3 6 6" xfId="32646"/>
    <cellStyle name="Vírgula 3 3 3 7" xfId="8107"/>
    <cellStyle name="Vírgula 3 3 3 7 2" xfId="26321"/>
    <cellStyle name="Vírgula 3 3 3 7 2 2" xfId="52554"/>
    <cellStyle name="Vírgula 3 3 3 7 3" xfId="20407"/>
    <cellStyle name="Vírgula 3 3 3 7 3 2" xfId="46646"/>
    <cellStyle name="Vírgula 3 3 3 7 4" xfId="14496"/>
    <cellStyle name="Vírgula 3 3 3 7 4 2" xfId="40738"/>
    <cellStyle name="Vírgula 3 3 3 7 5" xfId="34352"/>
    <cellStyle name="Vírgula 3 3 3 8" xfId="4698"/>
    <cellStyle name="Vírgula 3 3 3 8 2" xfId="23364"/>
    <cellStyle name="Vírgula 3 3 3 8 2 2" xfId="49600"/>
    <cellStyle name="Vírgula 3 3 3 8 3" xfId="30947"/>
    <cellStyle name="Vírgula 3 3 3 9" xfId="17450"/>
    <cellStyle name="Vírgula 3 3 3 9 2" xfId="43692"/>
    <cellStyle name="Vírgula 3 3 4" xfId="4263"/>
    <cellStyle name="Vírgula 3 3 4 10" xfId="11121"/>
    <cellStyle name="Vírgula 3 3 4 10 2" xfId="37363"/>
    <cellStyle name="Vírgula 3 3 4 11" xfId="30512"/>
    <cellStyle name="Vírgula 3 3 4 2" xfId="4407"/>
    <cellStyle name="Vírgula 3 3 4 2 2" xfId="7808"/>
    <cellStyle name="Vírgula 3 3 4 2 2 2" xfId="10879"/>
    <cellStyle name="Vírgula 3 3 4 2 2 2 2" xfId="29093"/>
    <cellStyle name="Vírgula 3 3 4 2 2 2 2 2" xfId="55323"/>
    <cellStyle name="Vírgula 3 3 4 2 2 2 3" xfId="23179"/>
    <cellStyle name="Vírgula 3 3 4 2 2 2 3 2" xfId="49415"/>
    <cellStyle name="Vírgula 3 3 4 2 2 2 4" xfId="17265"/>
    <cellStyle name="Vírgula 3 3 4 2 2 2 4 2" xfId="43507"/>
    <cellStyle name="Vírgula 3 3 4 2 2 2 5" xfId="37121"/>
    <cellStyle name="Vírgula 3 3 4 2 2 3" xfId="26136"/>
    <cellStyle name="Vírgula 3 3 4 2 2 3 2" xfId="52369"/>
    <cellStyle name="Vírgula 3 3 4 2 2 4" xfId="20222"/>
    <cellStyle name="Vírgula 3 3 4 2 2 4 2" xfId="46461"/>
    <cellStyle name="Vírgula 3 3 4 2 2 5" xfId="14197"/>
    <cellStyle name="Vírgula 3 3 4 2 2 5 2" xfId="40439"/>
    <cellStyle name="Vírgula 3 3 4 2 2 6" xfId="34053"/>
    <cellStyle name="Vírgula 3 3 4 2 3" xfId="9411"/>
    <cellStyle name="Vírgula 3 3 4 2 3 2" xfId="27625"/>
    <cellStyle name="Vírgula 3 3 4 2 3 2 2" xfId="53855"/>
    <cellStyle name="Vírgula 3 3 4 2 3 3" xfId="21711"/>
    <cellStyle name="Vírgula 3 3 4 2 3 3 2" xfId="47947"/>
    <cellStyle name="Vírgula 3 3 4 2 3 4" xfId="15797"/>
    <cellStyle name="Vírgula 3 3 4 2 3 4 2" xfId="42039"/>
    <cellStyle name="Vírgula 3 3 4 2 3 5" xfId="35653"/>
    <cellStyle name="Vírgula 3 3 4 2 4" xfId="6108"/>
    <cellStyle name="Vírgula 3 3 4 2 4 2" xfId="24668"/>
    <cellStyle name="Vírgula 3 3 4 2 4 2 2" xfId="50901"/>
    <cellStyle name="Vírgula 3 3 4 2 4 3" xfId="32353"/>
    <cellStyle name="Vírgula 3 3 4 2 5" xfId="18754"/>
    <cellStyle name="Vírgula 3 3 4 2 5 2" xfId="44993"/>
    <cellStyle name="Vírgula 3 3 4 2 6" xfId="12496"/>
    <cellStyle name="Vírgula 3 3 4 2 6 2" xfId="38738"/>
    <cellStyle name="Vírgula 3 3 4 2 7" xfId="30656"/>
    <cellStyle name="Vírgula 3 3 4 3" xfId="4515"/>
    <cellStyle name="Vírgula 3 3 4 3 2" xfId="7917"/>
    <cellStyle name="Vírgula 3 3 4 3 2 2" xfId="10941"/>
    <cellStyle name="Vírgula 3 3 4 3 2 2 2" xfId="29155"/>
    <cellStyle name="Vírgula 3 3 4 3 2 2 2 2" xfId="55385"/>
    <cellStyle name="Vírgula 3 3 4 3 2 2 3" xfId="23241"/>
    <cellStyle name="Vírgula 3 3 4 3 2 2 3 2" xfId="49477"/>
    <cellStyle name="Vírgula 3 3 4 3 2 2 4" xfId="17327"/>
    <cellStyle name="Vírgula 3 3 4 3 2 2 4 2" xfId="43569"/>
    <cellStyle name="Vírgula 3 3 4 3 2 2 5" xfId="37183"/>
    <cellStyle name="Vírgula 3 3 4 3 2 3" xfId="26198"/>
    <cellStyle name="Vírgula 3 3 4 3 2 3 2" xfId="52431"/>
    <cellStyle name="Vírgula 3 3 4 3 2 4" xfId="20284"/>
    <cellStyle name="Vírgula 3 3 4 3 2 4 2" xfId="46523"/>
    <cellStyle name="Vírgula 3 3 4 3 2 5" xfId="14306"/>
    <cellStyle name="Vírgula 3 3 4 3 2 5 2" xfId="40548"/>
    <cellStyle name="Vírgula 3 3 4 3 2 6" xfId="34162"/>
    <cellStyle name="Vírgula 3 3 4 3 3" xfId="9473"/>
    <cellStyle name="Vírgula 3 3 4 3 3 2" xfId="27687"/>
    <cellStyle name="Vírgula 3 3 4 3 3 2 2" xfId="53917"/>
    <cellStyle name="Vírgula 3 3 4 3 3 3" xfId="21773"/>
    <cellStyle name="Vírgula 3 3 4 3 3 3 2" xfId="48009"/>
    <cellStyle name="Vírgula 3 3 4 3 3 4" xfId="15859"/>
    <cellStyle name="Vírgula 3 3 4 3 3 4 2" xfId="42101"/>
    <cellStyle name="Vírgula 3 3 4 3 3 5" xfId="35715"/>
    <cellStyle name="Vírgula 3 3 4 3 4" xfId="6216"/>
    <cellStyle name="Vírgula 3 3 4 3 4 2" xfId="24730"/>
    <cellStyle name="Vírgula 3 3 4 3 4 2 2" xfId="50963"/>
    <cellStyle name="Vírgula 3 3 4 3 4 3" xfId="32461"/>
    <cellStyle name="Vírgula 3 3 4 3 5" xfId="18816"/>
    <cellStyle name="Vírgula 3 3 4 3 5 2" xfId="45055"/>
    <cellStyle name="Vírgula 3 3 4 3 6" xfId="12605"/>
    <cellStyle name="Vírgula 3 3 4 3 6 2" xfId="38847"/>
    <cellStyle name="Vírgula 3 3 4 3 7" xfId="30764"/>
    <cellStyle name="Vírgula 3 3 4 4" xfId="4623"/>
    <cellStyle name="Vírgula 3 3 4 4 2" xfId="8025"/>
    <cellStyle name="Vírgula 3 3 4 4 2 2" xfId="11003"/>
    <cellStyle name="Vírgula 3 3 4 4 2 2 2" xfId="29217"/>
    <cellStyle name="Vírgula 3 3 4 4 2 2 2 2" xfId="55447"/>
    <cellStyle name="Vírgula 3 3 4 4 2 2 3" xfId="23303"/>
    <cellStyle name="Vírgula 3 3 4 4 2 2 3 2" xfId="49539"/>
    <cellStyle name="Vírgula 3 3 4 4 2 2 4" xfId="17389"/>
    <cellStyle name="Vírgula 3 3 4 4 2 2 4 2" xfId="43631"/>
    <cellStyle name="Vírgula 3 3 4 4 2 2 5" xfId="37245"/>
    <cellStyle name="Vírgula 3 3 4 4 2 3" xfId="26260"/>
    <cellStyle name="Vírgula 3 3 4 4 2 3 2" xfId="52493"/>
    <cellStyle name="Vírgula 3 3 4 4 2 4" xfId="20346"/>
    <cellStyle name="Vírgula 3 3 4 4 2 4 2" xfId="46585"/>
    <cellStyle name="Vírgula 3 3 4 4 2 5" xfId="14414"/>
    <cellStyle name="Vírgula 3 3 4 4 2 5 2" xfId="40656"/>
    <cellStyle name="Vírgula 3 3 4 4 2 6" xfId="34270"/>
    <cellStyle name="Vírgula 3 3 4 4 3" xfId="9535"/>
    <cellStyle name="Vírgula 3 3 4 4 3 2" xfId="27749"/>
    <cellStyle name="Vírgula 3 3 4 4 3 2 2" xfId="53979"/>
    <cellStyle name="Vírgula 3 3 4 4 3 3" xfId="21835"/>
    <cellStyle name="Vírgula 3 3 4 4 3 3 2" xfId="48071"/>
    <cellStyle name="Vírgula 3 3 4 4 3 4" xfId="15921"/>
    <cellStyle name="Vírgula 3 3 4 4 3 4 2" xfId="42163"/>
    <cellStyle name="Vírgula 3 3 4 4 3 5" xfId="35777"/>
    <cellStyle name="Vírgula 3 3 4 4 4" xfId="6324"/>
    <cellStyle name="Vírgula 3 3 4 4 4 2" xfId="24792"/>
    <cellStyle name="Vírgula 3 3 4 4 4 2 2" xfId="51025"/>
    <cellStyle name="Vírgula 3 3 4 4 4 3" xfId="32569"/>
    <cellStyle name="Vírgula 3 3 4 4 5" xfId="18878"/>
    <cellStyle name="Vírgula 3 3 4 4 5 2" xfId="45117"/>
    <cellStyle name="Vírgula 3 3 4 4 6" xfId="12713"/>
    <cellStyle name="Vírgula 3 3 4 4 6 2" xfId="38955"/>
    <cellStyle name="Vírgula 3 3 4 4 7" xfId="30872"/>
    <cellStyle name="Vírgula 3 3 4 5" xfId="5963"/>
    <cellStyle name="Vírgula 3 3 4 5 2" xfId="7663"/>
    <cellStyle name="Vírgula 3 3 4 5 2 2" xfId="10797"/>
    <cellStyle name="Vírgula 3 3 4 5 2 2 2" xfId="29011"/>
    <cellStyle name="Vírgula 3 3 4 5 2 2 2 2" xfId="55241"/>
    <cellStyle name="Vírgula 3 3 4 5 2 2 3" xfId="23097"/>
    <cellStyle name="Vírgula 3 3 4 5 2 2 3 2" xfId="49333"/>
    <cellStyle name="Vírgula 3 3 4 5 2 2 4" xfId="17183"/>
    <cellStyle name="Vírgula 3 3 4 5 2 2 4 2" xfId="43425"/>
    <cellStyle name="Vírgula 3 3 4 5 2 2 5" xfId="37039"/>
    <cellStyle name="Vírgula 3 3 4 5 2 3" xfId="26054"/>
    <cellStyle name="Vírgula 3 3 4 5 2 3 2" xfId="52287"/>
    <cellStyle name="Vírgula 3 3 4 5 2 4" xfId="20140"/>
    <cellStyle name="Vírgula 3 3 4 5 2 4 2" xfId="46379"/>
    <cellStyle name="Vírgula 3 3 4 5 2 5" xfId="14052"/>
    <cellStyle name="Vírgula 3 3 4 5 2 5 2" xfId="40294"/>
    <cellStyle name="Vírgula 3 3 4 5 2 6" xfId="33908"/>
    <cellStyle name="Vírgula 3 3 4 5 3" xfId="9329"/>
    <cellStyle name="Vírgula 3 3 4 5 3 2" xfId="27543"/>
    <cellStyle name="Vírgula 3 3 4 5 3 2 2" xfId="53773"/>
    <cellStyle name="Vírgula 3 3 4 5 3 3" xfId="21629"/>
    <cellStyle name="Vírgula 3 3 4 5 3 3 2" xfId="47865"/>
    <cellStyle name="Vírgula 3 3 4 5 3 4" xfId="15715"/>
    <cellStyle name="Vírgula 3 3 4 5 3 4 2" xfId="41957"/>
    <cellStyle name="Vírgula 3 3 4 5 3 5" xfId="35571"/>
    <cellStyle name="Vírgula 3 3 4 5 4" xfId="24586"/>
    <cellStyle name="Vírgula 3 3 4 5 4 2" xfId="50819"/>
    <cellStyle name="Vírgula 3 3 4 5 5" xfId="18672"/>
    <cellStyle name="Vírgula 3 3 4 5 5 2" xfId="44911"/>
    <cellStyle name="Vírgula 3 3 4 5 6" xfId="12351"/>
    <cellStyle name="Vírgula 3 3 4 5 6 2" xfId="38593"/>
    <cellStyle name="Vírgula 3 3 4 5 7" xfId="32208"/>
    <cellStyle name="Vírgula 3 3 4 6" xfId="6433"/>
    <cellStyle name="Vírgula 3 3 4 6 2" xfId="9597"/>
    <cellStyle name="Vírgula 3 3 4 6 2 2" xfId="27811"/>
    <cellStyle name="Vírgula 3 3 4 6 2 2 2" xfId="54041"/>
    <cellStyle name="Vírgula 3 3 4 6 2 3" xfId="21897"/>
    <cellStyle name="Vírgula 3 3 4 6 2 3 2" xfId="48133"/>
    <cellStyle name="Vírgula 3 3 4 6 2 4" xfId="15983"/>
    <cellStyle name="Vírgula 3 3 4 6 2 4 2" xfId="42225"/>
    <cellStyle name="Vírgula 3 3 4 6 2 5" xfId="35839"/>
    <cellStyle name="Vírgula 3 3 4 6 3" xfId="24854"/>
    <cellStyle name="Vírgula 3 3 4 6 3 2" xfId="51087"/>
    <cellStyle name="Vírgula 3 3 4 6 4" xfId="18940"/>
    <cellStyle name="Vírgula 3 3 4 6 4 2" xfId="45179"/>
    <cellStyle name="Vírgula 3 3 4 6 5" xfId="12822"/>
    <cellStyle name="Vírgula 3 3 4 6 5 2" xfId="39064"/>
    <cellStyle name="Vírgula 3 3 4 6 6" xfId="32678"/>
    <cellStyle name="Vírgula 3 3 4 7" xfId="8126"/>
    <cellStyle name="Vírgula 3 3 4 7 2" xfId="26340"/>
    <cellStyle name="Vírgula 3 3 4 7 2 2" xfId="52573"/>
    <cellStyle name="Vírgula 3 3 4 7 3" xfId="20426"/>
    <cellStyle name="Vírgula 3 3 4 7 3 2" xfId="46665"/>
    <cellStyle name="Vírgula 3 3 4 7 4" xfId="14515"/>
    <cellStyle name="Vírgula 3 3 4 7 4 2" xfId="40757"/>
    <cellStyle name="Vírgula 3 3 4 7 5" xfId="34371"/>
    <cellStyle name="Vírgula 3 3 4 8" xfId="4730"/>
    <cellStyle name="Vírgula 3 3 4 8 2" xfId="23383"/>
    <cellStyle name="Vírgula 3 3 4 8 2 2" xfId="49619"/>
    <cellStyle name="Vírgula 3 3 4 8 3" xfId="30979"/>
    <cellStyle name="Vírgula 3 3 4 9" xfId="17469"/>
    <cellStyle name="Vírgula 3 3 4 9 2" xfId="43711"/>
    <cellStyle name="Vírgula 3 3 5" xfId="4339"/>
    <cellStyle name="Vírgula 3 3 5 2" xfId="7740"/>
    <cellStyle name="Vírgula 3 3 5 2 2" xfId="10840"/>
    <cellStyle name="Vírgula 3 3 5 2 2 2" xfId="29054"/>
    <cellStyle name="Vírgula 3 3 5 2 2 2 2" xfId="55284"/>
    <cellStyle name="Vírgula 3 3 5 2 2 3" xfId="23140"/>
    <cellStyle name="Vírgula 3 3 5 2 2 3 2" xfId="49376"/>
    <cellStyle name="Vírgula 3 3 5 2 2 4" xfId="17226"/>
    <cellStyle name="Vírgula 3 3 5 2 2 4 2" xfId="43468"/>
    <cellStyle name="Vírgula 3 3 5 2 2 5" xfId="37082"/>
    <cellStyle name="Vírgula 3 3 5 2 3" xfId="26097"/>
    <cellStyle name="Vírgula 3 3 5 2 3 2" xfId="52330"/>
    <cellStyle name="Vírgula 3 3 5 2 4" xfId="20183"/>
    <cellStyle name="Vírgula 3 3 5 2 4 2" xfId="46422"/>
    <cellStyle name="Vírgula 3 3 5 2 5" xfId="14129"/>
    <cellStyle name="Vírgula 3 3 5 2 5 2" xfId="40371"/>
    <cellStyle name="Vírgula 3 3 5 2 6" xfId="33985"/>
    <cellStyle name="Vírgula 3 3 5 3" xfId="9372"/>
    <cellStyle name="Vírgula 3 3 5 3 2" xfId="27586"/>
    <cellStyle name="Vírgula 3 3 5 3 2 2" xfId="53816"/>
    <cellStyle name="Vírgula 3 3 5 3 3" xfId="21672"/>
    <cellStyle name="Vírgula 3 3 5 3 3 2" xfId="47908"/>
    <cellStyle name="Vírgula 3 3 5 3 4" xfId="15758"/>
    <cellStyle name="Vírgula 3 3 5 3 4 2" xfId="42000"/>
    <cellStyle name="Vírgula 3 3 5 3 5" xfId="35614"/>
    <cellStyle name="Vírgula 3 3 5 4" xfId="6040"/>
    <cellStyle name="Vírgula 3 3 5 4 2" xfId="24629"/>
    <cellStyle name="Vírgula 3 3 5 4 2 2" xfId="50862"/>
    <cellStyle name="Vírgula 3 3 5 4 3" xfId="32285"/>
    <cellStyle name="Vírgula 3 3 5 5" xfId="18715"/>
    <cellStyle name="Vírgula 3 3 5 5 2" xfId="44954"/>
    <cellStyle name="Vírgula 3 3 5 6" xfId="12428"/>
    <cellStyle name="Vírgula 3 3 5 6 2" xfId="38670"/>
    <cellStyle name="Vírgula 3 3 5 7" xfId="30588"/>
    <cellStyle name="Vírgula 3 3 6" xfId="4447"/>
    <cellStyle name="Vírgula 3 3 6 2" xfId="7849"/>
    <cellStyle name="Vírgula 3 3 6 2 2" xfId="10902"/>
    <cellStyle name="Vírgula 3 3 6 2 2 2" xfId="29116"/>
    <cellStyle name="Vírgula 3 3 6 2 2 2 2" xfId="55346"/>
    <cellStyle name="Vírgula 3 3 6 2 2 3" xfId="23202"/>
    <cellStyle name="Vírgula 3 3 6 2 2 3 2" xfId="49438"/>
    <cellStyle name="Vírgula 3 3 6 2 2 4" xfId="17288"/>
    <cellStyle name="Vírgula 3 3 6 2 2 4 2" xfId="43530"/>
    <cellStyle name="Vírgula 3 3 6 2 2 5" xfId="37144"/>
    <cellStyle name="Vírgula 3 3 6 2 3" xfId="26159"/>
    <cellStyle name="Vírgula 3 3 6 2 3 2" xfId="52392"/>
    <cellStyle name="Vírgula 3 3 6 2 4" xfId="20245"/>
    <cellStyle name="Vírgula 3 3 6 2 4 2" xfId="46484"/>
    <cellStyle name="Vírgula 3 3 6 2 5" xfId="14238"/>
    <cellStyle name="Vírgula 3 3 6 2 5 2" xfId="40480"/>
    <cellStyle name="Vírgula 3 3 6 2 6" xfId="34094"/>
    <cellStyle name="Vírgula 3 3 6 3" xfId="9434"/>
    <cellStyle name="Vírgula 3 3 6 3 2" xfId="27648"/>
    <cellStyle name="Vírgula 3 3 6 3 2 2" xfId="53878"/>
    <cellStyle name="Vírgula 3 3 6 3 3" xfId="21734"/>
    <cellStyle name="Vírgula 3 3 6 3 3 2" xfId="47970"/>
    <cellStyle name="Vírgula 3 3 6 3 4" xfId="15820"/>
    <cellStyle name="Vírgula 3 3 6 3 4 2" xfId="42062"/>
    <cellStyle name="Vírgula 3 3 6 3 5" xfId="35676"/>
    <cellStyle name="Vírgula 3 3 6 4" xfId="6149"/>
    <cellStyle name="Vírgula 3 3 6 4 2" xfId="24691"/>
    <cellStyle name="Vírgula 3 3 6 4 2 2" xfId="50924"/>
    <cellStyle name="Vírgula 3 3 6 4 3" xfId="32394"/>
    <cellStyle name="Vírgula 3 3 6 5" xfId="18777"/>
    <cellStyle name="Vírgula 3 3 6 5 2" xfId="45016"/>
    <cellStyle name="Vírgula 3 3 6 6" xfId="12537"/>
    <cellStyle name="Vírgula 3 3 6 6 2" xfId="38779"/>
    <cellStyle name="Vírgula 3 3 6 7" xfId="30696"/>
    <cellStyle name="Vírgula 3 3 7" xfId="4555"/>
    <cellStyle name="Vírgula 3 3 7 2" xfId="7957"/>
    <cellStyle name="Vírgula 3 3 7 2 2" xfId="10964"/>
    <cellStyle name="Vírgula 3 3 7 2 2 2" xfId="29178"/>
    <cellStyle name="Vírgula 3 3 7 2 2 2 2" xfId="55408"/>
    <cellStyle name="Vírgula 3 3 7 2 2 3" xfId="23264"/>
    <cellStyle name="Vírgula 3 3 7 2 2 3 2" xfId="49500"/>
    <cellStyle name="Vírgula 3 3 7 2 2 4" xfId="17350"/>
    <cellStyle name="Vírgula 3 3 7 2 2 4 2" xfId="43592"/>
    <cellStyle name="Vírgula 3 3 7 2 2 5" xfId="37206"/>
    <cellStyle name="Vírgula 3 3 7 2 3" xfId="26221"/>
    <cellStyle name="Vírgula 3 3 7 2 3 2" xfId="52454"/>
    <cellStyle name="Vírgula 3 3 7 2 4" xfId="20307"/>
    <cellStyle name="Vírgula 3 3 7 2 4 2" xfId="46546"/>
    <cellStyle name="Vírgula 3 3 7 2 5" xfId="14346"/>
    <cellStyle name="Vírgula 3 3 7 2 5 2" xfId="40588"/>
    <cellStyle name="Vírgula 3 3 7 2 6" xfId="34202"/>
    <cellStyle name="Vírgula 3 3 7 3" xfId="9496"/>
    <cellStyle name="Vírgula 3 3 7 3 2" xfId="27710"/>
    <cellStyle name="Vírgula 3 3 7 3 2 2" xfId="53940"/>
    <cellStyle name="Vírgula 3 3 7 3 3" xfId="21796"/>
    <cellStyle name="Vírgula 3 3 7 3 3 2" xfId="48032"/>
    <cellStyle name="Vírgula 3 3 7 3 4" xfId="15882"/>
    <cellStyle name="Vírgula 3 3 7 3 4 2" xfId="42124"/>
    <cellStyle name="Vírgula 3 3 7 3 5" xfId="35738"/>
    <cellStyle name="Vírgula 3 3 7 4" xfId="6256"/>
    <cellStyle name="Vírgula 3 3 7 4 2" xfId="24753"/>
    <cellStyle name="Vírgula 3 3 7 4 2 2" xfId="50986"/>
    <cellStyle name="Vírgula 3 3 7 4 3" xfId="32501"/>
    <cellStyle name="Vírgula 3 3 7 5" xfId="18839"/>
    <cellStyle name="Vírgula 3 3 7 5 2" xfId="45078"/>
    <cellStyle name="Vírgula 3 3 7 6" xfId="12645"/>
    <cellStyle name="Vírgula 3 3 7 6 2" xfId="38887"/>
    <cellStyle name="Vírgula 3 3 7 7" xfId="30804"/>
    <cellStyle name="Vírgula 3 3 8" xfId="5015"/>
    <cellStyle name="Vírgula 3 3 8 2" xfId="6714"/>
    <cellStyle name="Vírgula 3 3 8 2 2" xfId="9861"/>
    <cellStyle name="Vírgula 3 3 8 2 2 2" xfId="28075"/>
    <cellStyle name="Vírgula 3 3 8 2 2 2 2" xfId="54305"/>
    <cellStyle name="Vírgula 3 3 8 2 2 3" xfId="22161"/>
    <cellStyle name="Vírgula 3 3 8 2 2 3 2" xfId="48397"/>
    <cellStyle name="Vírgula 3 3 8 2 2 4" xfId="16247"/>
    <cellStyle name="Vírgula 3 3 8 2 2 4 2" xfId="42489"/>
    <cellStyle name="Vírgula 3 3 8 2 2 5" xfId="36103"/>
    <cellStyle name="Vírgula 3 3 8 2 3" xfId="25118"/>
    <cellStyle name="Vírgula 3 3 8 2 3 2" xfId="51351"/>
    <cellStyle name="Vírgula 3 3 8 2 4" xfId="19204"/>
    <cellStyle name="Vírgula 3 3 8 2 4 2" xfId="45443"/>
    <cellStyle name="Vírgula 3 3 8 2 5" xfId="13103"/>
    <cellStyle name="Vírgula 3 3 8 2 5 2" xfId="39345"/>
    <cellStyle name="Vírgula 3 3 8 2 6" xfId="32959"/>
    <cellStyle name="Vírgula 3 3 8 3" xfId="8393"/>
    <cellStyle name="Vírgula 3 3 8 3 2" xfId="26607"/>
    <cellStyle name="Vírgula 3 3 8 3 2 2" xfId="52837"/>
    <cellStyle name="Vírgula 3 3 8 3 3" xfId="20693"/>
    <cellStyle name="Vírgula 3 3 8 3 3 2" xfId="46929"/>
    <cellStyle name="Vírgula 3 3 8 3 4" xfId="14779"/>
    <cellStyle name="Vírgula 3 3 8 3 4 2" xfId="41021"/>
    <cellStyle name="Vírgula 3 3 8 3 5" xfId="34635"/>
    <cellStyle name="Vírgula 3 3 8 4" xfId="23650"/>
    <cellStyle name="Vírgula 3 3 8 4 2" xfId="49883"/>
    <cellStyle name="Vírgula 3 3 8 5" xfId="17736"/>
    <cellStyle name="Vírgula 3 3 8 5 2" xfId="43975"/>
    <cellStyle name="Vírgula 3 3 8 6" xfId="11402"/>
    <cellStyle name="Vírgula 3 3 8 6 2" xfId="37644"/>
    <cellStyle name="Vírgula 3 3 8 7" xfId="31260"/>
    <cellStyle name="Vírgula 3 3 9" xfId="6365"/>
    <cellStyle name="Vírgula 3 3 9 2" xfId="9558"/>
    <cellStyle name="Vírgula 3 3 9 2 2" xfId="27772"/>
    <cellStyle name="Vírgula 3 3 9 2 2 2" xfId="54002"/>
    <cellStyle name="Vírgula 3 3 9 2 3" xfId="21858"/>
    <cellStyle name="Vírgula 3 3 9 2 3 2" xfId="48094"/>
    <cellStyle name="Vírgula 3 3 9 2 4" xfId="15944"/>
    <cellStyle name="Vírgula 3 3 9 2 4 2" xfId="42186"/>
    <cellStyle name="Vírgula 3 3 9 2 5" xfId="35800"/>
    <cellStyle name="Vírgula 3 3 9 3" xfId="24815"/>
    <cellStyle name="Vírgula 3 3 9 3 2" xfId="51048"/>
    <cellStyle name="Vírgula 3 3 9 4" xfId="18901"/>
    <cellStyle name="Vírgula 3 3 9 4 2" xfId="45140"/>
    <cellStyle name="Vírgula 3 3 9 5" xfId="12754"/>
    <cellStyle name="Vírgula 3 3 9 5 2" xfId="38996"/>
    <cellStyle name="Vírgula 3 3 9 6" xfId="32610"/>
    <cellStyle name="Vírgula 3 4" xfId="1257"/>
    <cellStyle name="Vírgula 3 4 10" xfId="8090"/>
    <cellStyle name="Vírgula 3 4 10 2" xfId="26304"/>
    <cellStyle name="Vírgula 3 4 10 2 2" xfId="52537"/>
    <cellStyle name="Vírgula 3 4 10 3" xfId="20390"/>
    <cellStyle name="Vírgula 3 4 10 3 2" xfId="46629"/>
    <cellStyle name="Vírgula 3 4 10 4" xfId="14479"/>
    <cellStyle name="Vírgula 3 4 10 4 2" xfId="40721"/>
    <cellStyle name="Vírgula 3 4 10 5" xfId="34335"/>
    <cellStyle name="Vírgula 3 4 11" xfId="4668"/>
    <cellStyle name="Vírgula 3 4 11 2" xfId="23347"/>
    <cellStyle name="Vírgula 3 4 11 2 2" xfId="49583"/>
    <cellStyle name="Vírgula 3 4 11 3" xfId="30917"/>
    <cellStyle name="Vírgula 3 4 12" xfId="17433"/>
    <cellStyle name="Vírgula 3 4 12 2" xfId="43675"/>
    <cellStyle name="Vírgula 3 4 13" xfId="11059"/>
    <cellStyle name="Vírgula 3 4 13 2" xfId="37301"/>
    <cellStyle name="Vírgula 3 4 14" xfId="29660"/>
    <cellStyle name="Vírgula 3 4 2" xfId="4303"/>
    <cellStyle name="Vírgula 3 4 2 10" xfId="11094"/>
    <cellStyle name="Vírgula 3 4 2 10 2" xfId="37336"/>
    <cellStyle name="Vírgula 3 4 2 11" xfId="30552"/>
    <cellStyle name="Vírgula 3 4 2 2" xfId="4380"/>
    <cellStyle name="Vírgula 3 4 2 2 2" xfId="7781"/>
    <cellStyle name="Vírgula 3 4 2 2 2 2" xfId="10863"/>
    <cellStyle name="Vírgula 3 4 2 2 2 2 2" xfId="29077"/>
    <cellStyle name="Vírgula 3 4 2 2 2 2 2 2" xfId="55307"/>
    <cellStyle name="Vírgula 3 4 2 2 2 2 3" xfId="23163"/>
    <cellStyle name="Vírgula 3 4 2 2 2 2 3 2" xfId="49399"/>
    <cellStyle name="Vírgula 3 4 2 2 2 2 4" xfId="17249"/>
    <cellStyle name="Vírgula 3 4 2 2 2 2 4 2" xfId="43491"/>
    <cellStyle name="Vírgula 3 4 2 2 2 2 5" xfId="37105"/>
    <cellStyle name="Vírgula 3 4 2 2 2 3" xfId="26120"/>
    <cellStyle name="Vírgula 3 4 2 2 2 3 2" xfId="52353"/>
    <cellStyle name="Vírgula 3 4 2 2 2 4" xfId="20206"/>
    <cellStyle name="Vírgula 3 4 2 2 2 4 2" xfId="46445"/>
    <cellStyle name="Vírgula 3 4 2 2 2 5" xfId="14170"/>
    <cellStyle name="Vírgula 3 4 2 2 2 5 2" xfId="40412"/>
    <cellStyle name="Vírgula 3 4 2 2 2 6" xfId="34026"/>
    <cellStyle name="Vírgula 3 4 2 2 3" xfId="9395"/>
    <cellStyle name="Vírgula 3 4 2 2 3 2" xfId="27609"/>
    <cellStyle name="Vírgula 3 4 2 2 3 2 2" xfId="53839"/>
    <cellStyle name="Vírgula 3 4 2 2 3 3" xfId="21695"/>
    <cellStyle name="Vírgula 3 4 2 2 3 3 2" xfId="47931"/>
    <cellStyle name="Vírgula 3 4 2 2 3 4" xfId="15781"/>
    <cellStyle name="Vírgula 3 4 2 2 3 4 2" xfId="42023"/>
    <cellStyle name="Vírgula 3 4 2 2 3 5" xfId="35637"/>
    <cellStyle name="Vírgula 3 4 2 2 4" xfId="6081"/>
    <cellStyle name="Vírgula 3 4 2 2 4 2" xfId="24652"/>
    <cellStyle name="Vírgula 3 4 2 2 4 2 2" xfId="50885"/>
    <cellStyle name="Vírgula 3 4 2 2 4 3" xfId="32326"/>
    <cellStyle name="Vírgula 3 4 2 2 5" xfId="18738"/>
    <cellStyle name="Vírgula 3 4 2 2 5 2" xfId="44977"/>
    <cellStyle name="Vírgula 3 4 2 2 6" xfId="12469"/>
    <cellStyle name="Vírgula 3 4 2 2 6 2" xfId="38711"/>
    <cellStyle name="Vírgula 3 4 2 2 7" xfId="30629"/>
    <cellStyle name="Vírgula 3 4 2 3" xfId="4488"/>
    <cellStyle name="Vírgula 3 4 2 3 2" xfId="7890"/>
    <cellStyle name="Vírgula 3 4 2 3 2 2" xfId="10925"/>
    <cellStyle name="Vírgula 3 4 2 3 2 2 2" xfId="29139"/>
    <cellStyle name="Vírgula 3 4 2 3 2 2 2 2" xfId="55369"/>
    <cellStyle name="Vírgula 3 4 2 3 2 2 3" xfId="23225"/>
    <cellStyle name="Vírgula 3 4 2 3 2 2 3 2" xfId="49461"/>
    <cellStyle name="Vírgula 3 4 2 3 2 2 4" xfId="17311"/>
    <cellStyle name="Vírgula 3 4 2 3 2 2 4 2" xfId="43553"/>
    <cellStyle name="Vírgula 3 4 2 3 2 2 5" xfId="37167"/>
    <cellStyle name="Vírgula 3 4 2 3 2 3" xfId="26182"/>
    <cellStyle name="Vírgula 3 4 2 3 2 3 2" xfId="52415"/>
    <cellStyle name="Vírgula 3 4 2 3 2 4" xfId="20268"/>
    <cellStyle name="Vírgula 3 4 2 3 2 4 2" xfId="46507"/>
    <cellStyle name="Vírgula 3 4 2 3 2 5" xfId="14279"/>
    <cellStyle name="Vírgula 3 4 2 3 2 5 2" xfId="40521"/>
    <cellStyle name="Vírgula 3 4 2 3 2 6" xfId="34135"/>
    <cellStyle name="Vírgula 3 4 2 3 3" xfId="9457"/>
    <cellStyle name="Vírgula 3 4 2 3 3 2" xfId="27671"/>
    <cellStyle name="Vírgula 3 4 2 3 3 2 2" xfId="53901"/>
    <cellStyle name="Vírgula 3 4 2 3 3 3" xfId="21757"/>
    <cellStyle name="Vírgula 3 4 2 3 3 3 2" xfId="47993"/>
    <cellStyle name="Vírgula 3 4 2 3 3 4" xfId="15843"/>
    <cellStyle name="Vírgula 3 4 2 3 3 4 2" xfId="42085"/>
    <cellStyle name="Vírgula 3 4 2 3 3 5" xfId="35699"/>
    <cellStyle name="Vírgula 3 4 2 3 4" xfId="6190"/>
    <cellStyle name="Vírgula 3 4 2 3 4 2" xfId="24714"/>
    <cellStyle name="Vírgula 3 4 2 3 4 2 2" xfId="50947"/>
    <cellStyle name="Vírgula 3 4 2 3 4 3" xfId="32435"/>
    <cellStyle name="Vírgula 3 4 2 3 5" xfId="18800"/>
    <cellStyle name="Vírgula 3 4 2 3 5 2" xfId="45039"/>
    <cellStyle name="Vírgula 3 4 2 3 6" xfId="12578"/>
    <cellStyle name="Vírgula 3 4 2 3 6 2" xfId="38820"/>
    <cellStyle name="Vírgula 3 4 2 3 7" xfId="30737"/>
    <cellStyle name="Vírgula 3 4 2 4" xfId="4596"/>
    <cellStyle name="Vírgula 3 4 2 4 2" xfId="7998"/>
    <cellStyle name="Vírgula 3 4 2 4 2 2" xfId="10987"/>
    <cellStyle name="Vírgula 3 4 2 4 2 2 2" xfId="29201"/>
    <cellStyle name="Vírgula 3 4 2 4 2 2 2 2" xfId="55431"/>
    <cellStyle name="Vírgula 3 4 2 4 2 2 3" xfId="23287"/>
    <cellStyle name="Vírgula 3 4 2 4 2 2 3 2" xfId="49523"/>
    <cellStyle name="Vírgula 3 4 2 4 2 2 4" xfId="17373"/>
    <cellStyle name="Vírgula 3 4 2 4 2 2 4 2" xfId="43615"/>
    <cellStyle name="Vírgula 3 4 2 4 2 2 5" xfId="37229"/>
    <cellStyle name="Vírgula 3 4 2 4 2 3" xfId="26244"/>
    <cellStyle name="Vírgula 3 4 2 4 2 3 2" xfId="52477"/>
    <cellStyle name="Vírgula 3 4 2 4 2 4" xfId="20330"/>
    <cellStyle name="Vírgula 3 4 2 4 2 4 2" xfId="46569"/>
    <cellStyle name="Vírgula 3 4 2 4 2 5" xfId="14387"/>
    <cellStyle name="Vírgula 3 4 2 4 2 5 2" xfId="40629"/>
    <cellStyle name="Vírgula 3 4 2 4 2 6" xfId="34243"/>
    <cellStyle name="Vírgula 3 4 2 4 3" xfId="9519"/>
    <cellStyle name="Vírgula 3 4 2 4 3 2" xfId="27733"/>
    <cellStyle name="Vírgula 3 4 2 4 3 2 2" xfId="53963"/>
    <cellStyle name="Vírgula 3 4 2 4 3 3" xfId="21819"/>
    <cellStyle name="Vírgula 3 4 2 4 3 3 2" xfId="48055"/>
    <cellStyle name="Vírgula 3 4 2 4 3 4" xfId="15905"/>
    <cellStyle name="Vírgula 3 4 2 4 3 4 2" xfId="42147"/>
    <cellStyle name="Vírgula 3 4 2 4 3 5" xfId="35761"/>
    <cellStyle name="Vírgula 3 4 2 4 4" xfId="6297"/>
    <cellStyle name="Vírgula 3 4 2 4 4 2" xfId="24776"/>
    <cellStyle name="Vírgula 3 4 2 4 4 2 2" xfId="51009"/>
    <cellStyle name="Vírgula 3 4 2 4 4 3" xfId="32542"/>
    <cellStyle name="Vírgula 3 4 2 4 5" xfId="18862"/>
    <cellStyle name="Vírgula 3 4 2 4 5 2" xfId="45101"/>
    <cellStyle name="Vírgula 3 4 2 4 6" xfId="12686"/>
    <cellStyle name="Vírgula 3 4 2 4 6 2" xfId="38928"/>
    <cellStyle name="Vírgula 3 4 2 4 7" xfId="30845"/>
    <cellStyle name="Vírgula 3 4 2 5" xfId="6004"/>
    <cellStyle name="Vírgula 3 4 2 5 2" xfId="7704"/>
    <cellStyle name="Vírgula 3 4 2 5 2 2" xfId="10820"/>
    <cellStyle name="Vírgula 3 4 2 5 2 2 2" xfId="29034"/>
    <cellStyle name="Vírgula 3 4 2 5 2 2 2 2" xfId="55264"/>
    <cellStyle name="Vírgula 3 4 2 5 2 2 3" xfId="23120"/>
    <cellStyle name="Vírgula 3 4 2 5 2 2 3 2" xfId="49356"/>
    <cellStyle name="Vírgula 3 4 2 5 2 2 4" xfId="17206"/>
    <cellStyle name="Vírgula 3 4 2 5 2 2 4 2" xfId="43448"/>
    <cellStyle name="Vírgula 3 4 2 5 2 2 5" xfId="37062"/>
    <cellStyle name="Vírgula 3 4 2 5 2 3" xfId="26077"/>
    <cellStyle name="Vírgula 3 4 2 5 2 3 2" xfId="52310"/>
    <cellStyle name="Vírgula 3 4 2 5 2 4" xfId="20163"/>
    <cellStyle name="Vírgula 3 4 2 5 2 4 2" xfId="46402"/>
    <cellStyle name="Vírgula 3 4 2 5 2 5" xfId="14093"/>
    <cellStyle name="Vírgula 3 4 2 5 2 5 2" xfId="40335"/>
    <cellStyle name="Vírgula 3 4 2 5 2 6" xfId="33949"/>
    <cellStyle name="Vírgula 3 4 2 5 3" xfId="9352"/>
    <cellStyle name="Vírgula 3 4 2 5 3 2" xfId="27566"/>
    <cellStyle name="Vírgula 3 4 2 5 3 2 2" xfId="53796"/>
    <cellStyle name="Vírgula 3 4 2 5 3 3" xfId="21652"/>
    <cellStyle name="Vírgula 3 4 2 5 3 3 2" xfId="47888"/>
    <cellStyle name="Vírgula 3 4 2 5 3 4" xfId="15738"/>
    <cellStyle name="Vírgula 3 4 2 5 3 4 2" xfId="41980"/>
    <cellStyle name="Vírgula 3 4 2 5 3 5" xfId="35594"/>
    <cellStyle name="Vírgula 3 4 2 5 4" xfId="24609"/>
    <cellStyle name="Vírgula 3 4 2 5 4 2" xfId="50842"/>
    <cellStyle name="Vírgula 3 4 2 5 5" xfId="18695"/>
    <cellStyle name="Vírgula 3 4 2 5 5 2" xfId="44934"/>
    <cellStyle name="Vírgula 3 4 2 5 6" xfId="12392"/>
    <cellStyle name="Vírgula 3 4 2 5 6 2" xfId="38634"/>
    <cellStyle name="Vírgula 3 4 2 5 7" xfId="32249"/>
    <cellStyle name="Vírgula 3 4 2 6" xfId="6406"/>
    <cellStyle name="Vírgula 3 4 2 6 2" xfId="9581"/>
    <cellStyle name="Vírgula 3 4 2 6 2 2" xfId="27795"/>
    <cellStyle name="Vírgula 3 4 2 6 2 2 2" xfId="54025"/>
    <cellStyle name="Vírgula 3 4 2 6 2 3" xfId="21881"/>
    <cellStyle name="Vírgula 3 4 2 6 2 3 2" xfId="48117"/>
    <cellStyle name="Vírgula 3 4 2 6 2 4" xfId="15967"/>
    <cellStyle name="Vírgula 3 4 2 6 2 4 2" xfId="42209"/>
    <cellStyle name="Vírgula 3 4 2 6 2 5" xfId="35823"/>
    <cellStyle name="Vírgula 3 4 2 6 3" xfId="24838"/>
    <cellStyle name="Vírgula 3 4 2 6 3 2" xfId="51071"/>
    <cellStyle name="Vírgula 3 4 2 6 4" xfId="18924"/>
    <cellStyle name="Vírgula 3 4 2 6 4 2" xfId="45163"/>
    <cellStyle name="Vírgula 3 4 2 6 5" xfId="12795"/>
    <cellStyle name="Vírgula 3 4 2 6 5 2" xfId="39037"/>
    <cellStyle name="Vírgula 3 4 2 6 6" xfId="32651"/>
    <cellStyle name="Vírgula 3 4 2 7" xfId="8110"/>
    <cellStyle name="Vírgula 3 4 2 7 2" xfId="26324"/>
    <cellStyle name="Vírgula 3 4 2 7 2 2" xfId="52557"/>
    <cellStyle name="Vírgula 3 4 2 7 3" xfId="20410"/>
    <cellStyle name="Vírgula 3 4 2 7 3 2" xfId="46649"/>
    <cellStyle name="Vírgula 3 4 2 7 4" xfId="14499"/>
    <cellStyle name="Vírgula 3 4 2 7 4 2" xfId="40741"/>
    <cellStyle name="Vírgula 3 4 2 7 5" xfId="34355"/>
    <cellStyle name="Vírgula 3 4 2 8" xfId="4703"/>
    <cellStyle name="Vírgula 3 4 2 8 2" xfId="23367"/>
    <cellStyle name="Vírgula 3 4 2 8 2 2" xfId="49603"/>
    <cellStyle name="Vírgula 3 4 2 8 3" xfId="30952"/>
    <cellStyle name="Vírgula 3 4 2 9" xfId="17453"/>
    <cellStyle name="Vírgula 3 4 2 9 2" xfId="43695"/>
    <cellStyle name="Vírgula 3 4 3" xfId="4268"/>
    <cellStyle name="Vírgula 3 4 3 10" xfId="11126"/>
    <cellStyle name="Vírgula 3 4 3 10 2" xfId="37368"/>
    <cellStyle name="Vírgula 3 4 3 11" xfId="30517"/>
    <cellStyle name="Vírgula 3 4 3 2" xfId="4412"/>
    <cellStyle name="Vírgula 3 4 3 2 2" xfId="7813"/>
    <cellStyle name="Vírgula 3 4 3 2 2 2" xfId="10882"/>
    <cellStyle name="Vírgula 3 4 3 2 2 2 2" xfId="29096"/>
    <cellStyle name="Vírgula 3 4 3 2 2 2 2 2" xfId="55326"/>
    <cellStyle name="Vírgula 3 4 3 2 2 2 3" xfId="23182"/>
    <cellStyle name="Vírgula 3 4 3 2 2 2 3 2" xfId="49418"/>
    <cellStyle name="Vírgula 3 4 3 2 2 2 4" xfId="17268"/>
    <cellStyle name="Vírgula 3 4 3 2 2 2 4 2" xfId="43510"/>
    <cellStyle name="Vírgula 3 4 3 2 2 2 5" xfId="37124"/>
    <cellStyle name="Vírgula 3 4 3 2 2 3" xfId="26139"/>
    <cellStyle name="Vírgula 3 4 3 2 2 3 2" xfId="52372"/>
    <cellStyle name="Vírgula 3 4 3 2 2 4" xfId="20225"/>
    <cellStyle name="Vírgula 3 4 3 2 2 4 2" xfId="46464"/>
    <cellStyle name="Vírgula 3 4 3 2 2 5" xfId="14202"/>
    <cellStyle name="Vírgula 3 4 3 2 2 5 2" xfId="40444"/>
    <cellStyle name="Vírgula 3 4 3 2 2 6" xfId="34058"/>
    <cellStyle name="Vírgula 3 4 3 2 3" xfId="9414"/>
    <cellStyle name="Vírgula 3 4 3 2 3 2" xfId="27628"/>
    <cellStyle name="Vírgula 3 4 3 2 3 2 2" xfId="53858"/>
    <cellStyle name="Vírgula 3 4 3 2 3 3" xfId="21714"/>
    <cellStyle name="Vírgula 3 4 3 2 3 3 2" xfId="47950"/>
    <cellStyle name="Vírgula 3 4 3 2 3 4" xfId="15800"/>
    <cellStyle name="Vírgula 3 4 3 2 3 4 2" xfId="42042"/>
    <cellStyle name="Vírgula 3 4 3 2 3 5" xfId="35656"/>
    <cellStyle name="Vírgula 3 4 3 2 4" xfId="6113"/>
    <cellStyle name="Vírgula 3 4 3 2 4 2" xfId="24671"/>
    <cellStyle name="Vírgula 3 4 3 2 4 2 2" xfId="50904"/>
    <cellStyle name="Vírgula 3 4 3 2 4 3" xfId="32358"/>
    <cellStyle name="Vírgula 3 4 3 2 5" xfId="18757"/>
    <cellStyle name="Vírgula 3 4 3 2 5 2" xfId="44996"/>
    <cellStyle name="Vírgula 3 4 3 2 6" xfId="12501"/>
    <cellStyle name="Vírgula 3 4 3 2 6 2" xfId="38743"/>
    <cellStyle name="Vírgula 3 4 3 2 7" xfId="30661"/>
    <cellStyle name="Vírgula 3 4 3 3" xfId="4520"/>
    <cellStyle name="Vírgula 3 4 3 3 2" xfId="7922"/>
    <cellStyle name="Vírgula 3 4 3 3 2 2" xfId="10944"/>
    <cellStyle name="Vírgula 3 4 3 3 2 2 2" xfId="29158"/>
    <cellStyle name="Vírgula 3 4 3 3 2 2 2 2" xfId="55388"/>
    <cellStyle name="Vírgula 3 4 3 3 2 2 3" xfId="23244"/>
    <cellStyle name="Vírgula 3 4 3 3 2 2 3 2" xfId="49480"/>
    <cellStyle name="Vírgula 3 4 3 3 2 2 4" xfId="17330"/>
    <cellStyle name="Vírgula 3 4 3 3 2 2 4 2" xfId="43572"/>
    <cellStyle name="Vírgula 3 4 3 3 2 2 5" xfId="37186"/>
    <cellStyle name="Vírgula 3 4 3 3 2 3" xfId="26201"/>
    <cellStyle name="Vírgula 3 4 3 3 2 3 2" xfId="52434"/>
    <cellStyle name="Vírgula 3 4 3 3 2 4" xfId="20287"/>
    <cellStyle name="Vírgula 3 4 3 3 2 4 2" xfId="46526"/>
    <cellStyle name="Vírgula 3 4 3 3 2 5" xfId="14311"/>
    <cellStyle name="Vírgula 3 4 3 3 2 5 2" xfId="40553"/>
    <cellStyle name="Vírgula 3 4 3 3 2 6" xfId="34167"/>
    <cellStyle name="Vírgula 3 4 3 3 3" xfId="9476"/>
    <cellStyle name="Vírgula 3 4 3 3 3 2" xfId="27690"/>
    <cellStyle name="Vírgula 3 4 3 3 3 2 2" xfId="53920"/>
    <cellStyle name="Vírgula 3 4 3 3 3 3" xfId="21776"/>
    <cellStyle name="Vírgula 3 4 3 3 3 3 2" xfId="48012"/>
    <cellStyle name="Vírgula 3 4 3 3 3 4" xfId="15862"/>
    <cellStyle name="Vírgula 3 4 3 3 3 4 2" xfId="42104"/>
    <cellStyle name="Vírgula 3 4 3 3 3 5" xfId="35718"/>
    <cellStyle name="Vírgula 3 4 3 3 4" xfId="6221"/>
    <cellStyle name="Vírgula 3 4 3 3 4 2" xfId="24733"/>
    <cellStyle name="Vírgula 3 4 3 3 4 2 2" xfId="50966"/>
    <cellStyle name="Vírgula 3 4 3 3 4 3" xfId="32466"/>
    <cellStyle name="Vírgula 3 4 3 3 5" xfId="18819"/>
    <cellStyle name="Vírgula 3 4 3 3 5 2" xfId="45058"/>
    <cellStyle name="Vírgula 3 4 3 3 6" xfId="12610"/>
    <cellStyle name="Vírgula 3 4 3 3 6 2" xfId="38852"/>
    <cellStyle name="Vírgula 3 4 3 3 7" xfId="30769"/>
    <cellStyle name="Vírgula 3 4 3 4" xfId="4628"/>
    <cellStyle name="Vírgula 3 4 3 4 2" xfId="8030"/>
    <cellStyle name="Vírgula 3 4 3 4 2 2" xfId="11006"/>
    <cellStyle name="Vírgula 3 4 3 4 2 2 2" xfId="29220"/>
    <cellStyle name="Vírgula 3 4 3 4 2 2 2 2" xfId="55450"/>
    <cellStyle name="Vírgula 3 4 3 4 2 2 3" xfId="23306"/>
    <cellStyle name="Vírgula 3 4 3 4 2 2 3 2" xfId="49542"/>
    <cellStyle name="Vírgula 3 4 3 4 2 2 4" xfId="17392"/>
    <cellStyle name="Vírgula 3 4 3 4 2 2 4 2" xfId="43634"/>
    <cellStyle name="Vírgula 3 4 3 4 2 2 5" xfId="37248"/>
    <cellStyle name="Vírgula 3 4 3 4 2 3" xfId="26263"/>
    <cellStyle name="Vírgula 3 4 3 4 2 3 2" xfId="52496"/>
    <cellStyle name="Vírgula 3 4 3 4 2 4" xfId="20349"/>
    <cellStyle name="Vírgula 3 4 3 4 2 4 2" xfId="46588"/>
    <cellStyle name="Vírgula 3 4 3 4 2 5" xfId="14419"/>
    <cellStyle name="Vírgula 3 4 3 4 2 5 2" xfId="40661"/>
    <cellStyle name="Vírgula 3 4 3 4 2 6" xfId="34275"/>
    <cellStyle name="Vírgula 3 4 3 4 3" xfId="9538"/>
    <cellStyle name="Vírgula 3 4 3 4 3 2" xfId="27752"/>
    <cellStyle name="Vírgula 3 4 3 4 3 2 2" xfId="53982"/>
    <cellStyle name="Vírgula 3 4 3 4 3 3" xfId="21838"/>
    <cellStyle name="Vírgula 3 4 3 4 3 3 2" xfId="48074"/>
    <cellStyle name="Vírgula 3 4 3 4 3 4" xfId="15924"/>
    <cellStyle name="Vírgula 3 4 3 4 3 4 2" xfId="42166"/>
    <cellStyle name="Vírgula 3 4 3 4 3 5" xfId="35780"/>
    <cellStyle name="Vírgula 3 4 3 4 4" xfId="6329"/>
    <cellStyle name="Vírgula 3 4 3 4 4 2" xfId="24795"/>
    <cellStyle name="Vírgula 3 4 3 4 4 2 2" xfId="51028"/>
    <cellStyle name="Vírgula 3 4 3 4 4 3" xfId="32574"/>
    <cellStyle name="Vírgula 3 4 3 4 5" xfId="18881"/>
    <cellStyle name="Vírgula 3 4 3 4 5 2" xfId="45120"/>
    <cellStyle name="Vírgula 3 4 3 4 6" xfId="12718"/>
    <cellStyle name="Vírgula 3 4 3 4 6 2" xfId="38960"/>
    <cellStyle name="Vírgula 3 4 3 4 7" xfId="30877"/>
    <cellStyle name="Vírgula 3 4 3 5" xfId="5968"/>
    <cellStyle name="Vírgula 3 4 3 5 2" xfId="7668"/>
    <cellStyle name="Vírgula 3 4 3 5 2 2" xfId="10800"/>
    <cellStyle name="Vírgula 3 4 3 5 2 2 2" xfId="29014"/>
    <cellStyle name="Vírgula 3 4 3 5 2 2 2 2" xfId="55244"/>
    <cellStyle name="Vírgula 3 4 3 5 2 2 3" xfId="23100"/>
    <cellStyle name="Vírgula 3 4 3 5 2 2 3 2" xfId="49336"/>
    <cellStyle name="Vírgula 3 4 3 5 2 2 4" xfId="17186"/>
    <cellStyle name="Vírgula 3 4 3 5 2 2 4 2" xfId="43428"/>
    <cellStyle name="Vírgula 3 4 3 5 2 2 5" xfId="37042"/>
    <cellStyle name="Vírgula 3 4 3 5 2 3" xfId="26057"/>
    <cellStyle name="Vírgula 3 4 3 5 2 3 2" xfId="52290"/>
    <cellStyle name="Vírgula 3 4 3 5 2 4" xfId="20143"/>
    <cellStyle name="Vírgula 3 4 3 5 2 4 2" xfId="46382"/>
    <cellStyle name="Vírgula 3 4 3 5 2 5" xfId="14057"/>
    <cellStyle name="Vírgula 3 4 3 5 2 5 2" xfId="40299"/>
    <cellStyle name="Vírgula 3 4 3 5 2 6" xfId="33913"/>
    <cellStyle name="Vírgula 3 4 3 5 3" xfId="9332"/>
    <cellStyle name="Vírgula 3 4 3 5 3 2" xfId="27546"/>
    <cellStyle name="Vírgula 3 4 3 5 3 2 2" xfId="53776"/>
    <cellStyle name="Vírgula 3 4 3 5 3 3" xfId="21632"/>
    <cellStyle name="Vírgula 3 4 3 5 3 3 2" xfId="47868"/>
    <cellStyle name="Vírgula 3 4 3 5 3 4" xfId="15718"/>
    <cellStyle name="Vírgula 3 4 3 5 3 4 2" xfId="41960"/>
    <cellStyle name="Vírgula 3 4 3 5 3 5" xfId="35574"/>
    <cellStyle name="Vírgula 3 4 3 5 4" xfId="24589"/>
    <cellStyle name="Vírgula 3 4 3 5 4 2" xfId="50822"/>
    <cellStyle name="Vírgula 3 4 3 5 5" xfId="18675"/>
    <cellStyle name="Vírgula 3 4 3 5 5 2" xfId="44914"/>
    <cellStyle name="Vírgula 3 4 3 5 6" xfId="12356"/>
    <cellStyle name="Vírgula 3 4 3 5 6 2" xfId="38598"/>
    <cellStyle name="Vírgula 3 4 3 5 7" xfId="32213"/>
    <cellStyle name="Vírgula 3 4 3 6" xfId="6438"/>
    <cellStyle name="Vírgula 3 4 3 6 2" xfId="9600"/>
    <cellStyle name="Vírgula 3 4 3 6 2 2" xfId="27814"/>
    <cellStyle name="Vírgula 3 4 3 6 2 2 2" xfId="54044"/>
    <cellStyle name="Vírgula 3 4 3 6 2 3" xfId="21900"/>
    <cellStyle name="Vírgula 3 4 3 6 2 3 2" xfId="48136"/>
    <cellStyle name="Vírgula 3 4 3 6 2 4" xfId="15986"/>
    <cellStyle name="Vírgula 3 4 3 6 2 4 2" xfId="42228"/>
    <cellStyle name="Vírgula 3 4 3 6 2 5" xfId="35842"/>
    <cellStyle name="Vírgula 3 4 3 6 3" xfId="24857"/>
    <cellStyle name="Vírgula 3 4 3 6 3 2" xfId="51090"/>
    <cellStyle name="Vírgula 3 4 3 6 4" xfId="18943"/>
    <cellStyle name="Vírgula 3 4 3 6 4 2" xfId="45182"/>
    <cellStyle name="Vírgula 3 4 3 6 5" xfId="12827"/>
    <cellStyle name="Vírgula 3 4 3 6 5 2" xfId="39069"/>
    <cellStyle name="Vírgula 3 4 3 6 6" xfId="32683"/>
    <cellStyle name="Vírgula 3 4 3 7" xfId="8129"/>
    <cellStyle name="Vírgula 3 4 3 7 2" xfId="26343"/>
    <cellStyle name="Vírgula 3 4 3 7 2 2" xfId="52576"/>
    <cellStyle name="Vírgula 3 4 3 7 3" xfId="20429"/>
    <cellStyle name="Vírgula 3 4 3 7 3 2" xfId="46668"/>
    <cellStyle name="Vírgula 3 4 3 7 4" xfId="14518"/>
    <cellStyle name="Vírgula 3 4 3 7 4 2" xfId="40760"/>
    <cellStyle name="Vírgula 3 4 3 7 5" xfId="34374"/>
    <cellStyle name="Vírgula 3 4 3 8" xfId="4735"/>
    <cellStyle name="Vírgula 3 4 3 8 2" xfId="23386"/>
    <cellStyle name="Vírgula 3 4 3 8 2 2" xfId="49622"/>
    <cellStyle name="Vírgula 3 4 3 8 3" xfId="30984"/>
    <cellStyle name="Vírgula 3 4 3 9" xfId="17472"/>
    <cellStyle name="Vírgula 3 4 3 9 2" xfId="43714"/>
    <cellStyle name="Vírgula 3 4 4" xfId="4344"/>
    <cellStyle name="Vírgula 3 4 4 2" xfId="7745"/>
    <cellStyle name="Vírgula 3 4 4 2 2" xfId="10843"/>
    <cellStyle name="Vírgula 3 4 4 2 2 2" xfId="29057"/>
    <cellStyle name="Vírgula 3 4 4 2 2 2 2" xfId="55287"/>
    <cellStyle name="Vírgula 3 4 4 2 2 3" xfId="23143"/>
    <cellStyle name="Vírgula 3 4 4 2 2 3 2" xfId="49379"/>
    <cellStyle name="Vírgula 3 4 4 2 2 4" xfId="17229"/>
    <cellStyle name="Vírgula 3 4 4 2 2 4 2" xfId="43471"/>
    <cellStyle name="Vírgula 3 4 4 2 2 5" xfId="37085"/>
    <cellStyle name="Vírgula 3 4 4 2 3" xfId="26100"/>
    <cellStyle name="Vírgula 3 4 4 2 3 2" xfId="52333"/>
    <cellStyle name="Vírgula 3 4 4 2 4" xfId="20186"/>
    <cellStyle name="Vírgula 3 4 4 2 4 2" xfId="46425"/>
    <cellStyle name="Vírgula 3 4 4 2 5" xfId="14134"/>
    <cellStyle name="Vírgula 3 4 4 2 5 2" xfId="40376"/>
    <cellStyle name="Vírgula 3 4 4 2 6" xfId="33990"/>
    <cellStyle name="Vírgula 3 4 4 3" xfId="9375"/>
    <cellStyle name="Vírgula 3 4 4 3 2" xfId="27589"/>
    <cellStyle name="Vírgula 3 4 4 3 2 2" xfId="53819"/>
    <cellStyle name="Vírgula 3 4 4 3 3" xfId="21675"/>
    <cellStyle name="Vírgula 3 4 4 3 3 2" xfId="47911"/>
    <cellStyle name="Vírgula 3 4 4 3 4" xfId="15761"/>
    <cellStyle name="Vírgula 3 4 4 3 4 2" xfId="42003"/>
    <cellStyle name="Vírgula 3 4 4 3 5" xfId="35617"/>
    <cellStyle name="Vírgula 3 4 4 4" xfId="6045"/>
    <cellStyle name="Vírgula 3 4 4 4 2" xfId="24632"/>
    <cellStyle name="Vírgula 3 4 4 4 2 2" xfId="50865"/>
    <cellStyle name="Vírgula 3 4 4 4 3" xfId="32290"/>
    <cellStyle name="Vírgula 3 4 4 5" xfId="18718"/>
    <cellStyle name="Vírgula 3 4 4 5 2" xfId="44957"/>
    <cellStyle name="Vírgula 3 4 4 6" xfId="12433"/>
    <cellStyle name="Vírgula 3 4 4 6 2" xfId="38675"/>
    <cellStyle name="Vírgula 3 4 4 7" xfId="30593"/>
    <cellStyle name="Vírgula 3 4 5" xfId="4452"/>
    <cellStyle name="Vírgula 3 4 5 2" xfId="7854"/>
    <cellStyle name="Vírgula 3 4 5 2 2" xfId="10905"/>
    <cellStyle name="Vírgula 3 4 5 2 2 2" xfId="29119"/>
    <cellStyle name="Vírgula 3 4 5 2 2 2 2" xfId="55349"/>
    <cellStyle name="Vírgula 3 4 5 2 2 3" xfId="23205"/>
    <cellStyle name="Vírgula 3 4 5 2 2 3 2" xfId="49441"/>
    <cellStyle name="Vírgula 3 4 5 2 2 4" xfId="17291"/>
    <cellStyle name="Vírgula 3 4 5 2 2 4 2" xfId="43533"/>
    <cellStyle name="Vírgula 3 4 5 2 2 5" xfId="37147"/>
    <cellStyle name="Vírgula 3 4 5 2 3" xfId="26162"/>
    <cellStyle name="Vírgula 3 4 5 2 3 2" xfId="52395"/>
    <cellStyle name="Vírgula 3 4 5 2 4" xfId="20248"/>
    <cellStyle name="Vírgula 3 4 5 2 4 2" xfId="46487"/>
    <cellStyle name="Vírgula 3 4 5 2 5" xfId="14243"/>
    <cellStyle name="Vírgula 3 4 5 2 5 2" xfId="40485"/>
    <cellStyle name="Vírgula 3 4 5 2 6" xfId="34099"/>
    <cellStyle name="Vírgula 3 4 5 3" xfId="9437"/>
    <cellStyle name="Vírgula 3 4 5 3 2" xfId="27651"/>
    <cellStyle name="Vírgula 3 4 5 3 2 2" xfId="53881"/>
    <cellStyle name="Vírgula 3 4 5 3 3" xfId="21737"/>
    <cellStyle name="Vírgula 3 4 5 3 3 2" xfId="47973"/>
    <cellStyle name="Vírgula 3 4 5 3 4" xfId="15823"/>
    <cellStyle name="Vírgula 3 4 5 3 4 2" xfId="42065"/>
    <cellStyle name="Vírgula 3 4 5 3 5" xfId="35679"/>
    <cellStyle name="Vírgula 3 4 5 4" xfId="6154"/>
    <cellStyle name="Vírgula 3 4 5 4 2" xfId="24694"/>
    <cellStyle name="Vírgula 3 4 5 4 2 2" xfId="50927"/>
    <cellStyle name="Vírgula 3 4 5 4 3" xfId="32399"/>
    <cellStyle name="Vírgula 3 4 5 5" xfId="18780"/>
    <cellStyle name="Vírgula 3 4 5 5 2" xfId="45019"/>
    <cellStyle name="Vírgula 3 4 5 6" xfId="12542"/>
    <cellStyle name="Vírgula 3 4 5 6 2" xfId="38784"/>
    <cellStyle name="Vírgula 3 4 5 7" xfId="30701"/>
    <cellStyle name="Vírgula 3 4 6" xfId="4560"/>
    <cellStyle name="Vírgula 3 4 6 2" xfId="7962"/>
    <cellStyle name="Vírgula 3 4 6 2 2" xfId="10967"/>
    <cellStyle name="Vírgula 3 4 6 2 2 2" xfId="29181"/>
    <cellStyle name="Vírgula 3 4 6 2 2 2 2" xfId="55411"/>
    <cellStyle name="Vírgula 3 4 6 2 2 3" xfId="23267"/>
    <cellStyle name="Vírgula 3 4 6 2 2 3 2" xfId="49503"/>
    <cellStyle name="Vírgula 3 4 6 2 2 4" xfId="17353"/>
    <cellStyle name="Vírgula 3 4 6 2 2 4 2" xfId="43595"/>
    <cellStyle name="Vírgula 3 4 6 2 2 5" xfId="37209"/>
    <cellStyle name="Vírgula 3 4 6 2 3" xfId="26224"/>
    <cellStyle name="Vírgula 3 4 6 2 3 2" xfId="52457"/>
    <cellStyle name="Vírgula 3 4 6 2 4" xfId="20310"/>
    <cellStyle name="Vírgula 3 4 6 2 4 2" xfId="46549"/>
    <cellStyle name="Vírgula 3 4 6 2 5" xfId="14351"/>
    <cellStyle name="Vírgula 3 4 6 2 5 2" xfId="40593"/>
    <cellStyle name="Vírgula 3 4 6 2 6" xfId="34207"/>
    <cellStyle name="Vírgula 3 4 6 3" xfId="9499"/>
    <cellStyle name="Vírgula 3 4 6 3 2" xfId="27713"/>
    <cellStyle name="Vírgula 3 4 6 3 2 2" xfId="53943"/>
    <cellStyle name="Vírgula 3 4 6 3 3" xfId="21799"/>
    <cellStyle name="Vírgula 3 4 6 3 3 2" xfId="48035"/>
    <cellStyle name="Vírgula 3 4 6 3 4" xfId="15885"/>
    <cellStyle name="Vírgula 3 4 6 3 4 2" xfId="42127"/>
    <cellStyle name="Vírgula 3 4 6 3 5" xfId="35741"/>
    <cellStyle name="Vírgula 3 4 6 4" xfId="6261"/>
    <cellStyle name="Vírgula 3 4 6 4 2" xfId="24756"/>
    <cellStyle name="Vírgula 3 4 6 4 2 2" xfId="50989"/>
    <cellStyle name="Vírgula 3 4 6 4 3" xfId="32506"/>
    <cellStyle name="Vírgula 3 4 6 5" xfId="18842"/>
    <cellStyle name="Vírgula 3 4 6 5 2" xfId="45081"/>
    <cellStyle name="Vírgula 3 4 6 6" xfId="12650"/>
    <cellStyle name="Vírgula 3 4 6 6 2" xfId="38892"/>
    <cellStyle name="Vírgula 3 4 6 7" xfId="30809"/>
    <cellStyle name="Vírgula 3 4 7" xfId="5113"/>
    <cellStyle name="Vírgula 3 4 7 2" xfId="6812"/>
    <cellStyle name="Vírgula 3 4 7 2 2" xfId="9959"/>
    <cellStyle name="Vírgula 3 4 7 2 2 2" xfId="28173"/>
    <cellStyle name="Vírgula 3 4 7 2 2 2 2" xfId="54403"/>
    <cellStyle name="Vírgula 3 4 7 2 2 3" xfId="22259"/>
    <cellStyle name="Vírgula 3 4 7 2 2 3 2" xfId="48495"/>
    <cellStyle name="Vírgula 3 4 7 2 2 4" xfId="16345"/>
    <cellStyle name="Vírgula 3 4 7 2 2 4 2" xfId="42587"/>
    <cellStyle name="Vírgula 3 4 7 2 2 5" xfId="36201"/>
    <cellStyle name="Vírgula 3 4 7 2 3" xfId="25216"/>
    <cellStyle name="Vírgula 3 4 7 2 3 2" xfId="51449"/>
    <cellStyle name="Vírgula 3 4 7 2 4" xfId="19302"/>
    <cellStyle name="Vírgula 3 4 7 2 4 2" xfId="45541"/>
    <cellStyle name="Vírgula 3 4 7 2 5" xfId="13201"/>
    <cellStyle name="Vírgula 3 4 7 2 5 2" xfId="39443"/>
    <cellStyle name="Vírgula 3 4 7 2 6" xfId="33057"/>
    <cellStyle name="Vírgula 3 4 7 3" xfId="8491"/>
    <cellStyle name="Vírgula 3 4 7 3 2" xfId="26705"/>
    <cellStyle name="Vírgula 3 4 7 3 2 2" xfId="52935"/>
    <cellStyle name="Vírgula 3 4 7 3 3" xfId="20791"/>
    <cellStyle name="Vírgula 3 4 7 3 3 2" xfId="47027"/>
    <cellStyle name="Vírgula 3 4 7 3 4" xfId="14877"/>
    <cellStyle name="Vírgula 3 4 7 3 4 2" xfId="41119"/>
    <cellStyle name="Vírgula 3 4 7 3 5" xfId="34733"/>
    <cellStyle name="Vírgula 3 4 7 4" xfId="23748"/>
    <cellStyle name="Vírgula 3 4 7 4 2" xfId="49981"/>
    <cellStyle name="Vírgula 3 4 7 5" xfId="17834"/>
    <cellStyle name="Vírgula 3 4 7 5 2" xfId="44073"/>
    <cellStyle name="Vírgula 3 4 7 6" xfId="11500"/>
    <cellStyle name="Vírgula 3 4 7 6 2" xfId="37742"/>
    <cellStyle name="Vírgula 3 4 7 7" xfId="31358"/>
    <cellStyle name="Vírgula 3 4 8" xfId="6370"/>
    <cellStyle name="Vírgula 3 4 8 2" xfId="9561"/>
    <cellStyle name="Vírgula 3 4 8 2 2" xfId="27775"/>
    <cellStyle name="Vírgula 3 4 8 2 2 2" xfId="54005"/>
    <cellStyle name="Vírgula 3 4 8 2 3" xfId="21861"/>
    <cellStyle name="Vírgula 3 4 8 2 3 2" xfId="48097"/>
    <cellStyle name="Vírgula 3 4 8 2 4" xfId="15947"/>
    <cellStyle name="Vírgula 3 4 8 2 4 2" xfId="42189"/>
    <cellStyle name="Vírgula 3 4 8 2 5" xfId="35803"/>
    <cellStyle name="Vírgula 3 4 8 3" xfId="24818"/>
    <cellStyle name="Vírgula 3 4 8 3 2" xfId="51051"/>
    <cellStyle name="Vírgula 3 4 8 4" xfId="18904"/>
    <cellStyle name="Vírgula 3 4 8 4 2" xfId="45143"/>
    <cellStyle name="Vírgula 3 4 8 5" xfId="12759"/>
    <cellStyle name="Vírgula 3 4 8 5 2" xfId="39001"/>
    <cellStyle name="Vírgula 3 4 8 6" xfId="32615"/>
    <cellStyle name="Vírgula 3 4 9" xfId="8062"/>
    <cellStyle name="Vírgula 3 4 9 2" xfId="11025"/>
    <cellStyle name="Vírgula 3 4 9 2 2" xfId="29239"/>
    <cellStyle name="Vírgula 3 4 9 2 2 2" xfId="55469"/>
    <cellStyle name="Vírgula 3 4 9 2 3" xfId="23325"/>
    <cellStyle name="Vírgula 3 4 9 2 3 2" xfId="49561"/>
    <cellStyle name="Vírgula 3 4 9 2 4" xfId="17411"/>
    <cellStyle name="Vírgula 3 4 9 2 4 2" xfId="43653"/>
    <cellStyle name="Vírgula 3 4 9 2 5" xfId="37267"/>
    <cellStyle name="Vírgula 3 4 9 3" xfId="26282"/>
    <cellStyle name="Vírgula 3 4 9 3 2" xfId="52515"/>
    <cellStyle name="Vírgula 3 4 9 4" xfId="20368"/>
    <cellStyle name="Vírgula 3 4 9 4 2" xfId="46607"/>
    <cellStyle name="Vírgula 3 4 9 5" xfId="14451"/>
    <cellStyle name="Vírgula 3 4 9 5 2" xfId="40693"/>
    <cellStyle name="Vírgula 3 4 9 6" xfId="34307"/>
    <cellStyle name="Vírgula 3 5" xfId="1692"/>
    <cellStyle name="Vírgula 3 5 10" xfId="17424"/>
    <cellStyle name="Vírgula 3 5 10 2" xfId="43666"/>
    <cellStyle name="Vírgula 3 5 11" xfId="11043"/>
    <cellStyle name="Vírgula 3 5 11 2" xfId="37285"/>
    <cellStyle name="Vírgula 3 5 12" xfId="29779"/>
    <cellStyle name="Vírgula 3 5 2" xfId="4252"/>
    <cellStyle name="Vírgula 3 5 2 2" xfId="7652"/>
    <cellStyle name="Vírgula 3 5 2 2 2" xfId="10791"/>
    <cellStyle name="Vírgula 3 5 2 2 2 2" xfId="29005"/>
    <cellStyle name="Vírgula 3 5 2 2 2 2 2" xfId="55235"/>
    <cellStyle name="Vírgula 3 5 2 2 2 3" xfId="23091"/>
    <cellStyle name="Vírgula 3 5 2 2 2 3 2" xfId="49327"/>
    <cellStyle name="Vírgula 3 5 2 2 2 4" xfId="17177"/>
    <cellStyle name="Vírgula 3 5 2 2 2 4 2" xfId="43419"/>
    <cellStyle name="Vírgula 3 5 2 2 2 5" xfId="37033"/>
    <cellStyle name="Vírgula 3 5 2 2 3" xfId="26048"/>
    <cellStyle name="Vírgula 3 5 2 2 3 2" xfId="52281"/>
    <cellStyle name="Vírgula 3 5 2 2 4" xfId="20134"/>
    <cellStyle name="Vírgula 3 5 2 2 4 2" xfId="46373"/>
    <cellStyle name="Vírgula 3 5 2 2 5" xfId="14041"/>
    <cellStyle name="Vírgula 3 5 2 2 5 2" xfId="40283"/>
    <cellStyle name="Vírgula 3 5 2 2 6" xfId="33897"/>
    <cellStyle name="Vírgula 3 5 2 3" xfId="9323"/>
    <cellStyle name="Vírgula 3 5 2 3 2" xfId="27537"/>
    <cellStyle name="Vírgula 3 5 2 3 2 2" xfId="53767"/>
    <cellStyle name="Vírgula 3 5 2 3 3" xfId="21623"/>
    <cellStyle name="Vírgula 3 5 2 3 3 2" xfId="47859"/>
    <cellStyle name="Vírgula 3 5 2 3 4" xfId="15709"/>
    <cellStyle name="Vírgula 3 5 2 3 4 2" xfId="41951"/>
    <cellStyle name="Vírgula 3 5 2 3 5" xfId="35565"/>
    <cellStyle name="Vírgula 3 5 2 4" xfId="5953"/>
    <cellStyle name="Vírgula 3 5 2 4 2" xfId="24580"/>
    <cellStyle name="Vírgula 3 5 2 4 2 2" xfId="50813"/>
    <cellStyle name="Vírgula 3 5 2 4 3" xfId="32198"/>
    <cellStyle name="Vírgula 3 5 2 5" xfId="18666"/>
    <cellStyle name="Vírgula 3 5 2 5 2" xfId="44905"/>
    <cellStyle name="Vírgula 3 5 2 6" xfId="12340"/>
    <cellStyle name="Vírgula 3 5 2 6 2" xfId="38582"/>
    <cellStyle name="Vírgula 3 5 2 7" xfId="30501"/>
    <cellStyle name="Vírgula 3 5 3" xfId="4328"/>
    <cellStyle name="Vírgula 3 5 3 2" xfId="7729"/>
    <cellStyle name="Vírgula 3 5 3 2 2" xfId="10834"/>
    <cellStyle name="Vírgula 3 5 3 2 2 2" xfId="29048"/>
    <cellStyle name="Vírgula 3 5 3 2 2 2 2" xfId="55278"/>
    <cellStyle name="Vírgula 3 5 3 2 2 3" xfId="23134"/>
    <cellStyle name="Vírgula 3 5 3 2 2 3 2" xfId="49370"/>
    <cellStyle name="Vírgula 3 5 3 2 2 4" xfId="17220"/>
    <cellStyle name="Vírgula 3 5 3 2 2 4 2" xfId="43462"/>
    <cellStyle name="Vírgula 3 5 3 2 2 5" xfId="37076"/>
    <cellStyle name="Vírgula 3 5 3 2 3" xfId="26091"/>
    <cellStyle name="Vírgula 3 5 3 2 3 2" xfId="52324"/>
    <cellStyle name="Vírgula 3 5 3 2 4" xfId="20177"/>
    <cellStyle name="Vírgula 3 5 3 2 4 2" xfId="46416"/>
    <cellStyle name="Vírgula 3 5 3 2 5" xfId="14118"/>
    <cellStyle name="Vírgula 3 5 3 2 5 2" xfId="40360"/>
    <cellStyle name="Vírgula 3 5 3 2 6" xfId="33974"/>
    <cellStyle name="Vírgula 3 5 3 3" xfId="9366"/>
    <cellStyle name="Vírgula 3 5 3 3 2" xfId="27580"/>
    <cellStyle name="Vírgula 3 5 3 3 2 2" xfId="53810"/>
    <cellStyle name="Vírgula 3 5 3 3 3" xfId="21666"/>
    <cellStyle name="Vírgula 3 5 3 3 3 2" xfId="47902"/>
    <cellStyle name="Vírgula 3 5 3 3 4" xfId="15752"/>
    <cellStyle name="Vírgula 3 5 3 3 4 2" xfId="41994"/>
    <cellStyle name="Vírgula 3 5 3 3 5" xfId="35608"/>
    <cellStyle name="Vírgula 3 5 3 4" xfId="6029"/>
    <cellStyle name="Vírgula 3 5 3 4 2" xfId="24623"/>
    <cellStyle name="Vírgula 3 5 3 4 2 2" xfId="50856"/>
    <cellStyle name="Vírgula 3 5 3 4 3" xfId="32274"/>
    <cellStyle name="Vírgula 3 5 3 5" xfId="18709"/>
    <cellStyle name="Vírgula 3 5 3 5 2" xfId="44948"/>
    <cellStyle name="Vírgula 3 5 3 6" xfId="12417"/>
    <cellStyle name="Vírgula 3 5 3 6 2" xfId="38659"/>
    <cellStyle name="Vírgula 3 5 3 7" xfId="30577"/>
    <cellStyle name="Vírgula 3 5 4" xfId="4436"/>
    <cellStyle name="Vírgula 3 5 4 2" xfId="7838"/>
    <cellStyle name="Vírgula 3 5 4 2 2" xfId="10896"/>
    <cellStyle name="Vírgula 3 5 4 2 2 2" xfId="29110"/>
    <cellStyle name="Vírgula 3 5 4 2 2 2 2" xfId="55340"/>
    <cellStyle name="Vírgula 3 5 4 2 2 3" xfId="23196"/>
    <cellStyle name="Vírgula 3 5 4 2 2 3 2" xfId="49432"/>
    <cellStyle name="Vírgula 3 5 4 2 2 4" xfId="17282"/>
    <cellStyle name="Vírgula 3 5 4 2 2 4 2" xfId="43524"/>
    <cellStyle name="Vírgula 3 5 4 2 2 5" xfId="37138"/>
    <cellStyle name="Vírgula 3 5 4 2 3" xfId="26153"/>
    <cellStyle name="Vírgula 3 5 4 2 3 2" xfId="52386"/>
    <cellStyle name="Vírgula 3 5 4 2 4" xfId="20239"/>
    <cellStyle name="Vírgula 3 5 4 2 4 2" xfId="46478"/>
    <cellStyle name="Vírgula 3 5 4 2 5" xfId="14227"/>
    <cellStyle name="Vírgula 3 5 4 2 5 2" xfId="40469"/>
    <cellStyle name="Vírgula 3 5 4 2 6" xfId="34083"/>
    <cellStyle name="Vírgula 3 5 4 3" xfId="9428"/>
    <cellStyle name="Vírgula 3 5 4 3 2" xfId="27642"/>
    <cellStyle name="Vírgula 3 5 4 3 2 2" xfId="53872"/>
    <cellStyle name="Vírgula 3 5 4 3 3" xfId="21728"/>
    <cellStyle name="Vírgula 3 5 4 3 3 2" xfId="47964"/>
    <cellStyle name="Vírgula 3 5 4 3 4" xfId="15814"/>
    <cellStyle name="Vírgula 3 5 4 3 4 2" xfId="42056"/>
    <cellStyle name="Vírgula 3 5 4 3 5" xfId="35670"/>
    <cellStyle name="Vírgula 3 5 4 4" xfId="6138"/>
    <cellStyle name="Vírgula 3 5 4 4 2" xfId="24685"/>
    <cellStyle name="Vírgula 3 5 4 4 2 2" xfId="50918"/>
    <cellStyle name="Vírgula 3 5 4 4 3" xfId="32383"/>
    <cellStyle name="Vírgula 3 5 4 5" xfId="18771"/>
    <cellStyle name="Vírgula 3 5 4 5 2" xfId="45010"/>
    <cellStyle name="Vírgula 3 5 4 6" xfId="12526"/>
    <cellStyle name="Vírgula 3 5 4 6 2" xfId="38768"/>
    <cellStyle name="Vírgula 3 5 4 7" xfId="30685"/>
    <cellStyle name="Vírgula 3 5 5" xfId="4544"/>
    <cellStyle name="Vírgula 3 5 5 2" xfId="7946"/>
    <cellStyle name="Vírgula 3 5 5 2 2" xfId="10958"/>
    <cellStyle name="Vírgula 3 5 5 2 2 2" xfId="29172"/>
    <cellStyle name="Vírgula 3 5 5 2 2 2 2" xfId="55402"/>
    <cellStyle name="Vírgula 3 5 5 2 2 3" xfId="23258"/>
    <cellStyle name="Vírgula 3 5 5 2 2 3 2" xfId="49494"/>
    <cellStyle name="Vírgula 3 5 5 2 2 4" xfId="17344"/>
    <cellStyle name="Vírgula 3 5 5 2 2 4 2" xfId="43586"/>
    <cellStyle name="Vírgula 3 5 5 2 2 5" xfId="37200"/>
    <cellStyle name="Vírgula 3 5 5 2 3" xfId="26215"/>
    <cellStyle name="Vírgula 3 5 5 2 3 2" xfId="52448"/>
    <cellStyle name="Vírgula 3 5 5 2 4" xfId="20301"/>
    <cellStyle name="Vírgula 3 5 5 2 4 2" xfId="46540"/>
    <cellStyle name="Vírgula 3 5 5 2 5" xfId="14335"/>
    <cellStyle name="Vírgula 3 5 5 2 5 2" xfId="40577"/>
    <cellStyle name="Vírgula 3 5 5 2 6" xfId="34191"/>
    <cellStyle name="Vírgula 3 5 5 3" xfId="9490"/>
    <cellStyle name="Vírgula 3 5 5 3 2" xfId="27704"/>
    <cellStyle name="Vírgula 3 5 5 3 2 2" xfId="53934"/>
    <cellStyle name="Vírgula 3 5 5 3 3" xfId="21790"/>
    <cellStyle name="Vírgula 3 5 5 3 3 2" xfId="48026"/>
    <cellStyle name="Vírgula 3 5 5 3 4" xfId="15876"/>
    <cellStyle name="Vírgula 3 5 5 3 4 2" xfId="42118"/>
    <cellStyle name="Vírgula 3 5 5 3 5" xfId="35732"/>
    <cellStyle name="Vírgula 3 5 5 4" xfId="6245"/>
    <cellStyle name="Vírgula 3 5 5 4 2" xfId="24747"/>
    <cellStyle name="Vírgula 3 5 5 4 2 2" xfId="50980"/>
    <cellStyle name="Vírgula 3 5 5 4 3" xfId="32490"/>
    <cellStyle name="Vírgula 3 5 5 5" xfId="18833"/>
    <cellStyle name="Vírgula 3 5 5 5 2" xfId="45072"/>
    <cellStyle name="Vírgula 3 5 5 6" xfId="12634"/>
    <cellStyle name="Vírgula 3 5 5 6 2" xfId="38876"/>
    <cellStyle name="Vírgula 3 5 5 7" xfId="30793"/>
    <cellStyle name="Vírgula 3 5 6" xfId="5232"/>
    <cellStyle name="Vírgula 3 5 6 2" xfId="6931"/>
    <cellStyle name="Vírgula 3 5 6 2 2" xfId="10078"/>
    <cellStyle name="Vírgula 3 5 6 2 2 2" xfId="28292"/>
    <cellStyle name="Vírgula 3 5 6 2 2 2 2" xfId="54522"/>
    <cellStyle name="Vírgula 3 5 6 2 2 3" xfId="22378"/>
    <cellStyle name="Vírgula 3 5 6 2 2 3 2" xfId="48614"/>
    <cellStyle name="Vírgula 3 5 6 2 2 4" xfId="16464"/>
    <cellStyle name="Vírgula 3 5 6 2 2 4 2" xfId="42706"/>
    <cellStyle name="Vírgula 3 5 6 2 2 5" xfId="36320"/>
    <cellStyle name="Vírgula 3 5 6 2 3" xfId="25335"/>
    <cellStyle name="Vírgula 3 5 6 2 3 2" xfId="51568"/>
    <cellStyle name="Vírgula 3 5 6 2 4" xfId="19421"/>
    <cellStyle name="Vírgula 3 5 6 2 4 2" xfId="45660"/>
    <cellStyle name="Vírgula 3 5 6 2 5" xfId="13320"/>
    <cellStyle name="Vírgula 3 5 6 2 5 2" xfId="39562"/>
    <cellStyle name="Vírgula 3 5 6 2 6" xfId="33176"/>
    <cellStyle name="Vírgula 3 5 6 3" xfId="8610"/>
    <cellStyle name="Vírgula 3 5 6 3 2" xfId="26824"/>
    <cellStyle name="Vírgula 3 5 6 3 2 2" xfId="53054"/>
    <cellStyle name="Vírgula 3 5 6 3 3" xfId="20910"/>
    <cellStyle name="Vírgula 3 5 6 3 3 2" xfId="47146"/>
    <cellStyle name="Vírgula 3 5 6 3 4" xfId="14996"/>
    <cellStyle name="Vírgula 3 5 6 3 4 2" xfId="41238"/>
    <cellStyle name="Vírgula 3 5 6 3 5" xfId="34852"/>
    <cellStyle name="Vírgula 3 5 6 4" xfId="23867"/>
    <cellStyle name="Vírgula 3 5 6 4 2" xfId="50100"/>
    <cellStyle name="Vírgula 3 5 6 5" xfId="17953"/>
    <cellStyle name="Vírgula 3 5 6 5 2" xfId="44192"/>
    <cellStyle name="Vírgula 3 5 6 6" xfId="11619"/>
    <cellStyle name="Vírgula 3 5 6 6 2" xfId="37861"/>
    <cellStyle name="Vírgula 3 5 6 7" xfId="31477"/>
    <cellStyle name="Vírgula 3 5 7" xfId="6354"/>
    <cellStyle name="Vírgula 3 5 7 2" xfId="9552"/>
    <cellStyle name="Vírgula 3 5 7 2 2" xfId="27766"/>
    <cellStyle name="Vírgula 3 5 7 2 2 2" xfId="53996"/>
    <cellStyle name="Vírgula 3 5 7 2 3" xfId="21852"/>
    <cellStyle name="Vírgula 3 5 7 2 3 2" xfId="48088"/>
    <cellStyle name="Vírgula 3 5 7 2 4" xfId="15938"/>
    <cellStyle name="Vírgula 3 5 7 2 4 2" xfId="42180"/>
    <cellStyle name="Vírgula 3 5 7 2 5" xfId="35794"/>
    <cellStyle name="Vírgula 3 5 7 3" xfId="24809"/>
    <cellStyle name="Vírgula 3 5 7 3 2" xfId="51042"/>
    <cellStyle name="Vírgula 3 5 7 4" xfId="18895"/>
    <cellStyle name="Vírgula 3 5 7 4 2" xfId="45134"/>
    <cellStyle name="Vírgula 3 5 7 5" xfId="12743"/>
    <cellStyle name="Vírgula 3 5 7 5 2" xfId="38985"/>
    <cellStyle name="Vírgula 3 5 7 6" xfId="32599"/>
    <cellStyle name="Vírgula 3 5 8" xfId="8081"/>
    <cellStyle name="Vírgula 3 5 8 2" xfId="26295"/>
    <cellStyle name="Vírgula 3 5 8 2 2" xfId="52528"/>
    <cellStyle name="Vírgula 3 5 8 3" xfId="20381"/>
    <cellStyle name="Vírgula 3 5 8 3 2" xfId="46620"/>
    <cellStyle name="Vírgula 3 5 8 4" xfId="14470"/>
    <cellStyle name="Vírgula 3 5 8 4 2" xfId="40712"/>
    <cellStyle name="Vírgula 3 5 8 5" xfId="34326"/>
    <cellStyle name="Vírgula 3 5 9" xfId="4652"/>
    <cellStyle name="Vírgula 3 5 9 2" xfId="23338"/>
    <cellStyle name="Vírgula 3 5 9 2 2" xfId="49574"/>
    <cellStyle name="Vírgula 3 5 9 3" xfId="30901"/>
    <cellStyle name="Vírgula 3 6" xfId="2222"/>
    <cellStyle name="Vírgula 3 6 10" xfId="17442"/>
    <cellStyle name="Vírgula 3 6 10 2" xfId="43684"/>
    <cellStyle name="Vírgula 3 6 11" xfId="11073"/>
    <cellStyle name="Vírgula 3 6 11 2" xfId="37315"/>
    <cellStyle name="Vírgula 3 6 12" xfId="29929"/>
    <cellStyle name="Vírgula 3 6 2" xfId="4282"/>
    <cellStyle name="Vírgula 3 6 2 2" xfId="7683"/>
    <cellStyle name="Vírgula 3 6 2 2 2" xfId="10809"/>
    <cellStyle name="Vírgula 3 6 2 2 2 2" xfId="29023"/>
    <cellStyle name="Vírgula 3 6 2 2 2 2 2" xfId="55253"/>
    <cellStyle name="Vírgula 3 6 2 2 2 3" xfId="23109"/>
    <cellStyle name="Vírgula 3 6 2 2 2 3 2" xfId="49345"/>
    <cellStyle name="Vírgula 3 6 2 2 2 4" xfId="17195"/>
    <cellStyle name="Vírgula 3 6 2 2 2 4 2" xfId="43437"/>
    <cellStyle name="Vírgula 3 6 2 2 2 5" xfId="37051"/>
    <cellStyle name="Vírgula 3 6 2 2 3" xfId="26066"/>
    <cellStyle name="Vírgula 3 6 2 2 3 2" xfId="52299"/>
    <cellStyle name="Vírgula 3 6 2 2 4" xfId="20152"/>
    <cellStyle name="Vírgula 3 6 2 2 4 2" xfId="46391"/>
    <cellStyle name="Vírgula 3 6 2 2 5" xfId="14072"/>
    <cellStyle name="Vírgula 3 6 2 2 5 2" xfId="40314"/>
    <cellStyle name="Vírgula 3 6 2 2 6" xfId="33928"/>
    <cellStyle name="Vírgula 3 6 2 3" xfId="9341"/>
    <cellStyle name="Vírgula 3 6 2 3 2" xfId="27555"/>
    <cellStyle name="Vírgula 3 6 2 3 2 2" xfId="53785"/>
    <cellStyle name="Vírgula 3 6 2 3 3" xfId="21641"/>
    <cellStyle name="Vírgula 3 6 2 3 3 2" xfId="47877"/>
    <cellStyle name="Vírgula 3 6 2 3 4" xfId="15727"/>
    <cellStyle name="Vírgula 3 6 2 3 4 2" xfId="41969"/>
    <cellStyle name="Vírgula 3 6 2 3 5" xfId="35583"/>
    <cellStyle name="Vírgula 3 6 2 4" xfId="5983"/>
    <cellStyle name="Vírgula 3 6 2 4 2" xfId="24598"/>
    <cellStyle name="Vírgula 3 6 2 4 2 2" xfId="50831"/>
    <cellStyle name="Vírgula 3 6 2 4 3" xfId="32228"/>
    <cellStyle name="Vírgula 3 6 2 5" xfId="18684"/>
    <cellStyle name="Vírgula 3 6 2 5 2" xfId="44923"/>
    <cellStyle name="Vírgula 3 6 2 6" xfId="12371"/>
    <cellStyle name="Vírgula 3 6 2 6 2" xfId="38613"/>
    <cellStyle name="Vírgula 3 6 2 7" xfId="30531"/>
    <cellStyle name="Vírgula 3 6 3" xfId="4359"/>
    <cellStyle name="Vírgula 3 6 3 2" xfId="7760"/>
    <cellStyle name="Vírgula 3 6 3 2 2" xfId="10852"/>
    <cellStyle name="Vírgula 3 6 3 2 2 2" xfId="29066"/>
    <cellStyle name="Vírgula 3 6 3 2 2 2 2" xfId="55296"/>
    <cellStyle name="Vírgula 3 6 3 2 2 3" xfId="23152"/>
    <cellStyle name="Vírgula 3 6 3 2 2 3 2" xfId="49388"/>
    <cellStyle name="Vírgula 3 6 3 2 2 4" xfId="17238"/>
    <cellStyle name="Vírgula 3 6 3 2 2 4 2" xfId="43480"/>
    <cellStyle name="Vírgula 3 6 3 2 2 5" xfId="37094"/>
    <cellStyle name="Vírgula 3 6 3 2 3" xfId="26109"/>
    <cellStyle name="Vírgula 3 6 3 2 3 2" xfId="52342"/>
    <cellStyle name="Vírgula 3 6 3 2 4" xfId="20195"/>
    <cellStyle name="Vírgula 3 6 3 2 4 2" xfId="46434"/>
    <cellStyle name="Vírgula 3 6 3 2 5" xfId="14149"/>
    <cellStyle name="Vírgula 3 6 3 2 5 2" xfId="40391"/>
    <cellStyle name="Vírgula 3 6 3 2 6" xfId="34005"/>
    <cellStyle name="Vírgula 3 6 3 3" xfId="9384"/>
    <cellStyle name="Vírgula 3 6 3 3 2" xfId="27598"/>
    <cellStyle name="Vírgula 3 6 3 3 2 2" xfId="53828"/>
    <cellStyle name="Vírgula 3 6 3 3 3" xfId="21684"/>
    <cellStyle name="Vírgula 3 6 3 3 3 2" xfId="47920"/>
    <cellStyle name="Vírgula 3 6 3 3 4" xfId="15770"/>
    <cellStyle name="Vírgula 3 6 3 3 4 2" xfId="42012"/>
    <cellStyle name="Vírgula 3 6 3 3 5" xfId="35626"/>
    <cellStyle name="Vírgula 3 6 3 4" xfId="6060"/>
    <cellStyle name="Vírgula 3 6 3 4 2" xfId="24641"/>
    <cellStyle name="Vírgula 3 6 3 4 2 2" xfId="50874"/>
    <cellStyle name="Vírgula 3 6 3 4 3" xfId="32305"/>
    <cellStyle name="Vírgula 3 6 3 5" xfId="18727"/>
    <cellStyle name="Vírgula 3 6 3 5 2" xfId="44966"/>
    <cellStyle name="Vírgula 3 6 3 6" xfId="12448"/>
    <cellStyle name="Vírgula 3 6 3 6 2" xfId="38690"/>
    <cellStyle name="Vírgula 3 6 3 7" xfId="30608"/>
    <cellStyle name="Vírgula 3 6 4" xfId="4467"/>
    <cellStyle name="Vírgula 3 6 4 2" xfId="7869"/>
    <cellStyle name="Vírgula 3 6 4 2 2" xfId="10914"/>
    <cellStyle name="Vírgula 3 6 4 2 2 2" xfId="29128"/>
    <cellStyle name="Vírgula 3 6 4 2 2 2 2" xfId="55358"/>
    <cellStyle name="Vírgula 3 6 4 2 2 3" xfId="23214"/>
    <cellStyle name="Vírgula 3 6 4 2 2 3 2" xfId="49450"/>
    <cellStyle name="Vírgula 3 6 4 2 2 4" xfId="17300"/>
    <cellStyle name="Vírgula 3 6 4 2 2 4 2" xfId="43542"/>
    <cellStyle name="Vírgula 3 6 4 2 2 5" xfId="37156"/>
    <cellStyle name="Vírgula 3 6 4 2 3" xfId="26171"/>
    <cellStyle name="Vírgula 3 6 4 2 3 2" xfId="52404"/>
    <cellStyle name="Vírgula 3 6 4 2 4" xfId="20257"/>
    <cellStyle name="Vírgula 3 6 4 2 4 2" xfId="46496"/>
    <cellStyle name="Vírgula 3 6 4 2 5" xfId="14258"/>
    <cellStyle name="Vírgula 3 6 4 2 5 2" xfId="40500"/>
    <cellStyle name="Vírgula 3 6 4 2 6" xfId="34114"/>
    <cellStyle name="Vírgula 3 6 4 3" xfId="9446"/>
    <cellStyle name="Vírgula 3 6 4 3 2" xfId="27660"/>
    <cellStyle name="Vírgula 3 6 4 3 2 2" xfId="53890"/>
    <cellStyle name="Vírgula 3 6 4 3 3" xfId="21746"/>
    <cellStyle name="Vírgula 3 6 4 3 3 2" xfId="47982"/>
    <cellStyle name="Vírgula 3 6 4 3 4" xfId="15832"/>
    <cellStyle name="Vírgula 3 6 4 3 4 2" xfId="42074"/>
    <cellStyle name="Vírgula 3 6 4 3 5" xfId="35688"/>
    <cellStyle name="Vírgula 3 6 4 4" xfId="6169"/>
    <cellStyle name="Vírgula 3 6 4 4 2" xfId="24703"/>
    <cellStyle name="Vírgula 3 6 4 4 2 2" xfId="50936"/>
    <cellStyle name="Vírgula 3 6 4 4 3" xfId="32414"/>
    <cellStyle name="Vírgula 3 6 4 5" xfId="18789"/>
    <cellStyle name="Vírgula 3 6 4 5 2" xfId="45028"/>
    <cellStyle name="Vírgula 3 6 4 6" xfId="12557"/>
    <cellStyle name="Vírgula 3 6 4 6 2" xfId="38799"/>
    <cellStyle name="Vírgula 3 6 4 7" xfId="30716"/>
    <cellStyle name="Vírgula 3 6 5" xfId="4575"/>
    <cellStyle name="Vírgula 3 6 5 2" xfId="7977"/>
    <cellStyle name="Vírgula 3 6 5 2 2" xfId="10976"/>
    <cellStyle name="Vírgula 3 6 5 2 2 2" xfId="29190"/>
    <cellStyle name="Vírgula 3 6 5 2 2 2 2" xfId="55420"/>
    <cellStyle name="Vírgula 3 6 5 2 2 3" xfId="23276"/>
    <cellStyle name="Vírgula 3 6 5 2 2 3 2" xfId="49512"/>
    <cellStyle name="Vírgula 3 6 5 2 2 4" xfId="17362"/>
    <cellStyle name="Vírgula 3 6 5 2 2 4 2" xfId="43604"/>
    <cellStyle name="Vírgula 3 6 5 2 2 5" xfId="37218"/>
    <cellStyle name="Vírgula 3 6 5 2 3" xfId="26233"/>
    <cellStyle name="Vírgula 3 6 5 2 3 2" xfId="52466"/>
    <cellStyle name="Vírgula 3 6 5 2 4" xfId="20319"/>
    <cellStyle name="Vírgula 3 6 5 2 4 2" xfId="46558"/>
    <cellStyle name="Vírgula 3 6 5 2 5" xfId="14366"/>
    <cellStyle name="Vírgula 3 6 5 2 5 2" xfId="40608"/>
    <cellStyle name="Vírgula 3 6 5 2 6" xfId="34222"/>
    <cellStyle name="Vírgula 3 6 5 3" xfId="9508"/>
    <cellStyle name="Vírgula 3 6 5 3 2" xfId="27722"/>
    <cellStyle name="Vírgula 3 6 5 3 2 2" xfId="53952"/>
    <cellStyle name="Vírgula 3 6 5 3 3" xfId="21808"/>
    <cellStyle name="Vírgula 3 6 5 3 3 2" xfId="48044"/>
    <cellStyle name="Vírgula 3 6 5 3 4" xfId="15894"/>
    <cellStyle name="Vírgula 3 6 5 3 4 2" xfId="42136"/>
    <cellStyle name="Vírgula 3 6 5 3 5" xfId="35750"/>
    <cellStyle name="Vírgula 3 6 5 4" xfId="6276"/>
    <cellStyle name="Vírgula 3 6 5 4 2" xfId="24765"/>
    <cellStyle name="Vírgula 3 6 5 4 2 2" xfId="50998"/>
    <cellStyle name="Vírgula 3 6 5 4 3" xfId="32521"/>
    <cellStyle name="Vírgula 3 6 5 5" xfId="18851"/>
    <cellStyle name="Vírgula 3 6 5 5 2" xfId="45090"/>
    <cellStyle name="Vírgula 3 6 5 6" xfId="12665"/>
    <cellStyle name="Vírgula 3 6 5 6 2" xfId="38907"/>
    <cellStyle name="Vírgula 3 6 5 7" xfId="30824"/>
    <cellStyle name="Vírgula 3 6 6" xfId="5382"/>
    <cellStyle name="Vírgula 3 6 6 2" xfId="7081"/>
    <cellStyle name="Vírgula 3 6 6 2 2" xfId="10225"/>
    <cellStyle name="Vírgula 3 6 6 2 2 2" xfId="28439"/>
    <cellStyle name="Vírgula 3 6 6 2 2 2 2" xfId="54669"/>
    <cellStyle name="Vírgula 3 6 6 2 2 3" xfId="22525"/>
    <cellStyle name="Vírgula 3 6 6 2 2 3 2" xfId="48761"/>
    <cellStyle name="Vírgula 3 6 6 2 2 4" xfId="16611"/>
    <cellStyle name="Vírgula 3 6 6 2 2 4 2" xfId="42853"/>
    <cellStyle name="Vírgula 3 6 6 2 2 5" xfId="36467"/>
    <cellStyle name="Vírgula 3 6 6 2 3" xfId="25482"/>
    <cellStyle name="Vírgula 3 6 6 2 3 2" xfId="51715"/>
    <cellStyle name="Vírgula 3 6 6 2 4" xfId="19568"/>
    <cellStyle name="Vírgula 3 6 6 2 4 2" xfId="45807"/>
    <cellStyle name="Vírgula 3 6 6 2 5" xfId="13470"/>
    <cellStyle name="Vírgula 3 6 6 2 5 2" xfId="39712"/>
    <cellStyle name="Vírgula 3 6 6 2 6" xfId="33326"/>
    <cellStyle name="Vírgula 3 6 6 3" xfId="8757"/>
    <cellStyle name="Vírgula 3 6 6 3 2" xfId="26971"/>
    <cellStyle name="Vírgula 3 6 6 3 2 2" xfId="53201"/>
    <cellStyle name="Vírgula 3 6 6 3 3" xfId="21057"/>
    <cellStyle name="Vírgula 3 6 6 3 3 2" xfId="47293"/>
    <cellStyle name="Vírgula 3 6 6 3 4" xfId="15143"/>
    <cellStyle name="Vírgula 3 6 6 3 4 2" xfId="41385"/>
    <cellStyle name="Vírgula 3 6 6 3 5" xfId="34999"/>
    <cellStyle name="Vírgula 3 6 6 4" xfId="24014"/>
    <cellStyle name="Vírgula 3 6 6 4 2" xfId="50247"/>
    <cellStyle name="Vírgula 3 6 6 5" xfId="18100"/>
    <cellStyle name="Vírgula 3 6 6 5 2" xfId="44339"/>
    <cellStyle name="Vírgula 3 6 6 6" xfId="11769"/>
    <cellStyle name="Vírgula 3 6 6 6 2" xfId="38011"/>
    <cellStyle name="Vírgula 3 6 6 7" xfId="31627"/>
    <cellStyle name="Vírgula 3 6 7" xfId="6385"/>
    <cellStyle name="Vírgula 3 6 7 2" xfId="9570"/>
    <cellStyle name="Vírgula 3 6 7 2 2" xfId="27784"/>
    <cellStyle name="Vírgula 3 6 7 2 2 2" xfId="54014"/>
    <cellStyle name="Vírgula 3 6 7 2 3" xfId="21870"/>
    <cellStyle name="Vírgula 3 6 7 2 3 2" xfId="48106"/>
    <cellStyle name="Vírgula 3 6 7 2 4" xfId="15956"/>
    <cellStyle name="Vírgula 3 6 7 2 4 2" xfId="42198"/>
    <cellStyle name="Vírgula 3 6 7 2 5" xfId="35812"/>
    <cellStyle name="Vírgula 3 6 7 3" xfId="24827"/>
    <cellStyle name="Vírgula 3 6 7 3 2" xfId="51060"/>
    <cellStyle name="Vírgula 3 6 7 4" xfId="18913"/>
    <cellStyle name="Vírgula 3 6 7 4 2" xfId="45152"/>
    <cellStyle name="Vírgula 3 6 7 5" xfId="12774"/>
    <cellStyle name="Vírgula 3 6 7 5 2" xfId="39016"/>
    <cellStyle name="Vírgula 3 6 7 6" xfId="32630"/>
    <cellStyle name="Vírgula 3 6 8" xfId="8099"/>
    <cellStyle name="Vírgula 3 6 8 2" xfId="26313"/>
    <cellStyle name="Vírgula 3 6 8 2 2" xfId="52546"/>
    <cellStyle name="Vírgula 3 6 8 3" xfId="20399"/>
    <cellStyle name="Vírgula 3 6 8 3 2" xfId="46638"/>
    <cellStyle name="Vírgula 3 6 8 4" xfId="14488"/>
    <cellStyle name="Vírgula 3 6 8 4 2" xfId="40730"/>
    <cellStyle name="Vírgula 3 6 8 5" xfId="34344"/>
    <cellStyle name="Vírgula 3 6 9" xfId="4682"/>
    <cellStyle name="Vírgula 3 6 9 2" xfId="23356"/>
    <cellStyle name="Vírgula 3 6 9 2 2" xfId="49592"/>
    <cellStyle name="Vírgula 3 6 9 3" xfId="30931"/>
    <cellStyle name="Vírgula 3 7" xfId="2749"/>
    <cellStyle name="Vírgula 3 7 10" xfId="17421"/>
    <cellStyle name="Vírgula 3 7 10 2" xfId="43663"/>
    <cellStyle name="Vírgula 3 7 11" xfId="11037"/>
    <cellStyle name="Vírgula 3 7 11 2" xfId="37279"/>
    <cellStyle name="Vírgula 3 7 12" xfId="30076"/>
    <cellStyle name="Vírgula 3 7 2" xfId="4246"/>
    <cellStyle name="Vírgula 3 7 2 2" xfId="7646"/>
    <cellStyle name="Vírgula 3 7 2 2 2" xfId="10788"/>
    <cellStyle name="Vírgula 3 7 2 2 2 2" xfId="29002"/>
    <cellStyle name="Vírgula 3 7 2 2 2 2 2" xfId="55232"/>
    <cellStyle name="Vírgula 3 7 2 2 2 3" xfId="23088"/>
    <cellStyle name="Vírgula 3 7 2 2 2 3 2" xfId="49324"/>
    <cellStyle name="Vírgula 3 7 2 2 2 4" xfId="17174"/>
    <cellStyle name="Vírgula 3 7 2 2 2 4 2" xfId="43416"/>
    <cellStyle name="Vírgula 3 7 2 2 2 5" xfId="37030"/>
    <cellStyle name="Vírgula 3 7 2 2 3" xfId="26045"/>
    <cellStyle name="Vírgula 3 7 2 2 3 2" xfId="52278"/>
    <cellStyle name="Vírgula 3 7 2 2 4" xfId="20131"/>
    <cellStyle name="Vírgula 3 7 2 2 4 2" xfId="46370"/>
    <cellStyle name="Vírgula 3 7 2 2 5" xfId="14035"/>
    <cellStyle name="Vírgula 3 7 2 2 5 2" xfId="40277"/>
    <cellStyle name="Vírgula 3 7 2 2 6" xfId="33891"/>
    <cellStyle name="Vírgula 3 7 2 3" xfId="9320"/>
    <cellStyle name="Vírgula 3 7 2 3 2" xfId="27534"/>
    <cellStyle name="Vírgula 3 7 2 3 2 2" xfId="53764"/>
    <cellStyle name="Vírgula 3 7 2 3 3" xfId="21620"/>
    <cellStyle name="Vírgula 3 7 2 3 3 2" xfId="47856"/>
    <cellStyle name="Vírgula 3 7 2 3 4" xfId="15706"/>
    <cellStyle name="Vírgula 3 7 2 3 4 2" xfId="41948"/>
    <cellStyle name="Vírgula 3 7 2 3 5" xfId="35562"/>
    <cellStyle name="Vírgula 3 7 2 4" xfId="5947"/>
    <cellStyle name="Vírgula 3 7 2 4 2" xfId="24577"/>
    <cellStyle name="Vírgula 3 7 2 4 2 2" xfId="50810"/>
    <cellStyle name="Vírgula 3 7 2 4 3" xfId="32192"/>
    <cellStyle name="Vírgula 3 7 2 5" xfId="18663"/>
    <cellStyle name="Vírgula 3 7 2 5 2" xfId="44902"/>
    <cellStyle name="Vírgula 3 7 2 6" xfId="12334"/>
    <cellStyle name="Vírgula 3 7 2 6 2" xfId="38576"/>
    <cellStyle name="Vírgula 3 7 2 7" xfId="30495"/>
    <cellStyle name="Vírgula 3 7 3" xfId="4322"/>
    <cellStyle name="Vírgula 3 7 3 2" xfId="7723"/>
    <cellStyle name="Vírgula 3 7 3 2 2" xfId="10831"/>
    <cellStyle name="Vírgula 3 7 3 2 2 2" xfId="29045"/>
    <cellStyle name="Vírgula 3 7 3 2 2 2 2" xfId="55275"/>
    <cellStyle name="Vírgula 3 7 3 2 2 3" xfId="23131"/>
    <cellStyle name="Vírgula 3 7 3 2 2 3 2" xfId="49367"/>
    <cellStyle name="Vírgula 3 7 3 2 2 4" xfId="17217"/>
    <cellStyle name="Vírgula 3 7 3 2 2 4 2" xfId="43459"/>
    <cellStyle name="Vírgula 3 7 3 2 2 5" xfId="37073"/>
    <cellStyle name="Vírgula 3 7 3 2 3" xfId="26088"/>
    <cellStyle name="Vírgula 3 7 3 2 3 2" xfId="52321"/>
    <cellStyle name="Vírgula 3 7 3 2 4" xfId="20174"/>
    <cellStyle name="Vírgula 3 7 3 2 4 2" xfId="46413"/>
    <cellStyle name="Vírgula 3 7 3 2 5" xfId="14112"/>
    <cellStyle name="Vírgula 3 7 3 2 5 2" xfId="40354"/>
    <cellStyle name="Vírgula 3 7 3 2 6" xfId="33968"/>
    <cellStyle name="Vírgula 3 7 3 3" xfId="9363"/>
    <cellStyle name="Vírgula 3 7 3 3 2" xfId="27577"/>
    <cellStyle name="Vírgula 3 7 3 3 2 2" xfId="53807"/>
    <cellStyle name="Vírgula 3 7 3 3 3" xfId="21663"/>
    <cellStyle name="Vírgula 3 7 3 3 3 2" xfId="47899"/>
    <cellStyle name="Vírgula 3 7 3 3 4" xfId="15749"/>
    <cellStyle name="Vírgula 3 7 3 3 4 2" xfId="41991"/>
    <cellStyle name="Vírgula 3 7 3 3 5" xfId="35605"/>
    <cellStyle name="Vírgula 3 7 3 4" xfId="6023"/>
    <cellStyle name="Vírgula 3 7 3 4 2" xfId="24620"/>
    <cellStyle name="Vírgula 3 7 3 4 2 2" xfId="50853"/>
    <cellStyle name="Vírgula 3 7 3 4 3" xfId="32268"/>
    <cellStyle name="Vírgula 3 7 3 5" xfId="18706"/>
    <cellStyle name="Vírgula 3 7 3 5 2" xfId="44945"/>
    <cellStyle name="Vírgula 3 7 3 6" xfId="12411"/>
    <cellStyle name="Vírgula 3 7 3 6 2" xfId="38653"/>
    <cellStyle name="Vírgula 3 7 3 7" xfId="30571"/>
    <cellStyle name="Vírgula 3 7 4" xfId="4430"/>
    <cellStyle name="Vírgula 3 7 4 2" xfId="7832"/>
    <cellStyle name="Vírgula 3 7 4 2 2" xfId="10893"/>
    <cellStyle name="Vírgula 3 7 4 2 2 2" xfId="29107"/>
    <cellStyle name="Vírgula 3 7 4 2 2 2 2" xfId="55337"/>
    <cellStyle name="Vírgula 3 7 4 2 2 3" xfId="23193"/>
    <cellStyle name="Vírgula 3 7 4 2 2 3 2" xfId="49429"/>
    <cellStyle name="Vírgula 3 7 4 2 2 4" xfId="17279"/>
    <cellStyle name="Vírgula 3 7 4 2 2 4 2" xfId="43521"/>
    <cellStyle name="Vírgula 3 7 4 2 2 5" xfId="37135"/>
    <cellStyle name="Vírgula 3 7 4 2 3" xfId="26150"/>
    <cellStyle name="Vírgula 3 7 4 2 3 2" xfId="52383"/>
    <cellStyle name="Vírgula 3 7 4 2 4" xfId="20236"/>
    <cellStyle name="Vírgula 3 7 4 2 4 2" xfId="46475"/>
    <cellStyle name="Vírgula 3 7 4 2 5" xfId="14221"/>
    <cellStyle name="Vírgula 3 7 4 2 5 2" xfId="40463"/>
    <cellStyle name="Vírgula 3 7 4 2 6" xfId="34077"/>
    <cellStyle name="Vírgula 3 7 4 3" xfId="9425"/>
    <cellStyle name="Vírgula 3 7 4 3 2" xfId="27639"/>
    <cellStyle name="Vírgula 3 7 4 3 2 2" xfId="53869"/>
    <cellStyle name="Vírgula 3 7 4 3 3" xfId="21725"/>
    <cellStyle name="Vírgula 3 7 4 3 3 2" xfId="47961"/>
    <cellStyle name="Vírgula 3 7 4 3 4" xfId="15811"/>
    <cellStyle name="Vírgula 3 7 4 3 4 2" xfId="42053"/>
    <cellStyle name="Vírgula 3 7 4 3 5" xfId="35667"/>
    <cellStyle name="Vírgula 3 7 4 4" xfId="6132"/>
    <cellStyle name="Vírgula 3 7 4 4 2" xfId="24682"/>
    <cellStyle name="Vírgula 3 7 4 4 2 2" xfId="50915"/>
    <cellStyle name="Vírgula 3 7 4 4 3" xfId="32377"/>
    <cellStyle name="Vírgula 3 7 4 5" xfId="18768"/>
    <cellStyle name="Vírgula 3 7 4 5 2" xfId="45007"/>
    <cellStyle name="Vírgula 3 7 4 6" xfId="12520"/>
    <cellStyle name="Vírgula 3 7 4 6 2" xfId="38762"/>
    <cellStyle name="Vírgula 3 7 4 7" xfId="30679"/>
    <cellStyle name="Vírgula 3 7 5" xfId="4538"/>
    <cellStyle name="Vírgula 3 7 5 2" xfId="7940"/>
    <cellStyle name="Vírgula 3 7 5 2 2" xfId="10955"/>
    <cellStyle name="Vírgula 3 7 5 2 2 2" xfId="29169"/>
    <cellStyle name="Vírgula 3 7 5 2 2 2 2" xfId="55399"/>
    <cellStyle name="Vírgula 3 7 5 2 2 3" xfId="23255"/>
    <cellStyle name="Vírgula 3 7 5 2 2 3 2" xfId="49491"/>
    <cellStyle name="Vírgula 3 7 5 2 2 4" xfId="17341"/>
    <cellStyle name="Vírgula 3 7 5 2 2 4 2" xfId="43583"/>
    <cellStyle name="Vírgula 3 7 5 2 2 5" xfId="37197"/>
    <cellStyle name="Vírgula 3 7 5 2 3" xfId="26212"/>
    <cellStyle name="Vírgula 3 7 5 2 3 2" xfId="52445"/>
    <cellStyle name="Vírgula 3 7 5 2 4" xfId="20298"/>
    <cellStyle name="Vírgula 3 7 5 2 4 2" xfId="46537"/>
    <cellStyle name="Vírgula 3 7 5 2 5" xfId="14329"/>
    <cellStyle name="Vírgula 3 7 5 2 5 2" xfId="40571"/>
    <cellStyle name="Vírgula 3 7 5 2 6" xfId="34185"/>
    <cellStyle name="Vírgula 3 7 5 3" xfId="9487"/>
    <cellStyle name="Vírgula 3 7 5 3 2" xfId="27701"/>
    <cellStyle name="Vírgula 3 7 5 3 2 2" xfId="53931"/>
    <cellStyle name="Vírgula 3 7 5 3 3" xfId="21787"/>
    <cellStyle name="Vírgula 3 7 5 3 3 2" xfId="48023"/>
    <cellStyle name="Vírgula 3 7 5 3 4" xfId="15873"/>
    <cellStyle name="Vírgula 3 7 5 3 4 2" xfId="42115"/>
    <cellStyle name="Vírgula 3 7 5 3 5" xfId="35729"/>
    <cellStyle name="Vírgula 3 7 5 4" xfId="6239"/>
    <cellStyle name="Vírgula 3 7 5 4 2" xfId="24744"/>
    <cellStyle name="Vírgula 3 7 5 4 2 2" xfId="50977"/>
    <cellStyle name="Vírgula 3 7 5 4 3" xfId="32484"/>
    <cellStyle name="Vírgula 3 7 5 5" xfId="18830"/>
    <cellStyle name="Vírgula 3 7 5 5 2" xfId="45069"/>
    <cellStyle name="Vírgula 3 7 5 6" xfId="12628"/>
    <cellStyle name="Vírgula 3 7 5 6 2" xfId="38870"/>
    <cellStyle name="Vírgula 3 7 5 7" xfId="30787"/>
    <cellStyle name="Vírgula 3 7 6" xfId="5529"/>
    <cellStyle name="Vírgula 3 7 6 2" xfId="7228"/>
    <cellStyle name="Vírgula 3 7 6 2 2" xfId="10372"/>
    <cellStyle name="Vírgula 3 7 6 2 2 2" xfId="28586"/>
    <cellStyle name="Vírgula 3 7 6 2 2 2 2" xfId="54816"/>
    <cellStyle name="Vírgula 3 7 6 2 2 3" xfId="22672"/>
    <cellStyle name="Vírgula 3 7 6 2 2 3 2" xfId="48908"/>
    <cellStyle name="Vírgula 3 7 6 2 2 4" xfId="16758"/>
    <cellStyle name="Vírgula 3 7 6 2 2 4 2" xfId="43000"/>
    <cellStyle name="Vírgula 3 7 6 2 2 5" xfId="36614"/>
    <cellStyle name="Vírgula 3 7 6 2 3" xfId="25629"/>
    <cellStyle name="Vírgula 3 7 6 2 3 2" xfId="51862"/>
    <cellStyle name="Vírgula 3 7 6 2 4" xfId="19715"/>
    <cellStyle name="Vírgula 3 7 6 2 4 2" xfId="45954"/>
    <cellStyle name="Vírgula 3 7 6 2 5" xfId="13617"/>
    <cellStyle name="Vírgula 3 7 6 2 5 2" xfId="39859"/>
    <cellStyle name="Vírgula 3 7 6 2 6" xfId="33473"/>
    <cellStyle name="Vírgula 3 7 6 3" xfId="8904"/>
    <cellStyle name="Vírgula 3 7 6 3 2" xfId="27118"/>
    <cellStyle name="Vírgula 3 7 6 3 2 2" xfId="53348"/>
    <cellStyle name="Vírgula 3 7 6 3 3" xfId="21204"/>
    <cellStyle name="Vírgula 3 7 6 3 3 2" xfId="47440"/>
    <cellStyle name="Vírgula 3 7 6 3 4" xfId="15290"/>
    <cellStyle name="Vírgula 3 7 6 3 4 2" xfId="41532"/>
    <cellStyle name="Vírgula 3 7 6 3 5" xfId="35146"/>
    <cellStyle name="Vírgula 3 7 6 4" xfId="24161"/>
    <cellStyle name="Vírgula 3 7 6 4 2" xfId="50394"/>
    <cellStyle name="Vírgula 3 7 6 5" xfId="18247"/>
    <cellStyle name="Vírgula 3 7 6 5 2" xfId="44486"/>
    <cellStyle name="Vírgula 3 7 6 6" xfId="11916"/>
    <cellStyle name="Vírgula 3 7 6 6 2" xfId="38158"/>
    <cellStyle name="Vírgula 3 7 6 7" xfId="31774"/>
    <cellStyle name="Vírgula 3 7 7" xfId="6348"/>
    <cellStyle name="Vírgula 3 7 7 2" xfId="9549"/>
    <cellStyle name="Vírgula 3 7 7 2 2" xfId="27763"/>
    <cellStyle name="Vírgula 3 7 7 2 2 2" xfId="53993"/>
    <cellStyle name="Vírgula 3 7 7 2 3" xfId="21849"/>
    <cellStyle name="Vírgula 3 7 7 2 3 2" xfId="48085"/>
    <cellStyle name="Vírgula 3 7 7 2 4" xfId="15935"/>
    <cellStyle name="Vírgula 3 7 7 2 4 2" xfId="42177"/>
    <cellStyle name="Vírgula 3 7 7 2 5" xfId="35791"/>
    <cellStyle name="Vírgula 3 7 7 3" xfId="24806"/>
    <cellStyle name="Vírgula 3 7 7 3 2" xfId="51039"/>
    <cellStyle name="Vírgula 3 7 7 4" xfId="18892"/>
    <cellStyle name="Vírgula 3 7 7 4 2" xfId="45131"/>
    <cellStyle name="Vírgula 3 7 7 5" xfId="12737"/>
    <cellStyle name="Vírgula 3 7 7 5 2" xfId="38979"/>
    <cellStyle name="Vírgula 3 7 7 6" xfId="32593"/>
    <cellStyle name="Vírgula 3 7 8" xfId="8078"/>
    <cellStyle name="Vírgula 3 7 8 2" xfId="26292"/>
    <cellStyle name="Vírgula 3 7 8 2 2" xfId="52525"/>
    <cellStyle name="Vírgula 3 7 8 3" xfId="20378"/>
    <cellStyle name="Vírgula 3 7 8 3 2" xfId="46617"/>
    <cellStyle name="Vírgula 3 7 8 4" xfId="14467"/>
    <cellStyle name="Vírgula 3 7 8 4 2" xfId="40709"/>
    <cellStyle name="Vírgula 3 7 8 5" xfId="34323"/>
    <cellStyle name="Vírgula 3 7 9" xfId="4646"/>
    <cellStyle name="Vírgula 3 7 9 2" xfId="23335"/>
    <cellStyle name="Vírgula 3 7 9 2 2" xfId="49571"/>
    <cellStyle name="Vírgula 3 7 9 3" xfId="30895"/>
    <cellStyle name="Vírgula 3 8" xfId="3276"/>
    <cellStyle name="Vírgula 3 8 10" xfId="17444"/>
    <cellStyle name="Vírgula 3 8 10 2" xfId="43686"/>
    <cellStyle name="Vírgula 3 8 11" xfId="11078"/>
    <cellStyle name="Vírgula 3 8 11 2" xfId="37320"/>
    <cellStyle name="Vírgula 3 8 12" xfId="30223"/>
    <cellStyle name="Vírgula 3 8 2" xfId="4287"/>
    <cellStyle name="Vírgula 3 8 2 2" xfId="7688"/>
    <cellStyle name="Vírgula 3 8 2 2 2" xfId="10811"/>
    <cellStyle name="Vírgula 3 8 2 2 2 2" xfId="29025"/>
    <cellStyle name="Vírgula 3 8 2 2 2 2 2" xfId="55255"/>
    <cellStyle name="Vírgula 3 8 2 2 2 3" xfId="23111"/>
    <cellStyle name="Vírgula 3 8 2 2 2 3 2" xfId="49347"/>
    <cellStyle name="Vírgula 3 8 2 2 2 4" xfId="17197"/>
    <cellStyle name="Vírgula 3 8 2 2 2 4 2" xfId="43439"/>
    <cellStyle name="Vírgula 3 8 2 2 2 5" xfId="37053"/>
    <cellStyle name="Vírgula 3 8 2 2 3" xfId="26068"/>
    <cellStyle name="Vírgula 3 8 2 2 3 2" xfId="52301"/>
    <cellStyle name="Vírgula 3 8 2 2 4" xfId="20154"/>
    <cellStyle name="Vírgula 3 8 2 2 4 2" xfId="46393"/>
    <cellStyle name="Vírgula 3 8 2 2 5" xfId="14077"/>
    <cellStyle name="Vírgula 3 8 2 2 5 2" xfId="40319"/>
    <cellStyle name="Vírgula 3 8 2 2 6" xfId="33933"/>
    <cellStyle name="Vírgula 3 8 2 3" xfId="9343"/>
    <cellStyle name="Vírgula 3 8 2 3 2" xfId="27557"/>
    <cellStyle name="Vírgula 3 8 2 3 2 2" xfId="53787"/>
    <cellStyle name="Vírgula 3 8 2 3 3" xfId="21643"/>
    <cellStyle name="Vírgula 3 8 2 3 3 2" xfId="47879"/>
    <cellStyle name="Vírgula 3 8 2 3 4" xfId="15729"/>
    <cellStyle name="Vírgula 3 8 2 3 4 2" xfId="41971"/>
    <cellStyle name="Vírgula 3 8 2 3 5" xfId="35585"/>
    <cellStyle name="Vírgula 3 8 2 4" xfId="5988"/>
    <cellStyle name="Vírgula 3 8 2 4 2" xfId="24600"/>
    <cellStyle name="Vírgula 3 8 2 4 2 2" xfId="50833"/>
    <cellStyle name="Vírgula 3 8 2 4 3" xfId="32233"/>
    <cellStyle name="Vírgula 3 8 2 5" xfId="18686"/>
    <cellStyle name="Vírgula 3 8 2 5 2" xfId="44925"/>
    <cellStyle name="Vírgula 3 8 2 6" xfId="12376"/>
    <cellStyle name="Vírgula 3 8 2 6 2" xfId="38618"/>
    <cellStyle name="Vírgula 3 8 2 7" xfId="30536"/>
    <cellStyle name="Vírgula 3 8 3" xfId="4364"/>
    <cellStyle name="Vírgula 3 8 3 2" xfId="7765"/>
    <cellStyle name="Vírgula 3 8 3 2 2" xfId="10854"/>
    <cellStyle name="Vírgula 3 8 3 2 2 2" xfId="29068"/>
    <cellStyle name="Vírgula 3 8 3 2 2 2 2" xfId="55298"/>
    <cellStyle name="Vírgula 3 8 3 2 2 3" xfId="23154"/>
    <cellStyle name="Vírgula 3 8 3 2 2 3 2" xfId="49390"/>
    <cellStyle name="Vírgula 3 8 3 2 2 4" xfId="17240"/>
    <cellStyle name="Vírgula 3 8 3 2 2 4 2" xfId="43482"/>
    <cellStyle name="Vírgula 3 8 3 2 2 5" xfId="37096"/>
    <cellStyle name="Vírgula 3 8 3 2 3" xfId="26111"/>
    <cellStyle name="Vírgula 3 8 3 2 3 2" xfId="52344"/>
    <cellStyle name="Vírgula 3 8 3 2 4" xfId="20197"/>
    <cellStyle name="Vírgula 3 8 3 2 4 2" xfId="46436"/>
    <cellStyle name="Vírgula 3 8 3 2 5" xfId="14154"/>
    <cellStyle name="Vírgula 3 8 3 2 5 2" xfId="40396"/>
    <cellStyle name="Vírgula 3 8 3 2 6" xfId="34010"/>
    <cellStyle name="Vírgula 3 8 3 3" xfId="9386"/>
    <cellStyle name="Vírgula 3 8 3 3 2" xfId="27600"/>
    <cellStyle name="Vírgula 3 8 3 3 2 2" xfId="53830"/>
    <cellStyle name="Vírgula 3 8 3 3 3" xfId="21686"/>
    <cellStyle name="Vírgula 3 8 3 3 3 2" xfId="47922"/>
    <cellStyle name="Vírgula 3 8 3 3 4" xfId="15772"/>
    <cellStyle name="Vírgula 3 8 3 3 4 2" xfId="42014"/>
    <cellStyle name="Vírgula 3 8 3 3 5" xfId="35628"/>
    <cellStyle name="Vírgula 3 8 3 4" xfId="6065"/>
    <cellStyle name="Vírgula 3 8 3 4 2" xfId="24643"/>
    <cellStyle name="Vírgula 3 8 3 4 2 2" xfId="50876"/>
    <cellStyle name="Vírgula 3 8 3 4 3" xfId="32310"/>
    <cellStyle name="Vírgula 3 8 3 5" xfId="18729"/>
    <cellStyle name="Vírgula 3 8 3 5 2" xfId="44968"/>
    <cellStyle name="Vírgula 3 8 3 6" xfId="12453"/>
    <cellStyle name="Vírgula 3 8 3 6 2" xfId="38695"/>
    <cellStyle name="Vírgula 3 8 3 7" xfId="30613"/>
    <cellStyle name="Vírgula 3 8 4" xfId="4472"/>
    <cellStyle name="Vírgula 3 8 4 2" xfId="7874"/>
    <cellStyle name="Vírgula 3 8 4 2 2" xfId="10916"/>
    <cellStyle name="Vírgula 3 8 4 2 2 2" xfId="29130"/>
    <cellStyle name="Vírgula 3 8 4 2 2 2 2" xfId="55360"/>
    <cellStyle name="Vírgula 3 8 4 2 2 3" xfId="23216"/>
    <cellStyle name="Vírgula 3 8 4 2 2 3 2" xfId="49452"/>
    <cellStyle name="Vírgula 3 8 4 2 2 4" xfId="17302"/>
    <cellStyle name="Vírgula 3 8 4 2 2 4 2" xfId="43544"/>
    <cellStyle name="Vírgula 3 8 4 2 2 5" xfId="37158"/>
    <cellStyle name="Vírgula 3 8 4 2 3" xfId="26173"/>
    <cellStyle name="Vírgula 3 8 4 2 3 2" xfId="52406"/>
    <cellStyle name="Vírgula 3 8 4 2 4" xfId="20259"/>
    <cellStyle name="Vírgula 3 8 4 2 4 2" xfId="46498"/>
    <cellStyle name="Vírgula 3 8 4 2 5" xfId="14263"/>
    <cellStyle name="Vírgula 3 8 4 2 5 2" xfId="40505"/>
    <cellStyle name="Vírgula 3 8 4 2 6" xfId="34119"/>
    <cellStyle name="Vírgula 3 8 4 3" xfId="9448"/>
    <cellStyle name="Vírgula 3 8 4 3 2" xfId="27662"/>
    <cellStyle name="Vírgula 3 8 4 3 2 2" xfId="53892"/>
    <cellStyle name="Vírgula 3 8 4 3 3" xfId="21748"/>
    <cellStyle name="Vírgula 3 8 4 3 3 2" xfId="47984"/>
    <cellStyle name="Vírgula 3 8 4 3 4" xfId="15834"/>
    <cellStyle name="Vírgula 3 8 4 3 4 2" xfId="42076"/>
    <cellStyle name="Vírgula 3 8 4 3 5" xfId="35690"/>
    <cellStyle name="Vírgula 3 8 4 4" xfId="6174"/>
    <cellStyle name="Vírgula 3 8 4 4 2" xfId="24705"/>
    <cellStyle name="Vírgula 3 8 4 4 2 2" xfId="50938"/>
    <cellStyle name="Vírgula 3 8 4 4 3" xfId="32419"/>
    <cellStyle name="Vírgula 3 8 4 5" xfId="18791"/>
    <cellStyle name="Vírgula 3 8 4 5 2" xfId="45030"/>
    <cellStyle name="Vírgula 3 8 4 6" xfId="12562"/>
    <cellStyle name="Vírgula 3 8 4 6 2" xfId="38804"/>
    <cellStyle name="Vírgula 3 8 4 7" xfId="30721"/>
    <cellStyle name="Vírgula 3 8 5" xfId="4580"/>
    <cellStyle name="Vírgula 3 8 5 2" xfId="7982"/>
    <cellStyle name="Vírgula 3 8 5 2 2" xfId="10978"/>
    <cellStyle name="Vírgula 3 8 5 2 2 2" xfId="29192"/>
    <cellStyle name="Vírgula 3 8 5 2 2 2 2" xfId="55422"/>
    <cellStyle name="Vírgula 3 8 5 2 2 3" xfId="23278"/>
    <cellStyle name="Vírgula 3 8 5 2 2 3 2" xfId="49514"/>
    <cellStyle name="Vírgula 3 8 5 2 2 4" xfId="17364"/>
    <cellStyle name="Vírgula 3 8 5 2 2 4 2" xfId="43606"/>
    <cellStyle name="Vírgula 3 8 5 2 2 5" xfId="37220"/>
    <cellStyle name="Vírgula 3 8 5 2 3" xfId="26235"/>
    <cellStyle name="Vírgula 3 8 5 2 3 2" xfId="52468"/>
    <cellStyle name="Vírgula 3 8 5 2 4" xfId="20321"/>
    <cellStyle name="Vírgula 3 8 5 2 4 2" xfId="46560"/>
    <cellStyle name="Vírgula 3 8 5 2 5" xfId="14371"/>
    <cellStyle name="Vírgula 3 8 5 2 5 2" xfId="40613"/>
    <cellStyle name="Vírgula 3 8 5 2 6" xfId="34227"/>
    <cellStyle name="Vírgula 3 8 5 3" xfId="9510"/>
    <cellStyle name="Vírgula 3 8 5 3 2" xfId="27724"/>
    <cellStyle name="Vírgula 3 8 5 3 2 2" xfId="53954"/>
    <cellStyle name="Vírgula 3 8 5 3 3" xfId="21810"/>
    <cellStyle name="Vírgula 3 8 5 3 3 2" xfId="48046"/>
    <cellStyle name="Vírgula 3 8 5 3 4" xfId="15896"/>
    <cellStyle name="Vírgula 3 8 5 3 4 2" xfId="42138"/>
    <cellStyle name="Vírgula 3 8 5 3 5" xfId="35752"/>
    <cellStyle name="Vírgula 3 8 5 4" xfId="6281"/>
    <cellStyle name="Vírgula 3 8 5 4 2" xfId="24767"/>
    <cellStyle name="Vírgula 3 8 5 4 2 2" xfId="51000"/>
    <cellStyle name="Vírgula 3 8 5 4 3" xfId="32526"/>
    <cellStyle name="Vírgula 3 8 5 5" xfId="18853"/>
    <cellStyle name="Vírgula 3 8 5 5 2" xfId="45092"/>
    <cellStyle name="Vírgula 3 8 5 6" xfId="12670"/>
    <cellStyle name="Vírgula 3 8 5 6 2" xfId="38912"/>
    <cellStyle name="Vírgula 3 8 5 7" xfId="30829"/>
    <cellStyle name="Vírgula 3 8 6" xfId="5676"/>
    <cellStyle name="Vírgula 3 8 6 2" xfId="7375"/>
    <cellStyle name="Vírgula 3 8 6 2 2" xfId="10519"/>
    <cellStyle name="Vírgula 3 8 6 2 2 2" xfId="28733"/>
    <cellStyle name="Vírgula 3 8 6 2 2 2 2" xfId="54963"/>
    <cellStyle name="Vírgula 3 8 6 2 2 3" xfId="22819"/>
    <cellStyle name="Vírgula 3 8 6 2 2 3 2" xfId="49055"/>
    <cellStyle name="Vírgula 3 8 6 2 2 4" xfId="16905"/>
    <cellStyle name="Vírgula 3 8 6 2 2 4 2" xfId="43147"/>
    <cellStyle name="Vírgula 3 8 6 2 2 5" xfId="36761"/>
    <cellStyle name="Vírgula 3 8 6 2 3" xfId="25776"/>
    <cellStyle name="Vírgula 3 8 6 2 3 2" xfId="52009"/>
    <cellStyle name="Vírgula 3 8 6 2 4" xfId="19862"/>
    <cellStyle name="Vírgula 3 8 6 2 4 2" xfId="46101"/>
    <cellStyle name="Vírgula 3 8 6 2 5" xfId="13764"/>
    <cellStyle name="Vírgula 3 8 6 2 5 2" xfId="40006"/>
    <cellStyle name="Vírgula 3 8 6 2 6" xfId="33620"/>
    <cellStyle name="Vírgula 3 8 6 3" xfId="9051"/>
    <cellStyle name="Vírgula 3 8 6 3 2" xfId="27265"/>
    <cellStyle name="Vírgula 3 8 6 3 2 2" xfId="53495"/>
    <cellStyle name="Vírgula 3 8 6 3 3" xfId="21351"/>
    <cellStyle name="Vírgula 3 8 6 3 3 2" xfId="47587"/>
    <cellStyle name="Vírgula 3 8 6 3 4" xfId="15437"/>
    <cellStyle name="Vírgula 3 8 6 3 4 2" xfId="41679"/>
    <cellStyle name="Vírgula 3 8 6 3 5" xfId="35293"/>
    <cellStyle name="Vírgula 3 8 6 4" xfId="24308"/>
    <cellStyle name="Vírgula 3 8 6 4 2" xfId="50541"/>
    <cellStyle name="Vírgula 3 8 6 5" xfId="18394"/>
    <cellStyle name="Vírgula 3 8 6 5 2" xfId="44633"/>
    <cellStyle name="Vírgula 3 8 6 6" xfId="12063"/>
    <cellStyle name="Vírgula 3 8 6 6 2" xfId="38305"/>
    <cellStyle name="Vírgula 3 8 6 7" xfId="31921"/>
    <cellStyle name="Vírgula 3 8 7" xfId="6390"/>
    <cellStyle name="Vírgula 3 8 7 2" xfId="9572"/>
    <cellStyle name="Vírgula 3 8 7 2 2" xfId="27786"/>
    <cellStyle name="Vírgula 3 8 7 2 2 2" xfId="54016"/>
    <cellStyle name="Vírgula 3 8 7 2 3" xfId="21872"/>
    <cellStyle name="Vírgula 3 8 7 2 3 2" xfId="48108"/>
    <cellStyle name="Vírgula 3 8 7 2 4" xfId="15958"/>
    <cellStyle name="Vírgula 3 8 7 2 4 2" xfId="42200"/>
    <cellStyle name="Vírgula 3 8 7 2 5" xfId="35814"/>
    <cellStyle name="Vírgula 3 8 7 3" xfId="24829"/>
    <cellStyle name="Vírgula 3 8 7 3 2" xfId="51062"/>
    <cellStyle name="Vírgula 3 8 7 4" xfId="18915"/>
    <cellStyle name="Vírgula 3 8 7 4 2" xfId="45154"/>
    <cellStyle name="Vírgula 3 8 7 5" xfId="12779"/>
    <cellStyle name="Vírgula 3 8 7 5 2" xfId="39021"/>
    <cellStyle name="Vírgula 3 8 7 6" xfId="32635"/>
    <cellStyle name="Vírgula 3 8 8" xfId="8101"/>
    <cellStyle name="Vírgula 3 8 8 2" xfId="26315"/>
    <cellStyle name="Vírgula 3 8 8 2 2" xfId="52548"/>
    <cellStyle name="Vírgula 3 8 8 3" xfId="20401"/>
    <cellStyle name="Vírgula 3 8 8 3 2" xfId="46640"/>
    <cellStyle name="Vírgula 3 8 8 4" xfId="14490"/>
    <cellStyle name="Vírgula 3 8 8 4 2" xfId="40732"/>
    <cellStyle name="Vírgula 3 8 8 5" xfId="34346"/>
    <cellStyle name="Vírgula 3 8 9" xfId="4687"/>
    <cellStyle name="Vírgula 3 8 9 2" xfId="23358"/>
    <cellStyle name="Vírgula 3 8 9 2 2" xfId="49594"/>
    <cellStyle name="Vírgula 3 8 9 3" xfId="30936"/>
    <cellStyle name="Vírgula 3 9" xfId="3803"/>
    <cellStyle name="Vírgula 3 9 10" xfId="11110"/>
    <cellStyle name="Vírgula 3 9 10 2" xfId="37352"/>
    <cellStyle name="Vírgula 3 9 11" xfId="30370"/>
    <cellStyle name="Vírgula 3 9 2" xfId="4396"/>
    <cellStyle name="Vírgula 3 9 2 2" xfId="7797"/>
    <cellStyle name="Vírgula 3 9 2 2 2" xfId="10873"/>
    <cellStyle name="Vírgula 3 9 2 2 2 2" xfId="29087"/>
    <cellStyle name="Vírgula 3 9 2 2 2 2 2" xfId="55317"/>
    <cellStyle name="Vírgula 3 9 2 2 2 3" xfId="23173"/>
    <cellStyle name="Vírgula 3 9 2 2 2 3 2" xfId="49409"/>
    <cellStyle name="Vírgula 3 9 2 2 2 4" xfId="17259"/>
    <cellStyle name="Vírgula 3 9 2 2 2 4 2" xfId="43501"/>
    <cellStyle name="Vírgula 3 9 2 2 2 5" xfId="37115"/>
    <cellStyle name="Vírgula 3 9 2 2 3" xfId="26130"/>
    <cellStyle name="Vírgula 3 9 2 2 3 2" xfId="52363"/>
    <cellStyle name="Vírgula 3 9 2 2 4" xfId="20216"/>
    <cellStyle name="Vírgula 3 9 2 2 4 2" xfId="46455"/>
    <cellStyle name="Vírgula 3 9 2 2 5" xfId="14186"/>
    <cellStyle name="Vírgula 3 9 2 2 5 2" xfId="40428"/>
    <cellStyle name="Vírgula 3 9 2 2 6" xfId="34042"/>
    <cellStyle name="Vírgula 3 9 2 3" xfId="9405"/>
    <cellStyle name="Vírgula 3 9 2 3 2" xfId="27619"/>
    <cellStyle name="Vírgula 3 9 2 3 2 2" xfId="53849"/>
    <cellStyle name="Vírgula 3 9 2 3 3" xfId="21705"/>
    <cellStyle name="Vírgula 3 9 2 3 3 2" xfId="47941"/>
    <cellStyle name="Vírgula 3 9 2 3 4" xfId="15791"/>
    <cellStyle name="Vírgula 3 9 2 3 4 2" xfId="42033"/>
    <cellStyle name="Vírgula 3 9 2 3 5" xfId="35647"/>
    <cellStyle name="Vírgula 3 9 2 4" xfId="6097"/>
    <cellStyle name="Vírgula 3 9 2 4 2" xfId="24662"/>
    <cellStyle name="Vírgula 3 9 2 4 2 2" xfId="50895"/>
    <cellStyle name="Vírgula 3 9 2 4 3" xfId="32342"/>
    <cellStyle name="Vírgula 3 9 2 5" xfId="18748"/>
    <cellStyle name="Vírgula 3 9 2 5 2" xfId="44987"/>
    <cellStyle name="Vírgula 3 9 2 6" xfId="12485"/>
    <cellStyle name="Vírgula 3 9 2 6 2" xfId="38727"/>
    <cellStyle name="Vírgula 3 9 2 7" xfId="30645"/>
    <cellStyle name="Vírgula 3 9 3" xfId="4504"/>
    <cellStyle name="Vírgula 3 9 3 2" xfId="7906"/>
    <cellStyle name="Vírgula 3 9 3 2 2" xfId="10935"/>
    <cellStyle name="Vírgula 3 9 3 2 2 2" xfId="29149"/>
    <cellStyle name="Vírgula 3 9 3 2 2 2 2" xfId="55379"/>
    <cellStyle name="Vírgula 3 9 3 2 2 3" xfId="23235"/>
    <cellStyle name="Vírgula 3 9 3 2 2 3 2" xfId="49471"/>
    <cellStyle name="Vírgula 3 9 3 2 2 4" xfId="17321"/>
    <cellStyle name="Vírgula 3 9 3 2 2 4 2" xfId="43563"/>
    <cellStyle name="Vírgula 3 9 3 2 2 5" xfId="37177"/>
    <cellStyle name="Vírgula 3 9 3 2 3" xfId="26192"/>
    <cellStyle name="Vírgula 3 9 3 2 3 2" xfId="52425"/>
    <cellStyle name="Vírgula 3 9 3 2 4" xfId="20278"/>
    <cellStyle name="Vírgula 3 9 3 2 4 2" xfId="46517"/>
    <cellStyle name="Vírgula 3 9 3 2 5" xfId="14295"/>
    <cellStyle name="Vírgula 3 9 3 2 5 2" xfId="40537"/>
    <cellStyle name="Vírgula 3 9 3 2 6" xfId="34151"/>
    <cellStyle name="Vírgula 3 9 3 3" xfId="9467"/>
    <cellStyle name="Vírgula 3 9 3 3 2" xfId="27681"/>
    <cellStyle name="Vírgula 3 9 3 3 2 2" xfId="53911"/>
    <cellStyle name="Vírgula 3 9 3 3 3" xfId="21767"/>
    <cellStyle name="Vírgula 3 9 3 3 3 2" xfId="48003"/>
    <cellStyle name="Vírgula 3 9 3 3 4" xfId="15853"/>
    <cellStyle name="Vírgula 3 9 3 3 4 2" xfId="42095"/>
    <cellStyle name="Vírgula 3 9 3 3 5" xfId="35709"/>
    <cellStyle name="Vírgula 3 9 3 4" xfId="6205"/>
    <cellStyle name="Vírgula 3 9 3 4 2" xfId="24724"/>
    <cellStyle name="Vírgula 3 9 3 4 2 2" xfId="50957"/>
    <cellStyle name="Vírgula 3 9 3 4 3" xfId="32450"/>
    <cellStyle name="Vírgula 3 9 3 5" xfId="18810"/>
    <cellStyle name="Vírgula 3 9 3 5 2" xfId="45049"/>
    <cellStyle name="Vírgula 3 9 3 6" xfId="12594"/>
    <cellStyle name="Vírgula 3 9 3 6 2" xfId="38836"/>
    <cellStyle name="Vírgula 3 9 3 7" xfId="30753"/>
    <cellStyle name="Vírgula 3 9 4" xfId="4612"/>
    <cellStyle name="Vírgula 3 9 4 2" xfId="8014"/>
    <cellStyle name="Vírgula 3 9 4 2 2" xfId="10997"/>
    <cellStyle name="Vírgula 3 9 4 2 2 2" xfId="29211"/>
    <cellStyle name="Vírgula 3 9 4 2 2 2 2" xfId="55441"/>
    <cellStyle name="Vírgula 3 9 4 2 2 3" xfId="23297"/>
    <cellStyle name="Vírgula 3 9 4 2 2 3 2" xfId="49533"/>
    <cellStyle name="Vírgula 3 9 4 2 2 4" xfId="17383"/>
    <cellStyle name="Vírgula 3 9 4 2 2 4 2" xfId="43625"/>
    <cellStyle name="Vírgula 3 9 4 2 2 5" xfId="37239"/>
    <cellStyle name="Vírgula 3 9 4 2 3" xfId="26254"/>
    <cellStyle name="Vírgula 3 9 4 2 3 2" xfId="52487"/>
    <cellStyle name="Vírgula 3 9 4 2 4" xfId="20340"/>
    <cellStyle name="Vírgula 3 9 4 2 4 2" xfId="46579"/>
    <cellStyle name="Vírgula 3 9 4 2 5" xfId="14403"/>
    <cellStyle name="Vírgula 3 9 4 2 5 2" xfId="40645"/>
    <cellStyle name="Vírgula 3 9 4 2 6" xfId="34259"/>
    <cellStyle name="Vírgula 3 9 4 3" xfId="9529"/>
    <cellStyle name="Vírgula 3 9 4 3 2" xfId="27743"/>
    <cellStyle name="Vírgula 3 9 4 3 2 2" xfId="53973"/>
    <cellStyle name="Vírgula 3 9 4 3 3" xfId="21829"/>
    <cellStyle name="Vírgula 3 9 4 3 3 2" xfId="48065"/>
    <cellStyle name="Vírgula 3 9 4 3 4" xfId="15915"/>
    <cellStyle name="Vírgula 3 9 4 3 4 2" xfId="42157"/>
    <cellStyle name="Vírgula 3 9 4 3 5" xfId="35771"/>
    <cellStyle name="Vírgula 3 9 4 4" xfId="6313"/>
    <cellStyle name="Vírgula 3 9 4 4 2" xfId="24786"/>
    <cellStyle name="Vírgula 3 9 4 4 2 2" xfId="51019"/>
    <cellStyle name="Vírgula 3 9 4 4 3" xfId="32558"/>
    <cellStyle name="Vírgula 3 9 4 5" xfId="18872"/>
    <cellStyle name="Vírgula 3 9 4 5 2" xfId="45111"/>
    <cellStyle name="Vírgula 3 9 4 6" xfId="12702"/>
    <cellStyle name="Vírgula 3 9 4 6 2" xfId="38944"/>
    <cellStyle name="Vírgula 3 9 4 7" xfId="30861"/>
    <cellStyle name="Vírgula 3 9 5" xfId="5823"/>
    <cellStyle name="Vírgula 3 9 5 2" xfId="7522"/>
    <cellStyle name="Vírgula 3 9 5 2 2" xfId="10666"/>
    <cellStyle name="Vírgula 3 9 5 2 2 2" xfId="28880"/>
    <cellStyle name="Vírgula 3 9 5 2 2 2 2" xfId="55110"/>
    <cellStyle name="Vírgula 3 9 5 2 2 3" xfId="22966"/>
    <cellStyle name="Vírgula 3 9 5 2 2 3 2" xfId="49202"/>
    <cellStyle name="Vírgula 3 9 5 2 2 4" xfId="17052"/>
    <cellStyle name="Vírgula 3 9 5 2 2 4 2" xfId="43294"/>
    <cellStyle name="Vírgula 3 9 5 2 2 5" xfId="36908"/>
    <cellStyle name="Vírgula 3 9 5 2 3" xfId="25923"/>
    <cellStyle name="Vírgula 3 9 5 2 3 2" xfId="52156"/>
    <cellStyle name="Vírgula 3 9 5 2 4" xfId="20009"/>
    <cellStyle name="Vírgula 3 9 5 2 4 2" xfId="46248"/>
    <cellStyle name="Vírgula 3 9 5 2 5" xfId="13911"/>
    <cellStyle name="Vírgula 3 9 5 2 5 2" xfId="40153"/>
    <cellStyle name="Vírgula 3 9 5 2 6" xfId="33767"/>
    <cellStyle name="Vírgula 3 9 5 3" xfId="9198"/>
    <cellStyle name="Vírgula 3 9 5 3 2" xfId="27412"/>
    <cellStyle name="Vírgula 3 9 5 3 2 2" xfId="53642"/>
    <cellStyle name="Vírgula 3 9 5 3 3" xfId="21498"/>
    <cellStyle name="Vírgula 3 9 5 3 3 2" xfId="47734"/>
    <cellStyle name="Vírgula 3 9 5 3 4" xfId="15584"/>
    <cellStyle name="Vírgula 3 9 5 3 4 2" xfId="41826"/>
    <cellStyle name="Vírgula 3 9 5 3 5" xfId="35440"/>
    <cellStyle name="Vírgula 3 9 5 4" xfId="24455"/>
    <cellStyle name="Vírgula 3 9 5 4 2" xfId="50688"/>
    <cellStyle name="Vírgula 3 9 5 5" xfId="18541"/>
    <cellStyle name="Vírgula 3 9 5 5 2" xfId="44780"/>
    <cellStyle name="Vírgula 3 9 5 6" xfId="12210"/>
    <cellStyle name="Vírgula 3 9 5 6 2" xfId="38452"/>
    <cellStyle name="Vírgula 3 9 5 7" xfId="32068"/>
    <cellStyle name="Vírgula 3 9 6" xfId="6422"/>
    <cellStyle name="Vírgula 3 9 6 2" xfId="9591"/>
    <cellStyle name="Vírgula 3 9 6 2 2" xfId="27805"/>
    <cellStyle name="Vírgula 3 9 6 2 2 2" xfId="54035"/>
    <cellStyle name="Vírgula 3 9 6 2 3" xfId="21891"/>
    <cellStyle name="Vírgula 3 9 6 2 3 2" xfId="48127"/>
    <cellStyle name="Vírgula 3 9 6 2 4" xfId="15977"/>
    <cellStyle name="Vírgula 3 9 6 2 4 2" xfId="42219"/>
    <cellStyle name="Vírgula 3 9 6 2 5" xfId="35833"/>
    <cellStyle name="Vírgula 3 9 6 3" xfId="24848"/>
    <cellStyle name="Vírgula 3 9 6 3 2" xfId="51081"/>
    <cellStyle name="Vírgula 3 9 6 4" xfId="18934"/>
    <cellStyle name="Vírgula 3 9 6 4 2" xfId="45173"/>
    <cellStyle name="Vírgula 3 9 6 5" xfId="12811"/>
    <cellStyle name="Vírgula 3 9 6 5 2" xfId="39053"/>
    <cellStyle name="Vírgula 3 9 6 6" xfId="32667"/>
    <cellStyle name="Vírgula 3 9 7" xfId="8120"/>
    <cellStyle name="Vírgula 3 9 7 2" xfId="26334"/>
    <cellStyle name="Vírgula 3 9 7 2 2" xfId="52567"/>
    <cellStyle name="Vírgula 3 9 7 3" xfId="20420"/>
    <cellStyle name="Vírgula 3 9 7 3 2" xfId="46659"/>
    <cellStyle name="Vírgula 3 9 7 4" xfId="14509"/>
    <cellStyle name="Vírgula 3 9 7 4 2" xfId="40751"/>
    <cellStyle name="Vírgula 3 9 7 5" xfId="34365"/>
    <cellStyle name="Vírgula 3 9 8" xfId="4719"/>
    <cellStyle name="Vírgula 3 9 8 2" xfId="23377"/>
    <cellStyle name="Vírgula 3 9 8 2 2" xfId="49613"/>
    <cellStyle name="Vírgula 3 9 8 3" xfId="30968"/>
    <cellStyle name="Vírgula 3 9 9" xfId="17463"/>
    <cellStyle name="Vírgula 3 9 9 2" xfId="43705"/>
    <cellStyle name="Vírgula 4" xfId="14"/>
    <cellStyle name="Vírgula 4 10" xfId="4256"/>
    <cellStyle name="Vírgula 4 10 2" xfId="7656"/>
    <cellStyle name="Vírgula 4 10 2 2" xfId="10793"/>
    <cellStyle name="Vírgula 4 10 2 2 2" xfId="29007"/>
    <cellStyle name="Vírgula 4 10 2 2 2 2" xfId="55237"/>
    <cellStyle name="Vírgula 4 10 2 2 3" xfId="23093"/>
    <cellStyle name="Vírgula 4 10 2 2 3 2" xfId="49329"/>
    <cellStyle name="Vírgula 4 10 2 2 4" xfId="17179"/>
    <cellStyle name="Vírgula 4 10 2 2 4 2" xfId="43421"/>
    <cellStyle name="Vírgula 4 10 2 2 5" xfId="37035"/>
    <cellStyle name="Vírgula 4 10 2 3" xfId="26050"/>
    <cellStyle name="Vírgula 4 10 2 3 2" xfId="52283"/>
    <cellStyle name="Vírgula 4 10 2 4" xfId="20136"/>
    <cellStyle name="Vírgula 4 10 2 4 2" xfId="46375"/>
    <cellStyle name="Vírgula 4 10 2 5" xfId="14045"/>
    <cellStyle name="Vírgula 4 10 2 5 2" xfId="40287"/>
    <cellStyle name="Vírgula 4 10 2 6" xfId="33901"/>
    <cellStyle name="Vírgula 4 10 3" xfId="9325"/>
    <cellStyle name="Vírgula 4 10 3 2" xfId="27539"/>
    <cellStyle name="Vírgula 4 10 3 2 2" xfId="53769"/>
    <cellStyle name="Vírgula 4 10 3 3" xfId="21625"/>
    <cellStyle name="Vírgula 4 10 3 3 2" xfId="47861"/>
    <cellStyle name="Vírgula 4 10 3 4" xfId="15711"/>
    <cellStyle name="Vírgula 4 10 3 4 2" xfId="41953"/>
    <cellStyle name="Vírgula 4 10 3 5" xfId="35567"/>
    <cellStyle name="Vírgula 4 10 4" xfId="5957"/>
    <cellStyle name="Vírgula 4 10 4 2" xfId="24582"/>
    <cellStyle name="Vírgula 4 10 4 2 2" xfId="50815"/>
    <cellStyle name="Vírgula 4 10 4 3" xfId="32202"/>
    <cellStyle name="Vírgula 4 10 5" xfId="18668"/>
    <cellStyle name="Vírgula 4 10 5 2" xfId="44907"/>
    <cellStyle name="Vírgula 4 10 6" xfId="12344"/>
    <cellStyle name="Vírgula 4 10 6 2" xfId="38586"/>
    <cellStyle name="Vírgula 4 10 7" xfId="30505"/>
    <cellStyle name="Vírgula 4 11" xfId="4332"/>
    <cellStyle name="Vírgula 4 11 2" xfId="7733"/>
    <cellStyle name="Vírgula 4 11 2 2" xfId="10836"/>
    <cellStyle name="Vírgula 4 11 2 2 2" xfId="29050"/>
    <cellStyle name="Vírgula 4 11 2 2 2 2" xfId="55280"/>
    <cellStyle name="Vírgula 4 11 2 2 3" xfId="23136"/>
    <cellStyle name="Vírgula 4 11 2 2 3 2" xfId="49372"/>
    <cellStyle name="Vírgula 4 11 2 2 4" xfId="17222"/>
    <cellStyle name="Vírgula 4 11 2 2 4 2" xfId="43464"/>
    <cellStyle name="Vírgula 4 11 2 2 5" xfId="37078"/>
    <cellStyle name="Vírgula 4 11 2 3" xfId="26093"/>
    <cellStyle name="Vírgula 4 11 2 3 2" xfId="52326"/>
    <cellStyle name="Vírgula 4 11 2 4" xfId="20179"/>
    <cellStyle name="Vírgula 4 11 2 4 2" xfId="46418"/>
    <cellStyle name="Vírgula 4 11 2 5" xfId="14122"/>
    <cellStyle name="Vírgula 4 11 2 5 2" xfId="40364"/>
    <cellStyle name="Vírgula 4 11 2 6" xfId="33978"/>
    <cellStyle name="Vírgula 4 11 3" xfId="9368"/>
    <cellStyle name="Vírgula 4 11 3 2" xfId="27582"/>
    <cellStyle name="Vírgula 4 11 3 2 2" xfId="53812"/>
    <cellStyle name="Vírgula 4 11 3 3" xfId="21668"/>
    <cellStyle name="Vírgula 4 11 3 3 2" xfId="47904"/>
    <cellStyle name="Vírgula 4 11 3 4" xfId="15754"/>
    <cellStyle name="Vírgula 4 11 3 4 2" xfId="41996"/>
    <cellStyle name="Vírgula 4 11 3 5" xfId="35610"/>
    <cellStyle name="Vírgula 4 11 4" xfId="6033"/>
    <cellStyle name="Vírgula 4 11 4 2" xfId="24625"/>
    <cellStyle name="Vírgula 4 11 4 2 2" xfId="50858"/>
    <cellStyle name="Vírgula 4 11 4 3" xfId="32278"/>
    <cellStyle name="Vírgula 4 11 5" xfId="18711"/>
    <cellStyle name="Vírgula 4 11 5 2" xfId="44950"/>
    <cellStyle name="Vírgula 4 11 6" xfId="12421"/>
    <cellStyle name="Vírgula 4 11 6 2" xfId="38663"/>
    <cellStyle name="Vírgula 4 11 7" xfId="30581"/>
    <cellStyle name="Vírgula 4 12" xfId="4440"/>
    <cellStyle name="Vírgula 4 12 2" xfId="7842"/>
    <cellStyle name="Vírgula 4 12 2 2" xfId="10898"/>
    <cellStyle name="Vírgula 4 12 2 2 2" xfId="29112"/>
    <cellStyle name="Vírgula 4 12 2 2 2 2" xfId="55342"/>
    <cellStyle name="Vírgula 4 12 2 2 3" xfId="23198"/>
    <cellStyle name="Vírgula 4 12 2 2 3 2" xfId="49434"/>
    <cellStyle name="Vírgula 4 12 2 2 4" xfId="17284"/>
    <cellStyle name="Vírgula 4 12 2 2 4 2" xfId="43526"/>
    <cellStyle name="Vírgula 4 12 2 2 5" xfId="37140"/>
    <cellStyle name="Vírgula 4 12 2 3" xfId="26155"/>
    <cellStyle name="Vírgula 4 12 2 3 2" xfId="52388"/>
    <cellStyle name="Vírgula 4 12 2 4" xfId="20241"/>
    <cellStyle name="Vírgula 4 12 2 4 2" xfId="46480"/>
    <cellStyle name="Vírgula 4 12 2 5" xfId="14231"/>
    <cellStyle name="Vírgula 4 12 2 5 2" xfId="40473"/>
    <cellStyle name="Vírgula 4 12 2 6" xfId="34087"/>
    <cellStyle name="Vírgula 4 12 3" xfId="9430"/>
    <cellStyle name="Vírgula 4 12 3 2" xfId="27644"/>
    <cellStyle name="Vírgula 4 12 3 2 2" xfId="53874"/>
    <cellStyle name="Vírgula 4 12 3 3" xfId="21730"/>
    <cellStyle name="Vírgula 4 12 3 3 2" xfId="47966"/>
    <cellStyle name="Vírgula 4 12 3 4" xfId="15816"/>
    <cellStyle name="Vírgula 4 12 3 4 2" xfId="42058"/>
    <cellStyle name="Vírgula 4 12 3 5" xfId="35672"/>
    <cellStyle name="Vírgula 4 12 4" xfId="6142"/>
    <cellStyle name="Vírgula 4 12 4 2" xfId="24687"/>
    <cellStyle name="Vírgula 4 12 4 2 2" xfId="50920"/>
    <cellStyle name="Vírgula 4 12 4 3" xfId="32387"/>
    <cellStyle name="Vírgula 4 12 5" xfId="18773"/>
    <cellStyle name="Vírgula 4 12 5 2" xfId="45012"/>
    <cellStyle name="Vírgula 4 12 6" xfId="12530"/>
    <cellStyle name="Vírgula 4 12 6 2" xfId="38772"/>
    <cellStyle name="Vírgula 4 12 7" xfId="30689"/>
    <cellStyle name="Vírgula 4 13" xfId="4548"/>
    <cellStyle name="Vírgula 4 13 2" xfId="7950"/>
    <cellStyle name="Vírgula 4 13 2 2" xfId="10960"/>
    <cellStyle name="Vírgula 4 13 2 2 2" xfId="29174"/>
    <cellStyle name="Vírgula 4 13 2 2 2 2" xfId="55404"/>
    <cellStyle name="Vírgula 4 13 2 2 3" xfId="23260"/>
    <cellStyle name="Vírgula 4 13 2 2 3 2" xfId="49496"/>
    <cellStyle name="Vírgula 4 13 2 2 4" xfId="17346"/>
    <cellStyle name="Vírgula 4 13 2 2 4 2" xfId="43588"/>
    <cellStyle name="Vírgula 4 13 2 2 5" xfId="37202"/>
    <cellStyle name="Vírgula 4 13 2 3" xfId="26217"/>
    <cellStyle name="Vírgula 4 13 2 3 2" xfId="52450"/>
    <cellStyle name="Vírgula 4 13 2 4" xfId="20303"/>
    <cellStyle name="Vírgula 4 13 2 4 2" xfId="46542"/>
    <cellStyle name="Vírgula 4 13 2 5" xfId="14339"/>
    <cellStyle name="Vírgula 4 13 2 5 2" xfId="40581"/>
    <cellStyle name="Vírgula 4 13 2 6" xfId="34195"/>
    <cellStyle name="Vírgula 4 13 3" xfId="9492"/>
    <cellStyle name="Vírgula 4 13 3 2" xfId="27706"/>
    <cellStyle name="Vírgula 4 13 3 2 2" xfId="53936"/>
    <cellStyle name="Vírgula 4 13 3 3" xfId="21792"/>
    <cellStyle name="Vírgula 4 13 3 3 2" xfId="48028"/>
    <cellStyle name="Vírgula 4 13 3 4" xfId="15878"/>
    <cellStyle name="Vírgula 4 13 3 4 2" xfId="42120"/>
    <cellStyle name="Vírgula 4 13 3 5" xfId="35734"/>
    <cellStyle name="Vírgula 4 13 4" xfId="6249"/>
    <cellStyle name="Vírgula 4 13 4 2" xfId="24749"/>
    <cellStyle name="Vírgula 4 13 4 2 2" xfId="50982"/>
    <cellStyle name="Vírgula 4 13 4 3" xfId="32494"/>
    <cellStyle name="Vírgula 4 13 5" xfId="18835"/>
    <cellStyle name="Vírgula 4 13 5 2" xfId="45074"/>
    <cellStyle name="Vírgula 4 13 6" xfId="12638"/>
    <cellStyle name="Vírgula 4 13 6 2" xfId="38880"/>
    <cellStyle name="Vírgula 4 13 7" xfId="30797"/>
    <cellStyle name="Vírgula 4 14" xfId="4750"/>
    <cellStyle name="Vírgula 4 14 2" xfId="6453"/>
    <cellStyle name="Vírgula 4 14 2 2" xfId="9609"/>
    <cellStyle name="Vírgula 4 14 2 2 2" xfId="27823"/>
    <cellStyle name="Vírgula 4 14 2 2 2 2" xfId="54053"/>
    <cellStyle name="Vírgula 4 14 2 2 3" xfId="21909"/>
    <cellStyle name="Vírgula 4 14 2 2 3 2" xfId="48145"/>
    <cellStyle name="Vírgula 4 14 2 2 4" xfId="15995"/>
    <cellStyle name="Vírgula 4 14 2 2 4 2" xfId="42237"/>
    <cellStyle name="Vírgula 4 14 2 2 5" xfId="35851"/>
    <cellStyle name="Vírgula 4 14 2 3" xfId="24866"/>
    <cellStyle name="Vírgula 4 14 2 3 2" xfId="51099"/>
    <cellStyle name="Vírgula 4 14 2 4" xfId="18952"/>
    <cellStyle name="Vírgula 4 14 2 4 2" xfId="45191"/>
    <cellStyle name="Vírgula 4 14 2 5" xfId="12842"/>
    <cellStyle name="Vírgula 4 14 2 5 2" xfId="39084"/>
    <cellStyle name="Vírgula 4 14 2 6" xfId="32698"/>
    <cellStyle name="Vírgula 4 14 3" xfId="8138"/>
    <cellStyle name="Vírgula 4 14 3 2" xfId="26352"/>
    <cellStyle name="Vírgula 4 14 3 2 2" xfId="52585"/>
    <cellStyle name="Vírgula 4 14 3 3" xfId="20438"/>
    <cellStyle name="Vírgula 4 14 3 3 2" xfId="46677"/>
    <cellStyle name="Vírgula 4 14 3 4" xfId="14527"/>
    <cellStyle name="Vírgula 4 14 3 4 2" xfId="40769"/>
    <cellStyle name="Vírgula 4 14 3 5" xfId="34383"/>
    <cellStyle name="Vírgula 4 14 4" xfId="23395"/>
    <cellStyle name="Vírgula 4 14 4 2" xfId="49631"/>
    <cellStyle name="Vírgula 4 14 5" xfId="17481"/>
    <cellStyle name="Vírgula 4 14 5 2" xfId="43723"/>
    <cellStyle name="Vírgula 4 14 6" xfId="11141"/>
    <cellStyle name="Vírgula 4 14 6 2" xfId="37383"/>
    <cellStyle name="Vírgula 4 14 7" xfId="30999"/>
    <cellStyle name="Vírgula 4 15" xfId="6358"/>
    <cellStyle name="Vírgula 4 15 2" xfId="9554"/>
    <cellStyle name="Vírgula 4 15 2 2" xfId="27768"/>
    <cellStyle name="Vírgula 4 15 2 2 2" xfId="53998"/>
    <cellStyle name="Vírgula 4 15 2 3" xfId="21854"/>
    <cellStyle name="Vírgula 4 15 2 3 2" xfId="48090"/>
    <cellStyle name="Vírgula 4 15 2 4" xfId="15940"/>
    <cellStyle name="Vírgula 4 15 2 4 2" xfId="42182"/>
    <cellStyle name="Vírgula 4 15 2 5" xfId="35796"/>
    <cellStyle name="Vírgula 4 15 3" xfId="24811"/>
    <cellStyle name="Vírgula 4 15 3 2" xfId="51044"/>
    <cellStyle name="Vírgula 4 15 4" xfId="18897"/>
    <cellStyle name="Vírgula 4 15 4 2" xfId="45136"/>
    <cellStyle name="Vírgula 4 15 5" xfId="12747"/>
    <cellStyle name="Vírgula 4 15 5 2" xfId="38989"/>
    <cellStyle name="Vírgula 4 15 6" xfId="32603"/>
    <cellStyle name="Vírgula 4 16" xfId="8050"/>
    <cellStyle name="Vírgula 4 16 2" xfId="11018"/>
    <cellStyle name="Vírgula 4 16 2 2" xfId="29232"/>
    <cellStyle name="Vírgula 4 16 2 2 2" xfId="55462"/>
    <cellStyle name="Vírgula 4 16 2 3" xfId="23318"/>
    <cellStyle name="Vírgula 4 16 2 3 2" xfId="49554"/>
    <cellStyle name="Vírgula 4 16 2 4" xfId="17404"/>
    <cellStyle name="Vírgula 4 16 2 4 2" xfId="43646"/>
    <cellStyle name="Vírgula 4 16 2 5" xfId="37260"/>
    <cellStyle name="Vírgula 4 16 3" xfId="26275"/>
    <cellStyle name="Vírgula 4 16 3 2" xfId="52508"/>
    <cellStyle name="Vírgula 4 16 4" xfId="20361"/>
    <cellStyle name="Vírgula 4 16 4 2" xfId="46600"/>
    <cellStyle name="Vírgula 4 16 5" xfId="14439"/>
    <cellStyle name="Vírgula 4 16 5 2" xfId="40681"/>
    <cellStyle name="Vírgula 4 16 6" xfId="34295"/>
    <cellStyle name="Vírgula 4 17" xfId="8083"/>
    <cellStyle name="Vírgula 4 17 2" xfId="26297"/>
    <cellStyle name="Vírgula 4 17 2 2" xfId="52530"/>
    <cellStyle name="Vírgula 4 17 3" xfId="20383"/>
    <cellStyle name="Vírgula 4 17 3 2" xfId="46622"/>
    <cellStyle name="Vírgula 4 17 4" xfId="14472"/>
    <cellStyle name="Vírgula 4 17 4 2" xfId="40714"/>
    <cellStyle name="Vírgula 4 17 5" xfId="34328"/>
    <cellStyle name="Vírgula 4 18" xfId="4656"/>
    <cellStyle name="Vírgula 4 18 2" xfId="23340"/>
    <cellStyle name="Vírgula 4 18 2 2" xfId="49576"/>
    <cellStyle name="Vírgula 4 18 3" xfId="30905"/>
    <cellStyle name="Vírgula 4 19" xfId="17426"/>
    <cellStyle name="Vírgula 4 19 2" xfId="43668"/>
    <cellStyle name="Vírgula 4 2" xfId="40"/>
    <cellStyle name="Vírgula 4 2 10" xfId="8092"/>
    <cellStyle name="Vírgula 4 2 10 2" xfId="26306"/>
    <cellStyle name="Vírgula 4 2 10 2 2" xfId="52539"/>
    <cellStyle name="Vírgula 4 2 10 3" xfId="20392"/>
    <cellStyle name="Vírgula 4 2 10 3 2" xfId="46631"/>
    <cellStyle name="Vírgula 4 2 10 4" xfId="14481"/>
    <cellStyle name="Vírgula 4 2 10 4 2" xfId="40723"/>
    <cellStyle name="Vírgula 4 2 10 5" xfId="34337"/>
    <cellStyle name="Vírgula 4 2 11" xfId="4671"/>
    <cellStyle name="Vírgula 4 2 11 2" xfId="23349"/>
    <cellStyle name="Vírgula 4 2 11 2 2" xfId="49585"/>
    <cellStyle name="Vírgula 4 2 11 3" xfId="30920"/>
    <cellStyle name="Vírgula 4 2 12" xfId="17435"/>
    <cellStyle name="Vírgula 4 2 12 2" xfId="43677"/>
    <cellStyle name="Vírgula 4 2 13" xfId="11062"/>
    <cellStyle name="Vírgula 4 2 13 2" xfId="37304"/>
    <cellStyle name="Vírgula 4 2 14" xfId="255"/>
    <cellStyle name="Vírgula 4 2 14 2" xfId="29361"/>
    <cellStyle name="Vírgula 4 2 15" xfId="29286"/>
    <cellStyle name="Vírgula 4 2 2" xfId="4306"/>
    <cellStyle name="Vírgula 4 2 2 10" xfId="11097"/>
    <cellStyle name="Vírgula 4 2 2 10 2" xfId="37339"/>
    <cellStyle name="Vírgula 4 2 2 11" xfId="30555"/>
    <cellStyle name="Vírgula 4 2 2 2" xfId="4383"/>
    <cellStyle name="Vírgula 4 2 2 2 2" xfId="7784"/>
    <cellStyle name="Vírgula 4 2 2 2 2 2" xfId="10865"/>
    <cellStyle name="Vírgula 4 2 2 2 2 2 2" xfId="29079"/>
    <cellStyle name="Vírgula 4 2 2 2 2 2 2 2" xfId="55309"/>
    <cellStyle name="Vírgula 4 2 2 2 2 2 3" xfId="23165"/>
    <cellStyle name="Vírgula 4 2 2 2 2 2 3 2" xfId="49401"/>
    <cellStyle name="Vírgula 4 2 2 2 2 2 4" xfId="17251"/>
    <cellStyle name="Vírgula 4 2 2 2 2 2 4 2" xfId="43493"/>
    <cellStyle name="Vírgula 4 2 2 2 2 2 5" xfId="37107"/>
    <cellStyle name="Vírgula 4 2 2 2 2 3" xfId="26122"/>
    <cellStyle name="Vírgula 4 2 2 2 2 3 2" xfId="52355"/>
    <cellStyle name="Vírgula 4 2 2 2 2 4" xfId="20208"/>
    <cellStyle name="Vírgula 4 2 2 2 2 4 2" xfId="46447"/>
    <cellStyle name="Vírgula 4 2 2 2 2 5" xfId="14173"/>
    <cellStyle name="Vírgula 4 2 2 2 2 5 2" xfId="40415"/>
    <cellStyle name="Vírgula 4 2 2 2 2 6" xfId="34029"/>
    <cellStyle name="Vírgula 4 2 2 2 3" xfId="9397"/>
    <cellStyle name="Vírgula 4 2 2 2 3 2" xfId="27611"/>
    <cellStyle name="Vírgula 4 2 2 2 3 2 2" xfId="53841"/>
    <cellStyle name="Vírgula 4 2 2 2 3 3" xfId="21697"/>
    <cellStyle name="Vírgula 4 2 2 2 3 3 2" xfId="47933"/>
    <cellStyle name="Vírgula 4 2 2 2 3 4" xfId="15783"/>
    <cellStyle name="Vírgula 4 2 2 2 3 4 2" xfId="42025"/>
    <cellStyle name="Vírgula 4 2 2 2 3 5" xfId="35639"/>
    <cellStyle name="Vírgula 4 2 2 2 4" xfId="6084"/>
    <cellStyle name="Vírgula 4 2 2 2 4 2" xfId="24654"/>
    <cellStyle name="Vírgula 4 2 2 2 4 2 2" xfId="50887"/>
    <cellStyle name="Vírgula 4 2 2 2 4 3" xfId="32329"/>
    <cellStyle name="Vírgula 4 2 2 2 5" xfId="18740"/>
    <cellStyle name="Vírgula 4 2 2 2 5 2" xfId="44979"/>
    <cellStyle name="Vírgula 4 2 2 2 6" xfId="12472"/>
    <cellStyle name="Vírgula 4 2 2 2 6 2" xfId="38714"/>
    <cellStyle name="Vírgula 4 2 2 2 7" xfId="30632"/>
    <cellStyle name="Vírgula 4 2 2 3" xfId="4491"/>
    <cellStyle name="Vírgula 4 2 2 3 2" xfId="7893"/>
    <cellStyle name="Vírgula 4 2 2 3 2 2" xfId="10927"/>
    <cellStyle name="Vírgula 4 2 2 3 2 2 2" xfId="29141"/>
    <cellStyle name="Vírgula 4 2 2 3 2 2 2 2" xfId="55371"/>
    <cellStyle name="Vírgula 4 2 2 3 2 2 3" xfId="23227"/>
    <cellStyle name="Vírgula 4 2 2 3 2 2 3 2" xfId="49463"/>
    <cellStyle name="Vírgula 4 2 2 3 2 2 4" xfId="17313"/>
    <cellStyle name="Vírgula 4 2 2 3 2 2 4 2" xfId="43555"/>
    <cellStyle name="Vírgula 4 2 2 3 2 2 5" xfId="37169"/>
    <cellStyle name="Vírgula 4 2 2 3 2 3" xfId="26184"/>
    <cellStyle name="Vírgula 4 2 2 3 2 3 2" xfId="52417"/>
    <cellStyle name="Vírgula 4 2 2 3 2 4" xfId="20270"/>
    <cellStyle name="Vírgula 4 2 2 3 2 4 2" xfId="46509"/>
    <cellStyle name="Vírgula 4 2 2 3 2 5" xfId="14282"/>
    <cellStyle name="Vírgula 4 2 2 3 2 5 2" xfId="40524"/>
    <cellStyle name="Vírgula 4 2 2 3 2 6" xfId="34138"/>
    <cellStyle name="Vírgula 4 2 2 3 3" xfId="9459"/>
    <cellStyle name="Vírgula 4 2 2 3 3 2" xfId="27673"/>
    <cellStyle name="Vírgula 4 2 2 3 3 2 2" xfId="53903"/>
    <cellStyle name="Vírgula 4 2 2 3 3 3" xfId="21759"/>
    <cellStyle name="Vírgula 4 2 2 3 3 3 2" xfId="47995"/>
    <cellStyle name="Vírgula 4 2 2 3 3 4" xfId="15845"/>
    <cellStyle name="Vírgula 4 2 2 3 3 4 2" xfId="42087"/>
    <cellStyle name="Vírgula 4 2 2 3 3 5" xfId="35701"/>
    <cellStyle name="Vírgula 4 2 2 3 4" xfId="6193"/>
    <cellStyle name="Vírgula 4 2 2 3 4 2" xfId="24716"/>
    <cellStyle name="Vírgula 4 2 2 3 4 2 2" xfId="50949"/>
    <cellStyle name="Vírgula 4 2 2 3 4 3" xfId="32438"/>
    <cellStyle name="Vírgula 4 2 2 3 5" xfId="18802"/>
    <cellStyle name="Vírgula 4 2 2 3 5 2" xfId="45041"/>
    <cellStyle name="Vírgula 4 2 2 3 6" xfId="12581"/>
    <cellStyle name="Vírgula 4 2 2 3 6 2" xfId="38823"/>
    <cellStyle name="Vírgula 4 2 2 3 7" xfId="30740"/>
    <cellStyle name="Vírgula 4 2 2 4" xfId="4599"/>
    <cellStyle name="Vírgula 4 2 2 4 2" xfId="8001"/>
    <cellStyle name="Vírgula 4 2 2 4 2 2" xfId="10989"/>
    <cellStyle name="Vírgula 4 2 2 4 2 2 2" xfId="29203"/>
    <cellStyle name="Vírgula 4 2 2 4 2 2 2 2" xfId="55433"/>
    <cellStyle name="Vírgula 4 2 2 4 2 2 3" xfId="23289"/>
    <cellStyle name="Vírgula 4 2 2 4 2 2 3 2" xfId="49525"/>
    <cellStyle name="Vírgula 4 2 2 4 2 2 4" xfId="17375"/>
    <cellStyle name="Vírgula 4 2 2 4 2 2 4 2" xfId="43617"/>
    <cellStyle name="Vírgula 4 2 2 4 2 2 5" xfId="37231"/>
    <cellStyle name="Vírgula 4 2 2 4 2 3" xfId="26246"/>
    <cellStyle name="Vírgula 4 2 2 4 2 3 2" xfId="52479"/>
    <cellStyle name="Vírgula 4 2 2 4 2 4" xfId="20332"/>
    <cellStyle name="Vírgula 4 2 2 4 2 4 2" xfId="46571"/>
    <cellStyle name="Vírgula 4 2 2 4 2 5" xfId="14390"/>
    <cellStyle name="Vírgula 4 2 2 4 2 5 2" xfId="40632"/>
    <cellStyle name="Vírgula 4 2 2 4 2 6" xfId="34246"/>
    <cellStyle name="Vírgula 4 2 2 4 3" xfId="9521"/>
    <cellStyle name="Vírgula 4 2 2 4 3 2" xfId="27735"/>
    <cellStyle name="Vírgula 4 2 2 4 3 2 2" xfId="53965"/>
    <cellStyle name="Vírgula 4 2 2 4 3 3" xfId="21821"/>
    <cellStyle name="Vírgula 4 2 2 4 3 3 2" xfId="48057"/>
    <cellStyle name="Vírgula 4 2 2 4 3 4" xfId="15907"/>
    <cellStyle name="Vírgula 4 2 2 4 3 4 2" xfId="42149"/>
    <cellStyle name="Vírgula 4 2 2 4 3 5" xfId="35763"/>
    <cellStyle name="Vírgula 4 2 2 4 4" xfId="6300"/>
    <cellStyle name="Vírgula 4 2 2 4 4 2" xfId="24778"/>
    <cellStyle name="Vírgula 4 2 2 4 4 2 2" xfId="51011"/>
    <cellStyle name="Vírgula 4 2 2 4 4 3" xfId="32545"/>
    <cellStyle name="Vírgula 4 2 2 4 5" xfId="18864"/>
    <cellStyle name="Vírgula 4 2 2 4 5 2" xfId="45103"/>
    <cellStyle name="Vírgula 4 2 2 4 6" xfId="12689"/>
    <cellStyle name="Vírgula 4 2 2 4 6 2" xfId="38931"/>
    <cellStyle name="Vírgula 4 2 2 4 7" xfId="30848"/>
    <cellStyle name="Vírgula 4 2 2 5" xfId="6007"/>
    <cellStyle name="Vírgula 4 2 2 5 2" xfId="7707"/>
    <cellStyle name="Vírgula 4 2 2 5 2 2" xfId="10822"/>
    <cellStyle name="Vírgula 4 2 2 5 2 2 2" xfId="29036"/>
    <cellStyle name="Vírgula 4 2 2 5 2 2 2 2" xfId="55266"/>
    <cellStyle name="Vírgula 4 2 2 5 2 2 3" xfId="23122"/>
    <cellStyle name="Vírgula 4 2 2 5 2 2 3 2" xfId="49358"/>
    <cellStyle name="Vírgula 4 2 2 5 2 2 4" xfId="17208"/>
    <cellStyle name="Vírgula 4 2 2 5 2 2 4 2" xfId="43450"/>
    <cellStyle name="Vírgula 4 2 2 5 2 2 5" xfId="37064"/>
    <cellStyle name="Vírgula 4 2 2 5 2 3" xfId="26079"/>
    <cellStyle name="Vírgula 4 2 2 5 2 3 2" xfId="52312"/>
    <cellStyle name="Vírgula 4 2 2 5 2 4" xfId="20165"/>
    <cellStyle name="Vírgula 4 2 2 5 2 4 2" xfId="46404"/>
    <cellStyle name="Vírgula 4 2 2 5 2 5" xfId="14096"/>
    <cellStyle name="Vírgula 4 2 2 5 2 5 2" xfId="40338"/>
    <cellStyle name="Vírgula 4 2 2 5 2 6" xfId="33952"/>
    <cellStyle name="Vírgula 4 2 2 5 3" xfId="9354"/>
    <cellStyle name="Vírgula 4 2 2 5 3 2" xfId="27568"/>
    <cellStyle name="Vírgula 4 2 2 5 3 2 2" xfId="53798"/>
    <cellStyle name="Vírgula 4 2 2 5 3 3" xfId="21654"/>
    <cellStyle name="Vírgula 4 2 2 5 3 3 2" xfId="47890"/>
    <cellStyle name="Vírgula 4 2 2 5 3 4" xfId="15740"/>
    <cellStyle name="Vírgula 4 2 2 5 3 4 2" xfId="41982"/>
    <cellStyle name="Vírgula 4 2 2 5 3 5" xfId="35596"/>
    <cellStyle name="Vírgula 4 2 2 5 4" xfId="24611"/>
    <cellStyle name="Vírgula 4 2 2 5 4 2" xfId="50844"/>
    <cellStyle name="Vírgula 4 2 2 5 5" xfId="18697"/>
    <cellStyle name="Vírgula 4 2 2 5 5 2" xfId="44936"/>
    <cellStyle name="Vírgula 4 2 2 5 6" xfId="12395"/>
    <cellStyle name="Vírgula 4 2 2 5 6 2" xfId="38637"/>
    <cellStyle name="Vírgula 4 2 2 5 7" xfId="32252"/>
    <cellStyle name="Vírgula 4 2 2 6" xfId="6409"/>
    <cellStyle name="Vírgula 4 2 2 6 2" xfId="9583"/>
    <cellStyle name="Vírgula 4 2 2 6 2 2" xfId="27797"/>
    <cellStyle name="Vírgula 4 2 2 6 2 2 2" xfId="54027"/>
    <cellStyle name="Vírgula 4 2 2 6 2 3" xfId="21883"/>
    <cellStyle name="Vírgula 4 2 2 6 2 3 2" xfId="48119"/>
    <cellStyle name="Vírgula 4 2 2 6 2 4" xfId="15969"/>
    <cellStyle name="Vírgula 4 2 2 6 2 4 2" xfId="42211"/>
    <cellStyle name="Vírgula 4 2 2 6 2 5" xfId="35825"/>
    <cellStyle name="Vírgula 4 2 2 6 3" xfId="24840"/>
    <cellStyle name="Vírgula 4 2 2 6 3 2" xfId="51073"/>
    <cellStyle name="Vírgula 4 2 2 6 4" xfId="18926"/>
    <cellStyle name="Vírgula 4 2 2 6 4 2" xfId="45165"/>
    <cellStyle name="Vírgula 4 2 2 6 5" xfId="12798"/>
    <cellStyle name="Vírgula 4 2 2 6 5 2" xfId="39040"/>
    <cellStyle name="Vírgula 4 2 2 6 6" xfId="32654"/>
    <cellStyle name="Vírgula 4 2 2 7" xfId="8112"/>
    <cellStyle name="Vírgula 4 2 2 7 2" xfId="26326"/>
    <cellStyle name="Vírgula 4 2 2 7 2 2" xfId="52559"/>
    <cellStyle name="Vírgula 4 2 2 7 3" xfId="20412"/>
    <cellStyle name="Vírgula 4 2 2 7 3 2" xfId="46651"/>
    <cellStyle name="Vírgula 4 2 2 7 4" xfId="14501"/>
    <cellStyle name="Vírgula 4 2 2 7 4 2" xfId="40743"/>
    <cellStyle name="Vírgula 4 2 2 7 5" xfId="34357"/>
    <cellStyle name="Vírgula 4 2 2 8" xfId="4706"/>
    <cellStyle name="Vírgula 4 2 2 8 2" xfId="23369"/>
    <cellStyle name="Vírgula 4 2 2 8 2 2" xfId="49605"/>
    <cellStyle name="Vírgula 4 2 2 8 3" xfId="30955"/>
    <cellStyle name="Vírgula 4 2 2 9" xfId="17455"/>
    <cellStyle name="Vírgula 4 2 2 9 2" xfId="43697"/>
    <cellStyle name="Vírgula 4 2 3" xfId="4271"/>
    <cellStyle name="Vírgula 4 2 3 10" xfId="11130"/>
    <cellStyle name="Vírgula 4 2 3 10 2" xfId="37372"/>
    <cellStyle name="Vírgula 4 2 3 11" xfId="30520"/>
    <cellStyle name="Vírgula 4 2 3 2" xfId="4415"/>
    <cellStyle name="Vírgula 4 2 3 2 2" xfId="7817"/>
    <cellStyle name="Vírgula 4 2 3 2 2 2" xfId="10884"/>
    <cellStyle name="Vírgula 4 2 3 2 2 2 2" xfId="29098"/>
    <cellStyle name="Vírgula 4 2 3 2 2 2 2 2" xfId="55328"/>
    <cellStyle name="Vírgula 4 2 3 2 2 2 3" xfId="23184"/>
    <cellStyle name="Vírgula 4 2 3 2 2 2 3 2" xfId="49420"/>
    <cellStyle name="Vírgula 4 2 3 2 2 2 4" xfId="17270"/>
    <cellStyle name="Vírgula 4 2 3 2 2 2 4 2" xfId="43512"/>
    <cellStyle name="Vírgula 4 2 3 2 2 2 5" xfId="37126"/>
    <cellStyle name="Vírgula 4 2 3 2 2 3" xfId="26141"/>
    <cellStyle name="Vírgula 4 2 3 2 2 3 2" xfId="52374"/>
    <cellStyle name="Vírgula 4 2 3 2 2 4" xfId="20227"/>
    <cellStyle name="Vírgula 4 2 3 2 2 4 2" xfId="46466"/>
    <cellStyle name="Vírgula 4 2 3 2 2 5" xfId="14206"/>
    <cellStyle name="Vírgula 4 2 3 2 2 5 2" xfId="40448"/>
    <cellStyle name="Vírgula 4 2 3 2 2 6" xfId="34062"/>
    <cellStyle name="Vírgula 4 2 3 2 3" xfId="9416"/>
    <cellStyle name="Vírgula 4 2 3 2 3 2" xfId="27630"/>
    <cellStyle name="Vírgula 4 2 3 2 3 2 2" xfId="53860"/>
    <cellStyle name="Vírgula 4 2 3 2 3 3" xfId="21716"/>
    <cellStyle name="Vírgula 4 2 3 2 3 3 2" xfId="47952"/>
    <cellStyle name="Vírgula 4 2 3 2 3 4" xfId="15802"/>
    <cellStyle name="Vírgula 4 2 3 2 3 4 2" xfId="42044"/>
    <cellStyle name="Vírgula 4 2 3 2 3 5" xfId="35658"/>
    <cellStyle name="Vírgula 4 2 3 2 4" xfId="6117"/>
    <cellStyle name="Vírgula 4 2 3 2 4 2" xfId="24673"/>
    <cellStyle name="Vírgula 4 2 3 2 4 2 2" xfId="50906"/>
    <cellStyle name="Vírgula 4 2 3 2 4 3" xfId="32362"/>
    <cellStyle name="Vírgula 4 2 3 2 5" xfId="18759"/>
    <cellStyle name="Vírgula 4 2 3 2 5 2" xfId="44998"/>
    <cellStyle name="Vírgula 4 2 3 2 6" xfId="12505"/>
    <cellStyle name="Vírgula 4 2 3 2 6 2" xfId="38747"/>
    <cellStyle name="Vírgula 4 2 3 2 7" xfId="30664"/>
    <cellStyle name="Vírgula 4 2 3 3" xfId="4523"/>
    <cellStyle name="Vírgula 4 2 3 3 2" xfId="7925"/>
    <cellStyle name="Vírgula 4 2 3 3 2 2" xfId="10946"/>
    <cellStyle name="Vírgula 4 2 3 3 2 2 2" xfId="29160"/>
    <cellStyle name="Vírgula 4 2 3 3 2 2 2 2" xfId="55390"/>
    <cellStyle name="Vírgula 4 2 3 3 2 2 3" xfId="23246"/>
    <cellStyle name="Vírgula 4 2 3 3 2 2 3 2" xfId="49482"/>
    <cellStyle name="Vírgula 4 2 3 3 2 2 4" xfId="17332"/>
    <cellStyle name="Vírgula 4 2 3 3 2 2 4 2" xfId="43574"/>
    <cellStyle name="Vírgula 4 2 3 3 2 2 5" xfId="37188"/>
    <cellStyle name="Vírgula 4 2 3 3 2 3" xfId="26203"/>
    <cellStyle name="Vírgula 4 2 3 3 2 3 2" xfId="52436"/>
    <cellStyle name="Vírgula 4 2 3 3 2 4" xfId="20289"/>
    <cellStyle name="Vírgula 4 2 3 3 2 4 2" xfId="46528"/>
    <cellStyle name="Vírgula 4 2 3 3 2 5" xfId="14314"/>
    <cellStyle name="Vírgula 4 2 3 3 2 5 2" xfId="40556"/>
    <cellStyle name="Vírgula 4 2 3 3 2 6" xfId="34170"/>
    <cellStyle name="Vírgula 4 2 3 3 3" xfId="9478"/>
    <cellStyle name="Vírgula 4 2 3 3 3 2" xfId="27692"/>
    <cellStyle name="Vírgula 4 2 3 3 3 2 2" xfId="53922"/>
    <cellStyle name="Vírgula 4 2 3 3 3 3" xfId="21778"/>
    <cellStyle name="Vírgula 4 2 3 3 3 3 2" xfId="48014"/>
    <cellStyle name="Vírgula 4 2 3 3 3 4" xfId="15864"/>
    <cellStyle name="Vírgula 4 2 3 3 3 4 2" xfId="42106"/>
    <cellStyle name="Vírgula 4 2 3 3 3 5" xfId="35720"/>
    <cellStyle name="Vírgula 4 2 3 3 4" xfId="6224"/>
    <cellStyle name="Vírgula 4 2 3 3 4 2" xfId="24735"/>
    <cellStyle name="Vírgula 4 2 3 3 4 2 2" xfId="50968"/>
    <cellStyle name="Vírgula 4 2 3 3 4 3" xfId="32469"/>
    <cellStyle name="Vírgula 4 2 3 3 5" xfId="18821"/>
    <cellStyle name="Vírgula 4 2 3 3 5 2" xfId="45060"/>
    <cellStyle name="Vírgula 4 2 3 3 6" xfId="12613"/>
    <cellStyle name="Vírgula 4 2 3 3 6 2" xfId="38855"/>
    <cellStyle name="Vírgula 4 2 3 3 7" xfId="30772"/>
    <cellStyle name="Vírgula 4 2 3 4" xfId="4631"/>
    <cellStyle name="Vírgula 4 2 3 4 2" xfId="8034"/>
    <cellStyle name="Vírgula 4 2 3 4 2 2" xfId="11008"/>
    <cellStyle name="Vírgula 4 2 3 4 2 2 2" xfId="29222"/>
    <cellStyle name="Vírgula 4 2 3 4 2 2 2 2" xfId="55452"/>
    <cellStyle name="Vírgula 4 2 3 4 2 2 3" xfId="23308"/>
    <cellStyle name="Vírgula 4 2 3 4 2 2 3 2" xfId="49544"/>
    <cellStyle name="Vírgula 4 2 3 4 2 2 4" xfId="17394"/>
    <cellStyle name="Vírgula 4 2 3 4 2 2 4 2" xfId="43636"/>
    <cellStyle name="Vírgula 4 2 3 4 2 2 5" xfId="37250"/>
    <cellStyle name="Vírgula 4 2 3 4 2 3" xfId="26265"/>
    <cellStyle name="Vírgula 4 2 3 4 2 3 2" xfId="52498"/>
    <cellStyle name="Vírgula 4 2 3 4 2 4" xfId="20351"/>
    <cellStyle name="Vírgula 4 2 3 4 2 4 2" xfId="46590"/>
    <cellStyle name="Vírgula 4 2 3 4 2 5" xfId="14423"/>
    <cellStyle name="Vírgula 4 2 3 4 2 5 2" xfId="40665"/>
    <cellStyle name="Vírgula 4 2 3 4 2 6" xfId="34279"/>
    <cellStyle name="Vírgula 4 2 3 4 3" xfId="9540"/>
    <cellStyle name="Vírgula 4 2 3 4 3 2" xfId="27754"/>
    <cellStyle name="Vírgula 4 2 3 4 3 2 2" xfId="53984"/>
    <cellStyle name="Vírgula 4 2 3 4 3 3" xfId="21840"/>
    <cellStyle name="Vírgula 4 2 3 4 3 3 2" xfId="48076"/>
    <cellStyle name="Vírgula 4 2 3 4 3 4" xfId="15926"/>
    <cellStyle name="Vírgula 4 2 3 4 3 4 2" xfId="42168"/>
    <cellStyle name="Vírgula 4 2 3 4 3 5" xfId="35782"/>
    <cellStyle name="Vírgula 4 2 3 4 4" xfId="6333"/>
    <cellStyle name="Vírgula 4 2 3 4 4 2" xfId="24797"/>
    <cellStyle name="Vírgula 4 2 3 4 4 2 2" xfId="51030"/>
    <cellStyle name="Vírgula 4 2 3 4 4 3" xfId="32578"/>
    <cellStyle name="Vírgula 4 2 3 4 5" xfId="18883"/>
    <cellStyle name="Vírgula 4 2 3 4 5 2" xfId="45122"/>
    <cellStyle name="Vírgula 4 2 3 4 6" xfId="12722"/>
    <cellStyle name="Vírgula 4 2 3 4 6 2" xfId="38964"/>
    <cellStyle name="Vírgula 4 2 3 4 7" xfId="30880"/>
    <cellStyle name="Vírgula 4 2 3 5" xfId="5972"/>
    <cellStyle name="Vírgula 4 2 3 5 2" xfId="7672"/>
    <cellStyle name="Vírgula 4 2 3 5 2 2" xfId="10802"/>
    <cellStyle name="Vírgula 4 2 3 5 2 2 2" xfId="29016"/>
    <cellStyle name="Vírgula 4 2 3 5 2 2 2 2" xfId="55246"/>
    <cellStyle name="Vírgula 4 2 3 5 2 2 3" xfId="23102"/>
    <cellStyle name="Vírgula 4 2 3 5 2 2 3 2" xfId="49338"/>
    <cellStyle name="Vírgula 4 2 3 5 2 2 4" xfId="17188"/>
    <cellStyle name="Vírgula 4 2 3 5 2 2 4 2" xfId="43430"/>
    <cellStyle name="Vírgula 4 2 3 5 2 2 5" xfId="37044"/>
    <cellStyle name="Vírgula 4 2 3 5 2 3" xfId="26059"/>
    <cellStyle name="Vírgula 4 2 3 5 2 3 2" xfId="52292"/>
    <cellStyle name="Vírgula 4 2 3 5 2 4" xfId="20145"/>
    <cellStyle name="Vírgula 4 2 3 5 2 4 2" xfId="46384"/>
    <cellStyle name="Vírgula 4 2 3 5 2 5" xfId="14061"/>
    <cellStyle name="Vírgula 4 2 3 5 2 5 2" xfId="40303"/>
    <cellStyle name="Vírgula 4 2 3 5 2 6" xfId="33917"/>
    <cellStyle name="Vírgula 4 2 3 5 3" xfId="9334"/>
    <cellStyle name="Vírgula 4 2 3 5 3 2" xfId="27548"/>
    <cellStyle name="Vírgula 4 2 3 5 3 2 2" xfId="53778"/>
    <cellStyle name="Vírgula 4 2 3 5 3 3" xfId="21634"/>
    <cellStyle name="Vírgula 4 2 3 5 3 3 2" xfId="47870"/>
    <cellStyle name="Vírgula 4 2 3 5 3 4" xfId="15720"/>
    <cellStyle name="Vírgula 4 2 3 5 3 4 2" xfId="41962"/>
    <cellStyle name="Vírgula 4 2 3 5 3 5" xfId="35576"/>
    <cellStyle name="Vírgula 4 2 3 5 4" xfId="24591"/>
    <cellStyle name="Vírgula 4 2 3 5 4 2" xfId="50824"/>
    <cellStyle name="Vírgula 4 2 3 5 5" xfId="18677"/>
    <cellStyle name="Vírgula 4 2 3 5 5 2" xfId="44916"/>
    <cellStyle name="Vírgula 4 2 3 5 6" xfId="12360"/>
    <cellStyle name="Vírgula 4 2 3 5 6 2" xfId="38602"/>
    <cellStyle name="Vírgula 4 2 3 5 7" xfId="32217"/>
    <cellStyle name="Vírgula 4 2 3 6" xfId="6442"/>
    <cellStyle name="Vírgula 4 2 3 6 2" xfId="9602"/>
    <cellStyle name="Vírgula 4 2 3 6 2 2" xfId="27816"/>
    <cellStyle name="Vírgula 4 2 3 6 2 2 2" xfId="54046"/>
    <cellStyle name="Vírgula 4 2 3 6 2 3" xfId="21902"/>
    <cellStyle name="Vírgula 4 2 3 6 2 3 2" xfId="48138"/>
    <cellStyle name="Vírgula 4 2 3 6 2 4" xfId="15988"/>
    <cellStyle name="Vírgula 4 2 3 6 2 4 2" xfId="42230"/>
    <cellStyle name="Vírgula 4 2 3 6 2 5" xfId="35844"/>
    <cellStyle name="Vírgula 4 2 3 6 3" xfId="24859"/>
    <cellStyle name="Vírgula 4 2 3 6 3 2" xfId="51092"/>
    <cellStyle name="Vírgula 4 2 3 6 4" xfId="18945"/>
    <cellStyle name="Vírgula 4 2 3 6 4 2" xfId="45184"/>
    <cellStyle name="Vírgula 4 2 3 6 5" xfId="12831"/>
    <cellStyle name="Vírgula 4 2 3 6 5 2" xfId="39073"/>
    <cellStyle name="Vírgula 4 2 3 6 6" xfId="32687"/>
    <cellStyle name="Vírgula 4 2 3 7" xfId="8131"/>
    <cellStyle name="Vírgula 4 2 3 7 2" xfId="26345"/>
    <cellStyle name="Vírgula 4 2 3 7 2 2" xfId="52578"/>
    <cellStyle name="Vírgula 4 2 3 7 3" xfId="20431"/>
    <cellStyle name="Vírgula 4 2 3 7 3 2" xfId="46670"/>
    <cellStyle name="Vírgula 4 2 3 7 4" xfId="14520"/>
    <cellStyle name="Vírgula 4 2 3 7 4 2" xfId="40762"/>
    <cellStyle name="Vírgula 4 2 3 7 5" xfId="34376"/>
    <cellStyle name="Vírgula 4 2 3 8" xfId="4739"/>
    <cellStyle name="Vírgula 4 2 3 8 2" xfId="23388"/>
    <cellStyle name="Vírgula 4 2 3 8 2 2" xfId="49624"/>
    <cellStyle name="Vírgula 4 2 3 8 3" xfId="30988"/>
    <cellStyle name="Vírgula 4 2 3 9" xfId="17474"/>
    <cellStyle name="Vírgula 4 2 3 9 2" xfId="43716"/>
    <cellStyle name="Vírgula 4 2 4" xfId="4348"/>
    <cellStyle name="Vírgula 4 2 4 2" xfId="7749"/>
    <cellStyle name="Vírgula 4 2 4 2 2" xfId="10845"/>
    <cellStyle name="Vírgula 4 2 4 2 2 2" xfId="29059"/>
    <cellStyle name="Vírgula 4 2 4 2 2 2 2" xfId="55289"/>
    <cellStyle name="Vírgula 4 2 4 2 2 3" xfId="23145"/>
    <cellStyle name="Vírgula 4 2 4 2 2 3 2" xfId="49381"/>
    <cellStyle name="Vírgula 4 2 4 2 2 4" xfId="17231"/>
    <cellStyle name="Vírgula 4 2 4 2 2 4 2" xfId="43473"/>
    <cellStyle name="Vírgula 4 2 4 2 2 5" xfId="37087"/>
    <cellStyle name="Vírgula 4 2 4 2 3" xfId="26102"/>
    <cellStyle name="Vírgula 4 2 4 2 3 2" xfId="52335"/>
    <cellStyle name="Vírgula 4 2 4 2 4" xfId="20188"/>
    <cellStyle name="Vírgula 4 2 4 2 4 2" xfId="46427"/>
    <cellStyle name="Vírgula 4 2 4 2 5" xfId="14138"/>
    <cellStyle name="Vírgula 4 2 4 2 5 2" xfId="40380"/>
    <cellStyle name="Vírgula 4 2 4 2 6" xfId="33994"/>
    <cellStyle name="Vírgula 4 2 4 3" xfId="9377"/>
    <cellStyle name="Vírgula 4 2 4 3 2" xfId="27591"/>
    <cellStyle name="Vírgula 4 2 4 3 2 2" xfId="53821"/>
    <cellStyle name="Vírgula 4 2 4 3 3" xfId="21677"/>
    <cellStyle name="Vírgula 4 2 4 3 3 2" xfId="47913"/>
    <cellStyle name="Vírgula 4 2 4 3 4" xfId="15763"/>
    <cellStyle name="Vírgula 4 2 4 3 4 2" xfId="42005"/>
    <cellStyle name="Vírgula 4 2 4 3 5" xfId="35619"/>
    <cellStyle name="Vírgula 4 2 4 4" xfId="6049"/>
    <cellStyle name="Vírgula 4 2 4 4 2" xfId="24634"/>
    <cellStyle name="Vírgula 4 2 4 4 2 2" xfId="50867"/>
    <cellStyle name="Vírgula 4 2 4 4 3" xfId="32294"/>
    <cellStyle name="Vírgula 4 2 4 5" xfId="18720"/>
    <cellStyle name="Vírgula 4 2 4 5 2" xfId="44959"/>
    <cellStyle name="Vírgula 4 2 4 6" xfId="12437"/>
    <cellStyle name="Vírgula 4 2 4 6 2" xfId="38679"/>
    <cellStyle name="Vírgula 4 2 4 7" xfId="30597"/>
    <cellStyle name="Vírgula 4 2 5" xfId="4456"/>
    <cellStyle name="Vírgula 4 2 5 2" xfId="7858"/>
    <cellStyle name="Vírgula 4 2 5 2 2" xfId="10907"/>
    <cellStyle name="Vírgula 4 2 5 2 2 2" xfId="29121"/>
    <cellStyle name="Vírgula 4 2 5 2 2 2 2" xfId="55351"/>
    <cellStyle name="Vírgula 4 2 5 2 2 3" xfId="23207"/>
    <cellStyle name="Vírgula 4 2 5 2 2 3 2" xfId="49443"/>
    <cellStyle name="Vírgula 4 2 5 2 2 4" xfId="17293"/>
    <cellStyle name="Vírgula 4 2 5 2 2 4 2" xfId="43535"/>
    <cellStyle name="Vírgula 4 2 5 2 2 5" xfId="37149"/>
    <cellStyle name="Vírgula 4 2 5 2 3" xfId="26164"/>
    <cellStyle name="Vírgula 4 2 5 2 3 2" xfId="52397"/>
    <cellStyle name="Vírgula 4 2 5 2 4" xfId="20250"/>
    <cellStyle name="Vírgula 4 2 5 2 4 2" xfId="46489"/>
    <cellStyle name="Vírgula 4 2 5 2 5" xfId="14247"/>
    <cellStyle name="Vírgula 4 2 5 2 5 2" xfId="40489"/>
    <cellStyle name="Vírgula 4 2 5 2 6" xfId="34103"/>
    <cellStyle name="Vírgula 4 2 5 3" xfId="9439"/>
    <cellStyle name="Vírgula 4 2 5 3 2" xfId="27653"/>
    <cellStyle name="Vírgula 4 2 5 3 2 2" xfId="53883"/>
    <cellStyle name="Vírgula 4 2 5 3 3" xfId="21739"/>
    <cellStyle name="Vírgula 4 2 5 3 3 2" xfId="47975"/>
    <cellStyle name="Vírgula 4 2 5 3 4" xfId="15825"/>
    <cellStyle name="Vírgula 4 2 5 3 4 2" xfId="42067"/>
    <cellStyle name="Vírgula 4 2 5 3 5" xfId="35681"/>
    <cellStyle name="Vírgula 4 2 5 4" xfId="6158"/>
    <cellStyle name="Vírgula 4 2 5 4 2" xfId="24696"/>
    <cellStyle name="Vírgula 4 2 5 4 2 2" xfId="50929"/>
    <cellStyle name="Vírgula 4 2 5 4 3" xfId="32403"/>
    <cellStyle name="Vírgula 4 2 5 5" xfId="18782"/>
    <cellStyle name="Vírgula 4 2 5 5 2" xfId="45021"/>
    <cellStyle name="Vírgula 4 2 5 6" xfId="12546"/>
    <cellStyle name="Vírgula 4 2 5 6 2" xfId="38788"/>
    <cellStyle name="Vírgula 4 2 5 7" xfId="30705"/>
    <cellStyle name="Vírgula 4 2 6" xfId="4564"/>
    <cellStyle name="Vírgula 4 2 6 2" xfId="7966"/>
    <cellStyle name="Vírgula 4 2 6 2 2" xfId="10969"/>
    <cellStyle name="Vírgula 4 2 6 2 2 2" xfId="29183"/>
    <cellStyle name="Vírgula 4 2 6 2 2 2 2" xfId="55413"/>
    <cellStyle name="Vírgula 4 2 6 2 2 3" xfId="23269"/>
    <cellStyle name="Vírgula 4 2 6 2 2 3 2" xfId="49505"/>
    <cellStyle name="Vírgula 4 2 6 2 2 4" xfId="17355"/>
    <cellStyle name="Vírgula 4 2 6 2 2 4 2" xfId="43597"/>
    <cellStyle name="Vírgula 4 2 6 2 2 5" xfId="37211"/>
    <cellStyle name="Vírgula 4 2 6 2 3" xfId="26226"/>
    <cellStyle name="Vírgula 4 2 6 2 3 2" xfId="52459"/>
    <cellStyle name="Vírgula 4 2 6 2 4" xfId="20312"/>
    <cellStyle name="Vírgula 4 2 6 2 4 2" xfId="46551"/>
    <cellStyle name="Vírgula 4 2 6 2 5" xfId="14355"/>
    <cellStyle name="Vírgula 4 2 6 2 5 2" xfId="40597"/>
    <cellStyle name="Vírgula 4 2 6 2 6" xfId="34211"/>
    <cellStyle name="Vírgula 4 2 6 3" xfId="9501"/>
    <cellStyle name="Vírgula 4 2 6 3 2" xfId="27715"/>
    <cellStyle name="Vírgula 4 2 6 3 2 2" xfId="53945"/>
    <cellStyle name="Vírgula 4 2 6 3 3" xfId="21801"/>
    <cellStyle name="Vírgula 4 2 6 3 3 2" xfId="48037"/>
    <cellStyle name="Vírgula 4 2 6 3 4" xfId="15887"/>
    <cellStyle name="Vírgula 4 2 6 3 4 2" xfId="42129"/>
    <cellStyle name="Vírgula 4 2 6 3 5" xfId="35743"/>
    <cellStyle name="Vírgula 4 2 6 4" xfId="6265"/>
    <cellStyle name="Vírgula 4 2 6 4 2" xfId="24758"/>
    <cellStyle name="Vírgula 4 2 6 4 2 2" xfId="50991"/>
    <cellStyle name="Vírgula 4 2 6 4 3" xfId="32510"/>
    <cellStyle name="Vírgula 4 2 6 5" xfId="18844"/>
    <cellStyle name="Vírgula 4 2 6 5 2" xfId="45083"/>
    <cellStyle name="Vírgula 4 2 6 6" xfId="12654"/>
    <cellStyle name="Vírgula 4 2 6 6 2" xfId="38896"/>
    <cellStyle name="Vírgula 4 2 6 7" xfId="30813"/>
    <cellStyle name="Vírgula 4 2 7" xfId="4812"/>
    <cellStyle name="Vírgula 4 2 7 2" xfId="6513"/>
    <cellStyle name="Vírgula 4 2 7 2 2" xfId="9664"/>
    <cellStyle name="Vírgula 4 2 7 2 2 2" xfId="27878"/>
    <cellStyle name="Vírgula 4 2 7 2 2 2 2" xfId="54108"/>
    <cellStyle name="Vírgula 4 2 7 2 2 3" xfId="21964"/>
    <cellStyle name="Vírgula 4 2 7 2 2 3 2" xfId="48200"/>
    <cellStyle name="Vírgula 4 2 7 2 2 4" xfId="16050"/>
    <cellStyle name="Vírgula 4 2 7 2 2 4 2" xfId="42292"/>
    <cellStyle name="Vírgula 4 2 7 2 2 5" xfId="35906"/>
    <cellStyle name="Vírgula 4 2 7 2 3" xfId="24921"/>
    <cellStyle name="Vírgula 4 2 7 2 3 2" xfId="51154"/>
    <cellStyle name="Vírgula 4 2 7 2 4" xfId="19007"/>
    <cellStyle name="Vírgula 4 2 7 2 4 2" xfId="45246"/>
    <cellStyle name="Vírgula 4 2 7 2 5" xfId="12902"/>
    <cellStyle name="Vírgula 4 2 7 2 5 2" xfId="39144"/>
    <cellStyle name="Vírgula 4 2 7 2 6" xfId="32758"/>
    <cellStyle name="Vírgula 4 2 7 3" xfId="8193"/>
    <cellStyle name="Vírgula 4 2 7 3 2" xfId="26407"/>
    <cellStyle name="Vírgula 4 2 7 3 2 2" xfId="52640"/>
    <cellStyle name="Vírgula 4 2 7 3 3" xfId="20493"/>
    <cellStyle name="Vírgula 4 2 7 3 3 2" xfId="46732"/>
    <cellStyle name="Vírgula 4 2 7 3 4" xfId="14582"/>
    <cellStyle name="Vírgula 4 2 7 3 4 2" xfId="40824"/>
    <cellStyle name="Vírgula 4 2 7 3 5" xfId="34438"/>
    <cellStyle name="Vírgula 4 2 7 4" xfId="23450"/>
    <cellStyle name="Vírgula 4 2 7 4 2" xfId="49686"/>
    <cellStyle name="Vírgula 4 2 7 5" xfId="17536"/>
    <cellStyle name="Vírgula 4 2 7 5 2" xfId="43778"/>
    <cellStyle name="Vírgula 4 2 7 6" xfId="11201"/>
    <cellStyle name="Vírgula 4 2 7 6 2" xfId="37443"/>
    <cellStyle name="Vírgula 4 2 7 7" xfId="31059"/>
    <cellStyle name="Vírgula 4 2 8" xfId="6374"/>
    <cellStyle name="Vírgula 4 2 8 2" xfId="9563"/>
    <cellStyle name="Vírgula 4 2 8 2 2" xfId="27777"/>
    <cellStyle name="Vírgula 4 2 8 2 2 2" xfId="54007"/>
    <cellStyle name="Vírgula 4 2 8 2 3" xfId="21863"/>
    <cellStyle name="Vírgula 4 2 8 2 3 2" xfId="48099"/>
    <cellStyle name="Vírgula 4 2 8 2 4" xfId="15949"/>
    <cellStyle name="Vírgula 4 2 8 2 4 2" xfId="42191"/>
    <cellStyle name="Vírgula 4 2 8 2 5" xfId="35805"/>
    <cellStyle name="Vírgula 4 2 8 3" xfId="24820"/>
    <cellStyle name="Vírgula 4 2 8 3 2" xfId="51053"/>
    <cellStyle name="Vírgula 4 2 8 4" xfId="18906"/>
    <cellStyle name="Vírgula 4 2 8 4 2" xfId="45145"/>
    <cellStyle name="Vírgula 4 2 8 5" xfId="12763"/>
    <cellStyle name="Vírgula 4 2 8 5 2" xfId="39005"/>
    <cellStyle name="Vírgula 4 2 8 6" xfId="32619"/>
    <cellStyle name="Vírgula 4 2 9" xfId="8066"/>
    <cellStyle name="Vírgula 4 2 9 2" xfId="11027"/>
    <cellStyle name="Vírgula 4 2 9 2 2" xfId="29241"/>
    <cellStyle name="Vírgula 4 2 9 2 2 2" xfId="55471"/>
    <cellStyle name="Vírgula 4 2 9 2 3" xfId="23327"/>
    <cellStyle name="Vírgula 4 2 9 2 3 2" xfId="49563"/>
    <cellStyle name="Vírgula 4 2 9 2 4" xfId="17413"/>
    <cellStyle name="Vírgula 4 2 9 2 4 2" xfId="43655"/>
    <cellStyle name="Vírgula 4 2 9 2 5" xfId="37269"/>
    <cellStyle name="Vírgula 4 2 9 3" xfId="26284"/>
    <cellStyle name="Vírgula 4 2 9 3 2" xfId="52517"/>
    <cellStyle name="Vírgula 4 2 9 4" xfId="20370"/>
    <cellStyle name="Vírgula 4 2 9 4 2" xfId="46609"/>
    <cellStyle name="Vírgula 4 2 9 5" xfId="14455"/>
    <cellStyle name="Vírgula 4 2 9 5 2" xfId="40697"/>
    <cellStyle name="Vírgula 4 2 9 6" xfId="34311"/>
    <cellStyle name="Vírgula 4 20" xfId="11047"/>
    <cellStyle name="Vírgula 4 20 2" xfId="37289"/>
    <cellStyle name="Vírgula 4 21" xfId="58"/>
    <cellStyle name="Vírgula 4 21 2" xfId="29301"/>
    <cellStyle name="Vírgula 4 22" xfId="29265"/>
    <cellStyle name="Vírgula 4 3" xfId="351"/>
    <cellStyle name="Vírgula 4 3 10" xfId="4691"/>
    <cellStyle name="Vírgula 4 3 10 2" xfId="23360"/>
    <cellStyle name="Vírgula 4 3 10 2 2" xfId="49596"/>
    <cellStyle name="Vírgula 4 3 10 3" xfId="30940"/>
    <cellStyle name="Vírgula 4 3 11" xfId="17446"/>
    <cellStyle name="Vírgula 4 3 11 2" xfId="43688"/>
    <cellStyle name="Vírgula 4 3 12" xfId="11082"/>
    <cellStyle name="Vírgula 4 3 12 2" xfId="37324"/>
    <cellStyle name="Vírgula 4 3 13" xfId="29392"/>
    <cellStyle name="Vírgula 4 3 2" xfId="815"/>
    <cellStyle name="Vírgula 4 3 2 2" xfId="6686"/>
    <cellStyle name="Vírgula 4 3 2 2 2" xfId="9833"/>
    <cellStyle name="Vírgula 4 3 2 2 2 2" xfId="28047"/>
    <cellStyle name="Vírgula 4 3 2 2 2 2 2" xfId="54277"/>
    <cellStyle name="Vírgula 4 3 2 2 2 3" xfId="22133"/>
    <cellStyle name="Vírgula 4 3 2 2 2 3 2" xfId="48369"/>
    <cellStyle name="Vírgula 4 3 2 2 2 4" xfId="16219"/>
    <cellStyle name="Vírgula 4 3 2 2 2 4 2" xfId="42461"/>
    <cellStyle name="Vírgula 4 3 2 2 2 5" xfId="36075"/>
    <cellStyle name="Vírgula 4 3 2 2 3" xfId="25090"/>
    <cellStyle name="Vírgula 4 3 2 2 3 2" xfId="51323"/>
    <cellStyle name="Vírgula 4 3 2 2 4" xfId="19176"/>
    <cellStyle name="Vírgula 4 3 2 2 4 2" xfId="45415"/>
    <cellStyle name="Vírgula 4 3 2 2 5" xfId="13075"/>
    <cellStyle name="Vírgula 4 3 2 2 5 2" xfId="39317"/>
    <cellStyle name="Vírgula 4 3 2 2 6" xfId="32931"/>
    <cellStyle name="Vírgula 4 3 2 3" xfId="8365"/>
    <cellStyle name="Vírgula 4 3 2 3 2" xfId="26579"/>
    <cellStyle name="Vírgula 4 3 2 3 2 2" xfId="52809"/>
    <cellStyle name="Vírgula 4 3 2 3 3" xfId="20665"/>
    <cellStyle name="Vírgula 4 3 2 3 3 2" xfId="46901"/>
    <cellStyle name="Vírgula 4 3 2 3 4" xfId="14751"/>
    <cellStyle name="Vírgula 4 3 2 3 4 2" xfId="40993"/>
    <cellStyle name="Vírgula 4 3 2 3 5" xfId="34607"/>
    <cellStyle name="Vírgula 4 3 2 4" xfId="4987"/>
    <cellStyle name="Vírgula 4 3 2 4 2" xfId="23622"/>
    <cellStyle name="Vírgula 4 3 2 4 2 2" xfId="49855"/>
    <cellStyle name="Vírgula 4 3 2 4 3" xfId="31232"/>
    <cellStyle name="Vírgula 4 3 2 5" xfId="17708"/>
    <cellStyle name="Vírgula 4 3 2 5 2" xfId="43947"/>
    <cellStyle name="Vírgula 4 3 2 6" xfId="11374"/>
    <cellStyle name="Vírgula 4 3 2 6 2" xfId="37616"/>
    <cellStyle name="Vírgula 4 3 2 7" xfId="29534"/>
    <cellStyle name="Vírgula 4 3 3" xfId="4291"/>
    <cellStyle name="Vírgula 4 3 3 2" xfId="7692"/>
    <cellStyle name="Vírgula 4 3 3 2 2" xfId="10813"/>
    <cellStyle name="Vírgula 4 3 3 2 2 2" xfId="29027"/>
    <cellStyle name="Vírgula 4 3 3 2 2 2 2" xfId="55257"/>
    <cellStyle name="Vírgula 4 3 3 2 2 3" xfId="23113"/>
    <cellStyle name="Vírgula 4 3 3 2 2 3 2" xfId="49349"/>
    <cellStyle name="Vírgula 4 3 3 2 2 4" xfId="17199"/>
    <cellStyle name="Vírgula 4 3 3 2 2 4 2" xfId="43441"/>
    <cellStyle name="Vírgula 4 3 3 2 2 5" xfId="37055"/>
    <cellStyle name="Vírgula 4 3 3 2 3" xfId="26070"/>
    <cellStyle name="Vírgula 4 3 3 2 3 2" xfId="52303"/>
    <cellStyle name="Vírgula 4 3 3 2 4" xfId="20156"/>
    <cellStyle name="Vírgula 4 3 3 2 4 2" xfId="46395"/>
    <cellStyle name="Vírgula 4 3 3 2 5" xfId="14081"/>
    <cellStyle name="Vírgula 4 3 3 2 5 2" xfId="40323"/>
    <cellStyle name="Vírgula 4 3 3 2 6" xfId="33937"/>
    <cellStyle name="Vírgula 4 3 3 3" xfId="9345"/>
    <cellStyle name="Vírgula 4 3 3 3 2" xfId="27559"/>
    <cellStyle name="Vírgula 4 3 3 3 2 2" xfId="53789"/>
    <cellStyle name="Vírgula 4 3 3 3 3" xfId="21645"/>
    <cellStyle name="Vírgula 4 3 3 3 3 2" xfId="47881"/>
    <cellStyle name="Vírgula 4 3 3 3 4" xfId="15731"/>
    <cellStyle name="Vírgula 4 3 3 3 4 2" xfId="41973"/>
    <cellStyle name="Vírgula 4 3 3 3 5" xfId="35587"/>
    <cellStyle name="Vírgula 4 3 3 4" xfId="5992"/>
    <cellStyle name="Vírgula 4 3 3 4 2" xfId="24602"/>
    <cellStyle name="Vírgula 4 3 3 4 2 2" xfId="50835"/>
    <cellStyle name="Vírgula 4 3 3 4 3" xfId="32237"/>
    <cellStyle name="Vírgula 4 3 3 5" xfId="18688"/>
    <cellStyle name="Vírgula 4 3 3 5 2" xfId="44927"/>
    <cellStyle name="Vírgula 4 3 3 6" xfId="12380"/>
    <cellStyle name="Vírgula 4 3 3 6 2" xfId="38622"/>
    <cellStyle name="Vírgula 4 3 3 7" xfId="30540"/>
    <cellStyle name="Vírgula 4 3 4" xfId="4368"/>
    <cellStyle name="Vírgula 4 3 4 2" xfId="7769"/>
    <cellStyle name="Vírgula 4 3 4 2 2" xfId="10856"/>
    <cellStyle name="Vírgula 4 3 4 2 2 2" xfId="29070"/>
    <cellStyle name="Vírgula 4 3 4 2 2 2 2" xfId="55300"/>
    <cellStyle name="Vírgula 4 3 4 2 2 3" xfId="23156"/>
    <cellStyle name="Vírgula 4 3 4 2 2 3 2" xfId="49392"/>
    <cellStyle name="Vírgula 4 3 4 2 2 4" xfId="17242"/>
    <cellStyle name="Vírgula 4 3 4 2 2 4 2" xfId="43484"/>
    <cellStyle name="Vírgula 4 3 4 2 2 5" xfId="37098"/>
    <cellStyle name="Vírgula 4 3 4 2 3" xfId="26113"/>
    <cellStyle name="Vírgula 4 3 4 2 3 2" xfId="52346"/>
    <cellStyle name="Vírgula 4 3 4 2 4" xfId="20199"/>
    <cellStyle name="Vírgula 4 3 4 2 4 2" xfId="46438"/>
    <cellStyle name="Vírgula 4 3 4 2 5" xfId="14158"/>
    <cellStyle name="Vírgula 4 3 4 2 5 2" xfId="40400"/>
    <cellStyle name="Vírgula 4 3 4 2 6" xfId="34014"/>
    <cellStyle name="Vírgula 4 3 4 3" xfId="9388"/>
    <cellStyle name="Vírgula 4 3 4 3 2" xfId="27602"/>
    <cellStyle name="Vírgula 4 3 4 3 2 2" xfId="53832"/>
    <cellStyle name="Vírgula 4 3 4 3 3" xfId="21688"/>
    <cellStyle name="Vírgula 4 3 4 3 3 2" xfId="47924"/>
    <cellStyle name="Vírgula 4 3 4 3 4" xfId="15774"/>
    <cellStyle name="Vírgula 4 3 4 3 4 2" xfId="42016"/>
    <cellStyle name="Vírgula 4 3 4 3 5" xfId="35630"/>
    <cellStyle name="Vírgula 4 3 4 4" xfId="6069"/>
    <cellStyle name="Vírgula 4 3 4 4 2" xfId="24645"/>
    <cellStyle name="Vírgula 4 3 4 4 2 2" xfId="50878"/>
    <cellStyle name="Vírgula 4 3 4 4 3" xfId="32314"/>
    <cellStyle name="Vírgula 4 3 4 5" xfId="18731"/>
    <cellStyle name="Vírgula 4 3 4 5 2" xfId="44970"/>
    <cellStyle name="Vírgula 4 3 4 6" xfId="12457"/>
    <cellStyle name="Vírgula 4 3 4 6 2" xfId="38699"/>
    <cellStyle name="Vírgula 4 3 4 7" xfId="30617"/>
    <cellStyle name="Vírgula 4 3 5" xfId="4476"/>
    <cellStyle name="Vírgula 4 3 5 2" xfId="7878"/>
    <cellStyle name="Vírgula 4 3 5 2 2" xfId="10918"/>
    <cellStyle name="Vírgula 4 3 5 2 2 2" xfId="29132"/>
    <cellStyle name="Vírgula 4 3 5 2 2 2 2" xfId="55362"/>
    <cellStyle name="Vírgula 4 3 5 2 2 3" xfId="23218"/>
    <cellStyle name="Vírgula 4 3 5 2 2 3 2" xfId="49454"/>
    <cellStyle name="Vírgula 4 3 5 2 2 4" xfId="17304"/>
    <cellStyle name="Vírgula 4 3 5 2 2 4 2" xfId="43546"/>
    <cellStyle name="Vírgula 4 3 5 2 2 5" xfId="37160"/>
    <cellStyle name="Vírgula 4 3 5 2 3" xfId="26175"/>
    <cellStyle name="Vírgula 4 3 5 2 3 2" xfId="52408"/>
    <cellStyle name="Vírgula 4 3 5 2 4" xfId="20261"/>
    <cellStyle name="Vírgula 4 3 5 2 4 2" xfId="46500"/>
    <cellStyle name="Vírgula 4 3 5 2 5" xfId="14267"/>
    <cellStyle name="Vírgula 4 3 5 2 5 2" xfId="40509"/>
    <cellStyle name="Vírgula 4 3 5 2 6" xfId="34123"/>
    <cellStyle name="Vírgula 4 3 5 3" xfId="9450"/>
    <cellStyle name="Vírgula 4 3 5 3 2" xfId="27664"/>
    <cellStyle name="Vírgula 4 3 5 3 2 2" xfId="53894"/>
    <cellStyle name="Vírgula 4 3 5 3 3" xfId="21750"/>
    <cellStyle name="Vírgula 4 3 5 3 3 2" xfId="47986"/>
    <cellStyle name="Vírgula 4 3 5 3 4" xfId="15836"/>
    <cellStyle name="Vírgula 4 3 5 3 4 2" xfId="42078"/>
    <cellStyle name="Vírgula 4 3 5 3 5" xfId="35692"/>
    <cellStyle name="Vírgula 4 3 5 4" xfId="6178"/>
    <cellStyle name="Vírgula 4 3 5 4 2" xfId="24707"/>
    <cellStyle name="Vírgula 4 3 5 4 2 2" xfId="50940"/>
    <cellStyle name="Vírgula 4 3 5 4 3" xfId="32423"/>
    <cellStyle name="Vírgula 4 3 5 5" xfId="18793"/>
    <cellStyle name="Vírgula 4 3 5 5 2" xfId="45032"/>
    <cellStyle name="Vírgula 4 3 5 6" xfId="12566"/>
    <cellStyle name="Vírgula 4 3 5 6 2" xfId="38808"/>
    <cellStyle name="Vírgula 4 3 5 7" xfId="30725"/>
    <cellStyle name="Vírgula 4 3 6" xfId="4584"/>
    <cellStyle name="Vírgula 4 3 6 2" xfId="7986"/>
    <cellStyle name="Vírgula 4 3 6 2 2" xfId="10980"/>
    <cellStyle name="Vírgula 4 3 6 2 2 2" xfId="29194"/>
    <cellStyle name="Vírgula 4 3 6 2 2 2 2" xfId="55424"/>
    <cellStyle name="Vírgula 4 3 6 2 2 3" xfId="23280"/>
    <cellStyle name="Vírgula 4 3 6 2 2 3 2" xfId="49516"/>
    <cellStyle name="Vírgula 4 3 6 2 2 4" xfId="17366"/>
    <cellStyle name="Vírgula 4 3 6 2 2 4 2" xfId="43608"/>
    <cellStyle name="Vírgula 4 3 6 2 2 5" xfId="37222"/>
    <cellStyle name="Vírgula 4 3 6 2 3" xfId="26237"/>
    <cellStyle name="Vírgula 4 3 6 2 3 2" xfId="52470"/>
    <cellStyle name="Vírgula 4 3 6 2 4" xfId="20323"/>
    <cellStyle name="Vírgula 4 3 6 2 4 2" xfId="46562"/>
    <cellStyle name="Vírgula 4 3 6 2 5" xfId="14375"/>
    <cellStyle name="Vírgula 4 3 6 2 5 2" xfId="40617"/>
    <cellStyle name="Vírgula 4 3 6 2 6" xfId="34231"/>
    <cellStyle name="Vírgula 4 3 6 3" xfId="9512"/>
    <cellStyle name="Vírgula 4 3 6 3 2" xfId="27726"/>
    <cellStyle name="Vírgula 4 3 6 3 2 2" xfId="53956"/>
    <cellStyle name="Vírgula 4 3 6 3 3" xfId="21812"/>
    <cellStyle name="Vírgula 4 3 6 3 3 2" xfId="48048"/>
    <cellStyle name="Vírgula 4 3 6 3 4" xfId="15898"/>
    <cellStyle name="Vírgula 4 3 6 3 4 2" xfId="42140"/>
    <cellStyle name="Vírgula 4 3 6 3 5" xfId="35754"/>
    <cellStyle name="Vírgula 4 3 6 4" xfId="6285"/>
    <cellStyle name="Vírgula 4 3 6 4 2" xfId="24769"/>
    <cellStyle name="Vírgula 4 3 6 4 2 2" xfId="51002"/>
    <cellStyle name="Vírgula 4 3 6 4 3" xfId="32530"/>
    <cellStyle name="Vírgula 4 3 6 5" xfId="18855"/>
    <cellStyle name="Vírgula 4 3 6 5 2" xfId="45094"/>
    <cellStyle name="Vírgula 4 3 6 6" xfId="12674"/>
    <cellStyle name="Vírgula 4 3 6 6 2" xfId="38916"/>
    <cellStyle name="Vírgula 4 3 6 7" xfId="30833"/>
    <cellStyle name="Vírgula 4 3 7" xfId="4843"/>
    <cellStyle name="Vírgula 4 3 7 2" xfId="6544"/>
    <cellStyle name="Vírgula 4 3 7 2 2" xfId="9692"/>
    <cellStyle name="Vírgula 4 3 7 2 2 2" xfId="27906"/>
    <cellStyle name="Vírgula 4 3 7 2 2 2 2" xfId="54136"/>
    <cellStyle name="Vírgula 4 3 7 2 2 3" xfId="21992"/>
    <cellStyle name="Vírgula 4 3 7 2 2 3 2" xfId="48228"/>
    <cellStyle name="Vírgula 4 3 7 2 2 4" xfId="16078"/>
    <cellStyle name="Vírgula 4 3 7 2 2 4 2" xfId="42320"/>
    <cellStyle name="Vírgula 4 3 7 2 2 5" xfId="35934"/>
    <cellStyle name="Vírgula 4 3 7 2 3" xfId="24949"/>
    <cellStyle name="Vírgula 4 3 7 2 3 2" xfId="51182"/>
    <cellStyle name="Vírgula 4 3 7 2 4" xfId="19035"/>
    <cellStyle name="Vírgula 4 3 7 2 4 2" xfId="45274"/>
    <cellStyle name="Vírgula 4 3 7 2 5" xfId="12933"/>
    <cellStyle name="Vírgula 4 3 7 2 5 2" xfId="39175"/>
    <cellStyle name="Vírgula 4 3 7 2 6" xfId="32789"/>
    <cellStyle name="Vírgula 4 3 7 3" xfId="8221"/>
    <cellStyle name="Vírgula 4 3 7 3 2" xfId="26435"/>
    <cellStyle name="Vírgula 4 3 7 3 2 2" xfId="52668"/>
    <cellStyle name="Vírgula 4 3 7 3 3" xfId="20521"/>
    <cellStyle name="Vírgula 4 3 7 3 3 2" xfId="46760"/>
    <cellStyle name="Vírgula 4 3 7 3 4" xfId="14610"/>
    <cellStyle name="Vírgula 4 3 7 3 4 2" xfId="40852"/>
    <cellStyle name="Vírgula 4 3 7 3 5" xfId="34466"/>
    <cellStyle name="Vírgula 4 3 7 4" xfId="23478"/>
    <cellStyle name="Vírgula 4 3 7 4 2" xfId="49714"/>
    <cellStyle name="Vírgula 4 3 7 5" xfId="17564"/>
    <cellStyle name="Vírgula 4 3 7 5 2" xfId="43806"/>
    <cellStyle name="Vírgula 4 3 7 6" xfId="11232"/>
    <cellStyle name="Vírgula 4 3 7 6 2" xfId="37474"/>
    <cellStyle name="Vírgula 4 3 7 7" xfId="31090"/>
    <cellStyle name="Vírgula 4 3 8" xfId="6394"/>
    <cellStyle name="Vírgula 4 3 8 2" xfId="9574"/>
    <cellStyle name="Vírgula 4 3 8 2 2" xfId="27788"/>
    <cellStyle name="Vírgula 4 3 8 2 2 2" xfId="54018"/>
    <cellStyle name="Vírgula 4 3 8 2 3" xfId="21874"/>
    <cellStyle name="Vírgula 4 3 8 2 3 2" xfId="48110"/>
    <cellStyle name="Vírgula 4 3 8 2 4" xfId="15960"/>
    <cellStyle name="Vírgula 4 3 8 2 4 2" xfId="42202"/>
    <cellStyle name="Vírgula 4 3 8 2 5" xfId="35816"/>
    <cellStyle name="Vírgula 4 3 8 3" xfId="24831"/>
    <cellStyle name="Vírgula 4 3 8 3 2" xfId="51064"/>
    <cellStyle name="Vírgula 4 3 8 4" xfId="18917"/>
    <cellStyle name="Vírgula 4 3 8 4 2" xfId="45156"/>
    <cellStyle name="Vírgula 4 3 8 5" xfId="12783"/>
    <cellStyle name="Vírgula 4 3 8 5 2" xfId="39025"/>
    <cellStyle name="Vírgula 4 3 8 6" xfId="32639"/>
    <cellStyle name="Vírgula 4 3 9" xfId="8103"/>
    <cellStyle name="Vírgula 4 3 9 2" xfId="26317"/>
    <cellStyle name="Vírgula 4 3 9 2 2" xfId="52550"/>
    <cellStyle name="Vírgula 4 3 9 3" xfId="20403"/>
    <cellStyle name="Vírgula 4 3 9 3 2" xfId="46642"/>
    <cellStyle name="Vírgula 4 3 9 4" xfId="14492"/>
    <cellStyle name="Vírgula 4 3 9 4 2" xfId="40734"/>
    <cellStyle name="Vírgula 4 3 9 5" xfId="34348"/>
    <cellStyle name="Vírgula 4 4" xfId="1166"/>
    <cellStyle name="Vírgula 4 4 10" xfId="11114"/>
    <cellStyle name="Vírgula 4 4 10 2" xfId="37356"/>
    <cellStyle name="Vírgula 4 4 11" xfId="29632"/>
    <cellStyle name="Vírgula 4 4 2" xfId="4400"/>
    <cellStyle name="Vírgula 4 4 2 2" xfId="7801"/>
    <cellStyle name="Vírgula 4 4 2 2 2" xfId="10875"/>
    <cellStyle name="Vírgula 4 4 2 2 2 2" xfId="29089"/>
    <cellStyle name="Vírgula 4 4 2 2 2 2 2" xfId="55319"/>
    <cellStyle name="Vírgula 4 4 2 2 2 3" xfId="23175"/>
    <cellStyle name="Vírgula 4 4 2 2 2 3 2" xfId="49411"/>
    <cellStyle name="Vírgula 4 4 2 2 2 4" xfId="17261"/>
    <cellStyle name="Vírgula 4 4 2 2 2 4 2" xfId="43503"/>
    <cellStyle name="Vírgula 4 4 2 2 2 5" xfId="37117"/>
    <cellStyle name="Vírgula 4 4 2 2 3" xfId="26132"/>
    <cellStyle name="Vírgula 4 4 2 2 3 2" xfId="52365"/>
    <cellStyle name="Vírgula 4 4 2 2 4" xfId="20218"/>
    <cellStyle name="Vírgula 4 4 2 2 4 2" xfId="46457"/>
    <cellStyle name="Vírgula 4 4 2 2 5" xfId="14190"/>
    <cellStyle name="Vírgula 4 4 2 2 5 2" xfId="40432"/>
    <cellStyle name="Vírgula 4 4 2 2 6" xfId="34046"/>
    <cellStyle name="Vírgula 4 4 2 3" xfId="9407"/>
    <cellStyle name="Vírgula 4 4 2 3 2" xfId="27621"/>
    <cellStyle name="Vírgula 4 4 2 3 2 2" xfId="53851"/>
    <cellStyle name="Vírgula 4 4 2 3 3" xfId="21707"/>
    <cellStyle name="Vírgula 4 4 2 3 3 2" xfId="47943"/>
    <cellStyle name="Vírgula 4 4 2 3 4" xfId="15793"/>
    <cellStyle name="Vírgula 4 4 2 3 4 2" xfId="42035"/>
    <cellStyle name="Vírgula 4 4 2 3 5" xfId="35649"/>
    <cellStyle name="Vírgula 4 4 2 4" xfId="6101"/>
    <cellStyle name="Vírgula 4 4 2 4 2" xfId="24664"/>
    <cellStyle name="Vírgula 4 4 2 4 2 2" xfId="50897"/>
    <cellStyle name="Vírgula 4 4 2 4 3" xfId="32346"/>
    <cellStyle name="Vírgula 4 4 2 5" xfId="18750"/>
    <cellStyle name="Vírgula 4 4 2 5 2" xfId="44989"/>
    <cellStyle name="Vírgula 4 4 2 6" xfId="12489"/>
    <cellStyle name="Vírgula 4 4 2 6 2" xfId="38731"/>
    <cellStyle name="Vírgula 4 4 2 7" xfId="30649"/>
    <cellStyle name="Vírgula 4 4 3" xfId="4508"/>
    <cellStyle name="Vírgula 4 4 3 2" xfId="7910"/>
    <cellStyle name="Vírgula 4 4 3 2 2" xfId="10937"/>
    <cellStyle name="Vírgula 4 4 3 2 2 2" xfId="29151"/>
    <cellStyle name="Vírgula 4 4 3 2 2 2 2" xfId="55381"/>
    <cellStyle name="Vírgula 4 4 3 2 2 3" xfId="23237"/>
    <cellStyle name="Vírgula 4 4 3 2 2 3 2" xfId="49473"/>
    <cellStyle name="Vírgula 4 4 3 2 2 4" xfId="17323"/>
    <cellStyle name="Vírgula 4 4 3 2 2 4 2" xfId="43565"/>
    <cellStyle name="Vírgula 4 4 3 2 2 5" xfId="37179"/>
    <cellStyle name="Vírgula 4 4 3 2 3" xfId="26194"/>
    <cellStyle name="Vírgula 4 4 3 2 3 2" xfId="52427"/>
    <cellStyle name="Vírgula 4 4 3 2 4" xfId="20280"/>
    <cellStyle name="Vírgula 4 4 3 2 4 2" xfId="46519"/>
    <cellStyle name="Vírgula 4 4 3 2 5" xfId="14299"/>
    <cellStyle name="Vírgula 4 4 3 2 5 2" xfId="40541"/>
    <cellStyle name="Vírgula 4 4 3 2 6" xfId="34155"/>
    <cellStyle name="Vírgula 4 4 3 3" xfId="9469"/>
    <cellStyle name="Vírgula 4 4 3 3 2" xfId="27683"/>
    <cellStyle name="Vírgula 4 4 3 3 2 2" xfId="53913"/>
    <cellStyle name="Vírgula 4 4 3 3 3" xfId="21769"/>
    <cellStyle name="Vírgula 4 4 3 3 3 2" xfId="48005"/>
    <cellStyle name="Vírgula 4 4 3 3 4" xfId="15855"/>
    <cellStyle name="Vírgula 4 4 3 3 4 2" xfId="42097"/>
    <cellStyle name="Vírgula 4 4 3 3 5" xfId="35711"/>
    <cellStyle name="Vírgula 4 4 3 4" xfId="6209"/>
    <cellStyle name="Vírgula 4 4 3 4 2" xfId="24726"/>
    <cellStyle name="Vírgula 4 4 3 4 2 2" xfId="50959"/>
    <cellStyle name="Vírgula 4 4 3 4 3" xfId="32454"/>
    <cellStyle name="Vírgula 4 4 3 5" xfId="18812"/>
    <cellStyle name="Vírgula 4 4 3 5 2" xfId="45051"/>
    <cellStyle name="Vírgula 4 4 3 6" xfId="12598"/>
    <cellStyle name="Vírgula 4 4 3 6 2" xfId="38840"/>
    <cellStyle name="Vírgula 4 4 3 7" xfId="30757"/>
    <cellStyle name="Vírgula 4 4 4" xfId="4616"/>
    <cellStyle name="Vírgula 4 4 4 2" xfId="8018"/>
    <cellStyle name="Vírgula 4 4 4 2 2" xfId="10999"/>
    <cellStyle name="Vírgula 4 4 4 2 2 2" xfId="29213"/>
    <cellStyle name="Vírgula 4 4 4 2 2 2 2" xfId="55443"/>
    <cellStyle name="Vírgula 4 4 4 2 2 3" xfId="23299"/>
    <cellStyle name="Vírgula 4 4 4 2 2 3 2" xfId="49535"/>
    <cellStyle name="Vírgula 4 4 4 2 2 4" xfId="17385"/>
    <cellStyle name="Vírgula 4 4 4 2 2 4 2" xfId="43627"/>
    <cellStyle name="Vírgula 4 4 4 2 2 5" xfId="37241"/>
    <cellStyle name="Vírgula 4 4 4 2 3" xfId="26256"/>
    <cellStyle name="Vírgula 4 4 4 2 3 2" xfId="52489"/>
    <cellStyle name="Vírgula 4 4 4 2 4" xfId="20342"/>
    <cellStyle name="Vírgula 4 4 4 2 4 2" xfId="46581"/>
    <cellStyle name="Vírgula 4 4 4 2 5" xfId="14407"/>
    <cellStyle name="Vírgula 4 4 4 2 5 2" xfId="40649"/>
    <cellStyle name="Vírgula 4 4 4 2 6" xfId="34263"/>
    <cellStyle name="Vírgula 4 4 4 3" xfId="9531"/>
    <cellStyle name="Vírgula 4 4 4 3 2" xfId="27745"/>
    <cellStyle name="Vírgula 4 4 4 3 2 2" xfId="53975"/>
    <cellStyle name="Vírgula 4 4 4 3 3" xfId="21831"/>
    <cellStyle name="Vírgula 4 4 4 3 3 2" xfId="48067"/>
    <cellStyle name="Vírgula 4 4 4 3 4" xfId="15917"/>
    <cellStyle name="Vírgula 4 4 4 3 4 2" xfId="42159"/>
    <cellStyle name="Vírgula 4 4 4 3 5" xfId="35773"/>
    <cellStyle name="Vírgula 4 4 4 4" xfId="6317"/>
    <cellStyle name="Vírgula 4 4 4 4 2" xfId="24788"/>
    <cellStyle name="Vírgula 4 4 4 4 2 2" xfId="51021"/>
    <cellStyle name="Vírgula 4 4 4 4 3" xfId="32562"/>
    <cellStyle name="Vírgula 4 4 4 5" xfId="18874"/>
    <cellStyle name="Vírgula 4 4 4 5 2" xfId="45113"/>
    <cellStyle name="Vírgula 4 4 4 6" xfId="12706"/>
    <cellStyle name="Vírgula 4 4 4 6 2" xfId="38948"/>
    <cellStyle name="Vírgula 4 4 4 7" xfId="30865"/>
    <cellStyle name="Vírgula 4 4 5" xfId="5085"/>
    <cellStyle name="Vírgula 4 4 5 2" xfId="6784"/>
    <cellStyle name="Vírgula 4 4 5 2 2" xfId="9931"/>
    <cellStyle name="Vírgula 4 4 5 2 2 2" xfId="28145"/>
    <cellStyle name="Vírgula 4 4 5 2 2 2 2" xfId="54375"/>
    <cellStyle name="Vírgula 4 4 5 2 2 3" xfId="22231"/>
    <cellStyle name="Vírgula 4 4 5 2 2 3 2" xfId="48467"/>
    <cellStyle name="Vírgula 4 4 5 2 2 4" xfId="16317"/>
    <cellStyle name="Vírgula 4 4 5 2 2 4 2" xfId="42559"/>
    <cellStyle name="Vírgula 4 4 5 2 2 5" xfId="36173"/>
    <cellStyle name="Vírgula 4 4 5 2 3" xfId="25188"/>
    <cellStyle name="Vírgula 4 4 5 2 3 2" xfId="51421"/>
    <cellStyle name="Vírgula 4 4 5 2 4" xfId="19274"/>
    <cellStyle name="Vírgula 4 4 5 2 4 2" xfId="45513"/>
    <cellStyle name="Vírgula 4 4 5 2 5" xfId="13173"/>
    <cellStyle name="Vírgula 4 4 5 2 5 2" xfId="39415"/>
    <cellStyle name="Vírgula 4 4 5 2 6" xfId="33029"/>
    <cellStyle name="Vírgula 4 4 5 3" xfId="8463"/>
    <cellStyle name="Vírgula 4 4 5 3 2" xfId="26677"/>
    <cellStyle name="Vírgula 4 4 5 3 2 2" xfId="52907"/>
    <cellStyle name="Vírgula 4 4 5 3 3" xfId="20763"/>
    <cellStyle name="Vírgula 4 4 5 3 3 2" xfId="46999"/>
    <cellStyle name="Vírgula 4 4 5 3 4" xfId="14849"/>
    <cellStyle name="Vírgula 4 4 5 3 4 2" xfId="41091"/>
    <cellStyle name="Vírgula 4 4 5 3 5" xfId="34705"/>
    <cellStyle name="Vírgula 4 4 5 4" xfId="23720"/>
    <cellStyle name="Vírgula 4 4 5 4 2" xfId="49953"/>
    <cellStyle name="Vírgula 4 4 5 5" xfId="17806"/>
    <cellStyle name="Vírgula 4 4 5 5 2" xfId="44045"/>
    <cellStyle name="Vírgula 4 4 5 6" xfId="11472"/>
    <cellStyle name="Vírgula 4 4 5 6 2" xfId="37714"/>
    <cellStyle name="Vírgula 4 4 5 7" xfId="31330"/>
    <cellStyle name="Vírgula 4 4 6" xfId="6426"/>
    <cellStyle name="Vírgula 4 4 6 2" xfId="9593"/>
    <cellStyle name="Vírgula 4 4 6 2 2" xfId="27807"/>
    <cellStyle name="Vírgula 4 4 6 2 2 2" xfId="54037"/>
    <cellStyle name="Vírgula 4 4 6 2 3" xfId="21893"/>
    <cellStyle name="Vírgula 4 4 6 2 3 2" xfId="48129"/>
    <cellStyle name="Vírgula 4 4 6 2 4" xfId="15979"/>
    <cellStyle name="Vírgula 4 4 6 2 4 2" xfId="42221"/>
    <cellStyle name="Vírgula 4 4 6 2 5" xfId="35835"/>
    <cellStyle name="Vírgula 4 4 6 3" xfId="24850"/>
    <cellStyle name="Vírgula 4 4 6 3 2" xfId="51083"/>
    <cellStyle name="Vírgula 4 4 6 4" xfId="18936"/>
    <cellStyle name="Vírgula 4 4 6 4 2" xfId="45175"/>
    <cellStyle name="Vírgula 4 4 6 5" xfId="12815"/>
    <cellStyle name="Vírgula 4 4 6 5 2" xfId="39057"/>
    <cellStyle name="Vírgula 4 4 6 6" xfId="32671"/>
    <cellStyle name="Vírgula 4 4 7" xfId="8122"/>
    <cellStyle name="Vírgula 4 4 7 2" xfId="26336"/>
    <cellStyle name="Vírgula 4 4 7 2 2" xfId="52569"/>
    <cellStyle name="Vírgula 4 4 7 3" xfId="20422"/>
    <cellStyle name="Vírgula 4 4 7 3 2" xfId="46661"/>
    <cellStyle name="Vírgula 4 4 7 4" xfId="14511"/>
    <cellStyle name="Vírgula 4 4 7 4 2" xfId="40753"/>
    <cellStyle name="Vírgula 4 4 7 5" xfId="34367"/>
    <cellStyle name="Vírgula 4 4 8" xfId="4723"/>
    <cellStyle name="Vírgula 4 4 8 2" xfId="23379"/>
    <cellStyle name="Vírgula 4 4 8 2 2" xfId="49615"/>
    <cellStyle name="Vírgula 4 4 8 3" xfId="30972"/>
    <cellStyle name="Vírgula 4 4 9" xfId="17465"/>
    <cellStyle name="Vírgula 4 4 9 2" xfId="43707"/>
    <cellStyle name="Vírgula 4 5" xfId="1601"/>
    <cellStyle name="Vírgula 4 5 2" xfId="6903"/>
    <cellStyle name="Vírgula 4 5 2 2" xfId="10050"/>
    <cellStyle name="Vírgula 4 5 2 2 2" xfId="28264"/>
    <cellStyle name="Vírgula 4 5 2 2 2 2" xfId="54494"/>
    <cellStyle name="Vírgula 4 5 2 2 3" xfId="22350"/>
    <cellStyle name="Vírgula 4 5 2 2 3 2" xfId="48586"/>
    <cellStyle name="Vírgula 4 5 2 2 4" xfId="16436"/>
    <cellStyle name="Vírgula 4 5 2 2 4 2" xfId="42678"/>
    <cellStyle name="Vírgula 4 5 2 2 5" xfId="36292"/>
    <cellStyle name="Vírgula 4 5 2 3" xfId="25307"/>
    <cellStyle name="Vírgula 4 5 2 3 2" xfId="51540"/>
    <cellStyle name="Vírgula 4 5 2 4" xfId="19393"/>
    <cellStyle name="Vírgula 4 5 2 4 2" xfId="45632"/>
    <cellStyle name="Vírgula 4 5 2 5" xfId="13292"/>
    <cellStyle name="Vírgula 4 5 2 5 2" xfId="39534"/>
    <cellStyle name="Vírgula 4 5 2 6" xfId="33148"/>
    <cellStyle name="Vírgula 4 5 3" xfId="8582"/>
    <cellStyle name="Vírgula 4 5 3 2" xfId="26796"/>
    <cellStyle name="Vírgula 4 5 3 2 2" xfId="53026"/>
    <cellStyle name="Vírgula 4 5 3 3" xfId="20882"/>
    <cellStyle name="Vírgula 4 5 3 3 2" xfId="47118"/>
    <cellStyle name="Vírgula 4 5 3 4" xfId="14968"/>
    <cellStyle name="Vírgula 4 5 3 4 2" xfId="41210"/>
    <cellStyle name="Vírgula 4 5 3 5" xfId="34824"/>
    <cellStyle name="Vírgula 4 5 4" xfId="5204"/>
    <cellStyle name="Vírgula 4 5 4 2" xfId="23839"/>
    <cellStyle name="Vírgula 4 5 4 2 2" xfId="50072"/>
    <cellStyle name="Vírgula 4 5 4 3" xfId="31449"/>
    <cellStyle name="Vírgula 4 5 5" xfId="17925"/>
    <cellStyle name="Vírgula 4 5 5 2" xfId="44164"/>
    <cellStyle name="Vírgula 4 5 6" xfId="11591"/>
    <cellStyle name="Vírgula 4 5 6 2" xfId="37833"/>
    <cellStyle name="Vírgula 4 5 7" xfId="29751"/>
    <cellStyle name="Vírgula 4 6" xfId="2131"/>
    <cellStyle name="Vírgula 4 6 2" xfId="7053"/>
    <cellStyle name="Vírgula 4 6 2 2" xfId="10197"/>
    <cellStyle name="Vírgula 4 6 2 2 2" xfId="28411"/>
    <cellStyle name="Vírgula 4 6 2 2 2 2" xfId="54641"/>
    <cellStyle name="Vírgula 4 6 2 2 3" xfId="22497"/>
    <cellStyle name="Vírgula 4 6 2 2 3 2" xfId="48733"/>
    <cellStyle name="Vírgula 4 6 2 2 4" xfId="16583"/>
    <cellStyle name="Vírgula 4 6 2 2 4 2" xfId="42825"/>
    <cellStyle name="Vírgula 4 6 2 2 5" xfId="36439"/>
    <cellStyle name="Vírgula 4 6 2 3" xfId="25454"/>
    <cellStyle name="Vírgula 4 6 2 3 2" xfId="51687"/>
    <cellStyle name="Vírgula 4 6 2 4" xfId="19540"/>
    <cellStyle name="Vírgula 4 6 2 4 2" xfId="45779"/>
    <cellStyle name="Vírgula 4 6 2 5" xfId="13442"/>
    <cellStyle name="Vírgula 4 6 2 5 2" xfId="39684"/>
    <cellStyle name="Vírgula 4 6 2 6" xfId="33298"/>
    <cellStyle name="Vírgula 4 6 3" xfId="8729"/>
    <cellStyle name="Vírgula 4 6 3 2" xfId="26943"/>
    <cellStyle name="Vírgula 4 6 3 2 2" xfId="53173"/>
    <cellStyle name="Vírgula 4 6 3 3" xfId="21029"/>
    <cellStyle name="Vírgula 4 6 3 3 2" xfId="47265"/>
    <cellStyle name="Vírgula 4 6 3 4" xfId="15115"/>
    <cellStyle name="Vírgula 4 6 3 4 2" xfId="41357"/>
    <cellStyle name="Vírgula 4 6 3 5" xfId="34971"/>
    <cellStyle name="Vírgula 4 6 4" xfId="5354"/>
    <cellStyle name="Vírgula 4 6 4 2" xfId="23986"/>
    <cellStyle name="Vírgula 4 6 4 2 2" xfId="50219"/>
    <cellStyle name="Vírgula 4 6 4 3" xfId="31599"/>
    <cellStyle name="Vírgula 4 6 5" xfId="18072"/>
    <cellStyle name="Vírgula 4 6 5 2" xfId="44311"/>
    <cellStyle name="Vírgula 4 6 6" xfId="11741"/>
    <cellStyle name="Vírgula 4 6 6 2" xfId="37983"/>
    <cellStyle name="Vírgula 4 6 7" xfId="29901"/>
    <cellStyle name="Vírgula 4 7" xfId="2658"/>
    <cellStyle name="Vírgula 4 7 2" xfId="7200"/>
    <cellStyle name="Vírgula 4 7 2 2" xfId="10344"/>
    <cellStyle name="Vírgula 4 7 2 2 2" xfId="28558"/>
    <cellStyle name="Vírgula 4 7 2 2 2 2" xfId="54788"/>
    <cellStyle name="Vírgula 4 7 2 2 3" xfId="22644"/>
    <cellStyle name="Vírgula 4 7 2 2 3 2" xfId="48880"/>
    <cellStyle name="Vírgula 4 7 2 2 4" xfId="16730"/>
    <cellStyle name="Vírgula 4 7 2 2 4 2" xfId="42972"/>
    <cellStyle name="Vírgula 4 7 2 2 5" xfId="36586"/>
    <cellStyle name="Vírgula 4 7 2 3" xfId="25601"/>
    <cellStyle name="Vírgula 4 7 2 3 2" xfId="51834"/>
    <cellStyle name="Vírgula 4 7 2 4" xfId="19687"/>
    <cellStyle name="Vírgula 4 7 2 4 2" xfId="45926"/>
    <cellStyle name="Vírgula 4 7 2 5" xfId="13589"/>
    <cellStyle name="Vírgula 4 7 2 5 2" xfId="39831"/>
    <cellStyle name="Vírgula 4 7 2 6" xfId="33445"/>
    <cellStyle name="Vírgula 4 7 3" xfId="8876"/>
    <cellStyle name="Vírgula 4 7 3 2" xfId="27090"/>
    <cellStyle name="Vírgula 4 7 3 2 2" xfId="53320"/>
    <cellStyle name="Vírgula 4 7 3 3" xfId="21176"/>
    <cellStyle name="Vírgula 4 7 3 3 2" xfId="47412"/>
    <cellStyle name="Vírgula 4 7 3 4" xfId="15262"/>
    <cellStyle name="Vírgula 4 7 3 4 2" xfId="41504"/>
    <cellStyle name="Vírgula 4 7 3 5" xfId="35118"/>
    <cellStyle name="Vírgula 4 7 4" xfId="5501"/>
    <cellStyle name="Vírgula 4 7 4 2" xfId="24133"/>
    <cellStyle name="Vírgula 4 7 4 2 2" xfId="50366"/>
    <cellStyle name="Vírgula 4 7 4 3" xfId="31746"/>
    <cellStyle name="Vírgula 4 7 5" xfId="18219"/>
    <cellStyle name="Vírgula 4 7 5 2" xfId="44458"/>
    <cellStyle name="Vírgula 4 7 6" xfId="11888"/>
    <cellStyle name="Vírgula 4 7 6 2" xfId="38130"/>
    <cellStyle name="Vírgula 4 7 7" xfId="30048"/>
    <cellStyle name="Vírgula 4 8" xfId="3185"/>
    <cellStyle name="Vírgula 4 8 2" xfId="7347"/>
    <cellStyle name="Vírgula 4 8 2 2" xfId="10491"/>
    <cellStyle name="Vírgula 4 8 2 2 2" xfId="28705"/>
    <cellStyle name="Vírgula 4 8 2 2 2 2" xfId="54935"/>
    <cellStyle name="Vírgula 4 8 2 2 3" xfId="22791"/>
    <cellStyle name="Vírgula 4 8 2 2 3 2" xfId="49027"/>
    <cellStyle name="Vírgula 4 8 2 2 4" xfId="16877"/>
    <cellStyle name="Vírgula 4 8 2 2 4 2" xfId="43119"/>
    <cellStyle name="Vírgula 4 8 2 2 5" xfId="36733"/>
    <cellStyle name="Vírgula 4 8 2 3" xfId="25748"/>
    <cellStyle name="Vírgula 4 8 2 3 2" xfId="51981"/>
    <cellStyle name="Vírgula 4 8 2 4" xfId="19834"/>
    <cellStyle name="Vírgula 4 8 2 4 2" xfId="46073"/>
    <cellStyle name="Vírgula 4 8 2 5" xfId="13736"/>
    <cellStyle name="Vírgula 4 8 2 5 2" xfId="39978"/>
    <cellStyle name="Vírgula 4 8 2 6" xfId="33592"/>
    <cellStyle name="Vírgula 4 8 3" xfId="9023"/>
    <cellStyle name="Vírgula 4 8 3 2" xfId="27237"/>
    <cellStyle name="Vírgula 4 8 3 2 2" xfId="53467"/>
    <cellStyle name="Vírgula 4 8 3 3" xfId="21323"/>
    <cellStyle name="Vírgula 4 8 3 3 2" xfId="47559"/>
    <cellStyle name="Vírgula 4 8 3 4" xfId="15409"/>
    <cellStyle name="Vírgula 4 8 3 4 2" xfId="41651"/>
    <cellStyle name="Vírgula 4 8 3 5" xfId="35265"/>
    <cellStyle name="Vírgula 4 8 4" xfId="5648"/>
    <cellStyle name="Vírgula 4 8 4 2" xfId="24280"/>
    <cellStyle name="Vírgula 4 8 4 2 2" xfId="50513"/>
    <cellStyle name="Vírgula 4 8 4 3" xfId="31893"/>
    <cellStyle name="Vírgula 4 8 5" xfId="18366"/>
    <cellStyle name="Vírgula 4 8 5 2" xfId="44605"/>
    <cellStyle name="Vírgula 4 8 6" xfId="12035"/>
    <cellStyle name="Vírgula 4 8 6 2" xfId="38277"/>
    <cellStyle name="Vírgula 4 8 7" xfId="30195"/>
    <cellStyle name="Vírgula 4 9" xfId="3712"/>
    <cellStyle name="Vírgula 4 9 2" xfId="7494"/>
    <cellStyle name="Vírgula 4 9 2 2" xfId="10638"/>
    <cellStyle name="Vírgula 4 9 2 2 2" xfId="28852"/>
    <cellStyle name="Vírgula 4 9 2 2 2 2" xfId="55082"/>
    <cellStyle name="Vírgula 4 9 2 2 3" xfId="22938"/>
    <cellStyle name="Vírgula 4 9 2 2 3 2" xfId="49174"/>
    <cellStyle name="Vírgula 4 9 2 2 4" xfId="17024"/>
    <cellStyle name="Vírgula 4 9 2 2 4 2" xfId="43266"/>
    <cellStyle name="Vírgula 4 9 2 2 5" xfId="36880"/>
    <cellStyle name="Vírgula 4 9 2 3" xfId="25895"/>
    <cellStyle name="Vírgula 4 9 2 3 2" xfId="52128"/>
    <cellStyle name="Vírgula 4 9 2 4" xfId="19981"/>
    <cellStyle name="Vírgula 4 9 2 4 2" xfId="46220"/>
    <cellStyle name="Vírgula 4 9 2 5" xfId="13883"/>
    <cellStyle name="Vírgula 4 9 2 5 2" xfId="40125"/>
    <cellStyle name="Vírgula 4 9 2 6" xfId="33739"/>
    <cellStyle name="Vírgula 4 9 3" xfId="9170"/>
    <cellStyle name="Vírgula 4 9 3 2" xfId="27384"/>
    <cellStyle name="Vírgula 4 9 3 2 2" xfId="53614"/>
    <cellStyle name="Vírgula 4 9 3 3" xfId="21470"/>
    <cellStyle name="Vírgula 4 9 3 3 2" xfId="47706"/>
    <cellStyle name="Vírgula 4 9 3 4" xfId="15556"/>
    <cellStyle name="Vírgula 4 9 3 4 2" xfId="41798"/>
    <cellStyle name="Vírgula 4 9 3 5" xfId="35412"/>
    <cellStyle name="Vírgula 4 9 4" xfId="5795"/>
    <cellStyle name="Vírgula 4 9 4 2" xfId="24427"/>
    <cellStyle name="Vírgula 4 9 4 2 2" xfId="50660"/>
    <cellStyle name="Vírgula 4 9 4 3" xfId="32040"/>
    <cellStyle name="Vírgula 4 9 5" xfId="18513"/>
    <cellStyle name="Vírgula 4 9 5 2" xfId="44752"/>
    <cellStyle name="Vírgula 4 9 6" xfId="12182"/>
    <cellStyle name="Vírgula 4 9 6 2" xfId="38424"/>
    <cellStyle name="Vírgula 4 9 7" xfId="30342"/>
    <cellStyle name="Vírgula 5" xfId="17"/>
    <cellStyle name="Vírgula 5 10" xfId="8055"/>
    <cellStyle name="Vírgula 5 10 2" xfId="11021"/>
    <cellStyle name="Vírgula 5 10 2 2" xfId="29235"/>
    <cellStyle name="Vírgula 5 10 2 2 2" xfId="55465"/>
    <cellStyle name="Vírgula 5 10 2 3" xfId="23321"/>
    <cellStyle name="Vírgula 5 10 2 3 2" xfId="49557"/>
    <cellStyle name="Vírgula 5 10 2 4" xfId="17407"/>
    <cellStyle name="Vírgula 5 10 2 4 2" xfId="43649"/>
    <cellStyle name="Vírgula 5 10 2 5" xfId="37263"/>
    <cellStyle name="Vírgula 5 10 3" xfId="26278"/>
    <cellStyle name="Vírgula 5 10 3 2" xfId="52511"/>
    <cellStyle name="Vírgula 5 10 4" xfId="20364"/>
    <cellStyle name="Vírgula 5 10 4 2" xfId="46603"/>
    <cellStyle name="Vírgula 5 10 5" xfId="14444"/>
    <cellStyle name="Vírgula 5 10 5 2" xfId="40686"/>
    <cellStyle name="Vírgula 5 10 6" xfId="34300"/>
    <cellStyle name="Vírgula 5 11" xfId="8086"/>
    <cellStyle name="Vírgula 5 11 2" xfId="26300"/>
    <cellStyle name="Vírgula 5 11 2 2" xfId="52533"/>
    <cellStyle name="Vírgula 5 11 3" xfId="20386"/>
    <cellStyle name="Vírgula 5 11 3 2" xfId="46625"/>
    <cellStyle name="Vírgula 5 11 4" xfId="14475"/>
    <cellStyle name="Vírgula 5 11 4 2" xfId="40717"/>
    <cellStyle name="Vírgula 5 11 5" xfId="34331"/>
    <cellStyle name="Vírgula 5 12" xfId="4661"/>
    <cellStyle name="Vírgula 5 12 2" xfId="23343"/>
    <cellStyle name="Vírgula 5 12 2 2" xfId="49579"/>
    <cellStyle name="Vírgula 5 12 3" xfId="30910"/>
    <cellStyle name="Vírgula 5 13" xfId="17429"/>
    <cellStyle name="Vírgula 5 13 2" xfId="43671"/>
    <cellStyle name="Vírgula 5 14" xfId="11052"/>
    <cellStyle name="Vírgula 5 14 2" xfId="37294"/>
    <cellStyle name="Vírgula 5 15" xfId="607"/>
    <cellStyle name="Vírgula 5 15 2" xfId="29457"/>
    <cellStyle name="Vírgula 5 2" xfId="42"/>
    <cellStyle name="Vírgula 5 2 10" xfId="8095"/>
    <cellStyle name="Vírgula 5 2 10 2" xfId="26309"/>
    <cellStyle name="Vírgula 5 2 10 2 2" xfId="52542"/>
    <cellStyle name="Vírgula 5 2 10 3" xfId="20395"/>
    <cellStyle name="Vírgula 5 2 10 3 2" xfId="46634"/>
    <cellStyle name="Vírgula 5 2 10 4" xfId="14484"/>
    <cellStyle name="Vírgula 5 2 10 4 2" xfId="40726"/>
    <cellStyle name="Vírgula 5 2 10 5" xfId="34340"/>
    <cellStyle name="Vírgula 5 2 11" xfId="4676"/>
    <cellStyle name="Vírgula 5 2 11 2" xfId="23352"/>
    <cellStyle name="Vírgula 5 2 11 2 2" xfId="49588"/>
    <cellStyle name="Vírgula 5 2 11 3" xfId="30925"/>
    <cellStyle name="Vírgula 5 2 12" xfId="17438"/>
    <cellStyle name="Vírgula 5 2 12 2" xfId="43680"/>
    <cellStyle name="Vírgula 5 2 13" xfId="11067"/>
    <cellStyle name="Vírgula 5 2 13 2" xfId="37309"/>
    <cellStyle name="Vírgula 5 2 14" xfId="4276"/>
    <cellStyle name="Vírgula 5 2 14 2" xfId="30525"/>
    <cellStyle name="Vírgula 5 2 15" xfId="29288"/>
    <cellStyle name="Vírgula 5 2 2" xfId="4311"/>
    <cellStyle name="Vírgula 5 2 2 10" xfId="11102"/>
    <cellStyle name="Vírgula 5 2 2 10 2" xfId="37344"/>
    <cellStyle name="Vírgula 5 2 2 11" xfId="30560"/>
    <cellStyle name="Vírgula 5 2 2 2" xfId="4388"/>
    <cellStyle name="Vírgula 5 2 2 2 2" xfId="7789"/>
    <cellStyle name="Vírgula 5 2 2 2 2 2" xfId="10868"/>
    <cellStyle name="Vírgula 5 2 2 2 2 2 2" xfId="29082"/>
    <cellStyle name="Vírgula 5 2 2 2 2 2 2 2" xfId="55312"/>
    <cellStyle name="Vírgula 5 2 2 2 2 2 3" xfId="23168"/>
    <cellStyle name="Vírgula 5 2 2 2 2 2 3 2" xfId="49404"/>
    <cellStyle name="Vírgula 5 2 2 2 2 2 4" xfId="17254"/>
    <cellStyle name="Vírgula 5 2 2 2 2 2 4 2" xfId="43496"/>
    <cellStyle name="Vírgula 5 2 2 2 2 2 5" xfId="37110"/>
    <cellStyle name="Vírgula 5 2 2 2 2 3" xfId="26125"/>
    <cellStyle name="Vírgula 5 2 2 2 2 3 2" xfId="52358"/>
    <cellStyle name="Vírgula 5 2 2 2 2 4" xfId="20211"/>
    <cellStyle name="Vírgula 5 2 2 2 2 4 2" xfId="46450"/>
    <cellStyle name="Vírgula 5 2 2 2 2 5" xfId="14178"/>
    <cellStyle name="Vírgula 5 2 2 2 2 5 2" xfId="40420"/>
    <cellStyle name="Vírgula 5 2 2 2 2 6" xfId="34034"/>
    <cellStyle name="Vírgula 5 2 2 2 3" xfId="9400"/>
    <cellStyle name="Vírgula 5 2 2 2 3 2" xfId="27614"/>
    <cellStyle name="Vírgula 5 2 2 2 3 2 2" xfId="53844"/>
    <cellStyle name="Vírgula 5 2 2 2 3 3" xfId="21700"/>
    <cellStyle name="Vírgula 5 2 2 2 3 3 2" xfId="47936"/>
    <cellStyle name="Vírgula 5 2 2 2 3 4" xfId="15786"/>
    <cellStyle name="Vírgula 5 2 2 2 3 4 2" xfId="42028"/>
    <cellStyle name="Vírgula 5 2 2 2 3 5" xfId="35642"/>
    <cellStyle name="Vírgula 5 2 2 2 4" xfId="6089"/>
    <cellStyle name="Vírgula 5 2 2 2 4 2" xfId="24657"/>
    <cellStyle name="Vírgula 5 2 2 2 4 2 2" xfId="50890"/>
    <cellStyle name="Vírgula 5 2 2 2 4 3" xfId="32334"/>
    <cellStyle name="Vírgula 5 2 2 2 5" xfId="18743"/>
    <cellStyle name="Vírgula 5 2 2 2 5 2" xfId="44982"/>
    <cellStyle name="Vírgula 5 2 2 2 6" xfId="12477"/>
    <cellStyle name="Vírgula 5 2 2 2 6 2" xfId="38719"/>
    <cellStyle name="Vírgula 5 2 2 2 7" xfId="30637"/>
    <cellStyle name="Vírgula 5 2 2 3" xfId="4496"/>
    <cellStyle name="Vírgula 5 2 2 3 2" xfId="7898"/>
    <cellStyle name="Vírgula 5 2 2 3 2 2" xfId="10930"/>
    <cellStyle name="Vírgula 5 2 2 3 2 2 2" xfId="29144"/>
    <cellStyle name="Vírgula 5 2 2 3 2 2 2 2" xfId="55374"/>
    <cellStyle name="Vírgula 5 2 2 3 2 2 3" xfId="23230"/>
    <cellStyle name="Vírgula 5 2 2 3 2 2 3 2" xfId="49466"/>
    <cellStyle name="Vírgula 5 2 2 3 2 2 4" xfId="17316"/>
    <cellStyle name="Vírgula 5 2 2 3 2 2 4 2" xfId="43558"/>
    <cellStyle name="Vírgula 5 2 2 3 2 2 5" xfId="37172"/>
    <cellStyle name="Vírgula 5 2 2 3 2 3" xfId="26187"/>
    <cellStyle name="Vírgula 5 2 2 3 2 3 2" xfId="52420"/>
    <cellStyle name="Vírgula 5 2 2 3 2 4" xfId="20273"/>
    <cellStyle name="Vírgula 5 2 2 3 2 4 2" xfId="46512"/>
    <cellStyle name="Vírgula 5 2 2 3 2 5" xfId="14287"/>
    <cellStyle name="Vírgula 5 2 2 3 2 5 2" xfId="40529"/>
    <cellStyle name="Vírgula 5 2 2 3 2 6" xfId="34143"/>
    <cellStyle name="Vírgula 5 2 2 3 3" xfId="9462"/>
    <cellStyle name="Vírgula 5 2 2 3 3 2" xfId="27676"/>
    <cellStyle name="Vírgula 5 2 2 3 3 2 2" xfId="53906"/>
    <cellStyle name="Vírgula 5 2 2 3 3 3" xfId="21762"/>
    <cellStyle name="Vírgula 5 2 2 3 3 3 2" xfId="47998"/>
    <cellStyle name="Vírgula 5 2 2 3 3 4" xfId="15848"/>
    <cellStyle name="Vírgula 5 2 2 3 3 4 2" xfId="42090"/>
    <cellStyle name="Vírgula 5 2 2 3 3 5" xfId="35704"/>
    <cellStyle name="Vírgula 5 2 2 3 4" xfId="6198"/>
    <cellStyle name="Vírgula 5 2 2 3 4 2" xfId="24719"/>
    <cellStyle name="Vírgula 5 2 2 3 4 2 2" xfId="50952"/>
    <cellStyle name="Vírgula 5 2 2 3 4 3" xfId="32443"/>
    <cellStyle name="Vírgula 5 2 2 3 5" xfId="18805"/>
    <cellStyle name="Vírgula 5 2 2 3 5 2" xfId="45044"/>
    <cellStyle name="Vírgula 5 2 2 3 6" xfId="12586"/>
    <cellStyle name="Vírgula 5 2 2 3 6 2" xfId="38828"/>
    <cellStyle name="Vírgula 5 2 2 3 7" xfId="30745"/>
    <cellStyle name="Vírgula 5 2 2 4" xfId="4604"/>
    <cellStyle name="Vírgula 5 2 2 4 2" xfId="8006"/>
    <cellStyle name="Vírgula 5 2 2 4 2 2" xfId="10992"/>
    <cellStyle name="Vírgula 5 2 2 4 2 2 2" xfId="29206"/>
    <cellStyle name="Vírgula 5 2 2 4 2 2 2 2" xfId="55436"/>
    <cellStyle name="Vírgula 5 2 2 4 2 2 3" xfId="23292"/>
    <cellStyle name="Vírgula 5 2 2 4 2 2 3 2" xfId="49528"/>
    <cellStyle name="Vírgula 5 2 2 4 2 2 4" xfId="17378"/>
    <cellStyle name="Vírgula 5 2 2 4 2 2 4 2" xfId="43620"/>
    <cellStyle name="Vírgula 5 2 2 4 2 2 5" xfId="37234"/>
    <cellStyle name="Vírgula 5 2 2 4 2 3" xfId="26249"/>
    <cellStyle name="Vírgula 5 2 2 4 2 3 2" xfId="52482"/>
    <cellStyle name="Vírgula 5 2 2 4 2 4" xfId="20335"/>
    <cellStyle name="Vírgula 5 2 2 4 2 4 2" xfId="46574"/>
    <cellStyle name="Vírgula 5 2 2 4 2 5" xfId="14395"/>
    <cellStyle name="Vírgula 5 2 2 4 2 5 2" xfId="40637"/>
    <cellStyle name="Vírgula 5 2 2 4 2 6" xfId="34251"/>
    <cellStyle name="Vírgula 5 2 2 4 3" xfId="9524"/>
    <cellStyle name="Vírgula 5 2 2 4 3 2" xfId="27738"/>
    <cellStyle name="Vírgula 5 2 2 4 3 2 2" xfId="53968"/>
    <cellStyle name="Vírgula 5 2 2 4 3 3" xfId="21824"/>
    <cellStyle name="Vírgula 5 2 2 4 3 3 2" xfId="48060"/>
    <cellStyle name="Vírgula 5 2 2 4 3 4" xfId="15910"/>
    <cellStyle name="Vírgula 5 2 2 4 3 4 2" xfId="42152"/>
    <cellStyle name="Vírgula 5 2 2 4 3 5" xfId="35766"/>
    <cellStyle name="Vírgula 5 2 2 4 4" xfId="6305"/>
    <cellStyle name="Vírgula 5 2 2 4 4 2" xfId="24781"/>
    <cellStyle name="Vírgula 5 2 2 4 4 2 2" xfId="51014"/>
    <cellStyle name="Vírgula 5 2 2 4 4 3" xfId="32550"/>
    <cellStyle name="Vírgula 5 2 2 4 5" xfId="18867"/>
    <cellStyle name="Vírgula 5 2 2 4 5 2" xfId="45106"/>
    <cellStyle name="Vírgula 5 2 2 4 6" xfId="12694"/>
    <cellStyle name="Vírgula 5 2 2 4 6 2" xfId="38936"/>
    <cellStyle name="Vírgula 5 2 2 4 7" xfId="30853"/>
    <cellStyle name="Vírgula 5 2 2 5" xfId="6012"/>
    <cellStyle name="Vírgula 5 2 2 5 2" xfId="7712"/>
    <cellStyle name="Vírgula 5 2 2 5 2 2" xfId="10825"/>
    <cellStyle name="Vírgula 5 2 2 5 2 2 2" xfId="29039"/>
    <cellStyle name="Vírgula 5 2 2 5 2 2 2 2" xfId="55269"/>
    <cellStyle name="Vírgula 5 2 2 5 2 2 3" xfId="23125"/>
    <cellStyle name="Vírgula 5 2 2 5 2 2 3 2" xfId="49361"/>
    <cellStyle name="Vírgula 5 2 2 5 2 2 4" xfId="17211"/>
    <cellStyle name="Vírgula 5 2 2 5 2 2 4 2" xfId="43453"/>
    <cellStyle name="Vírgula 5 2 2 5 2 2 5" xfId="37067"/>
    <cellStyle name="Vírgula 5 2 2 5 2 3" xfId="26082"/>
    <cellStyle name="Vírgula 5 2 2 5 2 3 2" xfId="52315"/>
    <cellStyle name="Vírgula 5 2 2 5 2 4" xfId="20168"/>
    <cellStyle name="Vírgula 5 2 2 5 2 4 2" xfId="46407"/>
    <cellStyle name="Vírgula 5 2 2 5 2 5" xfId="14101"/>
    <cellStyle name="Vírgula 5 2 2 5 2 5 2" xfId="40343"/>
    <cellStyle name="Vírgula 5 2 2 5 2 6" xfId="33957"/>
    <cellStyle name="Vírgula 5 2 2 5 3" xfId="9357"/>
    <cellStyle name="Vírgula 5 2 2 5 3 2" xfId="27571"/>
    <cellStyle name="Vírgula 5 2 2 5 3 2 2" xfId="53801"/>
    <cellStyle name="Vírgula 5 2 2 5 3 3" xfId="21657"/>
    <cellStyle name="Vírgula 5 2 2 5 3 3 2" xfId="47893"/>
    <cellStyle name="Vírgula 5 2 2 5 3 4" xfId="15743"/>
    <cellStyle name="Vírgula 5 2 2 5 3 4 2" xfId="41985"/>
    <cellStyle name="Vírgula 5 2 2 5 3 5" xfId="35599"/>
    <cellStyle name="Vírgula 5 2 2 5 4" xfId="24614"/>
    <cellStyle name="Vírgula 5 2 2 5 4 2" xfId="50847"/>
    <cellStyle name="Vírgula 5 2 2 5 5" xfId="18700"/>
    <cellStyle name="Vírgula 5 2 2 5 5 2" xfId="44939"/>
    <cellStyle name="Vírgula 5 2 2 5 6" xfId="12400"/>
    <cellStyle name="Vírgula 5 2 2 5 6 2" xfId="38642"/>
    <cellStyle name="Vírgula 5 2 2 5 7" xfId="32257"/>
    <cellStyle name="Vírgula 5 2 2 6" xfId="6414"/>
    <cellStyle name="Vírgula 5 2 2 6 2" xfId="9586"/>
    <cellStyle name="Vírgula 5 2 2 6 2 2" xfId="27800"/>
    <cellStyle name="Vírgula 5 2 2 6 2 2 2" xfId="54030"/>
    <cellStyle name="Vírgula 5 2 2 6 2 3" xfId="21886"/>
    <cellStyle name="Vírgula 5 2 2 6 2 3 2" xfId="48122"/>
    <cellStyle name="Vírgula 5 2 2 6 2 4" xfId="15972"/>
    <cellStyle name="Vírgula 5 2 2 6 2 4 2" xfId="42214"/>
    <cellStyle name="Vírgula 5 2 2 6 2 5" xfId="35828"/>
    <cellStyle name="Vírgula 5 2 2 6 3" xfId="24843"/>
    <cellStyle name="Vírgula 5 2 2 6 3 2" xfId="51076"/>
    <cellStyle name="Vírgula 5 2 2 6 4" xfId="18929"/>
    <cellStyle name="Vírgula 5 2 2 6 4 2" xfId="45168"/>
    <cellStyle name="Vírgula 5 2 2 6 5" xfId="12803"/>
    <cellStyle name="Vírgula 5 2 2 6 5 2" xfId="39045"/>
    <cellStyle name="Vírgula 5 2 2 6 6" xfId="32659"/>
    <cellStyle name="Vírgula 5 2 2 7" xfId="8115"/>
    <cellStyle name="Vírgula 5 2 2 7 2" xfId="26329"/>
    <cellStyle name="Vírgula 5 2 2 7 2 2" xfId="52562"/>
    <cellStyle name="Vírgula 5 2 2 7 3" xfId="20415"/>
    <cellStyle name="Vírgula 5 2 2 7 3 2" xfId="46654"/>
    <cellStyle name="Vírgula 5 2 2 7 4" xfId="14504"/>
    <cellStyle name="Vírgula 5 2 2 7 4 2" xfId="40746"/>
    <cellStyle name="Vírgula 5 2 2 7 5" xfId="34360"/>
    <cellStyle name="Vírgula 5 2 2 8" xfId="4711"/>
    <cellStyle name="Vírgula 5 2 2 8 2" xfId="23372"/>
    <cellStyle name="Vírgula 5 2 2 8 2 2" xfId="49608"/>
    <cellStyle name="Vírgula 5 2 2 8 3" xfId="30960"/>
    <cellStyle name="Vírgula 5 2 2 9" xfId="17458"/>
    <cellStyle name="Vírgula 5 2 2 9 2" xfId="43700"/>
    <cellStyle name="Vírgula 5 2 3" xfId="4420"/>
    <cellStyle name="Vírgula 5 2 3 10" xfId="30669"/>
    <cellStyle name="Vírgula 5 2 3 2" xfId="4528"/>
    <cellStyle name="Vírgula 5 2 3 2 2" xfId="7930"/>
    <cellStyle name="Vírgula 5 2 3 2 2 2" xfId="10949"/>
    <cellStyle name="Vírgula 5 2 3 2 2 2 2" xfId="29163"/>
    <cellStyle name="Vírgula 5 2 3 2 2 2 2 2" xfId="55393"/>
    <cellStyle name="Vírgula 5 2 3 2 2 2 3" xfId="23249"/>
    <cellStyle name="Vírgula 5 2 3 2 2 2 3 2" xfId="49485"/>
    <cellStyle name="Vírgula 5 2 3 2 2 2 4" xfId="17335"/>
    <cellStyle name="Vírgula 5 2 3 2 2 2 4 2" xfId="43577"/>
    <cellStyle name="Vírgula 5 2 3 2 2 2 5" xfId="37191"/>
    <cellStyle name="Vírgula 5 2 3 2 2 3" xfId="26206"/>
    <cellStyle name="Vírgula 5 2 3 2 2 3 2" xfId="52439"/>
    <cellStyle name="Vírgula 5 2 3 2 2 4" xfId="20292"/>
    <cellStyle name="Vírgula 5 2 3 2 2 4 2" xfId="46531"/>
    <cellStyle name="Vírgula 5 2 3 2 2 5" xfId="14319"/>
    <cellStyle name="Vírgula 5 2 3 2 2 5 2" xfId="40561"/>
    <cellStyle name="Vírgula 5 2 3 2 2 6" xfId="34175"/>
    <cellStyle name="Vírgula 5 2 3 2 3" xfId="9481"/>
    <cellStyle name="Vírgula 5 2 3 2 3 2" xfId="27695"/>
    <cellStyle name="Vírgula 5 2 3 2 3 2 2" xfId="53925"/>
    <cellStyle name="Vírgula 5 2 3 2 3 3" xfId="21781"/>
    <cellStyle name="Vírgula 5 2 3 2 3 3 2" xfId="48017"/>
    <cellStyle name="Vírgula 5 2 3 2 3 4" xfId="15867"/>
    <cellStyle name="Vírgula 5 2 3 2 3 4 2" xfId="42109"/>
    <cellStyle name="Vírgula 5 2 3 2 3 5" xfId="35723"/>
    <cellStyle name="Vírgula 5 2 3 2 4" xfId="6229"/>
    <cellStyle name="Vírgula 5 2 3 2 4 2" xfId="24738"/>
    <cellStyle name="Vírgula 5 2 3 2 4 2 2" xfId="50971"/>
    <cellStyle name="Vírgula 5 2 3 2 4 3" xfId="32474"/>
    <cellStyle name="Vírgula 5 2 3 2 5" xfId="18824"/>
    <cellStyle name="Vírgula 5 2 3 2 5 2" xfId="45063"/>
    <cellStyle name="Vírgula 5 2 3 2 6" xfId="12618"/>
    <cellStyle name="Vírgula 5 2 3 2 6 2" xfId="38860"/>
    <cellStyle name="Vírgula 5 2 3 2 7" xfId="30777"/>
    <cellStyle name="Vírgula 5 2 3 3" xfId="4636"/>
    <cellStyle name="Vírgula 5 2 3 3 2" xfId="8039"/>
    <cellStyle name="Vírgula 5 2 3 3 2 2" xfId="11011"/>
    <cellStyle name="Vírgula 5 2 3 3 2 2 2" xfId="29225"/>
    <cellStyle name="Vírgula 5 2 3 3 2 2 2 2" xfId="55455"/>
    <cellStyle name="Vírgula 5 2 3 3 2 2 3" xfId="23311"/>
    <cellStyle name="Vírgula 5 2 3 3 2 2 3 2" xfId="49547"/>
    <cellStyle name="Vírgula 5 2 3 3 2 2 4" xfId="17397"/>
    <cellStyle name="Vírgula 5 2 3 3 2 2 4 2" xfId="43639"/>
    <cellStyle name="Vírgula 5 2 3 3 2 2 5" xfId="37253"/>
    <cellStyle name="Vírgula 5 2 3 3 2 3" xfId="26268"/>
    <cellStyle name="Vírgula 5 2 3 3 2 3 2" xfId="52501"/>
    <cellStyle name="Vírgula 5 2 3 3 2 4" xfId="20354"/>
    <cellStyle name="Vírgula 5 2 3 3 2 4 2" xfId="46593"/>
    <cellStyle name="Vírgula 5 2 3 3 2 5" xfId="14428"/>
    <cellStyle name="Vírgula 5 2 3 3 2 5 2" xfId="40670"/>
    <cellStyle name="Vírgula 5 2 3 3 2 6" xfId="34284"/>
    <cellStyle name="Vírgula 5 2 3 3 3" xfId="9543"/>
    <cellStyle name="Vírgula 5 2 3 3 3 2" xfId="27757"/>
    <cellStyle name="Vírgula 5 2 3 3 3 2 2" xfId="53987"/>
    <cellStyle name="Vírgula 5 2 3 3 3 3" xfId="21843"/>
    <cellStyle name="Vírgula 5 2 3 3 3 3 2" xfId="48079"/>
    <cellStyle name="Vírgula 5 2 3 3 3 4" xfId="15929"/>
    <cellStyle name="Vírgula 5 2 3 3 3 4 2" xfId="42171"/>
    <cellStyle name="Vírgula 5 2 3 3 3 5" xfId="35785"/>
    <cellStyle name="Vírgula 5 2 3 3 4" xfId="6338"/>
    <cellStyle name="Vírgula 5 2 3 3 4 2" xfId="24800"/>
    <cellStyle name="Vírgula 5 2 3 3 4 2 2" xfId="51033"/>
    <cellStyle name="Vírgula 5 2 3 3 4 3" xfId="32583"/>
    <cellStyle name="Vírgula 5 2 3 3 5" xfId="18886"/>
    <cellStyle name="Vírgula 5 2 3 3 5 2" xfId="45125"/>
    <cellStyle name="Vírgula 5 2 3 3 6" xfId="12727"/>
    <cellStyle name="Vírgula 5 2 3 3 6 2" xfId="38969"/>
    <cellStyle name="Vírgula 5 2 3 3 7" xfId="30885"/>
    <cellStyle name="Vírgula 5 2 3 4" xfId="6122"/>
    <cellStyle name="Vírgula 5 2 3 4 2" xfId="7822"/>
    <cellStyle name="Vírgula 5 2 3 4 2 2" xfId="10887"/>
    <cellStyle name="Vírgula 5 2 3 4 2 2 2" xfId="29101"/>
    <cellStyle name="Vírgula 5 2 3 4 2 2 2 2" xfId="55331"/>
    <cellStyle name="Vírgula 5 2 3 4 2 2 3" xfId="23187"/>
    <cellStyle name="Vírgula 5 2 3 4 2 2 3 2" xfId="49423"/>
    <cellStyle name="Vírgula 5 2 3 4 2 2 4" xfId="17273"/>
    <cellStyle name="Vírgula 5 2 3 4 2 2 4 2" xfId="43515"/>
    <cellStyle name="Vírgula 5 2 3 4 2 2 5" xfId="37129"/>
    <cellStyle name="Vírgula 5 2 3 4 2 3" xfId="26144"/>
    <cellStyle name="Vírgula 5 2 3 4 2 3 2" xfId="52377"/>
    <cellStyle name="Vírgula 5 2 3 4 2 4" xfId="20230"/>
    <cellStyle name="Vírgula 5 2 3 4 2 4 2" xfId="46469"/>
    <cellStyle name="Vírgula 5 2 3 4 2 5" xfId="14211"/>
    <cellStyle name="Vírgula 5 2 3 4 2 5 2" xfId="40453"/>
    <cellStyle name="Vírgula 5 2 3 4 2 6" xfId="34067"/>
    <cellStyle name="Vírgula 5 2 3 4 3" xfId="9419"/>
    <cellStyle name="Vírgula 5 2 3 4 3 2" xfId="27633"/>
    <cellStyle name="Vírgula 5 2 3 4 3 2 2" xfId="53863"/>
    <cellStyle name="Vírgula 5 2 3 4 3 3" xfId="21719"/>
    <cellStyle name="Vírgula 5 2 3 4 3 3 2" xfId="47955"/>
    <cellStyle name="Vírgula 5 2 3 4 3 4" xfId="15805"/>
    <cellStyle name="Vírgula 5 2 3 4 3 4 2" xfId="42047"/>
    <cellStyle name="Vírgula 5 2 3 4 3 5" xfId="35661"/>
    <cellStyle name="Vírgula 5 2 3 4 4" xfId="24676"/>
    <cellStyle name="Vírgula 5 2 3 4 4 2" xfId="50909"/>
    <cellStyle name="Vírgula 5 2 3 4 5" xfId="18762"/>
    <cellStyle name="Vírgula 5 2 3 4 5 2" xfId="45001"/>
    <cellStyle name="Vírgula 5 2 3 4 6" xfId="12510"/>
    <cellStyle name="Vírgula 5 2 3 4 6 2" xfId="38752"/>
    <cellStyle name="Vírgula 5 2 3 4 7" xfId="32367"/>
    <cellStyle name="Vírgula 5 2 3 5" xfId="6447"/>
    <cellStyle name="Vírgula 5 2 3 5 2" xfId="9605"/>
    <cellStyle name="Vírgula 5 2 3 5 2 2" xfId="27819"/>
    <cellStyle name="Vírgula 5 2 3 5 2 2 2" xfId="54049"/>
    <cellStyle name="Vírgula 5 2 3 5 2 3" xfId="21905"/>
    <cellStyle name="Vírgula 5 2 3 5 2 3 2" xfId="48141"/>
    <cellStyle name="Vírgula 5 2 3 5 2 4" xfId="15991"/>
    <cellStyle name="Vírgula 5 2 3 5 2 4 2" xfId="42233"/>
    <cellStyle name="Vírgula 5 2 3 5 2 5" xfId="35847"/>
    <cellStyle name="Vírgula 5 2 3 5 3" xfId="24862"/>
    <cellStyle name="Vírgula 5 2 3 5 3 2" xfId="51095"/>
    <cellStyle name="Vírgula 5 2 3 5 4" xfId="18948"/>
    <cellStyle name="Vírgula 5 2 3 5 4 2" xfId="45187"/>
    <cellStyle name="Vírgula 5 2 3 5 5" xfId="12836"/>
    <cellStyle name="Vírgula 5 2 3 5 5 2" xfId="39078"/>
    <cellStyle name="Vírgula 5 2 3 5 6" xfId="32692"/>
    <cellStyle name="Vírgula 5 2 3 6" xfId="8134"/>
    <cellStyle name="Vírgula 5 2 3 6 2" xfId="26348"/>
    <cellStyle name="Vírgula 5 2 3 6 2 2" xfId="52581"/>
    <cellStyle name="Vírgula 5 2 3 6 3" xfId="20434"/>
    <cellStyle name="Vírgula 5 2 3 6 3 2" xfId="46673"/>
    <cellStyle name="Vírgula 5 2 3 6 4" xfId="14523"/>
    <cellStyle name="Vírgula 5 2 3 6 4 2" xfId="40765"/>
    <cellStyle name="Vírgula 5 2 3 6 5" xfId="34379"/>
    <cellStyle name="Vírgula 5 2 3 7" xfId="4744"/>
    <cellStyle name="Vírgula 5 2 3 7 2" xfId="23391"/>
    <cellStyle name="Vírgula 5 2 3 7 2 2" xfId="49627"/>
    <cellStyle name="Vírgula 5 2 3 7 3" xfId="30993"/>
    <cellStyle name="Vírgula 5 2 3 8" xfId="17477"/>
    <cellStyle name="Vírgula 5 2 3 8 2" xfId="43719"/>
    <cellStyle name="Vírgula 5 2 3 9" xfId="11135"/>
    <cellStyle name="Vírgula 5 2 3 9 2" xfId="37377"/>
    <cellStyle name="Vírgula 5 2 4" xfId="4353"/>
    <cellStyle name="Vírgula 5 2 4 2" xfId="7754"/>
    <cellStyle name="Vírgula 5 2 4 2 2" xfId="10848"/>
    <cellStyle name="Vírgula 5 2 4 2 2 2" xfId="29062"/>
    <cellStyle name="Vírgula 5 2 4 2 2 2 2" xfId="55292"/>
    <cellStyle name="Vírgula 5 2 4 2 2 3" xfId="23148"/>
    <cellStyle name="Vírgula 5 2 4 2 2 3 2" xfId="49384"/>
    <cellStyle name="Vírgula 5 2 4 2 2 4" xfId="17234"/>
    <cellStyle name="Vírgula 5 2 4 2 2 4 2" xfId="43476"/>
    <cellStyle name="Vírgula 5 2 4 2 2 5" xfId="37090"/>
    <cellStyle name="Vírgula 5 2 4 2 3" xfId="26105"/>
    <cellStyle name="Vírgula 5 2 4 2 3 2" xfId="52338"/>
    <cellStyle name="Vírgula 5 2 4 2 4" xfId="20191"/>
    <cellStyle name="Vírgula 5 2 4 2 4 2" xfId="46430"/>
    <cellStyle name="Vírgula 5 2 4 2 5" xfId="14143"/>
    <cellStyle name="Vírgula 5 2 4 2 5 2" xfId="40385"/>
    <cellStyle name="Vírgula 5 2 4 2 6" xfId="33999"/>
    <cellStyle name="Vírgula 5 2 4 3" xfId="9380"/>
    <cellStyle name="Vírgula 5 2 4 3 2" xfId="27594"/>
    <cellStyle name="Vírgula 5 2 4 3 2 2" xfId="53824"/>
    <cellStyle name="Vírgula 5 2 4 3 3" xfId="21680"/>
    <cellStyle name="Vírgula 5 2 4 3 3 2" xfId="47916"/>
    <cellStyle name="Vírgula 5 2 4 3 4" xfId="15766"/>
    <cellStyle name="Vírgula 5 2 4 3 4 2" xfId="42008"/>
    <cellStyle name="Vírgula 5 2 4 3 5" xfId="35622"/>
    <cellStyle name="Vírgula 5 2 4 4" xfId="6054"/>
    <cellStyle name="Vírgula 5 2 4 4 2" xfId="24637"/>
    <cellStyle name="Vírgula 5 2 4 4 2 2" xfId="50870"/>
    <cellStyle name="Vírgula 5 2 4 4 3" xfId="32299"/>
    <cellStyle name="Vírgula 5 2 4 5" xfId="18723"/>
    <cellStyle name="Vírgula 5 2 4 5 2" xfId="44962"/>
    <cellStyle name="Vírgula 5 2 4 6" xfId="12442"/>
    <cellStyle name="Vírgula 5 2 4 6 2" xfId="38684"/>
    <cellStyle name="Vírgula 5 2 4 7" xfId="30602"/>
    <cellStyle name="Vírgula 5 2 5" xfId="4461"/>
    <cellStyle name="Vírgula 5 2 5 2" xfId="7863"/>
    <cellStyle name="Vírgula 5 2 5 2 2" xfId="10910"/>
    <cellStyle name="Vírgula 5 2 5 2 2 2" xfId="29124"/>
    <cellStyle name="Vírgula 5 2 5 2 2 2 2" xfId="55354"/>
    <cellStyle name="Vírgula 5 2 5 2 2 3" xfId="23210"/>
    <cellStyle name="Vírgula 5 2 5 2 2 3 2" xfId="49446"/>
    <cellStyle name="Vírgula 5 2 5 2 2 4" xfId="17296"/>
    <cellStyle name="Vírgula 5 2 5 2 2 4 2" xfId="43538"/>
    <cellStyle name="Vírgula 5 2 5 2 2 5" xfId="37152"/>
    <cellStyle name="Vírgula 5 2 5 2 3" xfId="26167"/>
    <cellStyle name="Vírgula 5 2 5 2 3 2" xfId="52400"/>
    <cellStyle name="Vírgula 5 2 5 2 4" xfId="20253"/>
    <cellStyle name="Vírgula 5 2 5 2 4 2" xfId="46492"/>
    <cellStyle name="Vírgula 5 2 5 2 5" xfId="14252"/>
    <cellStyle name="Vírgula 5 2 5 2 5 2" xfId="40494"/>
    <cellStyle name="Vírgula 5 2 5 2 6" xfId="34108"/>
    <cellStyle name="Vírgula 5 2 5 3" xfId="9442"/>
    <cellStyle name="Vírgula 5 2 5 3 2" xfId="27656"/>
    <cellStyle name="Vírgula 5 2 5 3 2 2" xfId="53886"/>
    <cellStyle name="Vírgula 5 2 5 3 3" xfId="21742"/>
    <cellStyle name="Vírgula 5 2 5 3 3 2" xfId="47978"/>
    <cellStyle name="Vírgula 5 2 5 3 4" xfId="15828"/>
    <cellStyle name="Vírgula 5 2 5 3 4 2" xfId="42070"/>
    <cellStyle name="Vírgula 5 2 5 3 5" xfId="35684"/>
    <cellStyle name="Vírgula 5 2 5 4" xfId="6163"/>
    <cellStyle name="Vírgula 5 2 5 4 2" xfId="24699"/>
    <cellStyle name="Vírgula 5 2 5 4 2 2" xfId="50932"/>
    <cellStyle name="Vírgula 5 2 5 4 3" xfId="32408"/>
    <cellStyle name="Vírgula 5 2 5 5" xfId="18785"/>
    <cellStyle name="Vírgula 5 2 5 5 2" xfId="45024"/>
    <cellStyle name="Vírgula 5 2 5 6" xfId="12551"/>
    <cellStyle name="Vírgula 5 2 5 6 2" xfId="38793"/>
    <cellStyle name="Vírgula 5 2 5 7" xfId="30710"/>
    <cellStyle name="Vírgula 5 2 6" xfId="4569"/>
    <cellStyle name="Vírgula 5 2 6 2" xfId="7971"/>
    <cellStyle name="Vírgula 5 2 6 2 2" xfId="10972"/>
    <cellStyle name="Vírgula 5 2 6 2 2 2" xfId="29186"/>
    <cellStyle name="Vírgula 5 2 6 2 2 2 2" xfId="55416"/>
    <cellStyle name="Vírgula 5 2 6 2 2 3" xfId="23272"/>
    <cellStyle name="Vírgula 5 2 6 2 2 3 2" xfId="49508"/>
    <cellStyle name="Vírgula 5 2 6 2 2 4" xfId="17358"/>
    <cellStyle name="Vírgula 5 2 6 2 2 4 2" xfId="43600"/>
    <cellStyle name="Vírgula 5 2 6 2 2 5" xfId="37214"/>
    <cellStyle name="Vírgula 5 2 6 2 3" xfId="26229"/>
    <cellStyle name="Vírgula 5 2 6 2 3 2" xfId="52462"/>
    <cellStyle name="Vírgula 5 2 6 2 4" xfId="20315"/>
    <cellStyle name="Vírgula 5 2 6 2 4 2" xfId="46554"/>
    <cellStyle name="Vírgula 5 2 6 2 5" xfId="14360"/>
    <cellStyle name="Vírgula 5 2 6 2 5 2" xfId="40602"/>
    <cellStyle name="Vírgula 5 2 6 2 6" xfId="34216"/>
    <cellStyle name="Vírgula 5 2 6 3" xfId="9504"/>
    <cellStyle name="Vírgula 5 2 6 3 2" xfId="27718"/>
    <cellStyle name="Vírgula 5 2 6 3 2 2" xfId="53948"/>
    <cellStyle name="Vírgula 5 2 6 3 3" xfId="21804"/>
    <cellStyle name="Vírgula 5 2 6 3 3 2" xfId="48040"/>
    <cellStyle name="Vírgula 5 2 6 3 4" xfId="15890"/>
    <cellStyle name="Vírgula 5 2 6 3 4 2" xfId="42132"/>
    <cellStyle name="Vírgula 5 2 6 3 5" xfId="35746"/>
    <cellStyle name="Vírgula 5 2 6 4" xfId="6270"/>
    <cellStyle name="Vírgula 5 2 6 4 2" xfId="24761"/>
    <cellStyle name="Vírgula 5 2 6 4 2 2" xfId="50994"/>
    <cellStyle name="Vírgula 5 2 6 4 3" xfId="32515"/>
    <cellStyle name="Vírgula 5 2 6 5" xfId="18847"/>
    <cellStyle name="Vírgula 5 2 6 5 2" xfId="45086"/>
    <cellStyle name="Vírgula 5 2 6 6" xfId="12659"/>
    <cellStyle name="Vírgula 5 2 6 6 2" xfId="38901"/>
    <cellStyle name="Vírgula 5 2 6 7" xfId="30818"/>
    <cellStyle name="Vírgula 5 2 7" xfId="5977"/>
    <cellStyle name="Vírgula 5 2 7 2" xfId="7677"/>
    <cellStyle name="Vírgula 5 2 7 2 2" xfId="10805"/>
    <cellStyle name="Vírgula 5 2 7 2 2 2" xfId="29019"/>
    <cellStyle name="Vírgula 5 2 7 2 2 2 2" xfId="55249"/>
    <cellStyle name="Vírgula 5 2 7 2 2 3" xfId="23105"/>
    <cellStyle name="Vírgula 5 2 7 2 2 3 2" xfId="49341"/>
    <cellStyle name="Vírgula 5 2 7 2 2 4" xfId="17191"/>
    <cellStyle name="Vírgula 5 2 7 2 2 4 2" xfId="43433"/>
    <cellStyle name="Vírgula 5 2 7 2 2 5" xfId="37047"/>
    <cellStyle name="Vírgula 5 2 7 2 3" xfId="26062"/>
    <cellStyle name="Vírgula 5 2 7 2 3 2" xfId="52295"/>
    <cellStyle name="Vírgula 5 2 7 2 4" xfId="20148"/>
    <cellStyle name="Vírgula 5 2 7 2 4 2" xfId="46387"/>
    <cellStyle name="Vírgula 5 2 7 2 5" xfId="14066"/>
    <cellStyle name="Vírgula 5 2 7 2 5 2" xfId="40308"/>
    <cellStyle name="Vírgula 5 2 7 2 6" xfId="33922"/>
    <cellStyle name="Vírgula 5 2 7 3" xfId="9337"/>
    <cellStyle name="Vírgula 5 2 7 3 2" xfId="27551"/>
    <cellStyle name="Vírgula 5 2 7 3 2 2" xfId="53781"/>
    <cellStyle name="Vírgula 5 2 7 3 3" xfId="21637"/>
    <cellStyle name="Vírgula 5 2 7 3 3 2" xfId="47873"/>
    <cellStyle name="Vírgula 5 2 7 3 4" xfId="15723"/>
    <cellStyle name="Vírgula 5 2 7 3 4 2" xfId="41965"/>
    <cellStyle name="Vírgula 5 2 7 3 5" xfId="35579"/>
    <cellStyle name="Vírgula 5 2 7 4" xfId="24594"/>
    <cellStyle name="Vírgula 5 2 7 4 2" xfId="50827"/>
    <cellStyle name="Vírgula 5 2 7 5" xfId="18680"/>
    <cellStyle name="Vírgula 5 2 7 5 2" xfId="44919"/>
    <cellStyle name="Vírgula 5 2 7 6" xfId="12365"/>
    <cellStyle name="Vírgula 5 2 7 6 2" xfId="38607"/>
    <cellStyle name="Vírgula 5 2 7 7" xfId="32222"/>
    <cellStyle name="Vírgula 5 2 8" xfId="6379"/>
    <cellStyle name="Vírgula 5 2 8 2" xfId="9566"/>
    <cellStyle name="Vírgula 5 2 8 2 2" xfId="27780"/>
    <cellStyle name="Vírgula 5 2 8 2 2 2" xfId="54010"/>
    <cellStyle name="Vírgula 5 2 8 2 3" xfId="21866"/>
    <cellStyle name="Vírgula 5 2 8 2 3 2" xfId="48102"/>
    <cellStyle name="Vírgula 5 2 8 2 4" xfId="15952"/>
    <cellStyle name="Vírgula 5 2 8 2 4 2" xfId="42194"/>
    <cellStyle name="Vírgula 5 2 8 2 5" xfId="35808"/>
    <cellStyle name="Vírgula 5 2 8 3" xfId="24823"/>
    <cellStyle name="Vírgula 5 2 8 3 2" xfId="51056"/>
    <cellStyle name="Vírgula 5 2 8 4" xfId="18909"/>
    <cellStyle name="Vírgula 5 2 8 4 2" xfId="45148"/>
    <cellStyle name="Vírgula 5 2 8 5" xfId="12768"/>
    <cellStyle name="Vírgula 5 2 8 5 2" xfId="39010"/>
    <cellStyle name="Vírgula 5 2 8 6" xfId="32624"/>
    <cellStyle name="Vírgula 5 2 9" xfId="8071"/>
    <cellStyle name="Vírgula 5 2 9 2" xfId="11030"/>
    <cellStyle name="Vírgula 5 2 9 2 2" xfId="29244"/>
    <cellStyle name="Vírgula 5 2 9 2 2 2" xfId="55474"/>
    <cellStyle name="Vírgula 5 2 9 2 3" xfId="23330"/>
    <cellStyle name="Vírgula 5 2 9 2 3 2" xfId="49566"/>
    <cellStyle name="Vírgula 5 2 9 2 4" xfId="17416"/>
    <cellStyle name="Vírgula 5 2 9 2 4 2" xfId="43658"/>
    <cellStyle name="Vírgula 5 2 9 2 5" xfId="37272"/>
    <cellStyle name="Vírgula 5 2 9 3" xfId="26287"/>
    <cellStyle name="Vírgula 5 2 9 3 2" xfId="52520"/>
    <cellStyle name="Vírgula 5 2 9 4" xfId="20373"/>
    <cellStyle name="Vírgula 5 2 9 4 2" xfId="46612"/>
    <cellStyle name="Vírgula 5 2 9 5" xfId="14460"/>
    <cellStyle name="Vírgula 5 2 9 5 2" xfId="40702"/>
    <cellStyle name="Vírgula 5 2 9 6" xfId="34316"/>
    <cellStyle name="Vírgula 5 3" xfId="4296"/>
    <cellStyle name="Vírgula 5 3 10" xfId="11087"/>
    <cellStyle name="Vírgula 5 3 10 2" xfId="37329"/>
    <cellStyle name="Vírgula 5 3 11" xfId="30545"/>
    <cellStyle name="Vírgula 5 3 2" xfId="4373"/>
    <cellStyle name="Vírgula 5 3 2 2" xfId="7774"/>
    <cellStyle name="Vírgula 5 3 2 2 2" xfId="10859"/>
    <cellStyle name="Vírgula 5 3 2 2 2 2" xfId="29073"/>
    <cellStyle name="Vírgula 5 3 2 2 2 2 2" xfId="55303"/>
    <cellStyle name="Vírgula 5 3 2 2 2 3" xfId="23159"/>
    <cellStyle name="Vírgula 5 3 2 2 2 3 2" xfId="49395"/>
    <cellStyle name="Vírgula 5 3 2 2 2 4" xfId="17245"/>
    <cellStyle name="Vírgula 5 3 2 2 2 4 2" xfId="43487"/>
    <cellStyle name="Vírgula 5 3 2 2 2 5" xfId="37101"/>
    <cellStyle name="Vírgula 5 3 2 2 3" xfId="26116"/>
    <cellStyle name="Vírgula 5 3 2 2 3 2" xfId="52349"/>
    <cellStyle name="Vírgula 5 3 2 2 4" xfId="20202"/>
    <cellStyle name="Vírgula 5 3 2 2 4 2" xfId="46441"/>
    <cellStyle name="Vírgula 5 3 2 2 5" xfId="14163"/>
    <cellStyle name="Vírgula 5 3 2 2 5 2" xfId="40405"/>
    <cellStyle name="Vírgula 5 3 2 2 6" xfId="34019"/>
    <cellStyle name="Vírgula 5 3 2 3" xfId="9391"/>
    <cellStyle name="Vírgula 5 3 2 3 2" xfId="27605"/>
    <cellStyle name="Vírgula 5 3 2 3 2 2" xfId="53835"/>
    <cellStyle name="Vírgula 5 3 2 3 3" xfId="21691"/>
    <cellStyle name="Vírgula 5 3 2 3 3 2" xfId="47927"/>
    <cellStyle name="Vírgula 5 3 2 3 4" xfId="15777"/>
    <cellStyle name="Vírgula 5 3 2 3 4 2" xfId="42019"/>
    <cellStyle name="Vírgula 5 3 2 3 5" xfId="35633"/>
    <cellStyle name="Vírgula 5 3 2 4" xfId="6074"/>
    <cellStyle name="Vírgula 5 3 2 4 2" xfId="24648"/>
    <cellStyle name="Vírgula 5 3 2 4 2 2" xfId="50881"/>
    <cellStyle name="Vírgula 5 3 2 4 3" xfId="32319"/>
    <cellStyle name="Vírgula 5 3 2 5" xfId="18734"/>
    <cellStyle name="Vírgula 5 3 2 5 2" xfId="44973"/>
    <cellStyle name="Vírgula 5 3 2 6" xfId="12462"/>
    <cellStyle name="Vírgula 5 3 2 6 2" xfId="38704"/>
    <cellStyle name="Vírgula 5 3 2 7" xfId="30622"/>
    <cellStyle name="Vírgula 5 3 3" xfId="4481"/>
    <cellStyle name="Vírgula 5 3 3 2" xfId="7883"/>
    <cellStyle name="Vírgula 5 3 3 2 2" xfId="10921"/>
    <cellStyle name="Vírgula 5 3 3 2 2 2" xfId="29135"/>
    <cellStyle name="Vírgula 5 3 3 2 2 2 2" xfId="55365"/>
    <cellStyle name="Vírgula 5 3 3 2 2 3" xfId="23221"/>
    <cellStyle name="Vírgula 5 3 3 2 2 3 2" xfId="49457"/>
    <cellStyle name="Vírgula 5 3 3 2 2 4" xfId="17307"/>
    <cellStyle name="Vírgula 5 3 3 2 2 4 2" xfId="43549"/>
    <cellStyle name="Vírgula 5 3 3 2 2 5" xfId="37163"/>
    <cellStyle name="Vírgula 5 3 3 2 3" xfId="26178"/>
    <cellStyle name="Vírgula 5 3 3 2 3 2" xfId="52411"/>
    <cellStyle name="Vírgula 5 3 3 2 4" xfId="20264"/>
    <cellStyle name="Vírgula 5 3 3 2 4 2" xfId="46503"/>
    <cellStyle name="Vírgula 5 3 3 2 5" xfId="14272"/>
    <cellStyle name="Vírgula 5 3 3 2 5 2" xfId="40514"/>
    <cellStyle name="Vírgula 5 3 3 2 6" xfId="34128"/>
    <cellStyle name="Vírgula 5 3 3 3" xfId="9453"/>
    <cellStyle name="Vírgula 5 3 3 3 2" xfId="27667"/>
    <cellStyle name="Vírgula 5 3 3 3 2 2" xfId="53897"/>
    <cellStyle name="Vírgula 5 3 3 3 3" xfId="21753"/>
    <cellStyle name="Vírgula 5 3 3 3 3 2" xfId="47989"/>
    <cellStyle name="Vírgula 5 3 3 3 4" xfId="15839"/>
    <cellStyle name="Vírgula 5 3 3 3 4 2" xfId="42081"/>
    <cellStyle name="Vírgula 5 3 3 3 5" xfId="35695"/>
    <cellStyle name="Vírgula 5 3 3 4" xfId="6183"/>
    <cellStyle name="Vírgula 5 3 3 4 2" xfId="24710"/>
    <cellStyle name="Vírgula 5 3 3 4 2 2" xfId="50943"/>
    <cellStyle name="Vírgula 5 3 3 4 3" xfId="32428"/>
    <cellStyle name="Vírgula 5 3 3 5" xfId="18796"/>
    <cellStyle name="Vírgula 5 3 3 5 2" xfId="45035"/>
    <cellStyle name="Vírgula 5 3 3 6" xfId="12571"/>
    <cellStyle name="Vírgula 5 3 3 6 2" xfId="38813"/>
    <cellStyle name="Vírgula 5 3 3 7" xfId="30730"/>
    <cellStyle name="Vírgula 5 3 4" xfId="4589"/>
    <cellStyle name="Vírgula 5 3 4 2" xfId="7991"/>
    <cellStyle name="Vírgula 5 3 4 2 2" xfId="10983"/>
    <cellStyle name="Vírgula 5 3 4 2 2 2" xfId="29197"/>
    <cellStyle name="Vírgula 5 3 4 2 2 2 2" xfId="55427"/>
    <cellStyle name="Vírgula 5 3 4 2 2 3" xfId="23283"/>
    <cellStyle name="Vírgula 5 3 4 2 2 3 2" xfId="49519"/>
    <cellStyle name="Vírgula 5 3 4 2 2 4" xfId="17369"/>
    <cellStyle name="Vírgula 5 3 4 2 2 4 2" xfId="43611"/>
    <cellStyle name="Vírgula 5 3 4 2 2 5" xfId="37225"/>
    <cellStyle name="Vírgula 5 3 4 2 3" xfId="26240"/>
    <cellStyle name="Vírgula 5 3 4 2 3 2" xfId="52473"/>
    <cellStyle name="Vírgula 5 3 4 2 4" xfId="20326"/>
    <cellStyle name="Vírgula 5 3 4 2 4 2" xfId="46565"/>
    <cellStyle name="Vírgula 5 3 4 2 5" xfId="14380"/>
    <cellStyle name="Vírgula 5 3 4 2 5 2" xfId="40622"/>
    <cellStyle name="Vírgula 5 3 4 2 6" xfId="34236"/>
    <cellStyle name="Vírgula 5 3 4 3" xfId="9515"/>
    <cellStyle name="Vírgula 5 3 4 3 2" xfId="27729"/>
    <cellStyle name="Vírgula 5 3 4 3 2 2" xfId="53959"/>
    <cellStyle name="Vírgula 5 3 4 3 3" xfId="21815"/>
    <cellStyle name="Vírgula 5 3 4 3 3 2" xfId="48051"/>
    <cellStyle name="Vírgula 5 3 4 3 4" xfId="15901"/>
    <cellStyle name="Vírgula 5 3 4 3 4 2" xfId="42143"/>
    <cellStyle name="Vírgula 5 3 4 3 5" xfId="35757"/>
    <cellStyle name="Vírgula 5 3 4 4" xfId="6290"/>
    <cellStyle name="Vírgula 5 3 4 4 2" xfId="24772"/>
    <cellStyle name="Vírgula 5 3 4 4 2 2" xfId="51005"/>
    <cellStyle name="Vírgula 5 3 4 4 3" xfId="32535"/>
    <cellStyle name="Vírgula 5 3 4 5" xfId="18858"/>
    <cellStyle name="Vírgula 5 3 4 5 2" xfId="45097"/>
    <cellStyle name="Vírgula 5 3 4 6" xfId="12679"/>
    <cellStyle name="Vírgula 5 3 4 6 2" xfId="38921"/>
    <cellStyle name="Vírgula 5 3 4 7" xfId="30838"/>
    <cellStyle name="Vírgula 5 3 5" xfId="5997"/>
    <cellStyle name="Vírgula 5 3 5 2" xfId="7697"/>
    <cellStyle name="Vírgula 5 3 5 2 2" xfId="10816"/>
    <cellStyle name="Vírgula 5 3 5 2 2 2" xfId="29030"/>
    <cellStyle name="Vírgula 5 3 5 2 2 2 2" xfId="55260"/>
    <cellStyle name="Vírgula 5 3 5 2 2 3" xfId="23116"/>
    <cellStyle name="Vírgula 5 3 5 2 2 3 2" xfId="49352"/>
    <cellStyle name="Vírgula 5 3 5 2 2 4" xfId="17202"/>
    <cellStyle name="Vírgula 5 3 5 2 2 4 2" xfId="43444"/>
    <cellStyle name="Vírgula 5 3 5 2 2 5" xfId="37058"/>
    <cellStyle name="Vírgula 5 3 5 2 3" xfId="26073"/>
    <cellStyle name="Vírgula 5 3 5 2 3 2" xfId="52306"/>
    <cellStyle name="Vírgula 5 3 5 2 4" xfId="20159"/>
    <cellStyle name="Vírgula 5 3 5 2 4 2" xfId="46398"/>
    <cellStyle name="Vírgula 5 3 5 2 5" xfId="14086"/>
    <cellStyle name="Vírgula 5 3 5 2 5 2" xfId="40328"/>
    <cellStyle name="Vírgula 5 3 5 2 6" xfId="33942"/>
    <cellStyle name="Vírgula 5 3 5 3" xfId="9348"/>
    <cellStyle name="Vírgula 5 3 5 3 2" xfId="27562"/>
    <cellStyle name="Vírgula 5 3 5 3 2 2" xfId="53792"/>
    <cellStyle name="Vírgula 5 3 5 3 3" xfId="21648"/>
    <cellStyle name="Vírgula 5 3 5 3 3 2" xfId="47884"/>
    <cellStyle name="Vírgula 5 3 5 3 4" xfId="15734"/>
    <cellStyle name="Vírgula 5 3 5 3 4 2" xfId="41976"/>
    <cellStyle name="Vírgula 5 3 5 3 5" xfId="35590"/>
    <cellStyle name="Vírgula 5 3 5 4" xfId="24605"/>
    <cellStyle name="Vírgula 5 3 5 4 2" xfId="50838"/>
    <cellStyle name="Vírgula 5 3 5 5" xfId="18691"/>
    <cellStyle name="Vírgula 5 3 5 5 2" xfId="44930"/>
    <cellStyle name="Vírgula 5 3 5 6" xfId="12385"/>
    <cellStyle name="Vírgula 5 3 5 6 2" xfId="38627"/>
    <cellStyle name="Vírgula 5 3 5 7" xfId="32242"/>
    <cellStyle name="Vírgula 5 3 6" xfId="6399"/>
    <cellStyle name="Vírgula 5 3 6 2" xfId="9577"/>
    <cellStyle name="Vírgula 5 3 6 2 2" xfId="27791"/>
    <cellStyle name="Vírgula 5 3 6 2 2 2" xfId="54021"/>
    <cellStyle name="Vírgula 5 3 6 2 3" xfId="21877"/>
    <cellStyle name="Vírgula 5 3 6 2 3 2" xfId="48113"/>
    <cellStyle name="Vírgula 5 3 6 2 4" xfId="15963"/>
    <cellStyle name="Vírgula 5 3 6 2 4 2" xfId="42205"/>
    <cellStyle name="Vírgula 5 3 6 2 5" xfId="35819"/>
    <cellStyle name="Vírgula 5 3 6 3" xfId="24834"/>
    <cellStyle name="Vírgula 5 3 6 3 2" xfId="51067"/>
    <cellStyle name="Vírgula 5 3 6 4" xfId="18920"/>
    <cellStyle name="Vírgula 5 3 6 4 2" xfId="45159"/>
    <cellStyle name="Vírgula 5 3 6 5" xfId="12788"/>
    <cellStyle name="Vírgula 5 3 6 5 2" xfId="39030"/>
    <cellStyle name="Vírgula 5 3 6 6" xfId="32644"/>
    <cellStyle name="Vírgula 5 3 7" xfId="8106"/>
    <cellStyle name="Vírgula 5 3 7 2" xfId="26320"/>
    <cellStyle name="Vírgula 5 3 7 2 2" xfId="52553"/>
    <cellStyle name="Vírgula 5 3 7 3" xfId="20406"/>
    <cellStyle name="Vírgula 5 3 7 3 2" xfId="46645"/>
    <cellStyle name="Vírgula 5 3 7 4" xfId="14495"/>
    <cellStyle name="Vírgula 5 3 7 4 2" xfId="40737"/>
    <cellStyle name="Vírgula 5 3 7 5" xfId="34351"/>
    <cellStyle name="Vírgula 5 3 8" xfId="4696"/>
    <cellStyle name="Vírgula 5 3 8 2" xfId="23363"/>
    <cellStyle name="Vírgula 5 3 8 2 2" xfId="49599"/>
    <cellStyle name="Vírgula 5 3 8 3" xfId="30945"/>
    <cellStyle name="Vírgula 5 3 9" xfId="17449"/>
    <cellStyle name="Vírgula 5 3 9 2" xfId="43691"/>
    <cellStyle name="Vírgula 5 4" xfId="4261"/>
    <cellStyle name="Vírgula 5 4 10" xfId="11119"/>
    <cellStyle name="Vírgula 5 4 10 2" xfId="37361"/>
    <cellStyle name="Vírgula 5 4 11" xfId="30510"/>
    <cellStyle name="Vírgula 5 4 2" xfId="4405"/>
    <cellStyle name="Vírgula 5 4 2 2" xfId="7806"/>
    <cellStyle name="Vírgula 5 4 2 2 2" xfId="10878"/>
    <cellStyle name="Vírgula 5 4 2 2 2 2" xfId="29092"/>
    <cellStyle name="Vírgula 5 4 2 2 2 2 2" xfId="55322"/>
    <cellStyle name="Vírgula 5 4 2 2 2 3" xfId="23178"/>
    <cellStyle name="Vírgula 5 4 2 2 2 3 2" xfId="49414"/>
    <cellStyle name="Vírgula 5 4 2 2 2 4" xfId="17264"/>
    <cellStyle name="Vírgula 5 4 2 2 2 4 2" xfId="43506"/>
    <cellStyle name="Vírgula 5 4 2 2 2 5" xfId="37120"/>
    <cellStyle name="Vírgula 5 4 2 2 3" xfId="26135"/>
    <cellStyle name="Vírgula 5 4 2 2 3 2" xfId="52368"/>
    <cellStyle name="Vírgula 5 4 2 2 4" xfId="20221"/>
    <cellStyle name="Vírgula 5 4 2 2 4 2" xfId="46460"/>
    <cellStyle name="Vírgula 5 4 2 2 5" xfId="14195"/>
    <cellStyle name="Vírgula 5 4 2 2 5 2" xfId="40437"/>
    <cellStyle name="Vírgula 5 4 2 2 6" xfId="34051"/>
    <cellStyle name="Vírgula 5 4 2 3" xfId="9410"/>
    <cellStyle name="Vírgula 5 4 2 3 2" xfId="27624"/>
    <cellStyle name="Vírgula 5 4 2 3 2 2" xfId="53854"/>
    <cellStyle name="Vírgula 5 4 2 3 3" xfId="21710"/>
    <cellStyle name="Vírgula 5 4 2 3 3 2" xfId="47946"/>
    <cellStyle name="Vírgula 5 4 2 3 4" xfId="15796"/>
    <cellStyle name="Vírgula 5 4 2 3 4 2" xfId="42038"/>
    <cellStyle name="Vírgula 5 4 2 3 5" xfId="35652"/>
    <cellStyle name="Vírgula 5 4 2 4" xfId="6106"/>
    <cellStyle name="Vírgula 5 4 2 4 2" xfId="24667"/>
    <cellStyle name="Vírgula 5 4 2 4 2 2" xfId="50900"/>
    <cellStyle name="Vírgula 5 4 2 4 3" xfId="32351"/>
    <cellStyle name="Vírgula 5 4 2 5" xfId="18753"/>
    <cellStyle name="Vírgula 5 4 2 5 2" xfId="44992"/>
    <cellStyle name="Vírgula 5 4 2 6" xfId="12494"/>
    <cellStyle name="Vírgula 5 4 2 6 2" xfId="38736"/>
    <cellStyle name="Vírgula 5 4 2 7" xfId="30654"/>
    <cellStyle name="Vírgula 5 4 3" xfId="4513"/>
    <cellStyle name="Vírgula 5 4 3 2" xfId="7915"/>
    <cellStyle name="Vírgula 5 4 3 2 2" xfId="10940"/>
    <cellStyle name="Vírgula 5 4 3 2 2 2" xfId="29154"/>
    <cellStyle name="Vírgula 5 4 3 2 2 2 2" xfId="55384"/>
    <cellStyle name="Vírgula 5 4 3 2 2 3" xfId="23240"/>
    <cellStyle name="Vírgula 5 4 3 2 2 3 2" xfId="49476"/>
    <cellStyle name="Vírgula 5 4 3 2 2 4" xfId="17326"/>
    <cellStyle name="Vírgula 5 4 3 2 2 4 2" xfId="43568"/>
    <cellStyle name="Vírgula 5 4 3 2 2 5" xfId="37182"/>
    <cellStyle name="Vírgula 5 4 3 2 3" xfId="26197"/>
    <cellStyle name="Vírgula 5 4 3 2 3 2" xfId="52430"/>
    <cellStyle name="Vírgula 5 4 3 2 4" xfId="20283"/>
    <cellStyle name="Vírgula 5 4 3 2 4 2" xfId="46522"/>
    <cellStyle name="Vírgula 5 4 3 2 5" xfId="14304"/>
    <cellStyle name="Vírgula 5 4 3 2 5 2" xfId="40546"/>
    <cellStyle name="Vírgula 5 4 3 2 6" xfId="34160"/>
    <cellStyle name="Vírgula 5 4 3 3" xfId="9472"/>
    <cellStyle name="Vírgula 5 4 3 3 2" xfId="27686"/>
    <cellStyle name="Vírgula 5 4 3 3 2 2" xfId="53916"/>
    <cellStyle name="Vírgula 5 4 3 3 3" xfId="21772"/>
    <cellStyle name="Vírgula 5 4 3 3 3 2" xfId="48008"/>
    <cellStyle name="Vírgula 5 4 3 3 4" xfId="15858"/>
    <cellStyle name="Vírgula 5 4 3 3 4 2" xfId="42100"/>
    <cellStyle name="Vírgula 5 4 3 3 5" xfId="35714"/>
    <cellStyle name="Vírgula 5 4 3 4" xfId="6214"/>
    <cellStyle name="Vírgula 5 4 3 4 2" xfId="24729"/>
    <cellStyle name="Vírgula 5 4 3 4 2 2" xfId="50962"/>
    <cellStyle name="Vírgula 5 4 3 4 3" xfId="32459"/>
    <cellStyle name="Vírgula 5 4 3 5" xfId="18815"/>
    <cellStyle name="Vírgula 5 4 3 5 2" xfId="45054"/>
    <cellStyle name="Vírgula 5 4 3 6" xfId="12603"/>
    <cellStyle name="Vírgula 5 4 3 6 2" xfId="38845"/>
    <cellStyle name="Vírgula 5 4 3 7" xfId="30762"/>
    <cellStyle name="Vírgula 5 4 4" xfId="4621"/>
    <cellStyle name="Vírgula 5 4 4 2" xfId="8023"/>
    <cellStyle name="Vírgula 5 4 4 2 2" xfId="11002"/>
    <cellStyle name="Vírgula 5 4 4 2 2 2" xfId="29216"/>
    <cellStyle name="Vírgula 5 4 4 2 2 2 2" xfId="55446"/>
    <cellStyle name="Vírgula 5 4 4 2 2 3" xfId="23302"/>
    <cellStyle name="Vírgula 5 4 4 2 2 3 2" xfId="49538"/>
    <cellStyle name="Vírgula 5 4 4 2 2 4" xfId="17388"/>
    <cellStyle name="Vírgula 5 4 4 2 2 4 2" xfId="43630"/>
    <cellStyle name="Vírgula 5 4 4 2 2 5" xfId="37244"/>
    <cellStyle name="Vírgula 5 4 4 2 3" xfId="26259"/>
    <cellStyle name="Vírgula 5 4 4 2 3 2" xfId="52492"/>
    <cellStyle name="Vírgula 5 4 4 2 4" xfId="20345"/>
    <cellStyle name="Vírgula 5 4 4 2 4 2" xfId="46584"/>
    <cellStyle name="Vírgula 5 4 4 2 5" xfId="14412"/>
    <cellStyle name="Vírgula 5 4 4 2 5 2" xfId="40654"/>
    <cellStyle name="Vírgula 5 4 4 2 6" xfId="34268"/>
    <cellStyle name="Vírgula 5 4 4 3" xfId="9534"/>
    <cellStyle name="Vírgula 5 4 4 3 2" xfId="27748"/>
    <cellStyle name="Vírgula 5 4 4 3 2 2" xfId="53978"/>
    <cellStyle name="Vírgula 5 4 4 3 3" xfId="21834"/>
    <cellStyle name="Vírgula 5 4 4 3 3 2" xfId="48070"/>
    <cellStyle name="Vírgula 5 4 4 3 4" xfId="15920"/>
    <cellStyle name="Vírgula 5 4 4 3 4 2" xfId="42162"/>
    <cellStyle name="Vírgula 5 4 4 3 5" xfId="35776"/>
    <cellStyle name="Vírgula 5 4 4 4" xfId="6322"/>
    <cellStyle name="Vírgula 5 4 4 4 2" xfId="24791"/>
    <cellStyle name="Vírgula 5 4 4 4 2 2" xfId="51024"/>
    <cellStyle name="Vírgula 5 4 4 4 3" xfId="32567"/>
    <cellStyle name="Vírgula 5 4 4 5" xfId="18877"/>
    <cellStyle name="Vírgula 5 4 4 5 2" xfId="45116"/>
    <cellStyle name="Vírgula 5 4 4 6" xfId="12711"/>
    <cellStyle name="Vírgula 5 4 4 6 2" xfId="38953"/>
    <cellStyle name="Vírgula 5 4 4 7" xfId="30870"/>
    <cellStyle name="Vírgula 5 4 5" xfId="5961"/>
    <cellStyle name="Vírgula 5 4 5 2" xfId="7661"/>
    <cellStyle name="Vírgula 5 4 5 2 2" xfId="10796"/>
    <cellStyle name="Vírgula 5 4 5 2 2 2" xfId="29010"/>
    <cellStyle name="Vírgula 5 4 5 2 2 2 2" xfId="55240"/>
    <cellStyle name="Vírgula 5 4 5 2 2 3" xfId="23096"/>
    <cellStyle name="Vírgula 5 4 5 2 2 3 2" xfId="49332"/>
    <cellStyle name="Vírgula 5 4 5 2 2 4" xfId="17182"/>
    <cellStyle name="Vírgula 5 4 5 2 2 4 2" xfId="43424"/>
    <cellStyle name="Vírgula 5 4 5 2 2 5" xfId="37038"/>
    <cellStyle name="Vírgula 5 4 5 2 3" xfId="26053"/>
    <cellStyle name="Vírgula 5 4 5 2 3 2" xfId="52286"/>
    <cellStyle name="Vírgula 5 4 5 2 4" xfId="20139"/>
    <cellStyle name="Vírgula 5 4 5 2 4 2" xfId="46378"/>
    <cellStyle name="Vírgula 5 4 5 2 5" xfId="14050"/>
    <cellStyle name="Vírgula 5 4 5 2 5 2" xfId="40292"/>
    <cellStyle name="Vírgula 5 4 5 2 6" xfId="33906"/>
    <cellStyle name="Vírgula 5 4 5 3" xfId="9328"/>
    <cellStyle name="Vírgula 5 4 5 3 2" xfId="27542"/>
    <cellStyle name="Vírgula 5 4 5 3 2 2" xfId="53772"/>
    <cellStyle name="Vírgula 5 4 5 3 3" xfId="21628"/>
    <cellStyle name="Vírgula 5 4 5 3 3 2" xfId="47864"/>
    <cellStyle name="Vírgula 5 4 5 3 4" xfId="15714"/>
    <cellStyle name="Vírgula 5 4 5 3 4 2" xfId="41956"/>
    <cellStyle name="Vírgula 5 4 5 3 5" xfId="35570"/>
    <cellStyle name="Vírgula 5 4 5 4" xfId="24585"/>
    <cellStyle name="Vírgula 5 4 5 4 2" xfId="50818"/>
    <cellStyle name="Vírgula 5 4 5 5" xfId="18671"/>
    <cellStyle name="Vírgula 5 4 5 5 2" xfId="44910"/>
    <cellStyle name="Vírgula 5 4 5 6" xfId="12349"/>
    <cellStyle name="Vírgula 5 4 5 6 2" xfId="38591"/>
    <cellStyle name="Vírgula 5 4 5 7" xfId="32206"/>
    <cellStyle name="Vírgula 5 4 6" xfId="6431"/>
    <cellStyle name="Vírgula 5 4 6 2" xfId="9596"/>
    <cellStyle name="Vírgula 5 4 6 2 2" xfId="27810"/>
    <cellStyle name="Vírgula 5 4 6 2 2 2" xfId="54040"/>
    <cellStyle name="Vírgula 5 4 6 2 3" xfId="21896"/>
    <cellStyle name="Vírgula 5 4 6 2 3 2" xfId="48132"/>
    <cellStyle name="Vírgula 5 4 6 2 4" xfId="15982"/>
    <cellStyle name="Vírgula 5 4 6 2 4 2" xfId="42224"/>
    <cellStyle name="Vírgula 5 4 6 2 5" xfId="35838"/>
    <cellStyle name="Vírgula 5 4 6 3" xfId="24853"/>
    <cellStyle name="Vírgula 5 4 6 3 2" xfId="51086"/>
    <cellStyle name="Vírgula 5 4 6 4" xfId="18939"/>
    <cellStyle name="Vírgula 5 4 6 4 2" xfId="45178"/>
    <cellStyle name="Vírgula 5 4 6 5" xfId="12820"/>
    <cellStyle name="Vírgula 5 4 6 5 2" xfId="39062"/>
    <cellStyle name="Vírgula 5 4 6 6" xfId="32676"/>
    <cellStyle name="Vírgula 5 4 7" xfId="8125"/>
    <cellStyle name="Vírgula 5 4 7 2" xfId="26339"/>
    <cellStyle name="Vírgula 5 4 7 2 2" xfId="52572"/>
    <cellStyle name="Vírgula 5 4 7 3" xfId="20425"/>
    <cellStyle name="Vírgula 5 4 7 3 2" xfId="46664"/>
    <cellStyle name="Vírgula 5 4 7 4" xfId="14514"/>
    <cellStyle name="Vírgula 5 4 7 4 2" xfId="40756"/>
    <cellStyle name="Vírgula 5 4 7 5" xfId="34370"/>
    <cellStyle name="Vírgula 5 4 8" xfId="4728"/>
    <cellStyle name="Vírgula 5 4 8 2" xfId="23382"/>
    <cellStyle name="Vírgula 5 4 8 2 2" xfId="49618"/>
    <cellStyle name="Vírgula 5 4 8 3" xfId="30977"/>
    <cellStyle name="Vírgula 5 4 9" xfId="17468"/>
    <cellStyle name="Vírgula 5 4 9 2" xfId="43710"/>
    <cellStyle name="Vírgula 5 5" xfId="4337"/>
    <cellStyle name="Vírgula 5 5 2" xfId="7738"/>
    <cellStyle name="Vírgula 5 5 2 2" xfId="10839"/>
    <cellStyle name="Vírgula 5 5 2 2 2" xfId="29053"/>
    <cellStyle name="Vírgula 5 5 2 2 2 2" xfId="55283"/>
    <cellStyle name="Vírgula 5 5 2 2 3" xfId="23139"/>
    <cellStyle name="Vírgula 5 5 2 2 3 2" xfId="49375"/>
    <cellStyle name="Vírgula 5 5 2 2 4" xfId="17225"/>
    <cellStyle name="Vírgula 5 5 2 2 4 2" xfId="43467"/>
    <cellStyle name="Vírgula 5 5 2 2 5" xfId="37081"/>
    <cellStyle name="Vírgula 5 5 2 3" xfId="26096"/>
    <cellStyle name="Vírgula 5 5 2 3 2" xfId="52329"/>
    <cellStyle name="Vírgula 5 5 2 4" xfId="20182"/>
    <cellStyle name="Vírgula 5 5 2 4 2" xfId="46421"/>
    <cellStyle name="Vírgula 5 5 2 5" xfId="14127"/>
    <cellStyle name="Vírgula 5 5 2 5 2" xfId="40369"/>
    <cellStyle name="Vírgula 5 5 2 6" xfId="33983"/>
    <cellStyle name="Vírgula 5 5 3" xfId="9371"/>
    <cellStyle name="Vírgula 5 5 3 2" xfId="27585"/>
    <cellStyle name="Vírgula 5 5 3 2 2" xfId="53815"/>
    <cellStyle name="Vírgula 5 5 3 3" xfId="21671"/>
    <cellStyle name="Vírgula 5 5 3 3 2" xfId="47907"/>
    <cellStyle name="Vírgula 5 5 3 4" xfId="15757"/>
    <cellStyle name="Vírgula 5 5 3 4 2" xfId="41999"/>
    <cellStyle name="Vírgula 5 5 3 5" xfId="35613"/>
    <cellStyle name="Vírgula 5 5 4" xfId="6038"/>
    <cellStyle name="Vírgula 5 5 4 2" xfId="24628"/>
    <cellStyle name="Vírgula 5 5 4 2 2" xfId="50861"/>
    <cellStyle name="Vírgula 5 5 4 3" xfId="32283"/>
    <cellStyle name="Vírgula 5 5 5" xfId="18714"/>
    <cellStyle name="Vírgula 5 5 5 2" xfId="44953"/>
    <cellStyle name="Vírgula 5 5 6" xfId="12426"/>
    <cellStyle name="Vírgula 5 5 6 2" xfId="38668"/>
    <cellStyle name="Vírgula 5 5 7" xfId="30586"/>
    <cellStyle name="Vírgula 5 6" xfId="4445"/>
    <cellStyle name="Vírgula 5 6 2" xfId="7847"/>
    <cellStyle name="Vírgula 5 6 2 2" xfId="10901"/>
    <cellStyle name="Vírgula 5 6 2 2 2" xfId="29115"/>
    <cellStyle name="Vírgula 5 6 2 2 2 2" xfId="55345"/>
    <cellStyle name="Vírgula 5 6 2 2 3" xfId="23201"/>
    <cellStyle name="Vírgula 5 6 2 2 3 2" xfId="49437"/>
    <cellStyle name="Vírgula 5 6 2 2 4" xfId="17287"/>
    <cellStyle name="Vírgula 5 6 2 2 4 2" xfId="43529"/>
    <cellStyle name="Vírgula 5 6 2 2 5" xfId="37143"/>
    <cellStyle name="Vírgula 5 6 2 3" xfId="26158"/>
    <cellStyle name="Vírgula 5 6 2 3 2" xfId="52391"/>
    <cellStyle name="Vírgula 5 6 2 4" xfId="20244"/>
    <cellStyle name="Vírgula 5 6 2 4 2" xfId="46483"/>
    <cellStyle name="Vírgula 5 6 2 5" xfId="14236"/>
    <cellStyle name="Vírgula 5 6 2 5 2" xfId="40478"/>
    <cellStyle name="Vírgula 5 6 2 6" xfId="34092"/>
    <cellStyle name="Vírgula 5 6 3" xfId="9433"/>
    <cellStyle name="Vírgula 5 6 3 2" xfId="27647"/>
    <cellStyle name="Vírgula 5 6 3 2 2" xfId="53877"/>
    <cellStyle name="Vírgula 5 6 3 3" xfId="21733"/>
    <cellStyle name="Vírgula 5 6 3 3 2" xfId="47969"/>
    <cellStyle name="Vírgula 5 6 3 4" xfId="15819"/>
    <cellStyle name="Vírgula 5 6 3 4 2" xfId="42061"/>
    <cellStyle name="Vírgula 5 6 3 5" xfId="35675"/>
    <cellStyle name="Vírgula 5 6 4" xfId="6147"/>
    <cellStyle name="Vírgula 5 6 4 2" xfId="24690"/>
    <cellStyle name="Vírgula 5 6 4 2 2" xfId="50923"/>
    <cellStyle name="Vírgula 5 6 4 3" xfId="32392"/>
    <cellStyle name="Vírgula 5 6 5" xfId="18776"/>
    <cellStyle name="Vírgula 5 6 5 2" xfId="45015"/>
    <cellStyle name="Vírgula 5 6 6" xfId="12535"/>
    <cellStyle name="Vírgula 5 6 6 2" xfId="38777"/>
    <cellStyle name="Vírgula 5 6 7" xfId="30694"/>
    <cellStyle name="Vírgula 5 7" xfId="4553"/>
    <cellStyle name="Vírgula 5 7 2" xfId="7955"/>
    <cellStyle name="Vírgula 5 7 2 2" xfId="10963"/>
    <cellStyle name="Vírgula 5 7 2 2 2" xfId="29177"/>
    <cellStyle name="Vírgula 5 7 2 2 2 2" xfId="55407"/>
    <cellStyle name="Vírgula 5 7 2 2 3" xfId="23263"/>
    <cellStyle name="Vírgula 5 7 2 2 3 2" xfId="49499"/>
    <cellStyle name="Vírgula 5 7 2 2 4" xfId="17349"/>
    <cellStyle name="Vírgula 5 7 2 2 4 2" xfId="43591"/>
    <cellStyle name="Vírgula 5 7 2 2 5" xfId="37205"/>
    <cellStyle name="Vírgula 5 7 2 3" xfId="26220"/>
    <cellStyle name="Vírgula 5 7 2 3 2" xfId="52453"/>
    <cellStyle name="Vírgula 5 7 2 4" xfId="20306"/>
    <cellStyle name="Vírgula 5 7 2 4 2" xfId="46545"/>
    <cellStyle name="Vírgula 5 7 2 5" xfId="14344"/>
    <cellStyle name="Vírgula 5 7 2 5 2" xfId="40586"/>
    <cellStyle name="Vírgula 5 7 2 6" xfId="34200"/>
    <cellStyle name="Vírgula 5 7 3" xfId="9495"/>
    <cellStyle name="Vírgula 5 7 3 2" xfId="27709"/>
    <cellStyle name="Vírgula 5 7 3 2 2" xfId="53939"/>
    <cellStyle name="Vírgula 5 7 3 3" xfId="21795"/>
    <cellStyle name="Vírgula 5 7 3 3 2" xfId="48031"/>
    <cellStyle name="Vírgula 5 7 3 4" xfId="15881"/>
    <cellStyle name="Vírgula 5 7 3 4 2" xfId="42123"/>
    <cellStyle name="Vírgula 5 7 3 5" xfId="35737"/>
    <cellStyle name="Vírgula 5 7 4" xfId="6254"/>
    <cellStyle name="Vírgula 5 7 4 2" xfId="24752"/>
    <cellStyle name="Vírgula 5 7 4 2 2" xfId="50985"/>
    <cellStyle name="Vírgula 5 7 4 3" xfId="32499"/>
    <cellStyle name="Vírgula 5 7 5" xfId="18838"/>
    <cellStyle name="Vírgula 5 7 5 2" xfId="45077"/>
    <cellStyle name="Vírgula 5 7 6" xfId="12643"/>
    <cellStyle name="Vírgula 5 7 6 2" xfId="38885"/>
    <cellStyle name="Vírgula 5 7 7" xfId="30802"/>
    <cellStyle name="Vírgula 5 8" xfId="4908"/>
    <cellStyle name="Vírgula 5 8 2" xfId="6609"/>
    <cellStyle name="Vírgula 5 8 2 2" xfId="9756"/>
    <cellStyle name="Vírgula 5 8 2 2 2" xfId="27970"/>
    <cellStyle name="Vírgula 5 8 2 2 2 2" xfId="54200"/>
    <cellStyle name="Vírgula 5 8 2 2 3" xfId="22056"/>
    <cellStyle name="Vírgula 5 8 2 2 3 2" xfId="48292"/>
    <cellStyle name="Vírgula 5 8 2 2 4" xfId="16142"/>
    <cellStyle name="Vírgula 5 8 2 2 4 2" xfId="42384"/>
    <cellStyle name="Vírgula 5 8 2 2 5" xfId="35998"/>
    <cellStyle name="Vírgula 5 8 2 3" xfId="25013"/>
    <cellStyle name="Vírgula 5 8 2 3 2" xfId="51246"/>
    <cellStyle name="Vírgula 5 8 2 4" xfId="19099"/>
    <cellStyle name="Vírgula 5 8 2 4 2" xfId="45338"/>
    <cellStyle name="Vírgula 5 8 2 5" xfId="12998"/>
    <cellStyle name="Vírgula 5 8 2 5 2" xfId="39240"/>
    <cellStyle name="Vírgula 5 8 2 6" xfId="32854"/>
    <cellStyle name="Vírgula 5 8 3" xfId="8285"/>
    <cellStyle name="Vírgula 5 8 3 2" xfId="26499"/>
    <cellStyle name="Vírgula 5 8 3 2 2" xfId="52732"/>
    <cellStyle name="Vírgula 5 8 3 3" xfId="20585"/>
    <cellStyle name="Vírgula 5 8 3 3 2" xfId="46824"/>
    <cellStyle name="Vírgula 5 8 3 4" xfId="14674"/>
    <cellStyle name="Vírgula 5 8 3 4 2" xfId="40916"/>
    <cellStyle name="Vírgula 5 8 3 5" xfId="34530"/>
    <cellStyle name="Vírgula 5 8 4" xfId="23542"/>
    <cellStyle name="Vírgula 5 8 4 2" xfId="49778"/>
    <cellStyle name="Vírgula 5 8 5" xfId="17628"/>
    <cellStyle name="Vírgula 5 8 5 2" xfId="43870"/>
    <cellStyle name="Vírgula 5 8 6" xfId="11297"/>
    <cellStyle name="Vírgula 5 8 6 2" xfId="37539"/>
    <cellStyle name="Vírgula 5 8 7" xfId="31155"/>
    <cellStyle name="Vírgula 5 9" xfId="6363"/>
    <cellStyle name="Vírgula 5 9 2" xfId="9557"/>
    <cellStyle name="Vírgula 5 9 2 2" xfId="27771"/>
    <cellStyle name="Vírgula 5 9 2 2 2" xfId="54001"/>
    <cellStyle name="Vírgula 5 9 2 3" xfId="21857"/>
    <cellStyle name="Vírgula 5 9 2 3 2" xfId="48093"/>
    <cellStyle name="Vírgula 5 9 2 4" xfId="15943"/>
    <cellStyle name="Vírgula 5 9 2 4 2" xfId="42185"/>
    <cellStyle name="Vírgula 5 9 2 5" xfId="35799"/>
    <cellStyle name="Vírgula 5 9 3" xfId="24814"/>
    <cellStyle name="Vírgula 5 9 3 2" xfId="51047"/>
    <cellStyle name="Vírgula 5 9 4" xfId="18900"/>
    <cellStyle name="Vírgula 5 9 4 2" xfId="45139"/>
    <cellStyle name="Vírgula 5 9 5" xfId="12752"/>
    <cellStyle name="Vírgula 5 9 5 2" xfId="38994"/>
    <cellStyle name="Vírgula 5 9 6" xfId="32608"/>
    <cellStyle name="Vírgula 6" xfId="25"/>
    <cellStyle name="Vírgula 6 10" xfId="8089"/>
    <cellStyle name="Vírgula 6 10 2" xfId="26303"/>
    <cellStyle name="Vírgula 6 10 2 2" xfId="52536"/>
    <cellStyle name="Vírgula 6 10 3" xfId="20389"/>
    <cellStyle name="Vírgula 6 10 3 2" xfId="46628"/>
    <cellStyle name="Vírgula 6 10 4" xfId="14478"/>
    <cellStyle name="Vírgula 6 10 4 2" xfId="40720"/>
    <cellStyle name="Vírgula 6 10 5" xfId="34334"/>
    <cellStyle name="Vírgula 6 11" xfId="4666"/>
    <cellStyle name="Vírgula 6 11 2" xfId="23346"/>
    <cellStyle name="Vírgula 6 11 2 2" xfId="49582"/>
    <cellStyle name="Vírgula 6 11 3" xfId="30915"/>
    <cellStyle name="Vírgula 6 12" xfId="17432"/>
    <cellStyle name="Vírgula 6 12 2" xfId="43674"/>
    <cellStyle name="Vírgula 6 13" xfId="11057"/>
    <cellStyle name="Vírgula 6 13 2" xfId="37299"/>
    <cellStyle name="Vírgula 6 14" xfId="4266"/>
    <cellStyle name="Vírgula 6 14 2" xfId="30515"/>
    <cellStyle name="Vírgula 6 15" xfId="29272"/>
    <cellStyle name="Vírgula 6 2" xfId="48"/>
    <cellStyle name="Vírgula 6 2 10" xfId="11092"/>
    <cellStyle name="Vírgula 6 2 10 2" xfId="37334"/>
    <cellStyle name="Vírgula 6 2 11" xfId="4301"/>
    <cellStyle name="Vírgula 6 2 11 2" xfId="30550"/>
    <cellStyle name="Vírgula 6 2 12" xfId="29294"/>
    <cellStyle name="Vírgula 6 2 2" xfId="4378"/>
    <cellStyle name="Vírgula 6 2 2 2" xfId="7779"/>
    <cellStyle name="Vírgula 6 2 2 2 2" xfId="10862"/>
    <cellStyle name="Vírgula 6 2 2 2 2 2" xfId="29076"/>
    <cellStyle name="Vírgula 6 2 2 2 2 2 2" xfId="55306"/>
    <cellStyle name="Vírgula 6 2 2 2 2 3" xfId="23162"/>
    <cellStyle name="Vírgula 6 2 2 2 2 3 2" xfId="49398"/>
    <cellStyle name="Vírgula 6 2 2 2 2 4" xfId="17248"/>
    <cellStyle name="Vírgula 6 2 2 2 2 4 2" xfId="43490"/>
    <cellStyle name="Vírgula 6 2 2 2 2 5" xfId="37104"/>
    <cellStyle name="Vírgula 6 2 2 2 3" xfId="26119"/>
    <cellStyle name="Vírgula 6 2 2 2 3 2" xfId="52352"/>
    <cellStyle name="Vírgula 6 2 2 2 4" xfId="20205"/>
    <cellStyle name="Vírgula 6 2 2 2 4 2" xfId="46444"/>
    <cellStyle name="Vírgula 6 2 2 2 5" xfId="14168"/>
    <cellStyle name="Vírgula 6 2 2 2 5 2" xfId="40410"/>
    <cellStyle name="Vírgula 6 2 2 2 6" xfId="34024"/>
    <cellStyle name="Vírgula 6 2 2 3" xfId="9394"/>
    <cellStyle name="Vírgula 6 2 2 3 2" xfId="27608"/>
    <cellStyle name="Vírgula 6 2 2 3 2 2" xfId="53838"/>
    <cellStyle name="Vírgula 6 2 2 3 3" xfId="21694"/>
    <cellStyle name="Vírgula 6 2 2 3 3 2" xfId="47930"/>
    <cellStyle name="Vírgula 6 2 2 3 4" xfId="15780"/>
    <cellStyle name="Vírgula 6 2 2 3 4 2" xfId="42022"/>
    <cellStyle name="Vírgula 6 2 2 3 5" xfId="35636"/>
    <cellStyle name="Vírgula 6 2 2 4" xfId="6079"/>
    <cellStyle name="Vírgula 6 2 2 4 2" xfId="24651"/>
    <cellStyle name="Vírgula 6 2 2 4 2 2" xfId="50884"/>
    <cellStyle name="Vírgula 6 2 2 4 3" xfId="32324"/>
    <cellStyle name="Vírgula 6 2 2 5" xfId="18737"/>
    <cellStyle name="Vírgula 6 2 2 5 2" xfId="44976"/>
    <cellStyle name="Vírgula 6 2 2 6" xfId="12467"/>
    <cellStyle name="Vírgula 6 2 2 6 2" xfId="38709"/>
    <cellStyle name="Vírgula 6 2 2 7" xfId="30627"/>
    <cellStyle name="Vírgula 6 2 3" xfId="4486"/>
    <cellStyle name="Vírgula 6 2 3 2" xfId="7888"/>
    <cellStyle name="Vírgula 6 2 3 2 2" xfId="10924"/>
    <cellStyle name="Vírgula 6 2 3 2 2 2" xfId="29138"/>
    <cellStyle name="Vírgula 6 2 3 2 2 2 2" xfId="55368"/>
    <cellStyle name="Vírgula 6 2 3 2 2 3" xfId="23224"/>
    <cellStyle name="Vírgula 6 2 3 2 2 3 2" xfId="49460"/>
    <cellStyle name="Vírgula 6 2 3 2 2 4" xfId="17310"/>
    <cellStyle name="Vírgula 6 2 3 2 2 4 2" xfId="43552"/>
    <cellStyle name="Vírgula 6 2 3 2 2 5" xfId="37166"/>
    <cellStyle name="Vírgula 6 2 3 2 3" xfId="26181"/>
    <cellStyle name="Vírgula 6 2 3 2 3 2" xfId="52414"/>
    <cellStyle name="Vírgula 6 2 3 2 4" xfId="20267"/>
    <cellStyle name="Vírgula 6 2 3 2 4 2" xfId="46506"/>
    <cellStyle name="Vírgula 6 2 3 2 5" xfId="14277"/>
    <cellStyle name="Vírgula 6 2 3 2 5 2" xfId="40519"/>
    <cellStyle name="Vírgula 6 2 3 2 6" xfId="34133"/>
    <cellStyle name="Vírgula 6 2 3 3" xfId="9456"/>
    <cellStyle name="Vírgula 6 2 3 3 2" xfId="27670"/>
    <cellStyle name="Vírgula 6 2 3 3 2 2" xfId="53900"/>
    <cellStyle name="Vírgula 6 2 3 3 3" xfId="21756"/>
    <cellStyle name="Vírgula 6 2 3 3 3 2" xfId="47992"/>
    <cellStyle name="Vírgula 6 2 3 3 4" xfId="15842"/>
    <cellStyle name="Vírgula 6 2 3 3 4 2" xfId="42084"/>
    <cellStyle name="Vírgula 6 2 3 3 5" xfId="35698"/>
    <cellStyle name="Vírgula 6 2 3 4" xfId="6188"/>
    <cellStyle name="Vírgula 6 2 3 4 2" xfId="24713"/>
    <cellStyle name="Vírgula 6 2 3 4 2 2" xfId="50946"/>
    <cellStyle name="Vírgula 6 2 3 4 3" xfId="32433"/>
    <cellStyle name="Vírgula 6 2 3 5" xfId="18799"/>
    <cellStyle name="Vírgula 6 2 3 5 2" xfId="45038"/>
    <cellStyle name="Vírgula 6 2 3 6" xfId="12576"/>
    <cellStyle name="Vírgula 6 2 3 6 2" xfId="38818"/>
    <cellStyle name="Vírgula 6 2 3 7" xfId="30735"/>
    <cellStyle name="Vírgula 6 2 4" xfId="4594"/>
    <cellStyle name="Vírgula 6 2 4 2" xfId="7996"/>
    <cellStyle name="Vírgula 6 2 4 2 2" xfId="10986"/>
    <cellStyle name="Vírgula 6 2 4 2 2 2" xfId="29200"/>
    <cellStyle name="Vírgula 6 2 4 2 2 2 2" xfId="55430"/>
    <cellStyle name="Vírgula 6 2 4 2 2 3" xfId="23286"/>
    <cellStyle name="Vírgula 6 2 4 2 2 3 2" xfId="49522"/>
    <cellStyle name="Vírgula 6 2 4 2 2 4" xfId="17372"/>
    <cellStyle name="Vírgula 6 2 4 2 2 4 2" xfId="43614"/>
    <cellStyle name="Vírgula 6 2 4 2 2 5" xfId="37228"/>
    <cellStyle name="Vírgula 6 2 4 2 3" xfId="26243"/>
    <cellStyle name="Vírgula 6 2 4 2 3 2" xfId="52476"/>
    <cellStyle name="Vírgula 6 2 4 2 4" xfId="20329"/>
    <cellStyle name="Vírgula 6 2 4 2 4 2" xfId="46568"/>
    <cellStyle name="Vírgula 6 2 4 2 5" xfId="14385"/>
    <cellStyle name="Vírgula 6 2 4 2 5 2" xfId="40627"/>
    <cellStyle name="Vírgula 6 2 4 2 6" xfId="34241"/>
    <cellStyle name="Vírgula 6 2 4 3" xfId="9518"/>
    <cellStyle name="Vírgula 6 2 4 3 2" xfId="27732"/>
    <cellStyle name="Vírgula 6 2 4 3 2 2" xfId="53962"/>
    <cellStyle name="Vírgula 6 2 4 3 3" xfId="21818"/>
    <cellStyle name="Vírgula 6 2 4 3 3 2" xfId="48054"/>
    <cellStyle name="Vírgula 6 2 4 3 4" xfId="15904"/>
    <cellStyle name="Vírgula 6 2 4 3 4 2" xfId="42146"/>
    <cellStyle name="Vírgula 6 2 4 3 5" xfId="35760"/>
    <cellStyle name="Vírgula 6 2 4 4" xfId="6295"/>
    <cellStyle name="Vírgula 6 2 4 4 2" xfId="24775"/>
    <cellStyle name="Vírgula 6 2 4 4 2 2" xfId="51008"/>
    <cellStyle name="Vírgula 6 2 4 4 3" xfId="32540"/>
    <cellStyle name="Vírgula 6 2 4 5" xfId="18861"/>
    <cellStyle name="Vírgula 6 2 4 5 2" xfId="45100"/>
    <cellStyle name="Vírgula 6 2 4 6" xfId="12684"/>
    <cellStyle name="Vírgula 6 2 4 6 2" xfId="38926"/>
    <cellStyle name="Vírgula 6 2 4 7" xfId="30843"/>
    <cellStyle name="Vírgula 6 2 5" xfId="6002"/>
    <cellStyle name="Vírgula 6 2 5 2" xfId="7702"/>
    <cellStyle name="Vírgula 6 2 5 2 2" xfId="10819"/>
    <cellStyle name="Vírgula 6 2 5 2 2 2" xfId="29033"/>
    <cellStyle name="Vírgula 6 2 5 2 2 2 2" xfId="55263"/>
    <cellStyle name="Vírgula 6 2 5 2 2 3" xfId="23119"/>
    <cellStyle name="Vírgula 6 2 5 2 2 3 2" xfId="49355"/>
    <cellStyle name="Vírgula 6 2 5 2 2 4" xfId="17205"/>
    <cellStyle name="Vírgula 6 2 5 2 2 4 2" xfId="43447"/>
    <cellStyle name="Vírgula 6 2 5 2 2 5" xfId="37061"/>
    <cellStyle name="Vírgula 6 2 5 2 3" xfId="26076"/>
    <cellStyle name="Vírgula 6 2 5 2 3 2" xfId="52309"/>
    <cellStyle name="Vírgula 6 2 5 2 4" xfId="20162"/>
    <cellStyle name="Vírgula 6 2 5 2 4 2" xfId="46401"/>
    <cellStyle name="Vírgula 6 2 5 2 5" xfId="14091"/>
    <cellStyle name="Vírgula 6 2 5 2 5 2" xfId="40333"/>
    <cellStyle name="Vírgula 6 2 5 2 6" xfId="33947"/>
    <cellStyle name="Vírgula 6 2 5 3" xfId="9351"/>
    <cellStyle name="Vírgula 6 2 5 3 2" xfId="27565"/>
    <cellStyle name="Vírgula 6 2 5 3 2 2" xfId="53795"/>
    <cellStyle name="Vírgula 6 2 5 3 3" xfId="21651"/>
    <cellStyle name="Vírgula 6 2 5 3 3 2" xfId="47887"/>
    <cellStyle name="Vírgula 6 2 5 3 4" xfId="15737"/>
    <cellStyle name="Vírgula 6 2 5 3 4 2" xfId="41979"/>
    <cellStyle name="Vírgula 6 2 5 3 5" xfId="35593"/>
    <cellStyle name="Vírgula 6 2 5 4" xfId="24608"/>
    <cellStyle name="Vírgula 6 2 5 4 2" xfId="50841"/>
    <cellStyle name="Vírgula 6 2 5 5" xfId="18694"/>
    <cellStyle name="Vírgula 6 2 5 5 2" xfId="44933"/>
    <cellStyle name="Vírgula 6 2 5 6" xfId="12390"/>
    <cellStyle name="Vírgula 6 2 5 6 2" xfId="38632"/>
    <cellStyle name="Vírgula 6 2 5 7" xfId="32247"/>
    <cellStyle name="Vírgula 6 2 6" xfId="6404"/>
    <cellStyle name="Vírgula 6 2 6 2" xfId="9580"/>
    <cellStyle name="Vírgula 6 2 6 2 2" xfId="27794"/>
    <cellStyle name="Vírgula 6 2 6 2 2 2" xfId="54024"/>
    <cellStyle name="Vírgula 6 2 6 2 3" xfId="21880"/>
    <cellStyle name="Vírgula 6 2 6 2 3 2" xfId="48116"/>
    <cellStyle name="Vírgula 6 2 6 2 4" xfId="15966"/>
    <cellStyle name="Vírgula 6 2 6 2 4 2" xfId="42208"/>
    <cellStyle name="Vírgula 6 2 6 2 5" xfId="35822"/>
    <cellStyle name="Vírgula 6 2 6 3" xfId="24837"/>
    <cellStyle name="Vírgula 6 2 6 3 2" xfId="51070"/>
    <cellStyle name="Vírgula 6 2 6 4" xfId="18923"/>
    <cellStyle name="Vírgula 6 2 6 4 2" xfId="45162"/>
    <cellStyle name="Vírgula 6 2 6 5" xfId="12793"/>
    <cellStyle name="Vírgula 6 2 6 5 2" xfId="39035"/>
    <cellStyle name="Vírgula 6 2 6 6" xfId="32649"/>
    <cellStyle name="Vírgula 6 2 7" xfId="8109"/>
    <cellStyle name="Vírgula 6 2 7 2" xfId="26323"/>
    <cellStyle name="Vírgula 6 2 7 2 2" xfId="52556"/>
    <cellStyle name="Vírgula 6 2 7 3" xfId="20409"/>
    <cellStyle name="Vírgula 6 2 7 3 2" xfId="46648"/>
    <cellStyle name="Vírgula 6 2 7 4" xfId="14498"/>
    <cellStyle name="Vírgula 6 2 7 4 2" xfId="40740"/>
    <cellStyle name="Vírgula 6 2 7 5" xfId="34354"/>
    <cellStyle name="Vírgula 6 2 8" xfId="4701"/>
    <cellStyle name="Vírgula 6 2 8 2" xfId="23366"/>
    <cellStyle name="Vírgula 6 2 8 2 2" xfId="49602"/>
    <cellStyle name="Vírgula 6 2 8 3" xfId="30950"/>
    <cellStyle name="Vírgula 6 2 9" xfId="17452"/>
    <cellStyle name="Vírgula 6 2 9 2" xfId="43694"/>
    <cellStyle name="Vírgula 6 3" xfId="4410"/>
    <cellStyle name="Vírgula 6 3 10" xfId="30659"/>
    <cellStyle name="Vírgula 6 3 2" xfId="4518"/>
    <cellStyle name="Vírgula 6 3 2 2" xfId="7920"/>
    <cellStyle name="Vírgula 6 3 2 2 2" xfId="10943"/>
    <cellStyle name="Vírgula 6 3 2 2 2 2" xfId="29157"/>
    <cellStyle name="Vírgula 6 3 2 2 2 2 2" xfId="55387"/>
    <cellStyle name="Vírgula 6 3 2 2 2 3" xfId="23243"/>
    <cellStyle name="Vírgula 6 3 2 2 2 3 2" xfId="49479"/>
    <cellStyle name="Vírgula 6 3 2 2 2 4" xfId="17329"/>
    <cellStyle name="Vírgula 6 3 2 2 2 4 2" xfId="43571"/>
    <cellStyle name="Vírgula 6 3 2 2 2 5" xfId="37185"/>
    <cellStyle name="Vírgula 6 3 2 2 3" xfId="26200"/>
    <cellStyle name="Vírgula 6 3 2 2 3 2" xfId="52433"/>
    <cellStyle name="Vírgula 6 3 2 2 4" xfId="20286"/>
    <cellStyle name="Vírgula 6 3 2 2 4 2" xfId="46525"/>
    <cellStyle name="Vírgula 6 3 2 2 5" xfId="14309"/>
    <cellStyle name="Vírgula 6 3 2 2 5 2" xfId="40551"/>
    <cellStyle name="Vírgula 6 3 2 2 6" xfId="34165"/>
    <cellStyle name="Vírgula 6 3 2 3" xfId="9475"/>
    <cellStyle name="Vírgula 6 3 2 3 2" xfId="27689"/>
    <cellStyle name="Vírgula 6 3 2 3 2 2" xfId="53919"/>
    <cellStyle name="Vírgula 6 3 2 3 3" xfId="21775"/>
    <cellStyle name="Vírgula 6 3 2 3 3 2" xfId="48011"/>
    <cellStyle name="Vírgula 6 3 2 3 4" xfId="15861"/>
    <cellStyle name="Vírgula 6 3 2 3 4 2" xfId="42103"/>
    <cellStyle name="Vírgula 6 3 2 3 5" xfId="35717"/>
    <cellStyle name="Vírgula 6 3 2 4" xfId="6219"/>
    <cellStyle name="Vírgula 6 3 2 4 2" xfId="24732"/>
    <cellStyle name="Vírgula 6 3 2 4 2 2" xfId="50965"/>
    <cellStyle name="Vírgula 6 3 2 4 3" xfId="32464"/>
    <cellStyle name="Vírgula 6 3 2 5" xfId="18818"/>
    <cellStyle name="Vírgula 6 3 2 5 2" xfId="45057"/>
    <cellStyle name="Vírgula 6 3 2 6" xfId="12608"/>
    <cellStyle name="Vírgula 6 3 2 6 2" xfId="38850"/>
    <cellStyle name="Vírgula 6 3 2 7" xfId="30767"/>
    <cellStyle name="Vírgula 6 3 3" xfId="4626"/>
    <cellStyle name="Vírgula 6 3 3 2" xfId="8028"/>
    <cellStyle name="Vírgula 6 3 3 2 2" xfId="11005"/>
    <cellStyle name="Vírgula 6 3 3 2 2 2" xfId="29219"/>
    <cellStyle name="Vírgula 6 3 3 2 2 2 2" xfId="55449"/>
    <cellStyle name="Vírgula 6 3 3 2 2 3" xfId="23305"/>
    <cellStyle name="Vírgula 6 3 3 2 2 3 2" xfId="49541"/>
    <cellStyle name="Vírgula 6 3 3 2 2 4" xfId="17391"/>
    <cellStyle name="Vírgula 6 3 3 2 2 4 2" xfId="43633"/>
    <cellStyle name="Vírgula 6 3 3 2 2 5" xfId="37247"/>
    <cellStyle name="Vírgula 6 3 3 2 3" xfId="26262"/>
    <cellStyle name="Vírgula 6 3 3 2 3 2" xfId="52495"/>
    <cellStyle name="Vírgula 6 3 3 2 4" xfId="20348"/>
    <cellStyle name="Vírgula 6 3 3 2 4 2" xfId="46587"/>
    <cellStyle name="Vírgula 6 3 3 2 5" xfId="14417"/>
    <cellStyle name="Vírgula 6 3 3 2 5 2" xfId="40659"/>
    <cellStyle name="Vírgula 6 3 3 2 6" xfId="34273"/>
    <cellStyle name="Vírgula 6 3 3 3" xfId="9537"/>
    <cellStyle name="Vírgula 6 3 3 3 2" xfId="27751"/>
    <cellStyle name="Vírgula 6 3 3 3 2 2" xfId="53981"/>
    <cellStyle name="Vírgula 6 3 3 3 3" xfId="21837"/>
    <cellStyle name="Vírgula 6 3 3 3 3 2" xfId="48073"/>
    <cellStyle name="Vírgula 6 3 3 3 4" xfId="15923"/>
    <cellStyle name="Vírgula 6 3 3 3 4 2" xfId="42165"/>
    <cellStyle name="Vírgula 6 3 3 3 5" xfId="35779"/>
    <cellStyle name="Vírgula 6 3 3 4" xfId="6327"/>
    <cellStyle name="Vírgula 6 3 3 4 2" xfId="24794"/>
    <cellStyle name="Vírgula 6 3 3 4 2 2" xfId="51027"/>
    <cellStyle name="Vírgula 6 3 3 4 3" xfId="32572"/>
    <cellStyle name="Vírgula 6 3 3 5" xfId="18880"/>
    <cellStyle name="Vírgula 6 3 3 5 2" xfId="45119"/>
    <cellStyle name="Vírgula 6 3 3 6" xfId="12716"/>
    <cellStyle name="Vírgula 6 3 3 6 2" xfId="38958"/>
    <cellStyle name="Vírgula 6 3 3 7" xfId="30875"/>
    <cellStyle name="Vírgula 6 3 4" xfId="6111"/>
    <cellStyle name="Vírgula 6 3 4 2" xfId="7811"/>
    <cellStyle name="Vírgula 6 3 4 2 2" xfId="10881"/>
    <cellStyle name="Vírgula 6 3 4 2 2 2" xfId="29095"/>
    <cellStyle name="Vírgula 6 3 4 2 2 2 2" xfId="55325"/>
    <cellStyle name="Vírgula 6 3 4 2 2 3" xfId="23181"/>
    <cellStyle name="Vírgula 6 3 4 2 2 3 2" xfId="49417"/>
    <cellStyle name="Vírgula 6 3 4 2 2 4" xfId="17267"/>
    <cellStyle name="Vírgula 6 3 4 2 2 4 2" xfId="43509"/>
    <cellStyle name="Vírgula 6 3 4 2 2 5" xfId="37123"/>
    <cellStyle name="Vírgula 6 3 4 2 3" xfId="26138"/>
    <cellStyle name="Vírgula 6 3 4 2 3 2" xfId="52371"/>
    <cellStyle name="Vírgula 6 3 4 2 4" xfId="20224"/>
    <cellStyle name="Vírgula 6 3 4 2 4 2" xfId="46463"/>
    <cellStyle name="Vírgula 6 3 4 2 5" xfId="14200"/>
    <cellStyle name="Vírgula 6 3 4 2 5 2" xfId="40442"/>
    <cellStyle name="Vírgula 6 3 4 2 6" xfId="34056"/>
    <cellStyle name="Vírgula 6 3 4 3" xfId="9413"/>
    <cellStyle name="Vírgula 6 3 4 3 2" xfId="27627"/>
    <cellStyle name="Vírgula 6 3 4 3 2 2" xfId="53857"/>
    <cellStyle name="Vírgula 6 3 4 3 3" xfId="21713"/>
    <cellStyle name="Vírgula 6 3 4 3 3 2" xfId="47949"/>
    <cellStyle name="Vírgula 6 3 4 3 4" xfId="15799"/>
    <cellStyle name="Vírgula 6 3 4 3 4 2" xfId="42041"/>
    <cellStyle name="Vírgula 6 3 4 3 5" xfId="35655"/>
    <cellStyle name="Vírgula 6 3 4 4" xfId="24670"/>
    <cellStyle name="Vírgula 6 3 4 4 2" xfId="50903"/>
    <cellStyle name="Vírgula 6 3 4 5" xfId="18756"/>
    <cellStyle name="Vírgula 6 3 4 5 2" xfId="44995"/>
    <cellStyle name="Vírgula 6 3 4 6" xfId="12499"/>
    <cellStyle name="Vírgula 6 3 4 6 2" xfId="38741"/>
    <cellStyle name="Vírgula 6 3 4 7" xfId="32356"/>
    <cellStyle name="Vírgula 6 3 5" xfId="6436"/>
    <cellStyle name="Vírgula 6 3 5 2" xfId="9599"/>
    <cellStyle name="Vírgula 6 3 5 2 2" xfId="27813"/>
    <cellStyle name="Vírgula 6 3 5 2 2 2" xfId="54043"/>
    <cellStyle name="Vírgula 6 3 5 2 3" xfId="21899"/>
    <cellStyle name="Vírgula 6 3 5 2 3 2" xfId="48135"/>
    <cellStyle name="Vírgula 6 3 5 2 4" xfId="15985"/>
    <cellStyle name="Vírgula 6 3 5 2 4 2" xfId="42227"/>
    <cellStyle name="Vírgula 6 3 5 2 5" xfId="35841"/>
    <cellStyle name="Vírgula 6 3 5 3" xfId="24856"/>
    <cellStyle name="Vírgula 6 3 5 3 2" xfId="51089"/>
    <cellStyle name="Vírgula 6 3 5 4" xfId="18942"/>
    <cellStyle name="Vírgula 6 3 5 4 2" xfId="45181"/>
    <cellStyle name="Vírgula 6 3 5 5" xfId="12825"/>
    <cellStyle name="Vírgula 6 3 5 5 2" xfId="39067"/>
    <cellStyle name="Vírgula 6 3 5 6" xfId="32681"/>
    <cellStyle name="Vírgula 6 3 6" xfId="8128"/>
    <cellStyle name="Vírgula 6 3 6 2" xfId="26342"/>
    <cellStyle name="Vírgula 6 3 6 2 2" xfId="52575"/>
    <cellStyle name="Vírgula 6 3 6 3" xfId="20428"/>
    <cellStyle name="Vírgula 6 3 6 3 2" xfId="46667"/>
    <cellStyle name="Vírgula 6 3 6 4" xfId="14517"/>
    <cellStyle name="Vírgula 6 3 6 4 2" xfId="40759"/>
    <cellStyle name="Vírgula 6 3 6 5" xfId="34373"/>
    <cellStyle name="Vírgula 6 3 7" xfId="4733"/>
    <cellStyle name="Vírgula 6 3 7 2" xfId="23385"/>
    <cellStyle name="Vírgula 6 3 7 2 2" xfId="49621"/>
    <cellStyle name="Vírgula 6 3 7 3" xfId="30982"/>
    <cellStyle name="Vírgula 6 3 8" xfId="17471"/>
    <cellStyle name="Vírgula 6 3 8 2" xfId="43713"/>
    <cellStyle name="Vírgula 6 3 9" xfId="11124"/>
    <cellStyle name="Vírgula 6 3 9 2" xfId="37366"/>
    <cellStyle name="Vírgula 6 4" xfId="4342"/>
    <cellStyle name="Vírgula 6 4 2" xfId="7743"/>
    <cellStyle name="Vírgula 6 4 2 2" xfId="10842"/>
    <cellStyle name="Vírgula 6 4 2 2 2" xfId="29056"/>
    <cellStyle name="Vírgula 6 4 2 2 2 2" xfId="55286"/>
    <cellStyle name="Vírgula 6 4 2 2 3" xfId="23142"/>
    <cellStyle name="Vírgula 6 4 2 2 3 2" xfId="49378"/>
    <cellStyle name="Vírgula 6 4 2 2 4" xfId="17228"/>
    <cellStyle name="Vírgula 6 4 2 2 4 2" xfId="43470"/>
    <cellStyle name="Vírgula 6 4 2 2 5" xfId="37084"/>
    <cellStyle name="Vírgula 6 4 2 3" xfId="26099"/>
    <cellStyle name="Vírgula 6 4 2 3 2" xfId="52332"/>
    <cellStyle name="Vírgula 6 4 2 4" xfId="20185"/>
    <cellStyle name="Vírgula 6 4 2 4 2" xfId="46424"/>
    <cellStyle name="Vírgula 6 4 2 5" xfId="14132"/>
    <cellStyle name="Vírgula 6 4 2 5 2" xfId="40374"/>
    <cellStyle name="Vírgula 6 4 2 6" xfId="33988"/>
    <cellStyle name="Vírgula 6 4 3" xfId="9374"/>
    <cellStyle name="Vírgula 6 4 3 2" xfId="27588"/>
    <cellStyle name="Vírgula 6 4 3 2 2" xfId="53818"/>
    <cellStyle name="Vírgula 6 4 3 3" xfId="21674"/>
    <cellStyle name="Vírgula 6 4 3 3 2" xfId="47910"/>
    <cellStyle name="Vírgula 6 4 3 4" xfId="15760"/>
    <cellStyle name="Vírgula 6 4 3 4 2" xfId="42002"/>
    <cellStyle name="Vírgula 6 4 3 5" xfId="35616"/>
    <cellStyle name="Vírgula 6 4 4" xfId="6043"/>
    <cellStyle name="Vírgula 6 4 4 2" xfId="24631"/>
    <cellStyle name="Vírgula 6 4 4 2 2" xfId="50864"/>
    <cellStyle name="Vírgula 6 4 4 3" xfId="32288"/>
    <cellStyle name="Vírgula 6 4 5" xfId="18717"/>
    <cellStyle name="Vírgula 6 4 5 2" xfId="44956"/>
    <cellStyle name="Vírgula 6 4 6" xfId="12431"/>
    <cellStyle name="Vírgula 6 4 6 2" xfId="38673"/>
    <cellStyle name="Vírgula 6 4 7" xfId="30591"/>
    <cellStyle name="Vírgula 6 5" xfId="4450"/>
    <cellStyle name="Vírgula 6 5 2" xfId="7852"/>
    <cellStyle name="Vírgula 6 5 2 2" xfId="10904"/>
    <cellStyle name="Vírgula 6 5 2 2 2" xfId="29118"/>
    <cellStyle name="Vírgula 6 5 2 2 2 2" xfId="55348"/>
    <cellStyle name="Vírgula 6 5 2 2 3" xfId="23204"/>
    <cellStyle name="Vírgula 6 5 2 2 3 2" xfId="49440"/>
    <cellStyle name="Vírgula 6 5 2 2 4" xfId="17290"/>
    <cellStyle name="Vírgula 6 5 2 2 4 2" xfId="43532"/>
    <cellStyle name="Vírgula 6 5 2 2 5" xfId="37146"/>
    <cellStyle name="Vírgula 6 5 2 3" xfId="26161"/>
    <cellStyle name="Vírgula 6 5 2 3 2" xfId="52394"/>
    <cellStyle name="Vírgula 6 5 2 4" xfId="20247"/>
    <cellStyle name="Vírgula 6 5 2 4 2" xfId="46486"/>
    <cellStyle name="Vírgula 6 5 2 5" xfId="14241"/>
    <cellStyle name="Vírgula 6 5 2 5 2" xfId="40483"/>
    <cellStyle name="Vírgula 6 5 2 6" xfId="34097"/>
    <cellStyle name="Vírgula 6 5 3" xfId="9436"/>
    <cellStyle name="Vírgula 6 5 3 2" xfId="27650"/>
    <cellStyle name="Vírgula 6 5 3 2 2" xfId="53880"/>
    <cellStyle name="Vírgula 6 5 3 3" xfId="21736"/>
    <cellStyle name="Vírgula 6 5 3 3 2" xfId="47972"/>
    <cellStyle name="Vírgula 6 5 3 4" xfId="15822"/>
    <cellStyle name="Vírgula 6 5 3 4 2" xfId="42064"/>
    <cellStyle name="Vírgula 6 5 3 5" xfId="35678"/>
    <cellStyle name="Vírgula 6 5 4" xfId="6152"/>
    <cellStyle name="Vírgula 6 5 4 2" xfId="24693"/>
    <cellStyle name="Vírgula 6 5 4 2 2" xfId="50926"/>
    <cellStyle name="Vírgula 6 5 4 3" xfId="32397"/>
    <cellStyle name="Vírgula 6 5 5" xfId="18779"/>
    <cellStyle name="Vírgula 6 5 5 2" xfId="45018"/>
    <cellStyle name="Vírgula 6 5 6" xfId="12540"/>
    <cellStyle name="Vírgula 6 5 6 2" xfId="38782"/>
    <cellStyle name="Vírgula 6 5 7" xfId="30699"/>
    <cellStyle name="Vírgula 6 6" xfId="4558"/>
    <cellStyle name="Vírgula 6 6 2" xfId="7960"/>
    <cellStyle name="Vírgula 6 6 2 2" xfId="10966"/>
    <cellStyle name="Vírgula 6 6 2 2 2" xfId="29180"/>
    <cellStyle name="Vírgula 6 6 2 2 2 2" xfId="55410"/>
    <cellStyle name="Vírgula 6 6 2 2 3" xfId="23266"/>
    <cellStyle name="Vírgula 6 6 2 2 3 2" xfId="49502"/>
    <cellStyle name="Vírgula 6 6 2 2 4" xfId="17352"/>
    <cellStyle name="Vírgula 6 6 2 2 4 2" xfId="43594"/>
    <cellStyle name="Vírgula 6 6 2 2 5" xfId="37208"/>
    <cellStyle name="Vírgula 6 6 2 3" xfId="26223"/>
    <cellStyle name="Vírgula 6 6 2 3 2" xfId="52456"/>
    <cellStyle name="Vírgula 6 6 2 4" xfId="20309"/>
    <cellStyle name="Vírgula 6 6 2 4 2" xfId="46548"/>
    <cellStyle name="Vírgula 6 6 2 5" xfId="14349"/>
    <cellStyle name="Vírgula 6 6 2 5 2" xfId="40591"/>
    <cellStyle name="Vírgula 6 6 2 6" xfId="34205"/>
    <cellStyle name="Vírgula 6 6 3" xfId="9498"/>
    <cellStyle name="Vírgula 6 6 3 2" xfId="27712"/>
    <cellStyle name="Vírgula 6 6 3 2 2" xfId="53942"/>
    <cellStyle name="Vírgula 6 6 3 3" xfId="21798"/>
    <cellStyle name="Vírgula 6 6 3 3 2" xfId="48034"/>
    <cellStyle name="Vírgula 6 6 3 4" xfId="15884"/>
    <cellStyle name="Vírgula 6 6 3 4 2" xfId="42126"/>
    <cellStyle name="Vírgula 6 6 3 5" xfId="35740"/>
    <cellStyle name="Vírgula 6 6 4" xfId="6259"/>
    <cellStyle name="Vírgula 6 6 4 2" xfId="24755"/>
    <cellStyle name="Vírgula 6 6 4 2 2" xfId="50988"/>
    <cellStyle name="Vírgula 6 6 4 3" xfId="32504"/>
    <cellStyle name="Vírgula 6 6 5" xfId="18841"/>
    <cellStyle name="Vírgula 6 6 5 2" xfId="45080"/>
    <cellStyle name="Vírgula 6 6 6" xfId="12648"/>
    <cellStyle name="Vírgula 6 6 6 2" xfId="38890"/>
    <cellStyle name="Vírgula 6 6 7" xfId="30807"/>
    <cellStyle name="Vírgula 6 7" xfId="5966"/>
    <cellStyle name="Vírgula 6 7 2" xfId="7666"/>
    <cellStyle name="Vírgula 6 7 2 2" xfId="10799"/>
    <cellStyle name="Vírgula 6 7 2 2 2" xfId="29013"/>
    <cellStyle name="Vírgula 6 7 2 2 2 2" xfId="55243"/>
    <cellStyle name="Vírgula 6 7 2 2 3" xfId="23099"/>
    <cellStyle name="Vírgula 6 7 2 2 3 2" xfId="49335"/>
    <cellStyle name="Vírgula 6 7 2 2 4" xfId="17185"/>
    <cellStyle name="Vírgula 6 7 2 2 4 2" xfId="43427"/>
    <cellStyle name="Vírgula 6 7 2 2 5" xfId="37041"/>
    <cellStyle name="Vírgula 6 7 2 3" xfId="26056"/>
    <cellStyle name="Vírgula 6 7 2 3 2" xfId="52289"/>
    <cellStyle name="Vírgula 6 7 2 4" xfId="20142"/>
    <cellStyle name="Vírgula 6 7 2 4 2" xfId="46381"/>
    <cellStyle name="Vírgula 6 7 2 5" xfId="14055"/>
    <cellStyle name="Vírgula 6 7 2 5 2" xfId="40297"/>
    <cellStyle name="Vírgula 6 7 2 6" xfId="33911"/>
    <cellStyle name="Vírgula 6 7 3" xfId="9331"/>
    <cellStyle name="Vírgula 6 7 3 2" xfId="27545"/>
    <cellStyle name="Vírgula 6 7 3 2 2" xfId="53775"/>
    <cellStyle name="Vírgula 6 7 3 3" xfId="21631"/>
    <cellStyle name="Vírgula 6 7 3 3 2" xfId="47867"/>
    <cellStyle name="Vírgula 6 7 3 4" xfId="15717"/>
    <cellStyle name="Vírgula 6 7 3 4 2" xfId="41959"/>
    <cellStyle name="Vírgula 6 7 3 5" xfId="35573"/>
    <cellStyle name="Vírgula 6 7 4" xfId="24588"/>
    <cellStyle name="Vírgula 6 7 4 2" xfId="50821"/>
    <cellStyle name="Vírgula 6 7 5" xfId="18674"/>
    <cellStyle name="Vírgula 6 7 5 2" xfId="44913"/>
    <cellStyle name="Vírgula 6 7 6" xfId="12354"/>
    <cellStyle name="Vírgula 6 7 6 2" xfId="38596"/>
    <cellStyle name="Vírgula 6 7 7" xfId="32211"/>
    <cellStyle name="Vírgula 6 8" xfId="6368"/>
    <cellStyle name="Vírgula 6 8 2" xfId="9560"/>
    <cellStyle name="Vírgula 6 8 2 2" xfId="27774"/>
    <cellStyle name="Vírgula 6 8 2 2 2" xfId="54004"/>
    <cellStyle name="Vírgula 6 8 2 3" xfId="21860"/>
    <cellStyle name="Vírgula 6 8 2 3 2" xfId="48096"/>
    <cellStyle name="Vírgula 6 8 2 4" xfId="15946"/>
    <cellStyle name="Vírgula 6 8 2 4 2" xfId="42188"/>
    <cellStyle name="Vírgula 6 8 2 5" xfId="35802"/>
    <cellStyle name="Vírgula 6 8 3" xfId="24817"/>
    <cellStyle name="Vírgula 6 8 3 2" xfId="51050"/>
    <cellStyle name="Vírgula 6 8 4" xfId="18903"/>
    <cellStyle name="Vírgula 6 8 4 2" xfId="45142"/>
    <cellStyle name="Vírgula 6 8 5" xfId="12757"/>
    <cellStyle name="Vírgula 6 8 5 2" xfId="38999"/>
    <cellStyle name="Vírgula 6 8 6" xfId="32613"/>
    <cellStyle name="Vírgula 6 9" xfId="8060"/>
    <cellStyle name="Vírgula 6 9 2" xfId="11024"/>
    <cellStyle name="Vírgula 6 9 2 2" xfId="29238"/>
    <cellStyle name="Vírgula 6 9 2 2 2" xfId="55468"/>
    <cellStyle name="Vírgula 6 9 2 3" xfId="23324"/>
    <cellStyle name="Vírgula 6 9 2 3 2" xfId="49560"/>
    <cellStyle name="Vírgula 6 9 2 4" xfId="17410"/>
    <cellStyle name="Vírgula 6 9 2 4 2" xfId="43652"/>
    <cellStyle name="Vírgula 6 9 2 5" xfId="37266"/>
    <cellStyle name="Vírgula 6 9 3" xfId="26281"/>
    <cellStyle name="Vírgula 6 9 3 2" xfId="52514"/>
    <cellStyle name="Vírgula 6 9 4" xfId="20367"/>
    <cellStyle name="Vírgula 6 9 4 2" xfId="46606"/>
    <cellStyle name="Vírgula 6 9 5" xfId="14449"/>
    <cellStyle name="Vírgula 6 9 5 2" xfId="40691"/>
    <cellStyle name="Vírgula 6 9 6" xfId="34305"/>
    <cellStyle name="Vírgula 7" xfId="28"/>
    <cellStyle name="Vírgula 7 10" xfId="11040"/>
    <cellStyle name="Vírgula 7 10 2" xfId="37282"/>
    <cellStyle name="Vírgula 7 11" xfId="4249"/>
    <cellStyle name="Vírgula 7 11 2" xfId="30498"/>
    <cellStyle name="Vírgula 7 12" xfId="29274"/>
    <cellStyle name="Vírgula 7 2" xfId="50"/>
    <cellStyle name="Vírgula 7 2 2" xfId="7726"/>
    <cellStyle name="Vírgula 7 2 2 2" xfId="10832"/>
    <cellStyle name="Vírgula 7 2 2 2 2" xfId="29046"/>
    <cellStyle name="Vírgula 7 2 2 2 2 2" xfId="55276"/>
    <cellStyle name="Vírgula 7 2 2 2 3" xfId="23132"/>
    <cellStyle name="Vírgula 7 2 2 2 3 2" xfId="49368"/>
    <cellStyle name="Vírgula 7 2 2 2 4" xfId="17218"/>
    <cellStyle name="Vírgula 7 2 2 2 4 2" xfId="43460"/>
    <cellStyle name="Vírgula 7 2 2 2 5" xfId="37074"/>
    <cellStyle name="Vírgula 7 2 2 3" xfId="26089"/>
    <cellStyle name="Vírgula 7 2 2 3 2" xfId="52322"/>
    <cellStyle name="Vírgula 7 2 2 4" xfId="20175"/>
    <cellStyle name="Vírgula 7 2 2 4 2" xfId="46414"/>
    <cellStyle name="Vírgula 7 2 2 5" xfId="14115"/>
    <cellStyle name="Vírgula 7 2 2 5 2" xfId="40357"/>
    <cellStyle name="Vírgula 7 2 2 6" xfId="33971"/>
    <cellStyle name="Vírgula 7 2 3" xfId="9364"/>
    <cellStyle name="Vírgula 7 2 3 2" xfId="27578"/>
    <cellStyle name="Vírgula 7 2 3 2 2" xfId="53808"/>
    <cellStyle name="Vírgula 7 2 3 3" xfId="21664"/>
    <cellStyle name="Vírgula 7 2 3 3 2" xfId="47900"/>
    <cellStyle name="Vírgula 7 2 3 4" xfId="15750"/>
    <cellStyle name="Vírgula 7 2 3 4 2" xfId="41992"/>
    <cellStyle name="Vírgula 7 2 3 5" xfId="35606"/>
    <cellStyle name="Vírgula 7 2 4" xfId="6026"/>
    <cellStyle name="Vírgula 7 2 4 2" xfId="24621"/>
    <cellStyle name="Vírgula 7 2 4 2 2" xfId="50854"/>
    <cellStyle name="Vírgula 7 2 4 3" xfId="32271"/>
    <cellStyle name="Vírgula 7 2 5" xfId="18707"/>
    <cellStyle name="Vírgula 7 2 5 2" xfId="44946"/>
    <cellStyle name="Vírgula 7 2 6" xfId="12414"/>
    <cellStyle name="Vírgula 7 2 6 2" xfId="38656"/>
    <cellStyle name="Vírgula 7 2 7" xfId="4325"/>
    <cellStyle name="Vírgula 7 2 7 2" xfId="30574"/>
    <cellStyle name="Vírgula 7 2 8" xfId="29296"/>
    <cellStyle name="Vírgula 7 3" xfId="4433"/>
    <cellStyle name="Vírgula 7 3 2" xfId="7835"/>
    <cellStyle name="Vírgula 7 3 2 2" xfId="10894"/>
    <cellStyle name="Vírgula 7 3 2 2 2" xfId="29108"/>
    <cellStyle name="Vírgula 7 3 2 2 2 2" xfId="55338"/>
    <cellStyle name="Vírgula 7 3 2 2 3" xfId="23194"/>
    <cellStyle name="Vírgula 7 3 2 2 3 2" xfId="49430"/>
    <cellStyle name="Vírgula 7 3 2 2 4" xfId="17280"/>
    <cellStyle name="Vírgula 7 3 2 2 4 2" xfId="43522"/>
    <cellStyle name="Vírgula 7 3 2 2 5" xfId="37136"/>
    <cellStyle name="Vírgula 7 3 2 3" xfId="26151"/>
    <cellStyle name="Vírgula 7 3 2 3 2" xfId="52384"/>
    <cellStyle name="Vírgula 7 3 2 4" xfId="20237"/>
    <cellStyle name="Vírgula 7 3 2 4 2" xfId="46476"/>
    <cellStyle name="Vírgula 7 3 2 5" xfId="14224"/>
    <cellStyle name="Vírgula 7 3 2 5 2" xfId="40466"/>
    <cellStyle name="Vírgula 7 3 2 6" xfId="34080"/>
    <cellStyle name="Vírgula 7 3 3" xfId="9426"/>
    <cellStyle name="Vírgula 7 3 3 2" xfId="27640"/>
    <cellStyle name="Vírgula 7 3 3 2 2" xfId="53870"/>
    <cellStyle name="Vírgula 7 3 3 3" xfId="21726"/>
    <cellStyle name="Vírgula 7 3 3 3 2" xfId="47962"/>
    <cellStyle name="Vírgula 7 3 3 4" xfId="15812"/>
    <cellStyle name="Vírgula 7 3 3 4 2" xfId="42054"/>
    <cellStyle name="Vírgula 7 3 3 5" xfId="35668"/>
    <cellStyle name="Vírgula 7 3 4" xfId="6135"/>
    <cellStyle name="Vírgula 7 3 4 2" xfId="24683"/>
    <cellStyle name="Vírgula 7 3 4 2 2" xfId="50916"/>
    <cellStyle name="Vírgula 7 3 4 3" xfId="32380"/>
    <cellStyle name="Vírgula 7 3 5" xfId="18769"/>
    <cellStyle name="Vírgula 7 3 5 2" xfId="45008"/>
    <cellStyle name="Vírgula 7 3 6" xfId="12523"/>
    <cellStyle name="Vírgula 7 3 6 2" xfId="38765"/>
    <cellStyle name="Vírgula 7 3 7" xfId="30682"/>
    <cellStyle name="Vírgula 7 4" xfId="4541"/>
    <cellStyle name="Vírgula 7 4 2" xfId="7943"/>
    <cellStyle name="Vírgula 7 4 2 2" xfId="10956"/>
    <cellStyle name="Vírgula 7 4 2 2 2" xfId="29170"/>
    <cellStyle name="Vírgula 7 4 2 2 2 2" xfId="55400"/>
    <cellStyle name="Vírgula 7 4 2 2 3" xfId="23256"/>
    <cellStyle name="Vírgula 7 4 2 2 3 2" xfId="49492"/>
    <cellStyle name="Vírgula 7 4 2 2 4" xfId="17342"/>
    <cellStyle name="Vírgula 7 4 2 2 4 2" xfId="43584"/>
    <cellStyle name="Vírgula 7 4 2 2 5" xfId="37198"/>
    <cellStyle name="Vírgula 7 4 2 3" xfId="26213"/>
    <cellStyle name="Vírgula 7 4 2 3 2" xfId="52446"/>
    <cellStyle name="Vírgula 7 4 2 4" xfId="20299"/>
    <cellStyle name="Vírgula 7 4 2 4 2" xfId="46538"/>
    <cellStyle name="Vírgula 7 4 2 5" xfId="14332"/>
    <cellStyle name="Vírgula 7 4 2 5 2" xfId="40574"/>
    <cellStyle name="Vírgula 7 4 2 6" xfId="34188"/>
    <cellStyle name="Vírgula 7 4 3" xfId="9488"/>
    <cellStyle name="Vírgula 7 4 3 2" xfId="27702"/>
    <cellStyle name="Vírgula 7 4 3 2 2" xfId="53932"/>
    <cellStyle name="Vírgula 7 4 3 3" xfId="21788"/>
    <cellStyle name="Vírgula 7 4 3 3 2" xfId="48024"/>
    <cellStyle name="Vírgula 7 4 3 4" xfId="15874"/>
    <cellStyle name="Vírgula 7 4 3 4 2" xfId="42116"/>
    <cellStyle name="Vírgula 7 4 3 5" xfId="35730"/>
    <cellStyle name="Vírgula 7 4 4" xfId="6242"/>
    <cellStyle name="Vírgula 7 4 4 2" xfId="24745"/>
    <cellStyle name="Vírgula 7 4 4 2 2" xfId="50978"/>
    <cellStyle name="Vírgula 7 4 4 3" xfId="32487"/>
    <cellStyle name="Vírgula 7 4 5" xfId="18831"/>
    <cellStyle name="Vírgula 7 4 5 2" xfId="45070"/>
    <cellStyle name="Vírgula 7 4 6" xfId="12631"/>
    <cellStyle name="Vírgula 7 4 6 2" xfId="38873"/>
    <cellStyle name="Vírgula 7 4 7" xfId="30790"/>
    <cellStyle name="Vírgula 7 5" xfId="5950"/>
    <cellStyle name="Vírgula 7 5 2" xfId="7649"/>
    <cellStyle name="Vírgula 7 5 2 2" xfId="10789"/>
    <cellStyle name="Vírgula 7 5 2 2 2" xfId="29003"/>
    <cellStyle name="Vírgula 7 5 2 2 2 2" xfId="55233"/>
    <cellStyle name="Vírgula 7 5 2 2 3" xfId="23089"/>
    <cellStyle name="Vírgula 7 5 2 2 3 2" xfId="49325"/>
    <cellStyle name="Vírgula 7 5 2 2 4" xfId="17175"/>
    <cellStyle name="Vírgula 7 5 2 2 4 2" xfId="43417"/>
    <cellStyle name="Vírgula 7 5 2 2 5" xfId="37031"/>
    <cellStyle name="Vírgula 7 5 2 3" xfId="26046"/>
    <cellStyle name="Vírgula 7 5 2 3 2" xfId="52279"/>
    <cellStyle name="Vírgula 7 5 2 4" xfId="20132"/>
    <cellStyle name="Vírgula 7 5 2 4 2" xfId="46371"/>
    <cellStyle name="Vírgula 7 5 2 5" xfId="14038"/>
    <cellStyle name="Vírgula 7 5 2 5 2" xfId="40280"/>
    <cellStyle name="Vírgula 7 5 2 6" xfId="33894"/>
    <cellStyle name="Vírgula 7 5 3" xfId="9321"/>
    <cellStyle name="Vírgula 7 5 3 2" xfId="27535"/>
    <cellStyle name="Vírgula 7 5 3 2 2" xfId="53765"/>
    <cellStyle name="Vírgula 7 5 3 3" xfId="21621"/>
    <cellStyle name="Vírgula 7 5 3 3 2" xfId="47857"/>
    <cellStyle name="Vírgula 7 5 3 4" xfId="15707"/>
    <cellStyle name="Vírgula 7 5 3 4 2" xfId="41949"/>
    <cellStyle name="Vírgula 7 5 3 5" xfId="35563"/>
    <cellStyle name="Vírgula 7 5 4" xfId="24578"/>
    <cellStyle name="Vírgula 7 5 4 2" xfId="50811"/>
    <cellStyle name="Vírgula 7 5 5" xfId="18664"/>
    <cellStyle name="Vírgula 7 5 5 2" xfId="44903"/>
    <cellStyle name="Vírgula 7 5 6" xfId="12337"/>
    <cellStyle name="Vírgula 7 5 6 2" xfId="38579"/>
    <cellStyle name="Vírgula 7 5 7" xfId="32195"/>
    <cellStyle name="Vírgula 7 6" xfId="6351"/>
    <cellStyle name="Vírgula 7 6 2" xfId="9550"/>
    <cellStyle name="Vírgula 7 6 2 2" xfId="27764"/>
    <cellStyle name="Vírgula 7 6 2 2 2" xfId="53994"/>
    <cellStyle name="Vírgula 7 6 2 3" xfId="21850"/>
    <cellStyle name="Vírgula 7 6 2 3 2" xfId="48086"/>
    <cellStyle name="Vírgula 7 6 2 4" xfId="15936"/>
    <cellStyle name="Vírgula 7 6 2 4 2" xfId="42178"/>
    <cellStyle name="Vírgula 7 6 2 5" xfId="35792"/>
    <cellStyle name="Vírgula 7 6 3" xfId="24807"/>
    <cellStyle name="Vírgula 7 6 3 2" xfId="51040"/>
    <cellStyle name="Vírgula 7 6 4" xfId="18893"/>
    <cellStyle name="Vírgula 7 6 4 2" xfId="45132"/>
    <cellStyle name="Vírgula 7 6 5" xfId="12740"/>
    <cellStyle name="Vírgula 7 6 5 2" xfId="38982"/>
    <cellStyle name="Vírgula 7 6 6" xfId="32596"/>
    <cellStyle name="Vírgula 7 7" xfId="8079"/>
    <cellStyle name="Vírgula 7 7 2" xfId="26293"/>
    <cellStyle name="Vírgula 7 7 2 2" xfId="52526"/>
    <cellStyle name="Vírgula 7 7 3" xfId="20379"/>
    <cellStyle name="Vírgula 7 7 3 2" xfId="46618"/>
    <cellStyle name="Vírgula 7 7 4" xfId="14468"/>
    <cellStyle name="Vírgula 7 7 4 2" xfId="40710"/>
    <cellStyle name="Vírgula 7 7 5" xfId="34324"/>
    <cellStyle name="Vírgula 7 8" xfId="4649"/>
    <cellStyle name="Vírgula 7 8 2" xfId="23336"/>
    <cellStyle name="Vírgula 7 8 2 2" xfId="49572"/>
    <cellStyle name="Vírgula 7 8 3" xfId="30898"/>
    <cellStyle name="Vírgula 7 9" xfId="17422"/>
    <cellStyle name="Vírgula 7 9 2" xfId="43664"/>
    <cellStyle name="Vírgula 8" xfId="33"/>
    <cellStyle name="Vírgula 8 10" xfId="11076"/>
    <cellStyle name="Vírgula 8 10 2" xfId="37318"/>
    <cellStyle name="Vírgula 8 11" xfId="4285"/>
    <cellStyle name="Vírgula 8 11 2" xfId="30534"/>
    <cellStyle name="Vírgula 8 12" xfId="29279"/>
    <cellStyle name="Vírgula 8 2" xfId="4362"/>
    <cellStyle name="Vírgula 8 2 2" xfId="7763"/>
    <cellStyle name="Vírgula 8 2 2 2" xfId="10853"/>
    <cellStyle name="Vírgula 8 2 2 2 2" xfId="29067"/>
    <cellStyle name="Vírgula 8 2 2 2 2 2" xfId="55297"/>
    <cellStyle name="Vírgula 8 2 2 2 3" xfId="23153"/>
    <cellStyle name="Vírgula 8 2 2 2 3 2" xfId="49389"/>
    <cellStyle name="Vírgula 8 2 2 2 4" xfId="17239"/>
    <cellStyle name="Vírgula 8 2 2 2 4 2" xfId="43481"/>
    <cellStyle name="Vírgula 8 2 2 2 5" xfId="37095"/>
    <cellStyle name="Vírgula 8 2 2 3" xfId="26110"/>
    <cellStyle name="Vírgula 8 2 2 3 2" xfId="52343"/>
    <cellStyle name="Vírgula 8 2 2 4" xfId="20196"/>
    <cellStyle name="Vírgula 8 2 2 4 2" xfId="46435"/>
    <cellStyle name="Vírgula 8 2 2 5" xfId="14152"/>
    <cellStyle name="Vírgula 8 2 2 5 2" xfId="40394"/>
    <cellStyle name="Vírgula 8 2 2 6" xfId="34008"/>
    <cellStyle name="Vírgula 8 2 3" xfId="9385"/>
    <cellStyle name="Vírgula 8 2 3 2" xfId="27599"/>
    <cellStyle name="Vírgula 8 2 3 2 2" xfId="53829"/>
    <cellStyle name="Vírgula 8 2 3 3" xfId="21685"/>
    <cellStyle name="Vírgula 8 2 3 3 2" xfId="47921"/>
    <cellStyle name="Vírgula 8 2 3 4" xfId="15771"/>
    <cellStyle name="Vírgula 8 2 3 4 2" xfId="42013"/>
    <cellStyle name="Vírgula 8 2 3 5" xfId="35627"/>
    <cellStyle name="Vírgula 8 2 4" xfId="6063"/>
    <cellStyle name="Vírgula 8 2 4 2" xfId="24642"/>
    <cellStyle name="Vírgula 8 2 4 2 2" xfId="50875"/>
    <cellStyle name="Vírgula 8 2 4 3" xfId="32308"/>
    <cellStyle name="Vírgula 8 2 5" xfId="18728"/>
    <cellStyle name="Vírgula 8 2 5 2" xfId="44967"/>
    <cellStyle name="Vírgula 8 2 6" xfId="12451"/>
    <cellStyle name="Vírgula 8 2 6 2" xfId="38693"/>
    <cellStyle name="Vírgula 8 2 7" xfId="30611"/>
    <cellStyle name="Vírgula 8 3" xfId="4470"/>
    <cellStyle name="Vírgula 8 3 2" xfId="7872"/>
    <cellStyle name="Vírgula 8 3 2 2" xfId="10915"/>
    <cellStyle name="Vírgula 8 3 2 2 2" xfId="29129"/>
    <cellStyle name="Vírgula 8 3 2 2 2 2" xfId="55359"/>
    <cellStyle name="Vírgula 8 3 2 2 3" xfId="23215"/>
    <cellStyle name="Vírgula 8 3 2 2 3 2" xfId="49451"/>
    <cellStyle name="Vírgula 8 3 2 2 4" xfId="17301"/>
    <cellStyle name="Vírgula 8 3 2 2 4 2" xfId="43543"/>
    <cellStyle name="Vírgula 8 3 2 2 5" xfId="37157"/>
    <cellStyle name="Vírgula 8 3 2 3" xfId="26172"/>
    <cellStyle name="Vírgula 8 3 2 3 2" xfId="52405"/>
    <cellStyle name="Vírgula 8 3 2 4" xfId="20258"/>
    <cellStyle name="Vírgula 8 3 2 4 2" xfId="46497"/>
    <cellStyle name="Vírgula 8 3 2 5" xfId="14261"/>
    <cellStyle name="Vírgula 8 3 2 5 2" xfId="40503"/>
    <cellStyle name="Vírgula 8 3 2 6" xfId="34117"/>
    <cellStyle name="Vírgula 8 3 3" xfId="9447"/>
    <cellStyle name="Vírgula 8 3 3 2" xfId="27661"/>
    <cellStyle name="Vírgula 8 3 3 2 2" xfId="53891"/>
    <cellStyle name="Vírgula 8 3 3 3" xfId="21747"/>
    <cellStyle name="Vírgula 8 3 3 3 2" xfId="47983"/>
    <cellStyle name="Vírgula 8 3 3 4" xfId="15833"/>
    <cellStyle name="Vírgula 8 3 3 4 2" xfId="42075"/>
    <cellStyle name="Vírgula 8 3 3 5" xfId="35689"/>
    <cellStyle name="Vírgula 8 3 4" xfId="6172"/>
    <cellStyle name="Vírgula 8 3 4 2" xfId="24704"/>
    <cellStyle name="Vírgula 8 3 4 2 2" xfId="50937"/>
    <cellStyle name="Vírgula 8 3 4 3" xfId="32417"/>
    <cellStyle name="Vírgula 8 3 5" xfId="18790"/>
    <cellStyle name="Vírgula 8 3 5 2" xfId="45029"/>
    <cellStyle name="Vírgula 8 3 6" xfId="12560"/>
    <cellStyle name="Vírgula 8 3 6 2" xfId="38802"/>
    <cellStyle name="Vírgula 8 3 7" xfId="30719"/>
    <cellStyle name="Vírgula 8 4" xfId="4578"/>
    <cellStyle name="Vírgula 8 4 2" xfId="7980"/>
    <cellStyle name="Vírgula 8 4 2 2" xfId="10977"/>
    <cellStyle name="Vírgula 8 4 2 2 2" xfId="29191"/>
    <cellStyle name="Vírgula 8 4 2 2 2 2" xfId="55421"/>
    <cellStyle name="Vírgula 8 4 2 2 3" xfId="23277"/>
    <cellStyle name="Vírgula 8 4 2 2 3 2" xfId="49513"/>
    <cellStyle name="Vírgula 8 4 2 2 4" xfId="17363"/>
    <cellStyle name="Vírgula 8 4 2 2 4 2" xfId="43605"/>
    <cellStyle name="Vírgula 8 4 2 2 5" xfId="37219"/>
    <cellStyle name="Vírgula 8 4 2 3" xfId="26234"/>
    <cellStyle name="Vírgula 8 4 2 3 2" xfId="52467"/>
    <cellStyle name="Vírgula 8 4 2 4" xfId="20320"/>
    <cellStyle name="Vírgula 8 4 2 4 2" xfId="46559"/>
    <cellStyle name="Vírgula 8 4 2 5" xfId="14369"/>
    <cellStyle name="Vírgula 8 4 2 5 2" xfId="40611"/>
    <cellStyle name="Vírgula 8 4 2 6" xfId="34225"/>
    <cellStyle name="Vírgula 8 4 3" xfId="9509"/>
    <cellStyle name="Vírgula 8 4 3 2" xfId="27723"/>
    <cellStyle name="Vírgula 8 4 3 2 2" xfId="53953"/>
    <cellStyle name="Vírgula 8 4 3 3" xfId="21809"/>
    <cellStyle name="Vírgula 8 4 3 3 2" xfId="48045"/>
    <cellStyle name="Vírgula 8 4 3 4" xfId="15895"/>
    <cellStyle name="Vírgula 8 4 3 4 2" xfId="42137"/>
    <cellStyle name="Vírgula 8 4 3 5" xfId="35751"/>
    <cellStyle name="Vírgula 8 4 4" xfId="6279"/>
    <cellStyle name="Vírgula 8 4 4 2" xfId="24766"/>
    <cellStyle name="Vírgula 8 4 4 2 2" xfId="50999"/>
    <cellStyle name="Vírgula 8 4 4 3" xfId="32524"/>
    <cellStyle name="Vírgula 8 4 5" xfId="18852"/>
    <cellStyle name="Vírgula 8 4 5 2" xfId="45091"/>
    <cellStyle name="Vírgula 8 4 6" xfId="12668"/>
    <cellStyle name="Vírgula 8 4 6 2" xfId="38910"/>
    <cellStyle name="Vírgula 8 4 7" xfId="30827"/>
    <cellStyle name="Vírgula 8 5" xfId="5986"/>
    <cellStyle name="Vírgula 8 5 2" xfId="7686"/>
    <cellStyle name="Vírgula 8 5 2 2" xfId="10810"/>
    <cellStyle name="Vírgula 8 5 2 2 2" xfId="29024"/>
    <cellStyle name="Vírgula 8 5 2 2 2 2" xfId="55254"/>
    <cellStyle name="Vírgula 8 5 2 2 3" xfId="23110"/>
    <cellStyle name="Vírgula 8 5 2 2 3 2" xfId="49346"/>
    <cellStyle name="Vírgula 8 5 2 2 4" xfId="17196"/>
    <cellStyle name="Vírgula 8 5 2 2 4 2" xfId="43438"/>
    <cellStyle name="Vírgula 8 5 2 2 5" xfId="37052"/>
    <cellStyle name="Vírgula 8 5 2 3" xfId="26067"/>
    <cellStyle name="Vírgula 8 5 2 3 2" xfId="52300"/>
    <cellStyle name="Vírgula 8 5 2 4" xfId="20153"/>
    <cellStyle name="Vírgula 8 5 2 4 2" xfId="46392"/>
    <cellStyle name="Vírgula 8 5 2 5" xfId="14075"/>
    <cellStyle name="Vírgula 8 5 2 5 2" xfId="40317"/>
    <cellStyle name="Vírgula 8 5 2 6" xfId="33931"/>
    <cellStyle name="Vírgula 8 5 3" xfId="9342"/>
    <cellStyle name="Vírgula 8 5 3 2" xfId="27556"/>
    <cellStyle name="Vírgula 8 5 3 2 2" xfId="53786"/>
    <cellStyle name="Vírgula 8 5 3 3" xfId="21642"/>
    <cellStyle name="Vírgula 8 5 3 3 2" xfId="47878"/>
    <cellStyle name="Vírgula 8 5 3 4" xfId="15728"/>
    <cellStyle name="Vírgula 8 5 3 4 2" xfId="41970"/>
    <cellStyle name="Vírgula 8 5 3 5" xfId="35584"/>
    <cellStyle name="Vírgula 8 5 4" xfId="24599"/>
    <cellStyle name="Vírgula 8 5 4 2" xfId="50832"/>
    <cellStyle name="Vírgula 8 5 5" xfId="18685"/>
    <cellStyle name="Vírgula 8 5 5 2" xfId="44924"/>
    <cellStyle name="Vírgula 8 5 6" xfId="12374"/>
    <cellStyle name="Vírgula 8 5 6 2" xfId="38616"/>
    <cellStyle name="Vírgula 8 5 7" xfId="32231"/>
    <cellStyle name="Vírgula 8 6" xfId="6388"/>
    <cellStyle name="Vírgula 8 6 2" xfId="9571"/>
    <cellStyle name="Vírgula 8 6 2 2" xfId="27785"/>
    <cellStyle name="Vírgula 8 6 2 2 2" xfId="54015"/>
    <cellStyle name="Vírgula 8 6 2 3" xfId="21871"/>
    <cellStyle name="Vírgula 8 6 2 3 2" xfId="48107"/>
    <cellStyle name="Vírgula 8 6 2 4" xfId="15957"/>
    <cellStyle name="Vírgula 8 6 2 4 2" xfId="42199"/>
    <cellStyle name="Vírgula 8 6 2 5" xfId="35813"/>
    <cellStyle name="Vírgula 8 6 3" xfId="24828"/>
    <cellStyle name="Vírgula 8 6 3 2" xfId="51061"/>
    <cellStyle name="Vírgula 8 6 4" xfId="18914"/>
    <cellStyle name="Vírgula 8 6 4 2" xfId="45153"/>
    <cellStyle name="Vírgula 8 6 5" xfId="12777"/>
    <cellStyle name="Vírgula 8 6 5 2" xfId="39019"/>
    <cellStyle name="Vírgula 8 6 6" xfId="32633"/>
    <cellStyle name="Vírgula 8 7" xfId="8100"/>
    <cellStyle name="Vírgula 8 7 2" xfId="26314"/>
    <cellStyle name="Vírgula 8 7 2 2" xfId="52547"/>
    <cellStyle name="Vírgula 8 7 3" xfId="20400"/>
    <cellStyle name="Vírgula 8 7 3 2" xfId="46639"/>
    <cellStyle name="Vírgula 8 7 4" xfId="14489"/>
    <cellStyle name="Vírgula 8 7 4 2" xfId="40731"/>
    <cellStyle name="Vírgula 8 7 5" xfId="34345"/>
    <cellStyle name="Vírgula 8 8" xfId="4685"/>
    <cellStyle name="Vírgula 8 8 2" xfId="23357"/>
    <cellStyle name="Vírgula 8 8 2 2" xfId="49593"/>
    <cellStyle name="Vírgula 8 8 3" xfId="30934"/>
    <cellStyle name="Vírgula 8 9" xfId="17443"/>
    <cellStyle name="Vírgula 8 9 2" xfId="43685"/>
    <cellStyle name="Vírgula 9" xfId="4316"/>
    <cellStyle name="Vírgula 9 10" xfId="11107"/>
    <cellStyle name="Vírgula 9 10 2" xfId="37349"/>
    <cellStyle name="Vírgula 9 11" xfId="30565"/>
    <cellStyle name="Vírgula 9 2" xfId="4393"/>
    <cellStyle name="Vírgula 9 2 2" xfId="7794"/>
    <cellStyle name="Vírgula 9 2 2 2" xfId="10871"/>
    <cellStyle name="Vírgula 9 2 2 2 2" xfId="29085"/>
    <cellStyle name="Vírgula 9 2 2 2 2 2" xfId="55315"/>
    <cellStyle name="Vírgula 9 2 2 2 3" xfId="23171"/>
    <cellStyle name="Vírgula 9 2 2 2 3 2" xfId="49407"/>
    <cellStyle name="Vírgula 9 2 2 2 4" xfId="17257"/>
    <cellStyle name="Vírgula 9 2 2 2 4 2" xfId="43499"/>
    <cellStyle name="Vírgula 9 2 2 2 5" xfId="37113"/>
    <cellStyle name="Vírgula 9 2 2 3" xfId="26128"/>
    <cellStyle name="Vírgula 9 2 2 3 2" xfId="52361"/>
    <cellStyle name="Vírgula 9 2 2 4" xfId="20214"/>
    <cellStyle name="Vírgula 9 2 2 4 2" xfId="46453"/>
    <cellStyle name="Vírgula 9 2 2 5" xfId="14183"/>
    <cellStyle name="Vírgula 9 2 2 5 2" xfId="40425"/>
    <cellStyle name="Vírgula 9 2 2 6" xfId="34039"/>
    <cellStyle name="Vírgula 9 2 3" xfId="9403"/>
    <cellStyle name="Vírgula 9 2 3 2" xfId="27617"/>
    <cellStyle name="Vírgula 9 2 3 2 2" xfId="53847"/>
    <cellStyle name="Vírgula 9 2 3 3" xfId="21703"/>
    <cellStyle name="Vírgula 9 2 3 3 2" xfId="47939"/>
    <cellStyle name="Vírgula 9 2 3 4" xfId="15789"/>
    <cellStyle name="Vírgula 9 2 3 4 2" xfId="42031"/>
    <cellStyle name="Vírgula 9 2 3 5" xfId="35645"/>
    <cellStyle name="Vírgula 9 2 4" xfId="6094"/>
    <cellStyle name="Vírgula 9 2 4 2" xfId="24660"/>
    <cellStyle name="Vírgula 9 2 4 2 2" xfId="50893"/>
    <cellStyle name="Vírgula 9 2 4 3" xfId="32339"/>
    <cellStyle name="Vírgula 9 2 5" xfId="18746"/>
    <cellStyle name="Vírgula 9 2 5 2" xfId="44985"/>
    <cellStyle name="Vírgula 9 2 6" xfId="12482"/>
    <cellStyle name="Vírgula 9 2 6 2" xfId="38724"/>
    <cellStyle name="Vírgula 9 2 7" xfId="30642"/>
    <cellStyle name="Vírgula 9 3" xfId="4501"/>
    <cellStyle name="Vírgula 9 3 2" xfId="7903"/>
    <cellStyle name="Vírgula 9 3 2 2" xfId="10933"/>
    <cellStyle name="Vírgula 9 3 2 2 2" xfId="29147"/>
    <cellStyle name="Vírgula 9 3 2 2 2 2" xfId="55377"/>
    <cellStyle name="Vírgula 9 3 2 2 3" xfId="23233"/>
    <cellStyle name="Vírgula 9 3 2 2 3 2" xfId="49469"/>
    <cellStyle name="Vírgula 9 3 2 2 4" xfId="17319"/>
    <cellStyle name="Vírgula 9 3 2 2 4 2" xfId="43561"/>
    <cellStyle name="Vírgula 9 3 2 2 5" xfId="37175"/>
    <cellStyle name="Vírgula 9 3 2 3" xfId="26190"/>
    <cellStyle name="Vírgula 9 3 2 3 2" xfId="52423"/>
    <cellStyle name="Vírgula 9 3 2 4" xfId="20276"/>
    <cellStyle name="Vírgula 9 3 2 4 2" xfId="46515"/>
    <cellStyle name="Vírgula 9 3 2 5" xfId="14292"/>
    <cellStyle name="Vírgula 9 3 2 5 2" xfId="40534"/>
    <cellStyle name="Vírgula 9 3 2 6" xfId="34148"/>
    <cellStyle name="Vírgula 9 3 3" xfId="9465"/>
    <cellStyle name="Vírgula 9 3 3 2" xfId="27679"/>
    <cellStyle name="Vírgula 9 3 3 2 2" xfId="53909"/>
    <cellStyle name="Vírgula 9 3 3 3" xfId="21765"/>
    <cellStyle name="Vírgula 9 3 3 3 2" xfId="48001"/>
    <cellStyle name="Vírgula 9 3 3 4" xfId="15851"/>
    <cellStyle name="Vírgula 9 3 3 4 2" xfId="42093"/>
    <cellStyle name="Vírgula 9 3 3 5" xfId="35707"/>
    <cellStyle name="Vírgula 9 3 4" xfId="6202"/>
    <cellStyle name="Vírgula 9 3 4 2" xfId="24722"/>
    <cellStyle name="Vírgula 9 3 4 2 2" xfId="50955"/>
    <cellStyle name="Vírgula 9 3 4 3" xfId="32447"/>
    <cellStyle name="Vírgula 9 3 5" xfId="18808"/>
    <cellStyle name="Vírgula 9 3 5 2" xfId="45047"/>
    <cellStyle name="Vírgula 9 3 6" xfId="12591"/>
    <cellStyle name="Vírgula 9 3 6 2" xfId="38833"/>
    <cellStyle name="Vírgula 9 3 7" xfId="30750"/>
    <cellStyle name="Vírgula 9 4" xfId="4609"/>
    <cellStyle name="Vírgula 9 4 2" xfId="8011"/>
    <cellStyle name="Vírgula 9 4 2 2" xfId="10995"/>
    <cellStyle name="Vírgula 9 4 2 2 2" xfId="29209"/>
    <cellStyle name="Vírgula 9 4 2 2 2 2" xfId="55439"/>
    <cellStyle name="Vírgula 9 4 2 2 3" xfId="23295"/>
    <cellStyle name="Vírgula 9 4 2 2 3 2" xfId="49531"/>
    <cellStyle name="Vírgula 9 4 2 2 4" xfId="17381"/>
    <cellStyle name="Vírgula 9 4 2 2 4 2" xfId="43623"/>
    <cellStyle name="Vírgula 9 4 2 2 5" xfId="37237"/>
    <cellStyle name="Vírgula 9 4 2 3" xfId="26252"/>
    <cellStyle name="Vírgula 9 4 2 3 2" xfId="52485"/>
    <cellStyle name="Vírgula 9 4 2 4" xfId="20338"/>
    <cellStyle name="Vírgula 9 4 2 4 2" xfId="46577"/>
    <cellStyle name="Vírgula 9 4 2 5" xfId="14400"/>
    <cellStyle name="Vírgula 9 4 2 5 2" xfId="40642"/>
    <cellStyle name="Vírgula 9 4 2 6" xfId="34256"/>
    <cellStyle name="Vírgula 9 4 3" xfId="9527"/>
    <cellStyle name="Vírgula 9 4 3 2" xfId="27741"/>
    <cellStyle name="Vírgula 9 4 3 2 2" xfId="53971"/>
    <cellStyle name="Vírgula 9 4 3 3" xfId="21827"/>
    <cellStyle name="Vírgula 9 4 3 3 2" xfId="48063"/>
    <cellStyle name="Vírgula 9 4 3 4" xfId="15913"/>
    <cellStyle name="Vírgula 9 4 3 4 2" xfId="42155"/>
    <cellStyle name="Vírgula 9 4 3 5" xfId="35769"/>
    <cellStyle name="Vírgula 9 4 4" xfId="6310"/>
    <cellStyle name="Vírgula 9 4 4 2" xfId="24784"/>
    <cellStyle name="Vírgula 9 4 4 2 2" xfId="51017"/>
    <cellStyle name="Vírgula 9 4 4 3" xfId="32555"/>
    <cellStyle name="Vírgula 9 4 5" xfId="18870"/>
    <cellStyle name="Vírgula 9 4 5 2" xfId="45109"/>
    <cellStyle name="Vírgula 9 4 6" xfId="12699"/>
    <cellStyle name="Vírgula 9 4 6 2" xfId="38941"/>
    <cellStyle name="Vírgula 9 4 7" xfId="30858"/>
    <cellStyle name="Vírgula 9 5" xfId="6017"/>
    <cellStyle name="Vírgula 9 5 2" xfId="7717"/>
    <cellStyle name="Vírgula 9 5 2 2" xfId="10828"/>
    <cellStyle name="Vírgula 9 5 2 2 2" xfId="29042"/>
    <cellStyle name="Vírgula 9 5 2 2 2 2" xfId="55272"/>
    <cellStyle name="Vírgula 9 5 2 2 3" xfId="23128"/>
    <cellStyle name="Vírgula 9 5 2 2 3 2" xfId="49364"/>
    <cellStyle name="Vírgula 9 5 2 2 4" xfId="17214"/>
    <cellStyle name="Vírgula 9 5 2 2 4 2" xfId="43456"/>
    <cellStyle name="Vírgula 9 5 2 2 5" xfId="37070"/>
    <cellStyle name="Vírgula 9 5 2 3" xfId="26085"/>
    <cellStyle name="Vírgula 9 5 2 3 2" xfId="52318"/>
    <cellStyle name="Vírgula 9 5 2 4" xfId="20171"/>
    <cellStyle name="Vírgula 9 5 2 4 2" xfId="46410"/>
    <cellStyle name="Vírgula 9 5 2 5" xfId="14106"/>
    <cellStyle name="Vírgula 9 5 2 5 2" xfId="40348"/>
    <cellStyle name="Vírgula 9 5 2 6" xfId="33962"/>
    <cellStyle name="Vírgula 9 5 3" xfId="9360"/>
    <cellStyle name="Vírgula 9 5 3 2" xfId="27574"/>
    <cellStyle name="Vírgula 9 5 3 2 2" xfId="53804"/>
    <cellStyle name="Vírgula 9 5 3 3" xfId="21660"/>
    <cellStyle name="Vírgula 9 5 3 3 2" xfId="47896"/>
    <cellStyle name="Vírgula 9 5 3 4" xfId="15746"/>
    <cellStyle name="Vírgula 9 5 3 4 2" xfId="41988"/>
    <cellStyle name="Vírgula 9 5 3 5" xfId="35602"/>
    <cellStyle name="Vírgula 9 5 4" xfId="24617"/>
    <cellStyle name="Vírgula 9 5 4 2" xfId="50850"/>
    <cellStyle name="Vírgula 9 5 5" xfId="18703"/>
    <cellStyle name="Vírgula 9 5 5 2" xfId="44942"/>
    <cellStyle name="Vírgula 9 5 6" xfId="12405"/>
    <cellStyle name="Vírgula 9 5 6 2" xfId="38647"/>
    <cellStyle name="Vírgula 9 5 7" xfId="32262"/>
    <cellStyle name="Vírgula 9 6" xfId="6419"/>
    <cellStyle name="Vírgula 9 6 2" xfId="9589"/>
    <cellStyle name="Vírgula 9 6 2 2" xfId="27803"/>
    <cellStyle name="Vírgula 9 6 2 2 2" xfId="54033"/>
    <cellStyle name="Vírgula 9 6 2 3" xfId="21889"/>
    <cellStyle name="Vírgula 9 6 2 3 2" xfId="48125"/>
    <cellStyle name="Vírgula 9 6 2 4" xfId="15975"/>
    <cellStyle name="Vírgula 9 6 2 4 2" xfId="42217"/>
    <cellStyle name="Vírgula 9 6 2 5" xfId="35831"/>
    <cellStyle name="Vírgula 9 6 3" xfId="24846"/>
    <cellStyle name="Vírgula 9 6 3 2" xfId="51079"/>
    <cellStyle name="Vírgula 9 6 4" xfId="18932"/>
    <cellStyle name="Vírgula 9 6 4 2" xfId="45171"/>
    <cellStyle name="Vírgula 9 6 5" xfId="12808"/>
    <cellStyle name="Vírgula 9 6 5 2" xfId="39050"/>
    <cellStyle name="Vírgula 9 6 6" xfId="32664"/>
    <cellStyle name="Vírgula 9 7" xfId="8118"/>
    <cellStyle name="Vírgula 9 7 2" xfId="26332"/>
    <cellStyle name="Vírgula 9 7 2 2" xfId="52565"/>
    <cellStyle name="Vírgula 9 7 3" xfId="20418"/>
    <cellStyle name="Vírgula 9 7 3 2" xfId="46657"/>
    <cellStyle name="Vírgula 9 7 4" xfId="14507"/>
    <cellStyle name="Vírgula 9 7 4 2" xfId="40749"/>
    <cellStyle name="Vírgula 9 7 5" xfId="34363"/>
    <cellStyle name="Vírgula 9 8" xfId="4716"/>
    <cellStyle name="Vírgula 9 8 2" xfId="23375"/>
    <cellStyle name="Vírgula 9 8 2 2" xfId="49611"/>
    <cellStyle name="Vírgula 9 8 3" xfId="30965"/>
    <cellStyle name="Vírgula 9 9" xfId="17461"/>
    <cellStyle name="Vírgula 9 9 2" xfId="43703"/>
  </cellStyles>
  <dxfs count="2969">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000FF"/>
      </font>
    </dxf>
    <dxf>
      <fill>
        <patternFill>
          <bgColor rgb="FFFF0000"/>
        </patternFill>
      </fill>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76200</xdr:rowOff>
    </xdr:from>
    <xdr:to>
      <xdr:col>11</xdr:col>
      <xdr:colOff>469947</xdr:colOff>
      <xdr:row>4</xdr:row>
      <xdr:rowOff>276225</xdr:rowOff>
    </xdr:to>
    <xdr:sp macro="" textlink="">
      <xdr:nvSpPr>
        <xdr:cNvPr id="4124" name="CommandButton1" hidden="1">
          <a:extLst>
            <a:ext uri="{63B3BB69-23CF-44E3-9099-C40C66FF867C}">
              <a14:compatExt xmlns:a14="http://schemas.microsoft.com/office/drawing/2010/main" spid="_x0000_s4124"/>
            </a:ext>
            <a:ext uri="{FF2B5EF4-FFF2-40B4-BE49-F238E27FC236}">
              <a16:creationId xmlns="" xmlns:a16="http://schemas.microsoft.com/office/drawing/2014/main" id="{00000000-0008-0000-0400-00001C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0</xdr:row>
      <xdr:rowOff>47625</xdr:rowOff>
    </xdr:from>
    <xdr:to>
      <xdr:col>12</xdr:col>
      <xdr:colOff>155622</xdr:colOff>
      <xdr:row>1</xdr:row>
      <xdr:rowOff>276225</xdr:rowOff>
    </xdr:to>
    <xdr:sp macro="" textlink="">
      <xdr:nvSpPr>
        <xdr:cNvPr id="4126" name="CommandButton2" hidden="1">
          <a:extLst>
            <a:ext uri="{63B3BB69-23CF-44E3-9099-C40C66FF867C}">
              <a14:compatExt xmlns:a14="http://schemas.microsoft.com/office/drawing/2010/main" spid="_x0000_s4126"/>
            </a:ext>
            <a:ext uri="{FF2B5EF4-FFF2-40B4-BE49-F238E27FC236}">
              <a16:creationId xmlns="" xmlns:a16="http://schemas.microsoft.com/office/drawing/2014/main" id="{00000000-0008-0000-0400-00001E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9</xdr:col>
      <xdr:colOff>266700</xdr:colOff>
      <xdr:row>2</xdr:row>
      <xdr:rowOff>66675</xdr:rowOff>
    </xdr:from>
    <xdr:to>
      <xdr:col>12</xdr:col>
      <xdr:colOff>155622</xdr:colOff>
      <xdr:row>4</xdr:row>
      <xdr:rowOff>152400</xdr:rowOff>
    </xdr:to>
    <xdr:sp macro="" textlink="">
      <xdr:nvSpPr>
        <xdr:cNvPr id="4127" name="CommandButton3" hidden="1">
          <a:extLst>
            <a:ext uri="{63B3BB69-23CF-44E3-9099-C40C66FF867C}">
              <a14:compatExt xmlns:a14="http://schemas.microsoft.com/office/drawing/2010/main" spid="_x0000_s4127"/>
            </a:ext>
            <a:ext uri="{FF2B5EF4-FFF2-40B4-BE49-F238E27FC236}">
              <a16:creationId xmlns="" xmlns:a16="http://schemas.microsoft.com/office/drawing/2014/main" id="{00000000-0008-0000-0400-00001F1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0</xdr:row>
      <xdr:rowOff>19050</xdr:rowOff>
    </xdr:from>
    <xdr:to>
      <xdr:col>16</xdr:col>
      <xdr:colOff>588169</xdr:colOff>
      <xdr:row>1</xdr:row>
      <xdr:rowOff>76200</xdr:rowOff>
    </xdr:to>
    <xdr:sp macro="" textlink="">
      <xdr:nvSpPr>
        <xdr:cNvPr id="2" name="CommandButton1" hidden="1">
          <a:extLst>
            <a:ext uri="{63B3BB69-23CF-44E3-9099-C40C66FF867C}">
              <a14:compatExt xmlns:a14="http://schemas.microsoft.com/office/drawing/2010/main" spid="_x0000_s11266"/>
            </a:ext>
            <a:ext uri="{FF2B5EF4-FFF2-40B4-BE49-F238E27FC236}">
              <a16:creationId xmlns="" xmlns:a16="http://schemas.microsoft.com/office/drawing/2014/main" id="{00000000-0008-0000-0800-000002000000}"/>
            </a:ext>
          </a:extLst>
        </xdr:cNvPr>
        <xdr:cNvSpPr/>
      </xdr:nvSpPr>
      <xdr:spPr bwMode="auto">
        <a:xfrm>
          <a:off x="27441525" y="19050"/>
          <a:ext cx="1197768"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1</xdr:row>
      <xdr:rowOff>95250</xdr:rowOff>
    </xdr:from>
    <xdr:to>
      <xdr:col>16</xdr:col>
      <xdr:colOff>597694</xdr:colOff>
      <xdr:row>3</xdr:row>
      <xdr:rowOff>190500</xdr:rowOff>
    </xdr:to>
    <xdr:sp macro="" textlink="">
      <xdr:nvSpPr>
        <xdr:cNvPr id="3" name="CommandButton2" hidden="1">
          <a:extLst>
            <a:ext uri="{63B3BB69-23CF-44E3-9099-C40C66FF867C}">
              <a14:compatExt xmlns:a14="http://schemas.microsoft.com/office/drawing/2010/main" spid="_x0000_s11267"/>
            </a:ext>
            <a:ext uri="{FF2B5EF4-FFF2-40B4-BE49-F238E27FC236}">
              <a16:creationId xmlns="" xmlns:a16="http://schemas.microsoft.com/office/drawing/2014/main" id="{00000000-0008-0000-0800-000003000000}"/>
            </a:ext>
          </a:extLst>
        </xdr:cNvPr>
        <xdr:cNvSpPr/>
      </xdr:nvSpPr>
      <xdr:spPr bwMode="auto">
        <a:xfrm>
          <a:off x="27441525" y="409575"/>
          <a:ext cx="1207293"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0</xdr:row>
      <xdr:rowOff>19050</xdr:rowOff>
    </xdr:from>
    <xdr:to>
      <xdr:col>16</xdr:col>
      <xdr:colOff>590550</xdr:colOff>
      <xdr:row>1</xdr:row>
      <xdr:rowOff>76200</xdr:rowOff>
    </xdr:to>
    <xdr:sp macro="" textlink="">
      <xdr:nvSpPr>
        <xdr:cNvPr id="4" name="CommandButton1" hidden="1">
          <a:extLst>
            <a:ext uri="{63B3BB69-23CF-44E3-9099-C40C66FF867C}">
              <a14:compatExt xmlns:a14="http://schemas.microsoft.com/office/drawing/2010/main" spid="_x0000_s11266"/>
            </a:ext>
            <a:ext uri="{FF2B5EF4-FFF2-40B4-BE49-F238E27FC236}">
              <a16:creationId xmlns="" xmlns:a16="http://schemas.microsoft.com/office/drawing/2014/main" id="{00000000-0008-0000-0800-000004000000}"/>
            </a:ext>
          </a:extLst>
        </xdr:cNvPr>
        <xdr:cNvSpPr/>
      </xdr:nvSpPr>
      <xdr:spPr bwMode="auto">
        <a:xfrm>
          <a:off x="27441525" y="19050"/>
          <a:ext cx="1200149" cy="37147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15</xdr:col>
      <xdr:colOff>0</xdr:colOff>
      <xdr:row>1</xdr:row>
      <xdr:rowOff>95250</xdr:rowOff>
    </xdr:from>
    <xdr:to>
      <xdr:col>16</xdr:col>
      <xdr:colOff>600075</xdr:colOff>
      <xdr:row>3</xdr:row>
      <xdr:rowOff>190500</xdr:rowOff>
    </xdr:to>
    <xdr:sp macro="" textlink="">
      <xdr:nvSpPr>
        <xdr:cNvPr id="5" name="CommandButton2" hidden="1">
          <a:extLst>
            <a:ext uri="{63B3BB69-23CF-44E3-9099-C40C66FF867C}">
              <a14:compatExt xmlns:a14="http://schemas.microsoft.com/office/drawing/2010/main" spid="_x0000_s11267"/>
            </a:ext>
            <a:ext uri="{FF2B5EF4-FFF2-40B4-BE49-F238E27FC236}">
              <a16:creationId xmlns="" xmlns:a16="http://schemas.microsoft.com/office/drawing/2014/main" id="{00000000-0008-0000-0800-000005000000}"/>
            </a:ext>
          </a:extLst>
        </xdr:cNvPr>
        <xdr:cNvSpPr/>
      </xdr:nvSpPr>
      <xdr:spPr bwMode="auto">
        <a:xfrm>
          <a:off x="27441525" y="409575"/>
          <a:ext cx="1209674" cy="657225"/>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30082</xdr:colOff>
      <xdr:row>18</xdr:row>
      <xdr:rowOff>120066</xdr:rowOff>
    </xdr:from>
    <xdr:to>
      <xdr:col>4</xdr:col>
      <xdr:colOff>465021</xdr:colOff>
      <xdr:row>36</xdr:row>
      <xdr:rowOff>26769</xdr:rowOff>
    </xdr:to>
    <xdr:pic>
      <xdr:nvPicPr>
        <xdr:cNvPr id="2" name="Imagem 1">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0082" y="7073316"/>
          <a:ext cx="6635714" cy="33357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pa%20-%20manuten&#231;&#227;o%20hidrossanit&#225;ria=1.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ntes"/>
      <sheetName val="Equipe"/>
      <sheetName val="Serviços"/>
      <sheetName val="Insumos"/>
      <sheetName val="Composições"/>
      <sheetName val="Comp.Aux1"/>
      <sheetName val="Comp.Aux2"/>
      <sheetName val="Orçamentária-RESUMO"/>
      <sheetName val="Orçamentária-TR"/>
      <sheetName val="Orçamentária"/>
      <sheetName val="BDI"/>
      <sheetName val="Custos Unitários"/>
      <sheetName val="ABC Serviços"/>
      <sheetName val="ABC Insumos"/>
      <sheetName val="Outras Tab"/>
      <sheetName val="Lista CPU"/>
      <sheetName val="AUX"/>
      <sheetName val="Orçamentária-base"/>
      <sheetName val="Serviços SINAPI"/>
      <sheetName val="Insumos SINAPI"/>
      <sheetName val="planilha auxili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quartzolit.weber/files/br/2017-12/super_graute_quartzolit.pdf" TargetMode="External"/><Relationship Id="rId3" Type="http://schemas.openxmlformats.org/officeDocument/2006/relationships/hyperlink" Target="https://www.sherwin-williams.com.br/produto-detalhe/metalatex-eco-complementos" TargetMode="External"/><Relationship Id="rId7" Type="http://schemas.openxmlformats.org/officeDocument/2006/relationships/hyperlink" Target="http://www.denverimper.com.br/files/produtos/0000001-0000500/122/e5fe48d2b8810574e94921c5fb6cea0c.pdf" TargetMode="External"/><Relationship Id="rId12" Type="http://schemas.openxmlformats.org/officeDocument/2006/relationships/vmlDrawing" Target="../drawings/vmlDrawing1.vml"/><Relationship Id="rId2" Type="http://schemas.openxmlformats.org/officeDocument/2006/relationships/hyperlink" Target="https://www.suvinil.com.br/upload/78d22676-91b1-4086-99ad-4258fadd7b08-suvinil-fundo-seca-rapidomaio2018.pdf" TargetMode="External"/><Relationship Id="rId1" Type="http://schemas.openxmlformats.org/officeDocument/2006/relationships/hyperlink" Target="https://s3.amazonaws.com/mapa-da-obra-producao/wp-content/uploads/2015/12/2101-matrix-revestimento-interno.pdf" TargetMode="External"/><Relationship Id="rId6" Type="http://schemas.openxmlformats.org/officeDocument/2006/relationships/hyperlink" Target="http://www.denverimper.com.br/files/produtos/0000001-0000500/122/e5fe48d2b8810574e94921c5fb6cea0c.pdf" TargetMode="External"/><Relationship Id="rId11" Type="http://schemas.openxmlformats.org/officeDocument/2006/relationships/drawing" Target="../drawings/drawing1.xml"/><Relationship Id="rId5" Type="http://schemas.openxmlformats.org/officeDocument/2006/relationships/hyperlink" Target="http://vedacit.com.br/produtos/primer-eco-vedacit" TargetMode="External"/><Relationship Id="rId10" Type="http://schemas.openxmlformats.org/officeDocument/2006/relationships/printerSettings" Target="../printerSettings/printerSettings1.bin"/><Relationship Id="rId4" Type="http://schemas.openxmlformats.org/officeDocument/2006/relationships/hyperlink" Target="http://www.bautechbrasil.com.br/produtos/pinturas-especiais-e-complementos/bautech-resina-acr%C3%ADlica-multiuso" TargetMode="External"/><Relationship Id="rId9" Type="http://schemas.openxmlformats.org/officeDocument/2006/relationships/hyperlink" Target="https://bra.sika.com/dms/getdocument.get/936a7cee-8d90-4be4-9494-f16d0e9334b4/sikacryl_-103.pdf"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filterMode="1">
    <pageSetUpPr fitToPage="1"/>
  </sheetPr>
  <dimension ref="A1:J7187"/>
  <sheetViews>
    <sheetView zoomScale="80" zoomScaleNormal="80" workbookViewId="0">
      <pane ySplit="5" topLeftCell="A6" activePane="bottomLeft" state="frozen"/>
      <selection pane="bottomLeft" activeCell="A2" sqref="A2"/>
    </sheetView>
  </sheetViews>
  <sheetFormatPr defaultRowHeight="15" x14ac:dyDescent="0.25"/>
  <cols>
    <col min="1" max="1" width="14.7109375" customWidth="1"/>
    <col min="2" max="2" width="50.7109375" customWidth="1"/>
    <col min="3" max="3" width="65.7109375" style="4" customWidth="1"/>
    <col min="4" max="4" width="15.7109375" customWidth="1"/>
    <col min="5" max="5" width="20.7109375" customWidth="1"/>
    <col min="6" max="6" width="15.7109375" customWidth="1"/>
    <col min="7" max="8" width="17.7109375" customWidth="1"/>
    <col min="9" max="9" width="5.7109375" customWidth="1"/>
    <col min="10" max="10" width="10.28515625" bestFit="1" customWidth="1"/>
  </cols>
  <sheetData>
    <row r="1" spans="1:10" ht="24.95" customHeight="1" x14ac:dyDescent="0.25">
      <c r="A1" s="6" t="str">
        <f>'Orçamentária-TR'!A1</f>
        <v>Manutenção Hidrossanitária</v>
      </c>
      <c r="B1" s="6"/>
      <c r="C1" s="6"/>
      <c r="D1" s="6"/>
      <c r="E1" s="7"/>
      <c r="F1" s="6"/>
      <c r="G1" s="6"/>
      <c r="H1" s="6"/>
      <c r="I1" s="8"/>
      <c r="J1" s="9"/>
    </row>
    <row r="2" spans="1:10" ht="24.95" customHeight="1" x14ac:dyDescent="0.25">
      <c r="A2" s="10" t="s">
        <v>0</v>
      </c>
      <c r="B2" s="11"/>
      <c r="C2" s="87"/>
      <c r="D2" s="11"/>
      <c r="E2" s="12"/>
      <c r="F2" s="11"/>
      <c r="G2" s="11"/>
      <c r="H2" s="11"/>
      <c r="I2" s="13"/>
      <c r="J2" s="9"/>
    </row>
    <row r="3" spans="1:10" ht="20.100000000000001" customHeight="1" x14ac:dyDescent="0.25">
      <c r="A3" s="14" t="str">
        <f>'Orçamentária-TR'!A3</f>
        <v>Data: Abril de 2022</v>
      </c>
      <c r="B3" s="14"/>
      <c r="C3" s="88"/>
      <c r="D3" s="14"/>
      <c r="E3" s="15"/>
      <c r="F3" s="14"/>
      <c r="G3" s="14"/>
      <c r="H3" s="14"/>
      <c r="J3" s="9"/>
    </row>
    <row r="4" spans="1:10" ht="15.75" thickBot="1" x14ac:dyDescent="0.3">
      <c r="A4" s="16"/>
      <c r="B4" s="16"/>
      <c r="C4" s="115"/>
      <c r="D4" s="16"/>
      <c r="E4" s="17"/>
      <c r="F4" s="16"/>
      <c r="G4" s="18"/>
      <c r="H4" s="16"/>
      <c r="I4" s="16"/>
      <c r="J4" s="19"/>
    </row>
    <row r="5" spans="1:10" ht="30.75" thickBot="1" x14ac:dyDescent="0.3">
      <c r="A5" s="20" t="s">
        <v>1</v>
      </c>
      <c r="B5" s="21" t="s">
        <v>2</v>
      </c>
      <c r="C5" s="116" t="s">
        <v>3</v>
      </c>
      <c r="D5" s="21" t="s">
        <v>4</v>
      </c>
      <c r="E5" s="22" t="s">
        <v>5</v>
      </c>
      <c r="F5" s="21" t="s">
        <v>6</v>
      </c>
      <c r="G5" s="21" t="s">
        <v>7</v>
      </c>
      <c r="H5" s="23" t="s">
        <v>8</v>
      </c>
      <c r="I5" s="24"/>
      <c r="J5" s="25" t="s">
        <v>9</v>
      </c>
    </row>
    <row r="6" spans="1:10" ht="15.75" hidden="1" thickBot="1" x14ac:dyDescent="0.3">
      <c r="A6" s="218" t="s">
        <v>10</v>
      </c>
      <c r="B6" s="221" t="e">
        <f>INDEX(#REF!,MATCH(Composições!A6,#REF!,0),2)</f>
        <v>#REF!</v>
      </c>
      <c r="C6" s="41"/>
      <c r="D6" s="26" t="s">
        <v>1423</v>
      </c>
      <c r="E6" s="27"/>
      <c r="F6" s="28" t="s">
        <v>522</v>
      </c>
      <c r="G6" s="28" t="str">
        <f t="shared" ref="G6:G69" si="0">IF(ISNUMBER(F6),E6*F6,"")</f>
        <v/>
      </c>
      <c r="H6" s="29"/>
      <c r="I6" s="30"/>
      <c r="J6" s="102">
        <v>0</v>
      </c>
    </row>
    <row r="7" spans="1:10" ht="15.75" hidden="1" thickBot="1" x14ac:dyDescent="0.3">
      <c r="A7" s="219"/>
      <c r="B7" s="237"/>
      <c r="C7" s="32"/>
      <c r="D7" s="32"/>
      <c r="E7" s="33"/>
      <c r="F7" s="31" t="s">
        <v>522</v>
      </c>
      <c r="G7" s="34" t="str">
        <f t="shared" si="0"/>
        <v/>
      </c>
      <c r="H7" s="35"/>
      <c r="I7" s="31"/>
      <c r="J7" s="102">
        <v>0</v>
      </c>
    </row>
    <row r="8" spans="1:10" ht="15.75" hidden="1" thickBot="1" x14ac:dyDescent="0.3">
      <c r="A8" s="219"/>
      <c r="B8" s="237"/>
      <c r="C8" s="36" t="s">
        <v>11</v>
      </c>
      <c r="D8" s="36" t="s">
        <v>12</v>
      </c>
      <c r="E8" s="37">
        <v>1</v>
      </c>
      <c r="F8" s="31">
        <v>75.629499999999993</v>
      </c>
      <c r="G8" s="34">
        <f t="shared" si="0"/>
        <v>75.629499999999993</v>
      </c>
      <c r="H8" s="39">
        <f>SUM(G8:G8)</f>
        <v>75.629499999999993</v>
      </c>
      <c r="I8" s="40"/>
      <c r="J8" s="102">
        <v>0</v>
      </c>
    </row>
    <row r="9" spans="1:10" ht="15.75" hidden="1" thickBot="1" x14ac:dyDescent="0.3">
      <c r="A9" s="220"/>
      <c r="B9" s="223"/>
      <c r="C9" s="36"/>
      <c r="D9" s="36"/>
      <c r="E9" s="37"/>
      <c r="F9" s="31" t="s">
        <v>522</v>
      </c>
      <c r="G9" s="34" t="str">
        <f t="shared" si="0"/>
        <v/>
      </c>
      <c r="H9" s="35"/>
      <c r="I9" s="31"/>
      <c r="J9" s="102">
        <v>0</v>
      </c>
    </row>
    <row r="10" spans="1:10" ht="15.75" hidden="1" thickBot="1" x14ac:dyDescent="0.3">
      <c r="A10" s="239" t="s">
        <v>13</v>
      </c>
      <c r="B10" s="221" t="e">
        <f>INDEX(#REF!,MATCH(Composições!A10,#REF!,0),2)</f>
        <v>#REF!</v>
      </c>
      <c r="C10" s="41"/>
      <c r="D10" s="26" t="s">
        <v>1423</v>
      </c>
      <c r="E10" s="27"/>
      <c r="F10" s="42" t="s">
        <v>522</v>
      </c>
      <c r="G10" s="28" t="str">
        <f t="shared" si="0"/>
        <v/>
      </c>
      <c r="H10" s="29"/>
      <c r="I10" s="30"/>
      <c r="J10" s="102">
        <v>0</v>
      </c>
    </row>
    <row r="11" spans="1:10" ht="15.75" hidden="1" thickBot="1" x14ac:dyDescent="0.3">
      <c r="A11" s="240"/>
      <c r="B11" s="237"/>
      <c r="C11" s="32"/>
      <c r="D11" s="32"/>
      <c r="E11" s="33"/>
      <c r="F11" s="43" t="s">
        <v>522</v>
      </c>
      <c r="G11" s="31" t="str">
        <f t="shared" si="0"/>
        <v/>
      </c>
      <c r="H11" s="35"/>
      <c r="I11" s="31"/>
      <c r="J11" s="102">
        <v>0</v>
      </c>
    </row>
    <row r="12" spans="1:10" ht="15.75" hidden="1" thickBot="1" x14ac:dyDescent="0.3">
      <c r="A12" s="240"/>
      <c r="B12" s="237"/>
      <c r="C12" s="36" t="s">
        <v>14</v>
      </c>
      <c r="D12" s="36" t="s">
        <v>12</v>
      </c>
      <c r="E12" s="37">
        <v>1</v>
      </c>
      <c r="F12" s="31">
        <v>24.566999999999997</v>
      </c>
      <c r="G12" s="34">
        <f t="shared" si="0"/>
        <v>24.566999999999997</v>
      </c>
      <c r="H12" s="39">
        <f>SUM(G12:G12)</f>
        <v>24.566999999999997</v>
      </c>
      <c r="I12" s="40"/>
      <c r="J12" s="102">
        <v>0</v>
      </c>
    </row>
    <row r="13" spans="1:10" ht="15.75" hidden="1" thickBot="1" x14ac:dyDescent="0.3">
      <c r="A13" s="240"/>
      <c r="B13" s="237"/>
      <c r="C13" s="36"/>
      <c r="D13" s="36"/>
      <c r="E13" s="37"/>
      <c r="F13" s="31" t="s">
        <v>522</v>
      </c>
      <c r="G13" s="31" t="str">
        <f t="shared" si="0"/>
        <v/>
      </c>
      <c r="H13" s="35"/>
      <c r="I13" s="31"/>
      <c r="J13" s="102">
        <v>0</v>
      </c>
    </row>
    <row r="14" spans="1:10" ht="15.75" hidden="1" thickBot="1" x14ac:dyDescent="0.3">
      <c r="A14" s="218" t="s">
        <v>15</v>
      </c>
      <c r="B14" s="221" t="e">
        <f>INDEX(#REF!,MATCH(Composições!A14,#REF!,0),2)</f>
        <v>#REF!</v>
      </c>
      <c r="C14" s="41"/>
      <c r="D14" s="26" t="s">
        <v>20</v>
      </c>
      <c r="E14" s="27"/>
      <c r="F14" s="42" t="s">
        <v>522</v>
      </c>
      <c r="G14" s="28" t="str">
        <f t="shared" si="0"/>
        <v/>
      </c>
      <c r="H14" s="29"/>
      <c r="I14" s="30"/>
      <c r="J14" s="102">
        <v>0</v>
      </c>
    </row>
    <row r="15" spans="1:10" ht="15.75" hidden="1" thickBot="1" x14ac:dyDescent="0.3">
      <c r="A15" s="219"/>
      <c r="B15" s="237"/>
      <c r="C15" s="32"/>
      <c r="D15" s="32"/>
      <c r="E15" s="33"/>
      <c r="F15" s="43" t="s">
        <v>522</v>
      </c>
      <c r="G15" s="31" t="str">
        <f t="shared" si="0"/>
        <v/>
      </c>
      <c r="H15" s="35"/>
      <c r="I15" s="31"/>
      <c r="J15" s="102">
        <v>0</v>
      </c>
    </row>
    <row r="16" spans="1:10" ht="15.75" hidden="1" thickBot="1" x14ac:dyDescent="0.3">
      <c r="A16" s="219"/>
      <c r="B16" s="237"/>
      <c r="C16" s="36" t="s">
        <v>16</v>
      </c>
      <c r="D16" s="36" t="s">
        <v>12</v>
      </c>
      <c r="E16" s="37">
        <v>16</v>
      </c>
      <c r="F16" s="31">
        <v>85.870499999999993</v>
      </c>
      <c r="G16" s="31">
        <f t="shared" si="0"/>
        <v>1373.9279999999999</v>
      </c>
      <c r="H16" s="39">
        <f>SUM(G16:G16)</f>
        <v>1373.9279999999999</v>
      </c>
      <c r="I16" s="40"/>
      <c r="J16" s="102">
        <v>0</v>
      </c>
    </row>
    <row r="17" spans="1:10" ht="15.75" hidden="1" thickBot="1" x14ac:dyDescent="0.3">
      <c r="A17" s="220"/>
      <c r="B17" s="223"/>
      <c r="C17" s="36"/>
      <c r="D17" s="36"/>
      <c r="E17" s="37"/>
      <c r="F17" s="31" t="s">
        <v>522</v>
      </c>
      <c r="G17" s="31" t="str">
        <f t="shared" si="0"/>
        <v/>
      </c>
      <c r="H17" s="35"/>
      <c r="I17" s="31"/>
      <c r="J17" s="102">
        <v>0</v>
      </c>
    </row>
    <row r="18" spans="1:10" ht="15.75" hidden="1" thickBot="1" x14ac:dyDescent="0.3">
      <c r="A18" s="218" t="s">
        <v>17</v>
      </c>
      <c r="B18" s="221" t="e">
        <f>INDEX(#REF!,MATCH(Composições!A18,#REF!,0),2)</f>
        <v>#REF!</v>
      </c>
      <c r="C18" s="41"/>
      <c r="D18" s="26" t="s">
        <v>20</v>
      </c>
      <c r="E18" s="27"/>
      <c r="F18" s="42" t="s">
        <v>522</v>
      </c>
      <c r="G18" s="28" t="str">
        <f t="shared" si="0"/>
        <v/>
      </c>
      <c r="H18" s="29"/>
      <c r="I18" s="30"/>
      <c r="J18" s="102">
        <v>0</v>
      </c>
    </row>
    <row r="19" spans="1:10" ht="15.75" hidden="1" thickBot="1" x14ac:dyDescent="0.3">
      <c r="A19" s="219"/>
      <c r="B19" s="237"/>
      <c r="C19" s="32"/>
      <c r="D19" s="32"/>
      <c r="E19" s="33"/>
      <c r="F19" s="43" t="s">
        <v>522</v>
      </c>
      <c r="G19" s="31" t="str">
        <f t="shared" si="0"/>
        <v/>
      </c>
      <c r="H19" s="35"/>
      <c r="I19" s="31"/>
      <c r="J19" s="102">
        <v>0</v>
      </c>
    </row>
    <row r="20" spans="1:10" ht="15.75" hidden="1" thickBot="1" x14ac:dyDescent="0.3">
      <c r="A20" s="219"/>
      <c r="B20" s="237"/>
      <c r="C20" s="36" t="s">
        <v>1214</v>
      </c>
      <c r="D20" s="36" t="s">
        <v>703</v>
      </c>
      <c r="E20" s="37">
        <v>20</v>
      </c>
      <c r="F20" s="31">
        <v>86.117500000000007</v>
      </c>
      <c r="G20" s="31">
        <f t="shared" si="0"/>
        <v>1722.3500000000001</v>
      </c>
      <c r="H20" s="39">
        <f>SUM(G20:G21)</f>
        <v>1722.3500000000001</v>
      </c>
      <c r="I20" s="40"/>
      <c r="J20" s="102">
        <v>0</v>
      </c>
    </row>
    <row r="21" spans="1:10" ht="15.75" hidden="1" thickBot="1" x14ac:dyDescent="0.3">
      <c r="A21" s="219"/>
      <c r="B21" s="237"/>
      <c r="C21" s="36" t="s">
        <v>19</v>
      </c>
      <c r="D21" s="36" t="s">
        <v>20</v>
      </c>
      <c r="E21" s="37">
        <v>1</v>
      </c>
      <c r="F21" s="34" t="s">
        <v>522</v>
      </c>
      <c r="G21" s="31" t="str">
        <f t="shared" si="0"/>
        <v/>
      </c>
      <c r="H21" s="35"/>
      <c r="I21" s="31"/>
      <c r="J21" s="102">
        <v>0</v>
      </c>
    </row>
    <row r="22" spans="1:10" ht="15.75" hidden="1" thickBot="1" x14ac:dyDescent="0.3">
      <c r="A22" s="220"/>
      <c r="B22" s="223"/>
      <c r="C22" s="36"/>
      <c r="D22" s="36"/>
      <c r="E22" s="37"/>
      <c r="F22" s="31" t="s">
        <v>522</v>
      </c>
      <c r="G22" s="31" t="str">
        <f t="shared" si="0"/>
        <v/>
      </c>
      <c r="H22" s="35"/>
      <c r="I22" s="31"/>
      <c r="J22" s="102">
        <v>0</v>
      </c>
    </row>
    <row r="23" spans="1:10" ht="15.75" hidden="1" thickBot="1" x14ac:dyDescent="0.3">
      <c r="A23" s="218" t="s">
        <v>21</v>
      </c>
      <c r="B23" s="221" t="e">
        <f>INDEX(#REF!,MATCH(Composições!A23,#REF!,0),2)</f>
        <v>#REF!</v>
      </c>
      <c r="C23" s="41"/>
      <c r="D23" s="26" t="s">
        <v>109</v>
      </c>
      <c r="E23" s="27"/>
      <c r="F23" s="42" t="s">
        <v>522</v>
      </c>
      <c r="G23" s="28" t="str">
        <f t="shared" si="0"/>
        <v/>
      </c>
      <c r="H23" s="29"/>
      <c r="I23" s="30"/>
      <c r="J23" s="102">
        <v>0</v>
      </c>
    </row>
    <row r="24" spans="1:10" ht="15.75" hidden="1" thickBot="1" x14ac:dyDescent="0.3">
      <c r="A24" s="219"/>
      <c r="B24" s="237"/>
      <c r="C24" s="32"/>
      <c r="D24" s="32"/>
      <c r="E24" s="33"/>
      <c r="F24" s="43" t="s">
        <v>522</v>
      </c>
      <c r="G24" s="31" t="str">
        <f t="shared" si="0"/>
        <v/>
      </c>
      <c r="H24" s="35"/>
      <c r="I24" s="31"/>
      <c r="J24" s="102">
        <v>0</v>
      </c>
    </row>
    <row r="25" spans="1:10" ht="15.75" hidden="1" thickBot="1" x14ac:dyDescent="0.3">
      <c r="A25" s="219"/>
      <c r="B25" s="237"/>
      <c r="C25" s="36" t="s">
        <v>22</v>
      </c>
      <c r="D25" s="36" t="s">
        <v>12</v>
      </c>
      <c r="E25" s="37">
        <v>0.22500000000000001</v>
      </c>
      <c r="F25" s="31">
        <v>21.479499999999998</v>
      </c>
      <c r="G25" s="34">
        <f t="shared" si="0"/>
        <v>4.8328875</v>
      </c>
      <c r="H25" s="39">
        <f>SUM(G25:G26)</f>
        <v>42.444664299999999</v>
      </c>
      <c r="I25" s="40"/>
      <c r="J25" s="102">
        <v>0</v>
      </c>
    </row>
    <row r="26" spans="1:10" ht="15.75" hidden="1" thickBot="1" x14ac:dyDescent="0.3">
      <c r="A26" s="219"/>
      <c r="B26" s="237"/>
      <c r="C26" s="36" t="s">
        <v>23</v>
      </c>
      <c r="D26" s="36" t="s">
        <v>12</v>
      </c>
      <c r="E26" s="37">
        <v>2.3248000000000002</v>
      </c>
      <c r="F26" s="31">
        <v>16.1785</v>
      </c>
      <c r="G26" s="34">
        <f t="shared" si="0"/>
        <v>37.611776800000001</v>
      </c>
      <c r="H26" s="44"/>
      <c r="I26" s="40"/>
      <c r="J26" s="102">
        <v>0</v>
      </c>
    </row>
    <row r="27" spans="1:10" ht="15.75" hidden="1" thickBot="1" x14ac:dyDescent="0.3">
      <c r="A27" s="220"/>
      <c r="B27" s="223"/>
      <c r="C27" s="36"/>
      <c r="D27" s="36"/>
      <c r="E27" s="37"/>
      <c r="F27" s="31" t="s">
        <v>522</v>
      </c>
      <c r="G27" s="31" t="str">
        <f t="shared" si="0"/>
        <v/>
      </c>
      <c r="H27" s="35"/>
      <c r="I27" s="31"/>
      <c r="J27" s="102">
        <v>0</v>
      </c>
    </row>
    <row r="28" spans="1:10" ht="15.75" hidden="1" thickBot="1" x14ac:dyDescent="0.3">
      <c r="A28" s="218" t="s">
        <v>24</v>
      </c>
      <c r="B28" s="221" t="e">
        <f>INDEX(#REF!,MATCH(Composições!A28,#REF!,0),2)</f>
        <v>#REF!</v>
      </c>
      <c r="C28" s="41"/>
      <c r="D28" s="26" t="s">
        <v>109</v>
      </c>
      <c r="E28" s="27"/>
      <c r="F28" s="42" t="s">
        <v>522</v>
      </c>
      <c r="G28" s="28" t="str">
        <f t="shared" si="0"/>
        <v/>
      </c>
      <c r="H28" s="29"/>
      <c r="I28" s="30"/>
      <c r="J28" s="102">
        <v>0</v>
      </c>
    </row>
    <row r="29" spans="1:10" ht="15.75" hidden="1" thickBot="1" x14ac:dyDescent="0.3">
      <c r="A29" s="219"/>
      <c r="B29" s="237"/>
      <c r="C29" s="32"/>
      <c r="D29" s="32"/>
      <c r="E29" s="33"/>
      <c r="F29" s="43" t="s">
        <v>522</v>
      </c>
      <c r="G29" s="31" t="str">
        <f t="shared" si="0"/>
        <v/>
      </c>
      <c r="H29" s="35"/>
      <c r="I29" s="31"/>
      <c r="J29" s="102">
        <v>0</v>
      </c>
    </row>
    <row r="30" spans="1:10" ht="15.75" hidden="1" thickBot="1" x14ac:dyDescent="0.3">
      <c r="A30" s="219"/>
      <c r="B30" s="237"/>
      <c r="C30" s="36" t="s">
        <v>22</v>
      </c>
      <c r="D30" s="36" t="s">
        <v>12</v>
      </c>
      <c r="E30" s="37">
        <v>1.3</v>
      </c>
      <c r="F30" s="31">
        <v>21.479499999999998</v>
      </c>
      <c r="G30" s="34">
        <f t="shared" si="0"/>
        <v>27.923349999999999</v>
      </c>
      <c r="H30" s="39">
        <f>SUM(G30:G31)</f>
        <v>238.24384999999998</v>
      </c>
      <c r="I30" s="40"/>
      <c r="J30" s="102">
        <v>0</v>
      </c>
    </row>
    <row r="31" spans="1:10" ht="15.75" hidden="1" thickBot="1" x14ac:dyDescent="0.3">
      <c r="A31" s="219"/>
      <c r="B31" s="237"/>
      <c r="C31" s="36" t="s">
        <v>23</v>
      </c>
      <c r="D31" s="36" t="s">
        <v>12</v>
      </c>
      <c r="E31" s="37">
        <v>13</v>
      </c>
      <c r="F31" s="31">
        <v>16.1785</v>
      </c>
      <c r="G31" s="34">
        <f t="shared" si="0"/>
        <v>210.32049999999998</v>
      </c>
      <c r="H31" s="35"/>
      <c r="I31" s="31"/>
      <c r="J31" s="102">
        <v>0</v>
      </c>
    </row>
    <row r="32" spans="1:10" ht="15.75" hidden="1" thickBot="1" x14ac:dyDescent="0.3">
      <c r="A32" s="220"/>
      <c r="B32" s="223"/>
      <c r="C32" s="36"/>
      <c r="D32" s="36"/>
      <c r="E32" s="37"/>
      <c r="F32" s="31" t="s">
        <v>522</v>
      </c>
      <c r="G32" s="31" t="str">
        <f t="shared" si="0"/>
        <v/>
      </c>
      <c r="H32" s="35"/>
      <c r="I32" s="31"/>
      <c r="J32" s="102">
        <v>0</v>
      </c>
    </row>
    <row r="33" spans="1:10" ht="15.75" hidden="1" thickBot="1" x14ac:dyDescent="0.3">
      <c r="A33" s="241" t="s">
        <v>25</v>
      </c>
      <c r="B33" s="226" t="e">
        <f>INDEX(#REF!,MATCH(Composições!A33,#REF!,0),2)</f>
        <v>#REF!</v>
      </c>
      <c r="C33" s="41"/>
      <c r="D33" s="26" t="s">
        <v>95</v>
      </c>
      <c r="E33" s="27"/>
      <c r="F33" s="42" t="s">
        <v>522</v>
      </c>
      <c r="G33" s="28" t="str">
        <f t="shared" si="0"/>
        <v/>
      </c>
      <c r="H33" s="29"/>
      <c r="I33" s="30"/>
      <c r="J33" s="102">
        <v>0</v>
      </c>
    </row>
    <row r="34" spans="1:10" ht="15.75" hidden="1" thickBot="1" x14ac:dyDescent="0.3">
      <c r="A34" s="242"/>
      <c r="B34" s="244"/>
      <c r="C34" s="32"/>
      <c r="D34" s="32"/>
      <c r="E34" s="33"/>
      <c r="F34" s="43" t="s">
        <v>522</v>
      </c>
      <c r="G34" s="31" t="str">
        <f t="shared" si="0"/>
        <v/>
      </c>
      <c r="H34" s="35"/>
      <c r="I34" s="31"/>
      <c r="J34" s="102">
        <v>0</v>
      </c>
    </row>
    <row r="35" spans="1:10" ht="15.75" hidden="1" thickBot="1" x14ac:dyDescent="0.3">
      <c r="A35" s="242"/>
      <c r="B35" s="244"/>
      <c r="C35" s="36" t="s">
        <v>23</v>
      </c>
      <c r="D35" s="36" t="s">
        <v>12</v>
      </c>
      <c r="E35" s="37">
        <v>0.7</v>
      </c>
      <c r="F35" s="31">
        <v>16.1785</v>
      </c>
      <c r="G35" s="34">
        <f t="shared" si="0"/>
        <v>11.324949999999999</v>
      </c>
      <c r="H35" s="39">
        <f>SUM(G35:G35)</f>
        <v>11.324949999999999</v>
      </c>
      <c r="I35" s="40"/>
      <c r="J35" s="102">
        <v>0</v>
      </c>
    </row>
    <row r="36" spans="1:10" ht="15.75" hidden="1" thickBot="1" x14ac:dyDescent="0.3">
      <c r="A36" s="243"/>
      <c r="B36" s="228"/>
      <c r="C36" s="36"/>
      <c r="D36" s="36"/>
      <c r="E36" s="37"/>
      <c r="F36" s="31" t="s">
        <v>522</v>
      </c>
      <c r="G36" s="31" t="str">
        <f t="shared" si="0"/>
        <v/>
      </c>
      <c r="H36" s="35"/>
      <c r="I36" s="31"/>
      <c r="J36" s="102">
        <v>0</v>
      </c>
    </row>
    <row r="37" spans="1:10" ht="15.75" hidden="1" thickBot="1" x14ac:dyDescent="0.3">
      <c r="A37" s="218" t="s">
        <v>26</v>
      </c>
      <c r="B37" s="221" t="e">
        <f>INDEX(#REF!,MATCH(Composições!A37,#REF!,0),2)</f>
        <v>#REF!</v>
      </c>
      <c r="C37" s="41"/>
      <c r="D37" s="26" t="s">
        <v>95</v>
      </c>
      <c r="E37" s="27"/>
      <c r="F37" s="42" t="s">
        <v>522</v>
      </c>
      <c r="G37" s="28" t="str">
        <f t="shared" si="0"/>
        <v/>
      </c>
      <c r="H37" s="29"/>
      <c r="I37" s="30"/>
      <c r="J37" s="102">
        <v>0</v>
      </c>
    </row>
    <row r="38" spans="1:10" ht="15.75" hidden="1" thickBot="1" x14ac:dyDescent="0.3">
      <c r="A38" s="219"/>
      <c r="B38" s="237"/>
      <c r="C38" s="32"/>
      <c r="D38" s="32"/>
      <c r="E38" s="33"/>
      <c r="F38" s="43" t="s">
        <v>522</v>
      </c>
      <c r="G38" s="31" t="str">
        <f t="shared" si="0"/>
        <v/>
      </c>
      <c r="H38" s="35"/>
      <c r="I38" s="31"/>
      <c r="J38" s="102">
        <v>0</v>
      </c>
    </row>
    <row r="39" spans="1:10" ht="15.75" hidden="1" thickBot="1" x14ac:dyDescent="0.3">
      <c r="A39" s="219"/>
      <c r="B39" s="237"/>
      <c r="C39" s="36" t="s">
        <v>27</v>
      </c>
      <c r="D39" s="36" t="s">
        <v>12</v>
      </c>
      <c r="E39" s="37">
        <v>0.1186</v>
      </c>
      <c r="F39" s="31">
        <v>16.4255</v>
      </c>
      <c r="G39" s="34">
        <f t="shared" si="0"/>
        <v>1.9480643</v>
      </c>
      <c r="H39" s="39">
        <f>SUM(G39:G40)</f>
        <v>5.7160369499999995</v>
      </c>
      <c r="I39" s="40"/>
      <c r="J39" s="102">
        <v>0</v>
      </c>
    </row>
    <row r="40" spans="1:10" ht="15.75" hidden="1" thickBot="1" x14ac:dyDescent="0.3">
      <c r="A40" s="219"/>
      <c r="B40" s="237"/>
      <c r="C40" s="36" t="s">
        <v>23</v>
      </c>
      <c r="D40" s="36" t="s">
        <v>12</v>
      </c>
      <c r="E40" s="37">
        <v>0.2329</v>
      </c>
      <c r="F40" s="31">
        <v>16.1785</v>
      </c>
      <c r="G40" s="34">
        <f t="shared" si="0"/>
        <v>3.7679726499999999</v>
      </c>
      <c r="H40" s="45"/>
      <c r="I40" s="46"/>
      <c r="J40" s="102">
        <v>0</v>
      </c>
    </row>
    <row r="41" spans="1:10" ht="15.75" hidden="1" thickBot="1" x14ac:dyDescent="0.3">
      <c r="A41" s="220"/>
      <c r="B41" s="223"/>
      <c r="C41" s="36"/>
      <c r="D41" s="36"/>
      <c r="E41" s="37"/>
      <c r="F41" s="31" t="s">
        <v>522</v>
      </c>
      <c r="G41" s="31" t="str">
        <f t="shared" si="0"/>
        <v/>
      </c>
      <c r="H41" s="35"/>
      <c r="I41" s="31"/>
      <c r="J41" s="102">
        <v>0</v>
      </c>
    </row>
    <row r="42" spans="1:10" ht="15.75" hidden="1" thickBot="1" x14ac:dyDescent="0.3">
      <c r="A42" s="218" t="s">
        <v>28</v>
      </c>
      <c r="B42" s="221" t="e">
        <f>INDEX(#REF!,MATCH(Composições!A42,#REF!,0),2)</f>
        <v>#REF!</v>
      </c>
      <c r="C42" s="41"/>
      <c r="D42" s="26" t="s">
        <v>95</v>
      </c>
      <c r="E42" s="27"/>
      <c r="F42" s="42" t="s">
        <v>522</v>
      </c>
      <c r="G42" s="28" t="str">
        <f t="shared" si="0"/>
        <v/>
      </c>
      <c r="H42" s="29"/>
      <c r="I42" s="30"/>
      <c r="J42" s="102">
        <v>0</v>
      </c>
    </row>
    <row r="43" spans="1:10" ht="15.75" hidden="1" thickBot="1" x14ac:dyDescent="0.3">
      <c r="A43" s="219"/>
      <c r="B43" s="237"/>
      <c r="C43" s="32"/>
      <c r="D43" s="32"/>
      <c r="E43" s="33"/>
      <c r="F43" s="43" t="s">
        <v>522</v>
      </c>
      <c r="G43" s="31" t="str">
        <f t="shared" si="0"/>
        <v/>
      </c>
      <c r="H43" s="35"/>
      <c r="I43" s="31"/>
      <c r="J43" s="102">
        <v>0</v>
      </c>
    </row>
    <row r="44" spans="1:10" ht="15.75" hidden="1" thickBot="1" x14ac:dyDescent="0.3">
      <c r="A44" s="219"/>
      <c r="B44" s="237"/>
      <c r="C44" s="36" t="s">
        <v>27</v>
      </c>
      <c r="D44" s="36" t="s">
        <v>12</v>
      </c>
      <c r="E44" s="37">
        <v>2.58E-2</v>
      </c>
      <c r="F44" s="31">
        <v>16.4255</v>
      </c>
      <c r="G44" s="34">
        <f t="shared" si="0"/>
        <v>0.42377789999999999</v>
      </c>
      <c r="H44" s="39">
        <f>SUM(G44:G45)</f>
        <v>1.2440278499999999</v>
      </c>
      <c r="I44" s="40"/>
      <c r="J44" s="102">
        <v>0</v>
      </c>
    </row>
    <row r="45" spans="1:10" ht="15.75" hidden="1" thickBot="1" x14ac:dyDescent="0.3">
      <c r="A45" s="219"/>
      <c r="B45" s="237"/>
      <c r="C45" s="36" t="s">
        <v>23</v>
      </c>
      <c r="D45" s="36" t="s">
        <v>12</v>
      </c>
      <c r="E45" s="37">
        <v>5.0700000000000002E-2</v>
      </c>
      <c r="F45" s="31">
        <v>16.1785</v>
      </c>
      <c r="G45" s="34">
        <f t="shared" si="0"/>
        <v>0.82024995000000001</v>
      </c>
      <c r="H45" s="35"/>
      <c r="I45" s="31"/>
      <c r="J45" s="102">
        <v>0</v>
      </c>
    </row>
    <row r="46" spans="1:10" ht="15.75" hidden="1" thickBot="1" x14ac:dyDescent="0.3">
      <c r="A46" s="220"/>
      <c r="B46" s="223"/>
      <c r="C46" s="36"/>
      <c r="D46" s="36"/>
      <c r="E46" s="37"/>
      <c r="F46" s="31" t="s">
        <v>522</v>
      </c>
      <c r="G46" s="31" t="str">
        <f t="shared" si="0"/>
        <v/>
      </c>
      <c r="H46" s="35"/>
      <c r="I46" s="31"/>
      <c r="J46" s="102">
        <v>0</v>
      </c>
    </row>
    <row r="47" spans="1:10" ht="15.75" hidden="1" thickBot="1" x14ac:dyDescent="0.3">
      <c r="A47" s="218" t="s">
        <v>29</v>
      </c>
      <c r="B47" s="221" t="e">
        <f>INDEX(#REF!,MATCH(Composições!A47,#REF!,0),2)</f>
        <v>#REF!</v>
      </c>
      <c r="C47" s="41"/>
      <c r="D47" s="26" t="s">
        <v>93</v>
      </c>
      <c r="E47" s="27"/>
      <c r="F47" s="42" t="s">
        <v>522</v>
      </c>
      <c r="G47" s="28" t="str">
        <f t="shared" si="0"/>
        <v/>
      </c>
      <c r="H47" s="29"/>
      <c r="I47" s="30"/>
      <c r="J47" s="102">
        <v>0</v>
      </c>
    </row>
    <row r="48" spans="1:10" ht="15.75" hidden="1" thickBot="1" x14ac:dyDescent="0.3">
      <c r="A48" s="219"/>
      <c r="B48" s="237"/>
      <c r="C48" s="32"/>
      <c r="D48" s="32"/>
      <c r="E48" s="33"/>
      <c r="F48" s="43" t="s">
        <v>522</v>
      </c>
      <c r="G48" s="31" t="str">
        <f t="shared" si="0"/>
        <v/>
      </c>
      <c r="H48" s="35"/>
      <c r="I48" s="31"/>
      <c r="J48" s="102">
        <v>0</v>
      </c>
    </row>
    <row r="49" spans="1:10" ht="15.75" hidden="1" thickBot="1" x14ac:dyDescent="0.3">
      <c r="A49" s="219"/>
      <c r="B49" s="237"/>
      <c r="C49" s="36" t="s">
        <v>30</v>
      </c>
      <c r="D49" s="36" t="s">
        <v>12</v>
      </c>
      <c r="E49" s="37">
        <f>ROUND(0.0096*5,4)</f>
        <v>4.8000000000000001E-2</v>
      </c>
      <c r="F49" s="31">
        <v>21.688499999999998</v>
      </c>
      <c r="G49" s="34">
        <f t="shared" si="0"/>
        <v>1.041048</v>
      </c>
      <c r="H49" s="39">
        <f>SUM(G49:G50)</f>
        <v>2.5618270000000001</v>
      </c>
      <c r="I49" s="40"/>
      <c r="J49" s="102">
        <v>0</v>
      </c>
    </row>
    <row r="50" spans="1:10" ht="15.75" hidden="1" thickBot="1" x14ac:dyDescent="0.3">
      <c r="A50" s="219"/>
      <c r="B50" s="237"/>
      <c r="C50" s="36" t="s">
        <v>23</v>
      </c>
      <c r="D50" s="36" t="s">
        <v>12</v>
      </c>
      <c r="E50" s="37">
        <f>ROUND(0.0188*5,4)</f>
        <v>9.4E-2</v>
      </c>
      <c r="F50" s="31">
        <v>16.1785</v>
      </c>
      <c r="G50" s="34">
        <f t="shared" si="0"/>
        <v>1.5207789999999999</v>
      </c>
      <c r="H50" s="35"/>
      <c r="I50" s="31"/>
      <c r="J50" s="102">
        <v>0</v>
      </c>
    </row>
    <row r="51" spans="1:10" ht="15.75" hidden="1" thickBot="1" x14ac:dyDescent="0.3">
      <c r="A51" s="220"/>
      <c r="B51" s="223"/>
      <c r="C51" s="36"/>
      <c r="D51" s="36"/>
      <c r="E51" s="37"/>
      <c r="F51" s="31" t="s">
        <v>522</v>
      </c>
      <c r="G51" s="31" t="str">
        <f t="shared" si="0"/>
        <v/>
      </c>
      <c r="H51" s="35"/>
      <c r="I51" s="31"/>
      <c r="J51" s="102">
        <v>0</v>
      </c>
    </row>
    <row r="52" spans="1:10" ht="15.75" hidden="1" thickBot="1" x14ac:dyDescent="0.3">
      <c r="A52" s="218" t="s">
        <v>31</v>
      </c>
      <c r="B52" s="221" t="e">
        <f>INDEX(#REF!,MATCH(Composições!A52,#REF!,0),2)</f>
        <v>#REF!</v>
      </c>
      <c r="C52" s="41"/>
      <c r="D52" s="26" t="s">
        <v>95</v>
      </c>
      <c r="E52" s="27"/>
      <c r="F52" s="42" t="s">
        <v>522</v>
      </c>
      <c r="G52" s="28" t="str">
        <f t="shared" si="0"/>
        <v/>
      </c>
      <c r="H52" s="29"/>
      <c r="I52" s="30"/>
      <c r="J52" s="102">
        <v>0</v>
      </c>
    </row>
    <row r="53" spans="1:10" ht="15.75" hidden="1" thickBot="1" x14ac:dyDescent="0.3">
      <c r="A53" s="219"/>
      <c r="B53" s="237"/>
      <c r="C53" s="32"/>
      <c r="D53" s="32"/>
      <c r="E53" s="33"/>
      <c r="F53" s="43" t="s">
        <v>522</v>
      </c>
      <c r="G53" s="31" t="str">
        <f t="shared" si="0"/>
        <v/>
      </c>
      <c r="H53" s="35"/>
      <c r="I53" s="31"/>
      <c r="J53" s="102">
        <v>0</v>
      </c>
    </row>
    <row r="54" spans="1:10" ht="26.25" hidden="1" thickBot="1" x14ac:dyDescent="0.3">
      <c r="A54" s="219"/>
      <c r="B54" s="237"/>
      <c r="C54" s="36" t="s">
        <v>32</v>
      </c>
      <c r="D54" s="36" t="s">
        <v>33</v>
      </c>
      <c r="E54" s="37">
        <v>6.9900000000000004E-2</v>
      </c>
      <c r="F54" s="34">
        <v>19.3705</v>
      </c>
      <c r="G54" s="34">
        <f t="shared" si="0"/>
        <v>1.3539979500000001</v>
      </c>
      <c r="H54" s="39">
        <f>SUM(G54:G57)</f>
        <v>9.2958221999999999</v>
      </c>
      <c r="I54" s="40"/>
      <c r="J54" s="102">
        <v>0</v>
      </c>
    </row>
    <row r="55" spans="1:10" ht="26.25" hidden="1" thickBot="1" x14ac:dyDescent="0.3">
      <c r="A55" s="219"/>
      <c r="B55" s="237"/>
      <c r="C55" s="36" t="s">
        <v>34</v>
      </c>
      <c r="D55" s="36" t="s">
        <v>35</v>
      </c>
      <c r="E55" s="37">
        <v>4.82E-2</v>
      </c>
      <c r="F55" s="34">
        <v>18.164000000000001</v>
      </c>
      <c r="G55" s="34">
        <f t="shared" si="0"/>
        <v>0.87550480000000008</v>
      </c>
      <c r="H55" s="35"/>
      <c r="I55" s="31"/>
      <c r="J55" s="102">
        <v>0</v>
      </c>
    </row>
    <row r="56" spans="1:10" ht="15.75" hidden="1" thickBot="1" x14ac:dyDescent="0.3">
      <c r="A56" s="219"/>
      <c r="B56" s="237"/>
      <c r="C56" s="36" t="s">
        <v>36</v>
      </c>
      <c r="D56" s="36" t="s">
        <v>12</v>
      </c>
      <c r="E56" s="37">
        <v>0.1055</v>
      </c>
      <c r="F56" s="31">
        <v>21.403500000000001</v>
      </c>
      <c r="G56" s="34">
        <f t="shared" si="0"/>
        <v>2.2580692500000001</v>
      </c>
      <c r="H56" s="35"/>
      <c r="I56" s="31"/>
      <c r="J56" s="102">
        <v>0</v>
      </c>
    </row>
    <row r="57" spans="1:10" ht="15.75" hidden="1" thickBot="1" x14ac:dyDescent="0.3">
      <c r="A57" s="219"/>
      <c r="B57" s="237"/>
      <c r="C57" s="36" t="s">
        <v>23</v>
      </c>
      <c r="D57" s="36" t="s">
        <v>12</v>
      </c>
      <c r="E57" s="37">
        <v>0.29720000000000002</v>
      </c>
      <c r="F57" s="31">
        <v>16.1785</v>
      </c>
      <c r="G57" s="34">
        <f t="shared" si="0"/>
        <v>4.8082501999999998</v>
      </c>
      <c r="H57" s="35"/>
      <c r="I57" s="31"/>
      <c r="J57" s="102">
        <v>0</v>
      </c>
    </row>
    <row r="58" spans="1:10" ht="15.75" hidden="1" thickBot="1" x14ac:dyDescent="0.3">
      <c r="A58" s="220"/>
      <c r="B58" s="223"/>
      <c r="C58" s="36"/>
      <c r="D58" s="36"/>
      <c r="E58" s="37"/>
      <c r="F58" s="31" t="s">
        <v>522</v>
      </c>
      <c r="G58" s="31" t="str">
        <f t="shared" si="0"/>
        <v/>
      </c>
      <c r="H58" s="35"/>
      <c r="I58" s="31"/>
      <c r="J58" s="102">
        <v>0</v>
      </c>
    </row>
    <row r="59" spans="1:10" ht="15.75" hidden="1" thickBot="1" x14ac:dyDescent="0.3">
      <c r="A59" s="218" t="s">
        <v>37</v>
      </c>
      <c r="B59" s="221" t="e">
        <f>INDEX(#REF!,MATCH(Composições!A59,#REF!,0),2)</f>
        <v>#REF!</v>
      </c>
      <c r="C59" s="41"/>
      <c r="D59" s="26" t="s">
        <v>95</v>
      </c>
      <c r="E59" s="27"/>
      <c r="F59" s="42" t="s">
        <v>522</v>
      </c>
      <c r="G59" s="28" t="str">
        <f t="shared" si="0"/>
        <v/>
      </c>
      <c r="H59" s="29"/>
      <c r="I59" s="30"/>
      <c r="J59" s="102">
        <v>0</v>
      </c>
    </row>
    <row r="60" spans="1:10" ht="15.75" hidden="1" thickBot="1" x14ac:dyDescent="0.3">
      <c r="A60" s="219"/>
      <c r="B60" s="237"/>
      <c r="C60" s="32"/>
      <c r="D60" s="32"/>
      <c r="E60" s="33"/>
      <c r="F60" s="43" t="s">
        <v>522</v>
      </c>
      <c r="G60" s="31" t="str">
        <f t="shared" si="0"/>
        <v/>
      </c>
      <c r="H60" s="35"/>
      <c r="I60" s="31"/>
      <c r="J60" s="102">
        <v>0</v>
      </c>
    </row>
    <row r="61" spans="1:10" ht="15.75" hidden="1" thickBot="1" x14ac:dyDescent="0.3">
      <c r="A61" s="219"/>
      <c r="B61" s="237"/>
      <c r="C61" s="36" t="s">
        <v>22</v>
      </c>
      <c r="D61" s="36" t="s">
        <v>12</v>
      </c>
      <c r="E61" s="37">
        <v>3.7400000000000003E-2</v>
      </c>
      <c r="F61" s="31">
        <v>21.479499999999998</v>
      </c>
      <c r="G61" s="34">
        <f t="shared" si="0"/>
        <v>0.80333330000000003</v>
      </c>
      <c r="H61" s="39">
        <f>SUM(G61:G62)</f>
        <v>2.5069293500000001</v>
      </c>
      <c r="I61" s="40"/>
      <c r="J61" s="102">
        <v>0</v>
      </c>
    </row>
    <row r="62" spans="1:10" ht="15.75" hidden="1" thickBot="1" x14ac:dyDescent="0.3">
      <c r="A62" s="219"/>
      <c r="B62" s="237"/>
      <c r="C62" s="36" t="s">
        <v>23</v>
      </c>
      <c r="D62" s="36" t="s">
        <v>12</v>
      </c>
      <c r="E62" s="37">
        <v>0.1053</v>
      </c>
      <c r="F62" s="31">
        <v>16.1785</v>
      </c>
      <c r="G62" s="34">
        <f t="shared" si="0"/>
        <v>1.70359605</v>
      </c>
      <c r="H62" s="35"/>
      <c r="I62" s="31"/>
      <c r="J62" s="102">
        <v>0</v>
      </c>
    </row>
    <row r="63" spans="1:10" ht="15.75" hidden="1" thickBot="1" x14ac:dyDescent="0.3">
      <c r="A63" s="220"/>
      <c r="B63" s="223"/>
      <c r="C63" s="36"/>
      <c r="D63" s="36"/>
      <c r="E63" s="37"/>
      <c r="F63" s="31" t="s">
        <v>522</v>
      </c>
      <c r="G63" s="31" t="str">
        <f t="shared" si="0"/>
        <v/>
      </c>
      <c r="H63" s="35"/>
      <c r="I63" s="31"/>
      <c r="J63" s="102">
        <v>0</v>
      </c>
    </row>
    <row r="64" spans="1:10" ht="15.75" hidden="1" thickBot="1" x14ac:dyDescent="0.3">
      <c r="A64" s="218" t="s">
        <v>38</v>
      </c>
      <c r="B64" s="221" t="e">
        <f>INDEX(#REF!,MATCH(Composições!A64,#REF!,0),2)</f>
        <v>#REF!</v>
      </c>
      <c r="C64" s="41"/>
      <c r="D64" s="26" t="s">
        <v>93</v>
      </c>
      <c r="E64" s="27"/>
      <c r="F64" s="42" t="s">
        <v>522</v>
      </c>
      <c r="G64" s="28" t="str">
        <f t="shared" si="0"/>
        <v/>
      </c>
      <c r="H64" s="29"/>
      <c r="I64" s="30"/>
      <c r="J64" s="102">
        <v>0</v>
      </c>
    </row>
    <row r="65" spans="1:10" ht="15.75" hidden="1" thickBot="1" x14ac:dyDescent="0.3">
      <c r="A65" s="219"/>
      <c r="B65" s="237"/>
      <c r="C65" s="32"/>
      <c r="D65" s="32"/>
      <c r="E65" s="33"/>
      <c r="F65" s="43" t="s">
        <v>522</v>
      </c>
      <c r="G65" s="31" t="str">
        <f t="shared" si="0"/>
        <v/>
      </c>
      <c r="H65" s="35"/>
      <c r="I65" s="31"/>
      <c r="J65" s="102">
        <v>0</v>
      </c>
    </row>
    <row r="66" spans="1:10" ht="15.75" hidden="1" thickBot="1" x14ac:dyDescent="0.3">
      <c r="A66" s="219"/>
      <c r="B66" s="237"/>
      <c r="C66" s="36" t="s">
        <v>39</v>
      </c>
      <c r="D66" s="47" t="s">
        <v>12</v>
      </c>
      <c r="E66" s="37">
        <v>7.1000000000000004E-3</v>
      </c>
      <c r="F66" s="31">
        <v>20.9</v>
      </c>
      <c r="G66" s="34">
        <f t="shared" si="0"/>
        <v>0.14838999999999999</v>
      </c>
      <c r="H66" s="39">
        <f>SUM(G66:G67)</f>
        <v>0.37488900000000003</v>
      </c>
      <c r="I66" s="40"/>
      <c r="J66" s="102">
        <v>0</v>
      </c>
    </row>
    <row r="67" spans="1:10" ht="15.75" hidden="1" thickBot="1" x14ac:dyDescent="0.3">
      <c r="A67" s="219"/>
      <c r="B67" s="237"/>
      <c r="C67" s="36" t="s">
        <v>23</v>
      </c>
      <c r="D67" s="47" t="s">
        <v>12</v>
      </c>
      <c r="E67" s="37">
        <v>1.4E-2</v>
      </c>
      <c r="F67" s="31">
        <v>16.1785</v>
      </c>
      <c r="G67" s="34">
        <f t="shared" si="0"/>
        <v>0.22649900000000001</v>
      </c>
      <c r="H67" s="35"/>
      <c r="I67" s="31"/>
      <c r="J67" s="102">
        <v>0</v>
      </c>
    </row>
    <row r="68" spans="1:10" ht="15.75" hidden="1" thickBot="1" x14ac:dyDescent="0.3">
      <c r="A68" s="220"/>
      <c r="B68" s="223"/>
      <c r="C68" s="36"/>
      <c r="D68" s="36"/>
      <c r="E68" s="37"/>
      <c r="F68" s="31" t="s">
        <v>522</v>
      </c>
      <c r="G68" s="31" t="str">
        <f t="shared" si="0"/>
        <v/>
      </c>
      <c r="H68" s="35"/>
      <c r="I68" s="31"/>
      <c r="J68" s="102">
        <v>0</v>
      </c>
    </row>
    <row r="69" spans="1:10" ht="15.75" hidden="1" thickBot="1" x14ac:dyDescent="0.3">
      <c r="A69" s="218" t="s">
        <v>40</v>
      </c>
      <c r="B69" s="221" t="e">
        <f>INDEX(#REF!,MATCH(Composições!A69,#REF!,0),2)</f>
        <v>#REF!</v>
      </c>
      <c r="C69" s="41"/>
      <c r="D69" s="26" t="s">
        <v>109</v>
      </c>
      <c r="E69" s="27"/>
      <c r="F69" s="42" t="s">
        <v>522</v>
      </c>
      <c r="G69" s="28" t="str">
        <f t="shared" si="0"/>
        <v/>
      </c>
      <c r="H69" s="29"/>
      <c r="I69" s="30"/>
      <c r="J69" s="102">
        <v>0</v>
      </c>
    </row>
    <row r="70" spans="1:10" ht="15.75" hidden="1" thickBot="1" x14ac:dyDescent="0.3">
      <c r="A70" s="219"/>
      <c r="B70" s="237"/>
      <c r="C70" s="32"/>
      <c r="D70" s="32"/>
      <c r="E70" s="33"/>
      <c r="F70" s="43" t="s">
        <v>522</v>
      </c>
      <c r="G70" s="31" t="str">
        <f t="shared" ref="G70:G133" si="1">IF(ISNUMBER(F70),E70*F70,"")</f>
        <v/>
      </c>
      <c r="H70" s="35"/>
      <c r="I70" s="31"/>
      <c r="J70" s="102">
        <v>0</v>
      </c>
    </row>
    <row r="71" spans="1:10" ht="26.25" hidden="1" thickBot="1" x14ac:dyDescent="0.3">
      <c r="A71" s="219"/>
      <c r="B71" s="237"/>
      <c r="C71" s="36" t="s">
        <v>32</v>
      </c>
      <c r="D71" s="36" t="s">
        <v>33</v>
      </c>
      <c r="E71" s="37">
        <v>3.2467999999999999</v>
      </c>
      <c r="F71" s="34">
        <v>19.3705</v>
      </c>
      <c r="G71" s="34">
        <f t="shared" si="1"/>
        <v>62.892139399999998</v>
      </c>
      <c r="H71" s="39">
        <f>SUM(G71:G75)</f>
        <v>221.89775765000002</v>
      </c>
      <c r="I71" s="40"/>
      <c r="J71" s="102">
        <v>0</v>
      </c>
    </row>
    <row r="72" spans="1:10" ht="26.25" hidden="1" thickBot="1" x14ac:dyDescent="0.3">
      <c r="A72" s="219"/>
      <c r="B72" s="237"/>
      <c r="C72" s="36" t="s">
        <v>34</v>
      </c>
      <c r="D72" s="36" t="s">
        <v>35</v>
      </c>
      <c r="E72" s="37">
        <v>0.92020000000000002</v>
      </c>
      <c r="F72" s="34">
        <v>18.164000000000001</v>
      </c>
      <c r="G72" s="34">
        <f t="shared" si="1"/>
        <v>16.714512800000001</v>
      </c>
      <c r="H72" s="35"/>
      <c r="I72" s="31"/>
      <c r="J72" s="102">
        <v>0</v>
      </c>
    </row>
    <row r="73" spans="1:10" ht="26.25" hidden="1" thickBot="1" x14ac:dyDescent="0.3">
      <c r="A73" s="219"/>
      <c r="B73" s="237"/>
      <c r="C73" s="36" t="s">
        <v>41</v>
      </c>
      <c r="D73" s="36" t="s">
        <v>42</v>
      </c>
      <c r="E73" s="37">
        <v>0.28349999999999997</v>
      </c>
      <c r="F73" s="34">
        <v>78.260999999999996</v>
      </c>
      <c r="G73" s="31">
        <f t="shared" si="1"/>
        <v>22.186993499999996</v>
      </c>
      <c r="H73" s="35"/>
      <c r="I73" s="31"/>
      <c r="J73" s="102">
        <v>0</v>
      </c>
    </row>
    <row r="74" spans="1:10" ht="15.75" hidden="1" thickBot="1" x14ac:dyDescent="0.3">
      <c r="A74" s="219"/>
      <c r="B74" s="237"/>
      <c r="C74" s="36" t="s">
        <v>22</v>
      </c>
      <c r="D74" s="36" t="s">
        <v>12</v>
      </c>
      <c r="E74" s="37">
        <v>0.63660000000000005</v>
      </c>
      <c r="F74" s="31">
        <v>21.479499999999998</v>
      </c>
      <c r="G74" s="34">
        <f t="shared" si="1"/>
        <v>13.6738497</v>
      </c>
      <c r="H74" s="35"/>
      <c r="I74" s="31"/>
      <c r="J74" s="102">
        <v>0</v>
      </c>
    </row>
    <row r="75" spans="1:10" ht="15.75" hidden="1" thickBot="1" x14ac:dyDescent="0.3">
      <c r="A75" s="219"/>
      <c r="B75" s="237"/>
      <c r="C75" s="36" t="s">
        <v>23</v>
      </c>
      <c r="D75" s="36" t="s">
        <v>12</v>
      </c>
      <c r="E75" s="37">
        <v>6.5785</v>
      </c>
      <c r="F75" s="31">
        <v>16.1785</v>
      </c>
      <c r="G75" s="34">
        <f t="shared" si="1"/>
        <v>106.43026225</v>
      </c>
      <c r="H75" s="35"/>
      <c r="I75" s="31"/>
      <c r="J75" s="102">
        <v>0</v>
      </c>
    </row>
    <row r="76" spans="1:10" ht="15.75" hidden="1" thickBot="1" x14ac:dyDescent="0.3">
      <c r="A76" s="220"/>
      <c r="B76" s="223"/>
      <c r="C76" s="36"/>
      <c r="D76" s="36"/>
      <c r="E76" s="37"/>
      <c r="F76" s="31" t="s">
        <v>522</v>
      </c>
      <c r="G76" s="31" t="str">
        <f t="shared" si="1"/>
        <v/>
      </c>
      <c r="H76" s="35"/>
      <c r="I76" s="31"/>
      <c r="J76" s="102">
        <v>0</v>
      </c>
    </row>
    <row r="77" spans="1:10" ht="15.75" hidden="1" thickBot="1" x14ac:dyDescent="0.3">
      <c r="A77" s="239" t="s">
        <v>43</v>
      </c>
      <c r="B77" s="221" t="e">
        <f>INDEX(#REF!,MATCH(Composições!A77,#REF!,0),2)</f>
        <v>#REF!</v>
      </c>
      <c r="C77" s="41"/>
      <c r="D77" s="26" t="s">
        <v>95</v>
      </c>
      <c r="E77" s="27"/>
      <c r="F77" s="42" t="s">
        <v>522</v>
      </c>
      <c r="G77" s="28" t="str">
        <f t="shared" si="1"/>
        <v/>
      </c>
      <c r="H77" s="29"/>
      <c r="I77" s="30"/>
      <c r="J77" s="102">
        <v>0</v>
      </c>
    </row>
    <row r="78" spans="1:10" ht="15.75" hidden="1" thickBot="1" x14ac:dyDescent="0.3">
      <c r="A78" s="240"/>
      <c r="B78" s="237"/>
      <c r="C78" s="32"/>
      <c r="D78" s="32"/>
      <c r="E78" s="33"/>
      <c r="F78" s="43" t="s">
        <v>522</v>
      </c>
      <c r="G78" s="31" t="str">
        <f t="shared" si="1"/>
        <v/>
      </c>
      <c r="H78" s="35"/>
      <c r="I78" s="31"/>
      <c r="J78" s="102">
        <v>0</v>
      </c>
    </row>
    <row r="79" spans="1:10" ht="15.75" hidden="1" thickBot="1" x14ac:dyDescent="0.3">
      <c r="A79" s="240"/>
      <c r="B79" s="237"/>
      <c r="C79" s="36" t="s">
        <v>44</v>
      </c>
      <c r="D79" s="36" t="s">
        <v>12</v>
      </c>
      <c r="E79" s="37">
        <v>0.35</v>
      </c>
      <c r="F79" s="31">
        <v>20.425000000000001</v>
      </c>
      <c r="G79" s="34">
        <f t="shared" si="1"/>
        <v>7.1487499999999997</v>
      </c>
      <c r="H79" s="39">
        <f>SUM(G79:G80)</f>
        <v>12.811225</v>
      </c>
      <c r="I79" s="40"/>
      <c r="J79" s="102">
        <v>0</v>
      </c>
    </row>
    <row r="80" spans="1:10" ht="15.75" hidden="1" thickBot="1" x14ac:dyDescent="0.3">
      <c r="A80" s="240"/>
      <c r="B80" s="237"/>
      <c r="C80" s="36" t="s">
        <v>23</v>
      </c>
      <c r="D80" s="36" t="s">
        <v>12</v>
      </c>
      <c r="E80" s="37">
        <v>0.35</v>
      </c>
      <c r="F80" s="31">
        <v>16.1785</v>
      </c>
      <c r="G80" s="34">
        <f t="shared" si="1"/>
        <v>5.6624749999999997</v>
      </c>
      <c r="H80" s="45"/>
      <c r="I80" s="46"/>
      <c r="J80" s="102">
        <v>0</v>
      </c>
    </row>
    <row r="81" spans="1:10" ht="15.75" hidden="1" thickBot="1" x14ac:dyDescent="0.3">
      <c r="A81" s="240"/>
      <c r="B81" s="237"/>
      <c r="C81" s="36"/>
      <c r="D81" s="36"/>
      <c r="E81" s="37"/>
      <c r="F81" s="31" t="s">
        <v>522</v>
      </c>
      <c r="G81" s="31" t="str">
        <f t="shared" si="1"/>
        <v/>
      </c>
      <c r="H81" s="35"/>
      <c r="I81" s="31"/>
      <c r="J81" s="102">
        <v>0</v>
      </c>
    </row>
    <row r="82" spans="1:10" ht="15.75" hidden="1" thickBot="1" x14ac:dyDescent="0.3">
      <c r="A82" s="218" t="s">
        <v>45</v>
      </c>
      <c r="B82" s="221" t="e">
        <f>INDEX(#REF!,MATCH(Composições!A82,#REF!,0),2)</f>
        <v>#REF!</v>
      </c>
      <c r="C82" s="41"/>
      <c r="D82" s="26" t="s">
        <v>95</v>
      </c>
      <c r="E82" s="27"/>
      <c r="F82" s="42" t="s">
        <v>522</v>
      </c>
      <c r="G82" s="28" t="str">
        <f t="shared" si="1"/>
        <v/>
      </c>
      <c r="H82" s="29"/>
      <c r="I82" s="30"/>
      <c r="J82" s="102">
        <v>0</v>
      </c>
    </row>
    <row r="83" spans="1:10" ht="15.75" hidden="1" thickBot="1" x14ac:dyDescent="0.3">
      <c r="A83" s="219"/>
      <c r="B83" s="237"/>
      <c r="C83" s="32"/>
      <c r="D83" s="32"/>
      <c r="E83" s="33"/>
      <c r="F83" s="43" t="s">
        <v>522</v>
      </c>
      <c r="G83" s="31" t="str">
        <f t="shared" si="1"/>
        <v/>
      </c>
      <c r="H83" s="35"/>
      <c r="I83" s="31"/>
      <c r="J83" s="102">
        <v>0</v>
      </c>
    </row>
    <row r="84" spans="1:10" ht="15.75" hidden="1" thickBot="1" x14ac:dyDescent="0.3">
      <c r="A84" s="219"/>
      <c r="B84" s="237"/>
      <c r="C84" s="36" t="s">
        <v>22</v>
      </c>
      <c r="D84" s="36" t="s">
        <v>12</v>
      </c>
      <c r="E84" s="37">
        <v>0.15</v>
      </c>
      <c r="F84" s="31">
        <v>21.479499999999998</v>
      </c>
      <c r="G84" s="34">
        <f t="shared" si="1"/>
        <v>3.2219249999999997</v>
      </c>
      <c r="H84" s="39">
        <f>SUM(G84:G85)</f>
        <v>19.400424999999998</v>
      </c>
      <c r="I84" s="40"/>
      <c r="J84" s="102">
        <v>0</v>
      </c>
    </row>
    <row r="85" spans="1:10" ht="15.75" hidden="1" thickBot="1" x14ac:dyDescent="0.3">
      <c r="A85" s="219"/>
      <c r="B85" s="237"/>
      <c r="C85" s="36" t="s">
        <v>23</v>
      </c>
      <c r="D85" s="36" t="s">
        <v>12</v>
      </c>
      <c r="E85" s="37">
        <v>1</v>
      </c>
      <c r="F85" s="31">
        <v>16.1785</v>
      </c>
      <c r="G85" s="34">
        <f t="shared" si="1"/>
        <v>16.1785</v>
      </c>
      <c r="H85" s="35"/>
      <c r="I85" s="31"/>
      <c r="J85" s="102">
        <v>0</v>
      </c>
    </row>
    <row r="86" spans="1:10" ht="15.75" hidden="1" thickBot="1" x14ac:dyDescent="0.3">
      <c r="A86" s="220"/>
      <c r="B86" s="223"/>
      <c r="C86" s="36"/>
      <c r="D86" s="36"/>
      <c r="E86" s="37"/>
      <c r="F86" s="31" t="s">
        <v>522</v>
      </c>
      <c r="G86" s="31" t="str">
        <f t="shared" si="1"/>
        <v/>
      </c>
      <c r="H86" s="35"/>
      <c r="I86" s="31"/>
      <c r="J86" s="102">
        <v>0</v>
      </c>
    </row>
    <row r="87" spans="1:10" ht="15.75" hidden="1" thickBot="1" x14ac:dyDescent="0.3">
      <c r="A87" s="218" t="s">
        <v>46</v>
      </c>
      <c r="B87" s="221" t="e">
        <f>INDEX(#REF!,MATCH(Composições!A87,#REF!,0),2)</f>
        <v>#REF!</v>
      </c>
      <c r="C87" s="41"/>
      <c r="D87" s="26" t="s">
        <v>20</v>
      </c>
      <c r="E87" s="27"/>
      <c r="F87" s="42" t="s">
        <v>522</v>
      </c>
      <c r="G87" s="28" t="str">
        <f t="shared" si="1"/>
        <v/>
      </c>
      <c r="H87" s="29"/>
      <c r="I87" s="30"/>
      <c r="J87" s="102">
        <v>0</v>
      </c>
    </row>
    <row r="88" spans="1:10" ht="15.75" hidden="1" thickBot="1" x14ac:dyDescent="0.3">
      <c r="A88" s="219"/>
      <c r="B88" s="237"/>
      <c r="C88" s="32"/>
      <c r="D88" s="32"/>
      <c r="E88" s="33"/>
      <c r="F88" s="43" t="s">
        <v>522</v>
      </c>
      <c r="G88" s="31" t="str">
        <f t="shared" si="1"/>
        <v/>
      </c>
      <c r="H88" s="35"/>
      <c r="I88" s="31"/>
      <c r="J88" s="102">
        <v>0</v>
      </c>
    </row>
    <row r="89" spans="1:10" ht="15.75" hidden="1" thickBot="1" x14ac:dyDescent="0.3">
      <c r="A89" s="219"/>
      <c r="B89" s="237"/>
      <c r="C89" s="36" t="s">
        <v>22</v>
      </c>
      <c r="D89" s="36" t="s">
        <v>12</v>
      </c>
      <c r="E89" s="37">
        <f>0.08/2</f>
        <v>0.04</v>
      </c>
      <c r="F89" s="31">
        <v>21.479499999999998</v>
      </c>
      <c r="G89" s="34">
        <f t="shared" si="1"/>
        <v>0.85917999999999994</v>
      </c>
      <c r="H89" s="39">
        <f>SUM(G89:G90)</f>
        <v>7.3305800000000003</v>
      </c>
      <c r="I89" s="40"/>
      <c r="J89" s="102">
        <v>0</v>
      </c>
    </row>
    <row r="90" spans="1:10" ht="15.75" hidden="1" thickBot="1" x14ac:dyDescent="0.3">
      <c r="A90" s="219"/>
      <c r="B90" s="237"/>
      <c r="C90" s="36" t="s">
        <v>23</v>
      </c>
      <c r="D90" s="36" t="s">
        <v>12</v>
      </c>
      <c r="E90" s="37">
        <f>0.8/2</f>
        <v>0.4</v>
      </c>
      <c r="F90" s="31">
        <v>16.1785</v>
      </c>
      <c r="G90" s="34">
        <f t="shared" si="1"/>
        <v>6.4714</v>
      </c>
      <c r="H90" s="35"/>
      <c r="I90" s="31"/>
      <c r="J90" s="102">
        <v>0</v>
      </c>
    </row>
    <row r="91" spans="1:10" ht="15.75" hidden="1" thickBot="1" x14ac:dyDescent="0.3">
      <c r="A91" s="219"/>
      <c r="B91" s="237"/>
      <c r="C91" s="36"/>
      <c r="D91" s="36"/>
      <c r="E91" s="37"/>
      <c r="F91" s="34" t="s">
        <v>522</v>
      </c>
      <c r="G91" s="34" t="str">
        <f t="shared" si="1"/>
        <v/>
      </c>
      <c r="H91" s="35"/>
      <c r="I91" s="31"/>
      <c r="J91" s="102">
        <v>0</v>
      </c>
    </row>
    <row r="92" spans="1:10" ht="15.75" hidden="1" thickBot="1" x14ac:dyDescent="0.3">
      <c r="A92" s="218" t="s">
        <v>47</v>
      </c>
      <c r="B92" s="221" t="e">
        <f>INDEX(#REF!,MATCH(Composições!A92,#REF!,0),2)</f>
        <v>#REF!</v>
      </c>
      <c r="C92" s="41"/>
      <c r="D92" s="26" t="s">
        <v>93</v>
      </c>
      <c r="E92" s="27"/>
      <c r="F92" s="42" t="s">
        <v>522</v>
      </c>
      <c r="G92" s="28" t="str">
        <f t="shared" si="1"/>
        <v/>
      </c>
      <c r="H92" s="29"/>
      <c r="I92" s="30"/>
      <c r="J92" s="102">
        <v>0</v>
      </c>
    </row>
    <row r="93" spans="1:10" ht="15.75" hidden="1" thickBot="1" x14ac:dyDescent="0.3">
      <c r="A93" s="219"/>
      <c r="B93" s="237"/>
      <c r="C93" s="32"/>
      <c r="D93" s="32"/>
      <c r="E93" s="33"/>
      <c r="F93" s="43" t="s">
        <v>522</v>
      </c>
      <c r="G93" s="31" t="str">
        <f t="shared" si="1"/>
        <v/>
      </c>
      <c r="H93" s="35"/>
      <c r="I93" s="31"/>
      <c r="J93" s="102">
        <v>0</v>
      </c>
    </row>
    <row r="94" spans="1:10" ht="15.75" hidden="1" thickBot="1" x14ac:dyDescent="0.3">
      <c r="A94" s="219"/>
      <c r="B94" s="237"/>
      <c r="C94" s="36" t="s">
        <v>30</v>
      </c>
      <c r="D94" s="47" t="s">
        <v>12</v>
      </c>
      <c r="E94" s="37">
        <f>0.75*0.1</f>
        <v>7.5000000000000011E-2</v>
      </c>
      <c r="F94" s="31">
        <v>21.688499999999998</v>
      </c>
      <c r="G94" s="34">
        <f t="shared" si="1"/>
        <v>1.6266375</v>
      </c>
      <c r="H94" s="39">
        <f>SUM(G94:G95)</f>
        <v>4.0534125000000003</v>
      </c>
      <c r="I94" s="40"/>
      <c r="J94" s="102">
        <v>0</v>
      </c>
    </row>
    <row r="95" spans="1:10" ht="15.75" hidden="1" thickBot="1" x14ac:dyDescent="0.3">
      <c r="A95" s="219"/>
      <c r="B95" s="237"/>
      <c r="C95" s="36" t="s">
        <v>23</v>
      </c>
      <c r="D95" s="47" t="s">
        <v>12</v>
      </c>
      <c r="E95" s="37">
        <f>0.75*0.2</f>
        <v>0.15000000000000002</v>
      </c>
      <c r="F95" s="31">
        <v>16.1785</v>
      </c>
      <c r="G95" s="34">
        <f t="shared" si="1"/>
        <v>2.4267750000000001</v>
      </c>
      <c r="H95" s="35"/>
      <c r="I95" s="31"/>
      <c r="J95" s="102">
        <v>0</v>
      </c>
    </row>
    <row r="96" spans="1:10" ht="15.75" hidden="1" thickBot="1" x14ac:dyDescent="0.3">
      <c r="A96" s="220"/>
      <c r="B96" s="223"/>
      <c r="C96" s="36"/>
      <c r="D96" s="36"/>
      <c r="E96" s="37"/>
      <c r="F96" s="31" t="s">
        <v>522</v>
      </c>
      <c r="G96" s="31" t="str">
        <f t="shared" si="1"/>
        <v/>
      </c>
      <c r="H96" s="35"/>
      <c r="I96" s="31"/>
      <c r="J96" s="102">
        <v>0</v>
      </c>
    </row>
    <row r="97" spans="1:10" ht="15.75" hidden="1" thickBot="1" x14ac:dyDescent="0.3">
      <c r="A97" s="218" t="s">
        <v>48</v>
      </c>
      <c r="B97" s="221" t="e">
        <f>INDEX(#REF!,MATCH(Composições!A97,#REF!,0),2)</f>
        <v>#REF!</v>
      </c>
      <c r="C97" s="41"/>
      <c r="D97" s="26" t="s">
        <v>95</v>
      </c>
      <c r="E97" s="27"/>
      <c r="F97" s="42" t="s">
        <v>522</v>
      </c>
      <c r="G97" s="28" t="str">
        <f t="shared" si="1"/>
        <v/>
      </c>
      <c r="H97" s="29"/>
      <c r="I97" s="30"/>
      <c r="J97" s="102">
        <v>0</v>
      </c>
    </row>
    <row r="98" spans="1:10" ht="15.75" hidden="1" thickBot="1" x14ac:dyDescent="0.3">
      <c r="A98" s="219"/>
      <c r="B98" s="237"/>
      <c r="C98" s="32"/>
      <c r="D98" s="32"/>
      <c r="E98" s="33"/>
      <c r="F98" s="43" t="s">
        <v>522</v>
      </c>
      <c r="G98" s="31" t="str">
        <f t="shared" si="1"/>
        <v/>
      </c>
      <c r="H98" s="35"/>
      <c r="I98" s="31"/>
      <c r="J98" s="102">
        <v>0</v>
      </c>
    </row>
    <row r="99" spans="1:10" ht="15.75" hidden="1" thickBot="1" x14ac:dyDescent="0.3">
      <c r="A99" s="219"/>
      <c r="B99" s="237"/>
      <c r="C99" s="36" t="s">
        <v>22</v>
      </c>
      <c r="D99" s="36" t="s">
        <v>12</v>
      </c>
      <c r="E99" s="37">
        <v>0.01</v>
      </c>
      <c r="F99" s="31">
        <v>21.479499999999998</v>
      </c>
      <c r="G99" s="34">
        <f t="shared" si="1"/>
        <v>0.21479499999999999</v>
      </c>
      <c r="H99" s="39">
        <f>SUM(G99:G100)</f>
        <v>1.8326450000000001</v>
      </c>
      <c r="I99" s="40"/>
      <c r="J99" s="102">
        <v>0</v>
      </c>
    </row>
    <row r="100" spans="1:10" ht="15.75" hidden="1" thickBot="1" x14ac:dyDescent="0.3">
      <c r="A100" s="219"/>
      <c r="B100" s="237"/>
      <c r="C100" s="36" t="s">
        <v>23</v>
      </c>
      <c r="D100" s="36" t="s">
        <v>12</v>
      </c>
      <c r="E100" s="37">
        <v>0.1</v>
      </c>
      <c r="F100" s="31">
        <v>16.1785</v>
      </c>
      <c r="G100" s="34">
        <f t="shared" si="1"/>
        <v>1.61785</v>
      </c>
      <c r="H100" s="35"/>
      <c r="I100" s="31"/>
      <c r="J100" s="102">
        <v>0</v>
      </c>
    </row>
    <row r="101" spans="1:10" ht="15.75" hidden="1" thickBot="1" x14ac:dyDescent="0.3">
      <c r="A101" s="220"/>
      <c r="B101" s="223"/>
      <c r="C101" s="36"/>
      <c r="D101" s="36"/>
      <c r="E101" s="37"/>
      <c r="F101" s="31" t="s">
        <v>522</v>
      </c>
      <c r="G101" s="31" t="str">
        <f t="shared" si="1"/>
        <v/>
      </c>
      <c r="H101" s="35"/>
      <c r="I101" s="31"/>
      <c r="J101" s="102">
        <v>0</v>
      </c>
    </row>
    <row r="102" spans="1:10" ht="15.75" hidden="1" thickBot="1" x14ac:dyDescent="0.3">
      <c r="A102" s="218" t="s">
        <v>49</v>
      </c>
      <c r="B102" s="221" t="e">
        <f>INDEX(#REF!,MATCH(Composições!A102,#REF!,0),2)</f>
        <v>#REF!</v>
      </c>
      <c r="C102" s="41"/>
      <c r="D102" s="26" t="s">
        <v>93</v>
      </c>
      <c r="E102" s="27"/>
      <c r="F102" s="42" t="s">
        <v>522</v>
      </c>
      <c r="G102" s="28" t="str">
        <f t="shared" si="1"/>
        <v/>
      </c>
      <c r="H102" s="29"/>
      <c r="I102" s="30"/>
      <c r="J102" s="102">
        <v>0</v>
      </c>
    </row>
    <row r="103" spans="1:10" ht="15.75" hidden="1" thickBot="1" x14ac:dyDescent="0.3">
      <c r="A103" s="219"/>
      <c r="B103" s="237"/>
      <c r="C103" s="32"/>
      <c r="D103" s="32"/>
      <c r="E103" s="33"/>
      <c r="F103" s="43" t="s">
        <v>522</v>
      </c>
      <c r="G103" s="31" t="str">
        <f t="shared" si="1"/>
        <v/>
      </c>
      <c r="H103" s="35"/>
      <c r="I103" s="31"/>
      <c r="J103" s="102">
        <v>0</v>
      </c>
    </row>
    <row r="104" spans="1:10" ht="15.75" hidden="1" thickBot="1" x14ac:dyDescent="0.3">
      <c r="A104" s="219"/>
      <c r="B104" s="237"/>
      <c r="C104" s="36" t="s">
        <v>50</v>
      </c>
      <c r="D104" s="36" t="s">
        <v>12</v>
      </c>
      <c r="E104" s="37">
        <f>ROUND(1/6,4)</f>
        <v>0.16669999999999999</v>
      </c>
      <c r="F104" s="31">
        <v>17.042999999999999</v>
      </c>
      <c r="G104" s="34">
        <f t="shared" si="1"/>
        <v>2.8410680999999998</v>
      </c>
      <c r="H104" s="39">
        <f>SUM(G104:G104)</f>
        <v>2.8410680999999998</v>
      </c>
      <c r="I104" s="40"/>
      <c r="J104" s="102">
        <v>0</v>
      </c>
    </row>
    <row r="105" spans="1:10" ht="15.75" hidden="1" thickBot="1" x14ac:dyDescent="0.3">
      <c r="A105" s="220"/>
      <c r="B105" s="223"/>
      <c r="C105" s="36"/>
      <c r="D105" s="36"/>
      <c r="E105" s="37"/>
      <c r="F105" s="31" t="s">
        <v>522</v>
      </c>
      <c r="G105" s="31" t="str">
        <f t="shared" si="1"/>
        <v/>
      </c>
      <c r="H105" s="35"/>
      <c r="I105" s="31"/>
      <c r="J105" s="102">
        <v>0</v>
      </c>
    </row>
    <row r="106" spans="1:10" ht="15.75" hidden="1" thickBot="1" x14ac:dyDescent="0.3">
      <c r="A106" s="218" t="s">
        <v>51</v>
      </c>
      <c r="B106" s="221" t="e">
        <f>INDEX(#REF!,MATCH(Composições!A106,#REF!,0),2)</f>
        <v>#REF!</v>
      </c>
      <c r="C106" s="41"/>
      <c r="D106" s="26" t="s">
        <v>20</v>
      </c>
      <c r="E106" s="27"/>
      <c r="F106" s="42" t="s">
        <v>522</v>
      </c>
      <c r="G106" s="28" t="str">
        <f t="shared" si="1"/>
        <v/>
      </c>
      <c r="H106" s="29"/>
      <c r="I106" s="30"/>
      <c r="J106" s="102">
        <v>0</v>
      </c>
    </row>
    <row r="107" spans="1:10" ht="15.75" hidden="1" thickBot="1" x14ac:dyDescent="0.3">
      <c r="A107" s="219"/>
      <c r="B107" s="237"/>
      <c r="C107" s="32"/>
      <c r="D107" s="32"/>
      <c r="E107" s="33"/>
      <c r="F107" s="43" t="s">
        <v>522</v>
      </c>
      <c r="G107" s="31" t="str">
        <f t="shared" si="1"/>
        <v/>
      </c>
      <c r="H107" s="35"/>
      <c r="I107" s="31"/>
      <c r="J107" s="102">
        <v>0</v>
      </c>
    </row>
    <row r="108" spans="1:10" ht="15.75" hidden="1" thickBot="1" x14ac:dyDescent="0.3">
      <c r="A108" s="219"/>
      <c r="B108" s="237"/>
      <c r="C108" s="36" t="s">
        <v>52</v>
      </c>
      <c r="D108" s="47" t="s">
        <v>12</v>
      </c>
      <c r="E108" s="37">
        <v>0.6</v>
      </c>
      <c r="F108" s="31">
        <v>18.458499999999997</v>
      </c>
      <c r="G108" s="31">
        <f t="shared" si="1"/>
        <v>11.075099999999997</v>
      </c>
      <c r="H108" s="39">
        <f>SUM(G108:G109)</f>
        <v>20.782199999999996</v>
      </c>
      <c r="I108" s="40"/>
      <c r="J108" s="102">
        <v>0</v>
      </c>
    </row>
    <row r="109" spans="1:10" ht="15.75" hidden="1" thickBot="1" x14ac:dyDescent="0.3">
      <c r="A109" s="219"/>
      <c r="B109" s="237"/>
      <c r="C109" s="36" t="s">
        <v>23</v>
      </c>
      <c r="D109" s="47" t="s">
        <v>12</v>
      </c>
      <c r="E109" s="37">
        <v>0.6</v>
      </c>
      <c r="F109" s="31">
        <v>16.1785</v>
      </c>
      <c r="G109" s="31">
        <f t="shared" si="1"/>
        <v>9.7070999999999987</v>
      </c>
      <c r="H109" s="35"/>
      <c r="I109" s="31"/>
      <c r="J109" s="102">
        <v>0</v>
      </c>
    </row>
    <row r="110" spans="1:10" ht="15.75" hidden="1" thickBot="1" x14ac:dyDescent="0.3">
      <c r="A110" s="220"/>
      <c r="B110" s="223"/>
      <c r="C110" s="36"/>
      <c r="D110" s="36"/>
      <c r="E110" s="37"/>
      <c r="F110" s="31" t="s">
        <v>522</v>
      </c>
      <c r="G110" s="31" t="str">
        <f t="shared" si="1"/>
        <v/>
      </c>
      <c r="H110" s="35"/>
      <c r="I110" s="31"/>
      <c r="J110" s="102">
        <v>0</v>
      </c>
    </row>
    <row r="111" spans="1:10" ht="15.75" hidden="1" thickBot="1" x14ac:dyDescent="0.3">
      <c r="A111" s="218" t="s">
        <v>53</v>
      </c>
      <c r="B111" s="221" t="e">
        <f>INDEX(#REF!,MATCH(Composições!A111,#REF!,0),2)</f>
        <v>#REF!</v>
      </c>
      <c r="C111" s="41"/>
      <c r="D111" s="26" t="s">
        <v>95</v>
      </c>
      <c r="E111" s="27"/>
      <c r="F111" s="42" t="s">
        <v>522</v>
      </c>
      <c r="G111" s="28" t="str">
        <f t="shared" si="1"/>
        <v/>
      </c>
      <c r="H111" s="29"/>
      <c r="I111" s="30"/>
      <c r="J111" s="102">
        <v>0</v>
      </c>
    </row>
    <row r="112" spans="1:10" ht="15.75" hidden="1" thickBot="1" x14ac:dyDescent="0.3">
      <c r="A112" s="219"/>
      <c r="B112" s="237"/>
      <c r="C112" s="32"/>
      <c r="D112" s="32"/>
      <c r="E112" s="33"/>
      <c r="F112" s="43" t="s">
        <v>522</v>
      </c>
      <c r="G112" s="31" t="str">
        <f t="shared" si="1"/>
        <v/>
      </c>
      <c r="H112" s="35"/>
      <c r="I112" s="31"/>
      <c r="J112" s="102">
        <v>0</v>
      </c>
    </row>
    <row r="113" spans="1:10" ht="15.75" hidden="1" thickBot="1" x14ac:dyDescent="0.3">
      <c r="A113" s="219"/>
      <c r="B113" s="237"/>
      <c r="C113" s="36" t="s">
        <v>54</v>
      </c>
      <c r="D113" s="36" t="s">
        <v>12</v>
      </c>
      <c r="E113" s="37">
        <v>0.6</v>
      </c>
      <c r="F113" s="31">
        <v>21.403500000000001</v>
      </c>
      <c r="G113" s="34">
        <f t="shared" si="1"/>
        <v>12.8421</v>
      </c>
      <c r="H113" s="39">
        <f>SUM(G113:G114)</f>
        <v>32.256299999999996</v>
      </c>
      <c r="I113" s="40"/>
      <c r="J113" s="102">
        <v>0</v>
      </c>
    </row>
    <row r="114" spans="1:10" ht="15.75" hidden="1" thickBot="1" x14ac:dyDescent="0.3">
      <c r="A114" s="219"/>
      <c r="B114" s="237"/>
      <c r="C114" s="36" t="s">
        <v>23</v>
      </c>
      <c r="D114" s="36" t="s">
        <v>12</v>
      </c>
      <c r="E114" s="37">
        <v>1.2</v>
      </c>
      <c r="F114" s="31">
        <v>16.1785</v>
      </c>
      <c r="G114" s="34">
        <f t="shared" si="1"/>
        <v>19.414199999999997</v>
      </c>
      <c r="H114" s="35"/>
      <c r="I114" s="31"/>
      <c r="J114" s="102">
        <v>0</v>
      </c>
    </row>
    <row r="115" spans="1:10" ht="15.75" hidden="1" thickBot="1" x14ac:dyDescent="0.3">
      <c r="A115" s="220"/>
      <c r="B115" s="223"/>
      <c r="C115" s="36"/>
      <c r="D115" s="36"/>
      <c r="E115" s="37"/>
      <c r="F115" s="31" t="s">
        <v>522</v>
      </c>
      <c r="G115" s="31" t="str">
        <f t="shared" si="1"/>
        <v/>
      </c>
      <c r="H115" s="35"/>
      <c r="I115" s="31"/>
      <c r="J115" s="102">
        <v>0</v>
      </c>
    </row>
    <row r="116" spans="1:10" ht="15.75" hidden="1" thickBot="1" x14ac:dyDescent="0.3">
      <c r="A116" s="218" t="s">
        <v>55</v>
      </c>
      <c r="B116" s="221" t="e">
        <f>INDEX(#REF!,MATCH(Composições!A116,#REF!,0),2)</f>
        <v>#REF!</v>
      </c>
      <c r="C116" s="41"/>
      <c r="D116" s="26" t="s">
        <v>95</v>
      </c>
      <c r="E116" s="27"/>
      <c r="F116" s="42" t="s">
        <v>522</v>
      </c>
      <c r="G116" s="28" t="str">
        <f t="shared" si="1"/>
        <v/>
      </c>
      <c r="H116" s="29"/>
      <c r="I116" s="30"/>
      <c r="J116" s="102">
        <v>0</v>
      </c>
    </row>
    <row r="117" spans="1:10" ht="15.75" hidden="1" thickBot="1" x14ac:dyDescent="0.3">
      <c r="A117" s="219"/>
      <c r="B117" s="237"/>
      <c r="C117" s="32"/>
      <c r="D117" s="32"/>
      <c r="E117" s="33"/>
      <c r="F117" s="43" t="s">
        <v>522</v>
      </c>
      <c r="G117" s="31" t="str">
        <f t="shared" si="1"/>
        <v/>
      </c>
      <c r="H117" s="35"/>
      <c r="I117" s="31"/>
      <c r="J117" s="102">
        <v>0</v>
      </c>
    </row>
    <row r="118" spans="1:10" ht="15.75" hidden="1" thickBot="1" x14ac:dyDescent="0.3">
      <c r="A118" s="219"/>
      <c r="B118" s="237"/>
      <c r="C118" s="36" t="s">
        <v>27</v>
      </c>
      <c r="D118" s="47" t="s">
        <v>12</v>
      </c>
      <c r="E118" s="37">
        <v>0.1186</v>
      </c>
      <c r="F118" s="31">
        <v>16.4255</v>
      </c>
      <c r="G118" s="31">
        <f t="shared" si="1"/>
        <v>1.9480643</v>
      </c>
      <c r="H118" s="39">
        <f>SUM(G118:G119)</f>
        <v>5.7160369499999995</v>
      </c>
      <c r="I118" s="40"/>
      <c r="J118" s="102">
        <v>0</v>
      </c>
    </row>
    <row r="119" spans="1:10" ht="15.75" hidden="1" thickBot="1" x14ac:dyDescent="0.3">
      <c r="A119" s="219"/>
      <c r="B119" s="237"/>
      <c r="C119" s="36" t="s">
        <v>23</v>
      </c>
      <c r="D119" s="47" t="s">
        <v>12</v>
      </c>
      <c r="E119" s="37">
        <v>0.2329</v>
      </c>
      <c r="F119" s="31">
        <v>16.1785</v>
      </c>
      <c r="G119" s="31">
        <f t="shared" si="1"/>
        <v>3.7679726499999999</v>
      </c>
      <c r="H119" s="35"/>
      <c r="I119" s="31"/>
      <c r="J119" s="102">
        <v>0</v>
      </c>
    </row>
    <row r="120" spans="1:10" ht="15.75" hidden="1" thickBot="1" x14ac:dyDescent="0.3">
      <c r="A120" s="220"/>
      <c r="B120" s="223"/>
      <c r="C120" s="36"/>
      <c r="D120" s="36"/>
      <c r="E120" s="37"/>
      <c r="F120" s="31" t="s">
        <v>522</v>
      </c>
      <c r="G120" s="31" t="str">
        <f t="shared" si="1"/>
        <v/>
      </c>
      <c r="H120" s="35"/>
      <c r="I120" s="31"/>
      <c r="J120" s="102">
        <v>0</v>
      </c>
    </row>
    <row r="121" spans="1:10" ht="15.75" hidden="1" thickBot="1" x14ac:dyDescent="0.3">
      <c r="A121" s="218" t="s">
        <v>56</v>
      </c>
      <c r="B121" s="221" t="e">
        <f>INDEX(#REF!,MATCH(Composições!A121,#REF!,0),2)</f>
        <v>#REF!</v>
      </c>
      <c r="C121" s="41"/>
      <c r="D121" s="26" t="s">
        <v>93</v>
      </c>
      <c r="E121" s="27"/>
      <c r="F121" s="42" t="s">
        <v>522</v>
      </c>
      <c r="G121" s="28" t="str">
        <f t="shared" si="1"/>
        <v/>
      </c>
      <c r="H121" s="29"/>
      <c r="I121" s="30"/>
      <c r="J121" s="102">
        <v>0</v>
      </c>
    </row>
    <row r="122" spans="1:10" ht="15.75" hidden="1" thickBot="1" x14ac:dyDescent="0.3">
      <c r="A122" s="219"/>
      <c r="B122" s="237"/>
      <c r="C122" s="32"/>
      <c r="D122" s="32"/>
      <c r="E122" s="33"/>
      <c r="F122" s="43" t="s">
        <v>522</v>
      </c>
      <c r="G122" s="31" t="str">
        <f t="shared" si="1"/>
        <v/>
      </c>
      <c r="H122" s="35"/>
      <c r="I122" s="31"/>
      <c r="J122" s="102">
        <v>0</v>
      </c>
    </row>
    <row r="123" spans="1:10" ht="15.75" hidden="1" thickBot="1" x14ac:dyDescent="0.3">
      <c r="A123" s="219"/>
      <c r="B123" s="237"/>
      <c r="C123" s="36" t="s">
        <v>39</v>
      </c>
      <c r="D123" s="47" t="s">
        <v>12</v>
      </c>
      <c r="E123" s="37">
        <v>0.17499999999999999</v>
      </c>
      <c r="F123" s="31">
        <v>20.9</v>
      </c>
      <c r="G123" s="34">
        <f t="shared" si="1"/>
        <v>3.6574999999999993</v>
      </c>
      <c r="H123" s="39">
        <f>SUM(G123:G124)</f>
        <v>8.5110499999999991</v>
      </c>
      <c r="I123" s="40"/>
      <c r="J123" s="102">
        <v>0</v>
      </c>
    </row>
    <row r="124" spans="1:10" ht="15.75" hidden="1" thickBot="1" x14ac:dyDescent="0.3">
      <c r="A124" s="219"/>
      <c r="B124" s="237"/>
      <c r="C124" s="36" t="s">
        <v>23</v>
      </c>
      <c r="D124" s="47" t="s">
        <v>12</v>
      </c>
      <c r="E124" s="37">
        <v>0.3</v>
      </c>
      <c r="F124" s="31">
        <v>16.1785</v>
      </c>
      <c r="G124" s="34">
        <f t="shared" si="1"/>
        <v>4.8535499999999994</v>
      </c>
      <c r="H124" s="35"/>
      <c r="I124" s="31"/>
      <c r="J124" s="102">
        <v>0</v>
      </c>
    </row>
    <row r="125" spans="1:10" ht="15.75" hidden="1" thickBot="1" x14ac:dyDescent="0.3">
      <c r="A125" s="220"/>
      <c r="B125" s="223"/>
      <c r="C125" s="36"/>
      <c r="D125" s="36"/>
      <c r="E125" s="37"/>
      <c r="F125" s="31" t="s">
        <v>522</v>
      </c>
      <c r="G125" s="31" t="str">
        <f t="shared" si="1"/>
        <v/>
      </c>
      <c r="H125" s="35"/>
      <c r="I125" s="31"/>
      <c r="J125" s="102">
        <v>0</v>
      </c>
    </row>
    <row r="126" spans="1:10" ht="15.75" hidden="1" thickBot="1" x14ac:dyDescent="0.3">
      <c r="A126" s="218" t="s">
        <v>57</v>
      </c>
      <c r="B126" s="221" t="e">
        <f>INDEX(#REF!,MATCH(Composições!A126,#REF!,0),2)</f>
        <v>#REF!</v>
      </c>
      <c r="C126" s="41"/>
      <c r="D126" s="26" t="s">
        <v>95</v>
      </c>
      <c r="E126" s="27"/>
      <c r="F126" s="42" t="s">
        <v>522</v>
      </c>
      <c r="G126" s="28" t="str">
        <f t="shared" si="1"/>
        <v/>
      </c>
      <c r="H126" s="29"/>
      <c r="I126" s="30"/>
      <c r="J126" s="102">
        <v>0</v>
      </c>
    </row>
    <row r="127" spans="1:10" ht="15.75" hidden="1" thickBot="1" x14ac:dyDescent="0.3">
      <c r="A127" s="219"/>
      <c r="B127" s="237"/>
      <c r="C127" s="32"/>
      <c r="D127" s="32"/>
      <c r="E127" s="33"/>
      <c r="F127" s="43" t="s">
        <v>522</v>
      </c>
      <c r="G127" s="31" t="str">
        <f t="shared" si="1"/>
        <v/>
      </c>
      <c r="H127" s="35"/>
      <c r="I127" s="31"/>
      <c r="J127" s="102">
        <v>0</v>
      </c>
    </row>
    <row r="128" spans="1:10" ht="15.75" hidden="1" thickBot="1" x14ac:dyDescent="0.3">
      <c r="A128" s="219"/>
      <c r="B128" s="237"/>
      <c r="C128" s="36" t="s">
        <v>22</v>
      </c>
      <c r="D128" s="36" t="s">
        <v>12</v>
      </c>
      <c r="E128" s="37">
        <v>0.05</v>
      </c>
      <c r="F128" s="31">
        <v>21.479499999999998</v>
      </c>
      <c r="G128" s="34">
        <f t="shared" si="1"/>
        <v>1.0739749999999999</v>
      </c>
      <c r="H128" s="39">
        <f>SUM(G128:G129)</f>
        <v>9.1632250000000006</v>
      </c>
      <c r="I128" s="40"/>
      <c r="J128" s="102">
        <v>0</v>
      </c>
    </row>
    <row r="129" spans="1:10" ht="15.75" hidden="1" thickBot="1" x14ac:dyDescent="0.3">
      <c r="A129" s="219"/>
      <c r="B129" s="237"/>
      <c r="C129" s="36" t="s">
        <v>23</v>
      </c>
      <c r="D129" s="36" t="s">
        <v>12</v>
      </c>
      <c r="E129" s="37">
        <v>0.5</v>
      </c>
      <c r="F129" s="31">
        <v>16.1785</v>
      </c>
      <c r="G129" s="34">
        <f t="shared" si="1"/>
        <v>8.0892499999999998</v>
      </c>
      <c r="H129" s="45"/>
      <c r="I129" s="46"/>
      <c r="J129" s="102">
        <v>0</v>
      </c>
    </row>
    <row r="130" spans="1:10" ht="15.75" hidden="1" thickBot="1" x14ac:dyDescent="0.3">
      <c r="A130" s="220"/>
      <c r="B130" s="223"/>
      <c r="C130" s="36"/>
      <c r="D130" s="36"/>
      <c r="E130" s="37"/>
      <c r="F130" s="31" t="s">
        <v>522</v>
      </c>
      <c r="G130" s="31" t="str">
        <f t="shared" si="1"/>
        <v/>
      </c>
      <c r="H130" s="35"/>
      <c r="I130" s="31"/>
      <c r="J130" s="102">
        <v>0</v>
      </c>
    </row>
    <row r="131" spans="1:10" ht="15.75" hidden="1" thickBot="1" x14ac:dyDescent="0.3">
      <c r="A131" s="218" t="s">
        <v>58</v>
      </c>
      <c r="B131" s="221" t="e">
        <f>INDEX(#REF!,MATCH(Composições!A131,#REF!,0),2)</f>
        <v>#REF!</v>
      </c>
      <c r="C131" s="41"/>
      <c r="D131" s="26" t="s">
        <v>20</v>
      </c>
      <c r="E131" s="27"/>
      <c r="F131" s="42" t="s">
        <v>522</v>
      </c>
      <c r="G131" s="28" t="str">
        <f t="shared" si="1"/>
        <v/>
      </c>
      <c r="H131" s="29"/>
      <c r="I131" s="30"/>
      <c r="J131" s="102">
        <v>0</v>
      </c>
    </row>
    <row r="132" spans="1:10" ht="15.75" hidden="1" thickBot="1" x14ac:dyDescent="0.3">
      <c r="A132" s="219"/>
      <c r="B132" s="237"/>
      <c r="C132" s="32"/>
      <c r="D132" s="32"/>
      <c r="E132" s="33"/>
      <c r="F132" s="43" t="s">
        <v>522</v>
      </c>
      <c r="G132" s="31" t="str">
        <f t="shared" si="1"/>
        <v/>
      </c>
      <c r="H132" s="35"/>
      <c r="I132" s="31"/>
      <c r="J132" s="102">
        <v>0</v>
      </c>
    </row>
    <row r="133" spans="1:10" ht="15.75" hidden="1" thickBot="1" x14ac:dyDescent="0.3">
      <c r="A133" s="219"/>
      <c r="B133" s="237"/>
      <c r="C133" s="36" t="s">
        <v>30</v>
      </c>
      <c r="D133" s="36" t="s">
        <v>12</v>
      </c>
      <c r="E133" s="37">
        <v>0.3</v>
      </c>
      <c r="F133" s="31">
        <v>21.688499999999998</v>
      </c>
      <c r="G133" s="31">
        <f t="shared" si="1"/>
        <v>6.5065499999999989</v>
      </c>
      <c r="H133" s="39">
        <f>SUM(G133:G133)</f>
        <v>6.5065499999999989</v>
      </c>
      <c r="I133" s="40"/>
      <c r="J133" s="102">
        <v>0</v>
      </c>
    </row>
    <row r="134" spans="1:10" ht="15.75" hidden="1" thickBot="1" x14ac:dyDescent="0.3">
      <c r="A134" s="220"/>
      <c r="B134" s="223"/>
      <c r="C134" s="36"/>
      <c r="D134" s="36"/>
      <c r="E134" s="37"/>
      <c r="F134" s="31" t="s">
        <v>522</v>
      </c>
      <c r="G134" s="31" t="str">
        <f t="shared" ref="G134:G197" si="2">IF(ISNUMBER(F134),E134*F134,"")</f>
        <v/>
      </c>
      <c r="H134" s="35"/>
      <c r="I134" s="31"/>
      <c r="J134" s="102">
        <v>0</v>
      </c>
    </row>
    <row r="135" spans="1:10" ht="15.75" hidden="1" thickBot="1" x14ac:dyDescent="0.3">
      <c r="A135" s="218" t="s">
        <v>59</v>
      </c>
      <c r="B135" s="221" t="e">
        <f>INDEX(#REF!,MATCH(Composições!A135,#REF!,0),2)</f>
        <v>#REF!</v>
      </c>
      <c r="C135" s="41"/>
      <c r="D135" s="26" t="s">
        <v>20</v>
      </c>
      <c r="E135" s="27"/>
      <c r="F135" s="42" t="s">
        <v>522</v>
      </c>
      <c r="G135" s="28" t="str">
        <f t="shared" si="2"/>
        <v/>
      </c>
      <c r="H135" s="29"/>
      <c r="I135" s="30"/>
      <c r="J135" s="102">
        <v>0</v>
      </c>
    </row>
    <row r="136" spans="1:10" ht="15.75" hidden="1" thickBot="1" x14ac:dyDescent="0.3">
      <c r="A136" s="219"/>
      <c r="B136" s="237"/>
      <c r="C136" s="32"/>
      <c r="D136" s="32"/>
      <c r="E136" s="33"/>
      <c r="F136" s="43" t="s">
        <v>522</v>
      </c>
      <c r="G136" s="31" t="str">
        <f t="shared" si="2"/>
        <v/>
      </c>
      <c r="H136" s="35"/>
      <c r="I136" s="31"/>
      <c r="J136" s="102">
        <v>0</v>
      </c>
    </row>
    <row r="137" spans="1:10" ht="15.75" hidden="1" thickBot="1" x14ac:dyDescent="0.3">
      <c r="A137" s="219"/>
      <c r="B137" s="237"/>
      <c r="C137" s="36" t="s">
        <v>44</v>
      </c>
      <c r="D137" s="36" t="s">
        <v>12</v>
      </c>
      <c r="E137" s="37">
        <f>0.25</f>
        <v>0.25</v>
      </c>
      <c r="F137" s="31">
        <v>20.425000000000001</v>
      </c>
      <c r="G137" s="34">
        <f t="shared" si="2"/>
        <v>5.1062500000000002</v>
      </c>
      <c r="H137" s="39">
        <f>SUM(G137:G137)</f>
        <v>5.1062500000000002</v>
      </c>
      <c r="I137" s="40"/>
      <c r="J137" s="102">
        <v>0</v>
      </c>
    </row>
    <row r="138" spans="1:10" ht="15.75" hidden="1" thickBot="1" x14ac:dyDescent="0.3">
      <c r="A138" s="219"/>
      <c r="B138" s="237"/>
      <c r="C138" s="36"/>
      <c r="D138" s="36"/>
      <c r="E138" s="37"/>
      <c r="F138" s="31" t="s">
        <v>522</v>
      </c>
      <c r="G138" s="31" t="str">
        <f t="shared" si="2"/>
        <v/>
      </c>
      <c r="H138" s="35"/>
      <c r="I138" s="31"/>
      <c r="J138" s="102">
        <v>0</v>
      </c>
    </row>
    <row r="139" spans="1:10" ht="15.75" hidden="1" thickBot="1" x14ac:dyDescent="0.3">
      <c r="A139" s="218" t="s">
        <v>60</v>
      </c>
      <c r="B139" s="221" t="e">
        <f>INDEX(#REF!,MATCH(Composições!A139,#REF!,0),2)</f>
        <v>#REF!</v>
      </c>
      <c r="C139" s="41"/>
      <c r="D139" s="26" t="s">
        <v>20</v>
      </c>
      <c r="E139" s="27"/>
      <c r="F139" s="42" t="s">
        <v>522</v>
      </c>
      <c r="G139" s="28" t="str">
        <f t="shared" si="2"/>
        <v/>
      </c>
      <c r="H139" s="29"/>
      <c r="I139" s="30"/>
      <c r="J139" s="102">
        <v>0</v>
      </c>
    </row>
    <row r="140" spans="1:10" ht="15.75" hidden="1" thickBot="1" x14ac:dyDescent="0.3">
      <c r="A140" s="219"/>
      <c r="B140" s="237"/>
      <c r="C140" s="32"/>
      <c r="D140" s="32"/>
      <c r="E140" s="33"/>
      <c r="F140" s="43" t="s">
        <v>522</v>
      </c>
      <c r="G140" s="31" t="str">
        <f t="shared" si="2"/>
        <v/>
      </c>
      <c r="H140" s="35"/>
      <c r="I140" s="31"/>
      <c r="J140" s="102">
        <v>0</v>
      </c>
    </row>
    <row r="141" spans="1:10" ht="15.75" hidden="1" thickBot="1" x14ac:dyDescent="0.3">
      <c r="A141" s="219"/>
      <c r="B141" s="237"/>
      <c r="C141" s="36" t="s">
        <v>22</v>
      </c>
      <c r="D141" s="36" t="s">
        <v>12</v>
      </c>
      <c r="E141" s="37">
        <v>0.13150000000000001</v>
      </c>
      <c r="F141" s="31">
        <v>21.479499999999998</v>
      </c>
      <c r="G141" s="34">
        <f t="shared" si="2"/>
        <v>2.8245542499999998</v>
      </c>
      <c r="H141" s="39">
        <f>SUM(G141:G142)</f>
        <v>7.0018429500000003</v>
      </c>
      <c r="I141" s="40"/>
      <c r="J141" s="102">
        <v>0</v>
      </c>
    </row>
    <row r="142" spans="1:10" ht="15.75" hidden="1" thickBot="1" x14ac:dyDescent="0.3">
      <c r="A142" s="219"/>
      <c r="B142" s="237"/>
      <c r="C142" s="36" t="s">
        <v>23</v>
      </c>
      <c r="D142" s="47" t="s">
        <v>12</v>
      </c>
      <c r="E142" s="37">
        <v>0.25819999999999999</v>
      </c>
      <c r="F142" s="31">
        <v>16.1785</v>
      </c>
      <c r="G142" s="34">
        <f t="shared" si="2"/>
        <v>4.1772887000000001</v>
      </c>
      <c r="H142" s="45"/>
      <c r="I142" s="46"/>
      <c r="J142" s="102">
        <v>0</v>
      </c>
    </row>
    <row r="143" spans="1:10" ht="15.75" hidden="1" thickBot="1" x14ac:dyDescent="0.3">
      <c r="A143" s="220"/>
      <c r="B143" s="223"/>
      <c r="C143" s="36"/>
      <c r="D143" s="36"/>
      <c r="E143" s="37"/>
      <c r="F143" s="31" t="s">
        <v>522</v>
      </c>
      <c r="G143" s="31" t="str">
        <f t="shared" si="2"/>
        <v/>
      </c>
      <c r="H143" s="35"/>
      <c r="I143" s="31"/>
      <c r="J143" s="102">
        <v>0</v>
      </c>
    </row>
    <row r="144" spans="1:10" ht="15.75" hidden="1" thickBot="1" x14ac:dyDescent="0.3">
      <c r="A144" s="218" t="s">
        <v>61</v>
      </c>
      <c r="B144" s="221" t="e">
        <f>INDEX(#REF!,MATCH(Composições!A144,#REF!,0),2)</f>
        <v>#REF!</v>
      </c>
      <c r="C144" s="41"/>
      <c r="D144" s="26" t="s">
        <v>95</v>
      </c>
      <c r="E144" s="27"/>
      <c r="F144" s="42" t="s">
        <v>522</v>
      </c>
      <c r="G144" s="28" t="str">
        <f t="shared" si="2"/>
        <v/>
      </c>
      <c r="H144" s="29"/>
      <c r="I144" s="30"/>
      <c r="J144" s="102">
        <v>0</v>
      </c>
    </row>
    <row r="145" spans="1:10" ht="15.75" hidden="1" thickBot="1" x14ac:dyDescent="0.3">
      <c r="A145" s="219"/>
      <c r="B145" s="237"/>
      <c r="C145" s="32"/>
      <c r="D145" s="32"/>
      <c r="E145" s="33"/>
      <c r="F145" s="43" t="s">
        <v>522</v>
      </c>
      <c r="G145" s="31" t="str">
        <f t="shared" si="2"/>
        <v/>
      </c>
      <c r="H145" s="35"/>
      <c r="I145" s="31"/>
      <c r="J145" s="102">
        <v>0</v>
      </c>
    </row>
    <row r="146" spans="1:10" ht="15.75" hidden="1" thickBot="1" x14ac:dyDescent="0.3">
      <c r="A146" s="219"/>
      <c r="B146" s="237"/>
      <c r="C146" s="36" t="s">
        <v>22</v>
      </c>
      <c r="D146" s="36" t="s">
        <v>12</v>
      </c>
      <c r="E146" s="37">
        <v>0.09</v>
      </c>
      <c r="F146" s="31">
        <v>21.479499999999998</v>
      </c>
      <c r="G146" s="34">
        <f t="shared" si="2"/>
        <v>1.9331549999999997</v>
      </c>
      <c r="H146" s="39">
        <f>SUM(G146:G147)</f>
        <v>16.493805000000002</v>
      </c>
      <c r="I146" s="40"/>
      <c r="J146" s="102">
        <v>0</v>
      </c>
    </row>
    <row r="147" spans="1:10" ht="15.75" hidden="1" thickBot="1" x14ac:dyDescent="0.3">
      <c r="A147" s="219"/>
      <c r="B147" s="237"/>
      <c r="C147" s="36" t="s">
        <v>23</v>
      </c>
      <c r="D147" s="36" t="s">
        <v>12</v>
      </c>
      <c r="E147" s="37">
        <v>0.9</v>
      </c>
      <c r="F147" s="31">
        <v>16.1785</v>
      </c>
      <c r="G147" s="34">
        <f t="shared" si="2"/>
        <v>14.560650000000001</v>
      </c>
      <c r="H147" s="35"/>
      <c r="I147" s="31"/>
      <c r="J147" s="102">
        <v>0</v>
      </c>
    </row>
    <row r="148" spans="1:10" ht="15.75" hidden="1" thickBot="1" x14ac:dyDescent="0.3">
      <c r="A148" s="220"/>
      <c r="B148" s="223"/>
      <c r="C148" s="36"/>
      <c r="D148" s="36"/>
      <c r="E148" s="37"/>
      <c r="F148" s="31" t="s">
        <v>522</v>
      </c>
      <c r="G148" s="31" t="str">
        <f t="shared" si="2"/>
        <v/>
      </c>
      <c r="H148" s="35"/>
      <c r="I148" s="31"/>
      <c r="J148" s="102">
        <v>0</v>
      </c>
    </row>
    <row r="149" spans="1:10" ht="15.75" hidden="1" thickBot="1" x14ac:dyDescent="0.3">
      <c r="A149" s="218" t="s">
        <v>62</v>
      </c>
      <c r="B149" s="221" t="e">
        <f>INDEX(#REF!,MATCH(Composições!A149,#REF!,0),2)</f>
        <v>#REF!</v>
      </c>
      <c r="C149" s="41"/>
      <c r="D149" s="26" t="s">
        <v>20</v>
      </c>
      <c r="E149" s="27"/>
      <c r="F149" s="42" t="s">
        <v>522</v>
      </c>
      <c r="G149" s="28" t="str">
        <f t="shared" si="2"/>
        <v/>
      </c>
      <c r="H149" s="29"/>
      <c r="I149" s="30"/>
      <c r="J149" s="102">
        <v>0</v>
      </c>
    </row>
    <row r="150" spans="1:10" ht="15.75" hidden="1" thickBot="1" x14ac:dyDescent="0.3">
      <c r="A150" s="219"/>
      <c r="B150" s="237"/>
      <c r="C150" s="32"/>
      <c r="D150" s="32"/>
      <c r="E150" s="33"/>
      <c r="F150" s="43" t="s">
        <v>522</v>
      </c>
      <c r="G150" s="31" t="str">
        <f t="shared" si="2"/>
        <v/>
      </c>
      <c r="H150" s="35"/>
      <c r="I150" s="31"/>
      <c r="J150" s="102">
        <v>0</v>
      </c>
    </row>
    <row r="151" spans="1:10" ht="15.75" hidden="1" thickBot="1" x14ac:dyDescent="0.3">
      <c r="A151" s="219"/>
      <c r="B151" s="237"/>
      <c r="C151" s="36" t="s">
        <v>39</v>
      </c>
      <c r="D151" s="47" t="s">
        <v>12</v>
      </c>
      <c r="E151" s="37">
        <v>0.17549999999999999</v>
      </c>
      <c r="F151" s="31">
        <v>20.9</v>
      </c>
      <c r="G151" s="34">
        <f t="shared" si="2"/>
        <v>3.6679499999999994</v>
      </c>
      <c r="H151" s="39">
        <f>SUM(G151:G152)</f>
        <v>9.2462967999999996</v>
      </c>
      <c r="I151" s="40"/>
      <c r="J151" s="102">
        <v>0</v>
      </c>
    </row>
    <row r="152" spans="1:10" ht="15.75" hidden="1" thickBot="1" x14ac:dyDescent="0.3">
      <c r="A152" s="219"/>
      <c r="B152" s="237"/>
      <c r="C152" s="36" t="s">
        <v>23</v>
      </c>
      <c r="D152" s="36" t="s">
        <v>12</v>
      </c>
      <c r="E152" s="37">
        <v>0.3448</v>
      </c>
      <c r="F152" s="31">
        <v>16.1785</v>
      </c>
      <c r="G152" s="34">
        <f t="shared" si="2"/>
        <v>5.5783467999999994</v>
      </c>
      <c r="H152" s="44"/>
      <c r="I152" s="40"/>
      <c r="J152" s="102">
        <v>0</v>
      </c>
    </row>
    <row r="153" spans="1:10" ht="15.75" hidden="1" thickBot="1" x14ac:dyDescent="0.3">
      <c r="A153" s="220"/>
      <c r="B153" s="223"/>
      <c r="C153" s="36"/>
      <c r="D153" s="36"/>
      <c r="E153" s="37"/>
      <c r="F153" s="31" t="s">
        <v>522</v>
      </c>
      <c r="G153" s="31" t="str">
        <f t="shared" si="2"/>
        <v/>
      </c>
      <c r="H153" s="35"/>
      <c r="I153" s="31"/>
      <c r="J153" s="102">
        <v>0</v>
      </c>
    </row>
    <row r="154" spans="1:10" ht="15.75" hidden="1" thickBot="1" x14ac:dyDescent="0.3">
      <c r="A154" s="218" t="s">
        <v>63</v>
      </c>
      <c r="B154" s="221" t="e">
        <f>INDEX(#REF!,MATCH(Composições!A154,#REF!,0),2)</f>
        <v>#REF!</v>
      </c>
      <c r="C154" s="41"/>
      <c r="D154" s="26" t="s">
        <v>20</v>
      </c>
      <c r="E154" s="27"/>
      <c r="F154" s="42" t="s">
        <v>522</v>
      </c>
      <c r="G154" s="28" t="str">
        <f t="shared" si="2"/>
        <v/>
      </c>
      <c r="H154" s="29"/>
      <c r="I154" s="30"/>
      <c r="J154" s="102">
        <v>0</v>
      </c>
    </row>
    <row r="155" spans="1:10" ht="15.75" hidden="1" thickBot="1" x14ac:dyDescent="0.3">
      <c r="A155" s="224"/>
      <c r="B155" s="237"/>
      <c r="C155" s="32"/>
      <c r="D155" s="32"/>
      <c r="E155" s="33"/>
      <c r="F155" s="43" t="s">
        <v>522</v>
      </c>
      <c r="G155" s="31" t="str">
        <f t="shared" si="2"/>
        <v/>
      </c>
      <c r="H155" s="35"/>
      <c r="I155" s="31"/>
      <c r="J155" s="102">
        <v>0</v>
      </c>
    </row>
    <row r="156" spans="1:10" ht="15.75" hidden="1" thickBot="1" x14ac:dyDescent="0.3">
      <c r="A156" s="224"/>
      <c r="B156" s="237"/>
      <c r="C156" s="36" t="s">
        <v>30</v>
      </c>
      <c r="D156" s="47" t="s">
        <v>12</v>
      </c>
      <c r="E156" s="37">
        <f>0.0183*5</f>
        <v>9.1499999999999998E-2</v>
      </c>
      <c r="F156" s="31">
        <v>21.688499999999998</v>
      </c>
      <c r="G156" s="34">
        <f t="shared" si="2"/>
        <v>1.9844977499999998</v>
      </c>
      <c r="H156" s="39">
        <f>SUM(G156:G157)</f>
        <v>4.8885384999999992</v>
      </c>
      <c r="I156" s="40"/>
      <c r="J156" s="102">
        <v>0</v>
      </c>
    </row>
    <row r="157" spans="1:10" ht="15.75" hidden="1" thickBot="1" x14ac:dyDescent="0.3">
      <c r="A157" s="224"/>
      <c r="B157" s="237"/>
      <c r="C157" s="36" t="s">
        <v>23</v>
      </c>
      <c r="D157" s="47" t="s">
        <v>12</v>
      </c>
      <c r="E157" s="37">
        <f>0.0359*5</f>
        <v>0.17949999999999999</v>
      </c>
      <c r="F157" s="31">
        <v>16.1785</v>
      </c>
      <c r="G157" s="34">
        <f t="shared" si="2"/>
        <v>2.9040407499999996</v>
      </c>
      <c r="H157" s="45"/>
      <c r="I157" s="46"/>
      <c r="J157" s="102">
        <v>0</v>
      </c>
    </row>
    <row r="158" spans="1:10" ht="15.75" hidden="1" thickBot="1" x14ac:dyDescent="0.3">
      <c r="A158" s="224"/>
      <c r="B158" s="237"/>
      <c r="C158" s="36"/>
      <c r="D158" s="36"/>
      <c r="E158" s="37"/>
      <c r="F158" s="31" t="s">
        <v>522</v>
      </c>
      <c r="G158" s="31" t="str">
        <f t="shared" si="2"/>
        <v/>
      </c>
      <c r="H158" s="35"/>
      <c r="I158" s="31"/>
      <c r="J158" s="102">
        <v>0</v>
      </c>
    </row>
    <row r="159" spans="1:10" ht="15.75" hidden="1" thickBot="1" x14ac:dyDescent="0.3">
      <c r="A159" s="224"/>
      <c r="B159" s="237"/>
      <c r="C159" s="48" t="s">
        <v>64</v>
      </c>
      <c r="D159" s="36"/>
      <c r="E159" s="37"/>
      <c r="F159" s="31" t="s">
        <v>522</v>
      </c>
      <c r="G159" s="31" t="str">
        <f t="shared" si="2"/>
        <v/>
      </c>
      <c r="H159" s="35"/>
      <c r="I159" s="31"/>
      <c r="J159" s="102">
        <v>0</v>
      </c>
    </row>
    <row r="160" spans="1:10" ht="15.75" hidden="1" thickBot="1" x14ac:dyDescent="0.3">
      <c r="A160" s="225"/>
      <c r="B160" s="223"/>
      <c r="C160" s="36"/>
      <c r="D160" s="36"/>
      <c r="E160" s="37"/>
      <c r="F160" s="31" t="s">
        <v>522</v>
      </c>
      <c r="G160" s="31" t="str">
        <f t="shared" si="2"/>
        <v/>
      </c>
      <c r="H160" s="35"/>
      <c r="I160" s="31"/>
      <c r="J160" s="102">
        <v>0</v>
      </c>
    </row>
    <row r="161" spans="1:10" ht="15.75" hidden="1" thickBot="1" x14ac:dyDescent="0.3">
      <c r="A161" s="218" t="s">
        <v>65</v>
      </c>
      <c r="B161" s="221" t="e">
        <f>INDEX(#REF!,MATCH(Composições!A161,#REF!,0),2)</f>
        <v>#REF!</v>
      </c>
      <c r="C161" s="41"/>
      <c r="D161" s="26" t="s">
        <v>20</v>
      </c>
      <c r="E161" s="27"/>
      <c r="F161" s="42" t="s">
        <v>522</v>
      </c>
      <c r="G161" s="28" t="str">
        <f t="shared" si="2"/>
        <v/>
      </c>
      <c r="H161" s="29"/>
      <c r="I161" s="30"/>
      <c r="J161" s="102">
        <v>0</v>
      </c>
    </row>
    <row r="162" spans="1:10" ht="15.75" hidden="1" thickBot="1" x14ac:dyDescent="0.3">
      <c r="A162" s="219"/>
      <c r="B162" s="237"/>
      <c r="C162" s="32"/>
      <c r="D162" s="32"/>
      <c r="E162" s="33"/>
      <c r="F162" s="43" t="s">
        <v>522</v>
      </c>
      <c r="G162" s="31" t="str">
        <f t="shared" si="2"/>
        <v/>
      </c>
      <c r="H162" s="35"/>
      <c r="I162" s="31"/>
      <c r="J162" s="102">
        <v>0</v>
      </c>
    </row>
    <row r="163" spans="1:10" ht="15.75" hidden="1" thickBot="1" x14ac:dyDescent="0.3">
      <c r="A163" s="219"/>
      <c r="B163" s="237"/>
      <c r="C163" s="36" t="s">
        <v>39</v>
      </c>
      <c r="D163" s="47" t="s">
        <v>12</v>
      </c>
      <c r="E163" s="37">
        <v>0.128</v>
      </c>
      <c r="F163" s="31">
        <v>20.9</v>
      </c>
      <c r="G163" s="34">
        <f t="shared" si="2"/>
        <v>2.6751999999999998</v>
      </c>
      <c r="H163" s="39">
        <f>SUM(G163:G164)</f>
        <v>6.7424748999999995</v>
      </c>
      <c r="I163" s="40"/>
      <c r="J163" s="102">
        <v>0</v>
      </c>
    </row>
    <row r="164" spans="1:10" ht="15.75" hidden="1" thickBot="1" x14ac:dyDescent="0.3">
      <c r="A164" s="219"/>
      <c r="B164" s="237"/>
      <c r="C164" s="36" t="s">
        <v>23</v>
      </c>
      <c r="D164" s="36" t="s">
        <v>12</v>
      </c>
      <c r="E164" s="37">
        <v>0.25140000000000001</v>
      </c>
      <c r="F164" s="31">
        <v>16.1785</v>
      </c>
      <c r="G164" s="34">
        <f t="shared" si="2"/>
        <v>4.0672749000000001</v>
      </c>
      <c r="H164" s="44"/>
      <c r="I164" s="40"/>
      <c r="J164" s="102">
        <v>0</v>
      </c>
    </row>
    <row r="165" spans="1:10" ht="15.75" hidden="1" thickBot="1" x14ac:dyDescent="0.3">
      <c r="A165" s="220"/>
      <c r="B165" s="223"/>
      <c r="C165" s="36"/>
      <c r="D165" s="36"/>
      <c r="E165" s="37"/>
      <c r="F165" s="31" t="s">
        <v>522</v>
      </c>
      <c r="G165" s="31" t="str">
        <f t="shared" si="2"/>
        <v/>
      </c>
      <c r="H165" s="35"/>
      <c r="I165" s="31"/>
      <c r="J165" s="102">
        <v>0</v>
      </c>
    </row>
    <row r="166" spans="1:10" ht="15.75" hidden="1" thickBot="1" x14ac:dyDescent="0.3">
      <c r="A166" s="218" t="s">
        <v>66</v>
      </c>
      <c r="B166" s="221" t="e">
        <f>INDEX(#REF!,MATCH(Composições!A166,#REF!,0),2)</f>
        <v>#REF!</v>
      </c>
      <c r="C166" s="41"/>
      <c r="D166" s="26" t="s">
        <v>95</v>
      </c>
      <c r="E166" s="27"/>
      <c r="F166" s="42" t="s">
        <v>522</v>
      </c>
      <c r="G166" s="28" t="str">
        <f t="shared" si="2"/>
        <v/>
      </c>
      <c r="H166" s="29"/>
      <c r="I166" s="30"/>
      <c r="J166" s="102">
        <v>0</v>
      </c>
    </row>
    <row r="167" spans="1:10" ht="15.75" hidden="1" thickBot="1" x14ac:dyDescent="0.3">
      <c r="A167" s="219"/>
      <c r="B167" s="237"/>
      <c r="C167" s="32"/>
      <c r="D167" s="32"/>
      <c r="E167" s="33"/>
      <c r="F167" s="43" t="s">
        <v>522</v>
      </c>
      <c r="G167" s="31" t="str">
        <f t="shared" si="2"/>
        <v/>
      </c>
      <c r="H167" s="35"/>
      <c r="I167" s="31"/>
      <c r="J167" s="102">
        <v>0</v>
      </c>
    </row>
    <row r="168" spans="1:10" ht="15.75" hidden="1" thickBot="1" x14ac:dyDescent="0.3">
      <c r="A168" s="219"/>
      <c r="B168" s="237"/>
      <c r="C168" s="36" t="s">
        <v>23</v>
      </c>
      <c r="D168" s="36" t="s">
        <v>12</v>
      </c>
      <c r="E168" s="37">
        <v>0.33800000000000002</v>
      </c>
      <c r="F168" s="31">
        <v>16.1785</v>
      </c>
      <c r="G168" s="34">
        <f t="shared" si="2"/>
        <v>5.4683330000000003</v>
      </c>
      <c r="H168" s="39">
        <f>SUM(G168:G169)</f>
        <v>12.394403000000001</v>
      </c>
      <c r="I168" s="40"/>
      <c r="J168" s="102">
        <v>0</v>
      </c>
    </row>
    <row r="169" spans="1:10" ht="15.75" hidden="1" thickBot="1" x14ac:dyDescent="0.3">
      <c r="A169" s="219"/>
      <c r="B169" s="237"/>
      <c r="C169" s="36" t="s">
        <v>68</v>
      </c>
      <c r="D169" s="36" t="s">
        <v>12</v>
      </c>
      <c r="E169" s="37">
        <v>0.34799999999999998</v>
      </c>
      <c r="F169" s="31">
        <v>19.9025</v>
      </c>
      <c r="G169" s="34">
        <f t="shared" si="2"/>
        <v>6.9260699999999993</v>
      </c>
      <c r="H169" s="35"/>
      <c r="I169" s="31"/>
      <c r="J169" s="102">
        <v>0</v>
      </c>
    </row>
    <row r="170" spans="1:10" ht="15.75" hidden="1" thickBot="1" x14ac:dyDescent="0.3">
      <c r="A170" s="220"/>
      <c r="B170" s="223"/>
      <c r="C170" s="36"/>
      <c r="D170" s="36"/>
      <c r="E170" s="37"/>
      <c r="F170" s="31" t="s">
        <v>522</v>
      </c>
      <c r="G170" s="31" t="str">
        <f t="shared" si="2"/>
        <v/>
      </c>
      <c r="H170" s="35"/>
      <c r="I170" s="31"/>
      <c r="J170" s="102">
        <v>0</v>
      </c>
    </row>
    <row r="171" spans="1:10" ht="15.75" hidden="1" thickBot="1" x14ac:dyDescent="0.3">
      <c r="A171" s="218" t="s">
        <v>67</v>
      </c>
      <c r="B171" s="221" t="e">
        <f>INDEX(#REF!,MATCH(Composições!A171,#REF!,0),2)</f>
        <v>#REF!</v>
      </c>
      <c r="C171" s="41"/>
      <c r="D171" s="26" t="s">
        <v>95</v>
      </c>
      <c r="E171" s="27"/>
      <c r="F171" s="42" t="s">
        <v>522</v>
      </c>
      <c r="G171" s="28" t="str">
        <f t="shared" si="2"/>
        <v/>
      </c>
      <c r="H171" s="29"/>
      <c r="I171" s="30"/>
      <c r="J171" s="102">
        <v>0</v>
      </c>
    </row>
    <row r="172" spans="1:10" ht="15.75" hidden="1" thickBot="1" x14ac:dyDescent="0.3">
      <c r="A172" s="219"/>
      <c r="B172" s="237"/>
      <c r="C172" s="32"/>
      <c r="D172" s="32"/>
      <c r="E172" s="33"/>
      <c r="F172" s="43" t="s">
        <v>522</v>
      </c>
      <c r="G172" s="31" t="str">
        <f t="shared" si="2"/>
        <v/>
      </c>
      <c r="H172" s="35"/>
      <c r="I172" s="31"/>
      <c r="J172" s="102">
        <v>0</v>
      </c>
    </row>
    <row r="173" spans="1:10" ht="15.75" hidden="1" thickBot="1" x14ac:dyDescent="0.3">
      <c r="A173" s="219"/>
      <c r="B173" s="237"/>
      <c r="C173" s="36" t="s">
        <v>68</v>
      </c>
      <c r="D173" s="36" t="s">
        <v>12</v>
      </c>
      <c r="E173" s="37">
        <v>0.4</v>
      </c>
      <c r="F173" s="31">
        <v>19.9025</v>
      </c>
      <c r="G173" s="34">
        <f t="shared" si="2"/>
        <v>7.9610000000000003</v>
      </c>
      <c r="H173" s="39">
        <f>SUM(G173:G173)</f>
        <v>7.9610000000000003</v>
      </c>
      <c r="I173" s="40"/>
      <c r="J173" s="102">
        <v>0</v>
      </c>
    </row>
    <row r="174" spans="1:10" ht="15.75" hidden="1" thickBot="1" x14ac:dyDescent="0.3">
      <c r="A174" s="220"/>
      <c r="B174" s="223"/>
      <c r="C174" s="36"/>
      <c r="D174" s="36"/>
      <c r="E174" s="37"/>
      <c r="F174" s="31" t="s">
        <v>522</v>
      </c>
      <c r="G174" s="31" t="str">
        <f t="shared" si="2"/>
        <v/>
      </c>
      <c r="H174" s="35"/>
      <c r="I174" s="31"/>
      <c r="J174" s="102">
        <v>0</v>
      </c>
    </row>
    <row r="175" spans="1:10" ht="15.75" hidden="1" thickBot="1" x14ac:dyDescent="0.3">
      <c r="A175" s="218" t="s">
        <v>69</v>
      </c>
      <c r="B175" s="221" t="e">
        <f>INDEX(#REF!,MATCH(Composições!A175,#REF!,0),2)</f>
        <v>#REF!</v>
      </c>
      <c r="C175" s="41"/>
      <c r="D175" s="26" t="s">
        <v>93</v>
      </c>
      <c r="E175" s="27"/>
      <c r="F175" s="42" t="s">
        <v>522</v>
      </c>
      <c r="G175" s="28" t="str">
        <f t="shared" si="2"/>
        <v/>
      </c>
      <c r="H175" s="29"/>
      <c r="I175" s="30"/>
      <c r="J175" s="102">
        <v>0</v>
      </c>
    </row>
    <row r="176" spans="1:10" ht="15.75" hidden="1" thickBot="1" x14ac:dyDescent="0.3">
      <c r="A176" s="219"/>
      <c r="B176" s="237"/>
      <c r="C176" s="32"/>
      <c r="D176" s="32"/>
      <c r="E176" s="33"/>
      <c r="F176" s="43" t="s">
        <v>522</v>
      </c>
      <c r="G176" s="31" t="str">
        <f t="shared" si="2"/>
        <v/>
      </c>
      <c r="H176" s="35"/>
      <c r="I176" s="31"/>
      <c r="J176" s="102">
        <v>0</v>
      </c>
    </row>
    <row r="177" spans="1:10" ht="15.75" hidden="1" thickBot="1" x14ac:dyDescent="0.3">
      <c r="A177" s="219"/>
      <c r="B177" s="237"/>
      <c r="C177" s="36" t="s">
        <v>50</v>
      </c>
      <c r="D177" s="36" t="s">
        <v>12</v>
      </c>
      <c r="E177" s="37">
        <f>ROUND(1/6,4)</f>
        <v>0.16669999999999999</v>
      </c>
      <c r="F177" s="31">
        <v>17.042999999999999</v>
      </c>
      <c r="G177" s="34">
        <f t="shared" si="2"/>
        <v>2.8410680999999998</v>
      </c>
      <c r="H177" s="39">
        <f>SUM(G177:G177)</f>
        <v>2.8410680999999998</v>
      </c>
      <c r="I177" s="40"/>
      <c r="J177" s="102">
        <v>0</v>
      </c>
    </row>
    <row r="178" spans="1:10" ht="15.75" hidden="1" thickBot="1" x14ac:dyDescent="0.3">
      <c r="A178" s="220"/>
      <c r="B178" s="223"/>
      <c r="C178" s="36"/>
      <c r="D178" s="36"/>
      <c r="E178" s="37"/>
      <c r="F178" s="31" t="s">
        <v>522</v>
      </c>
      <c r="G178" s="31" t="str">
        <f t="shared" si="2"/>
        <v/>
      </c>
      <c r="H178" s="35"/>
      <c r="I178" s="31"/>
      <c r="J178" s="102">
        <v>0</v>
      </c>
    </row>
    <row r="179" spans="1:10" ht="15.75" hidden="1" thickBot="1" x14ac:dyDescent="0.3">
      <c r="A179" s="218" t="s">
        <v>70</v>
      </c>
      <c r="B179" s="221" t="e">
        <f>INDEX(#REF!,MATCH(Composições!A179,#REF!,0),2)</f>
        <v>#REF!</v>
      </c>
      <c r="C179" s="41"/>
      <c r="D179" s="26" t="s">
        <v>95</v>
      </c>
      <c r="E179" s="27"/>
      <c r="F179" s="42" t="s">
        <v>522</v>
      </c>
      <c r="G179" s="28" t="str">
        <f t="shared" si="2"/>
        <v/>
      </c>
      <c r="H179" s="29"/>
      <c r="I179" s="30"/>
      <c r="J179" s="102">
        <v>0</v>
      </c>
    </row>
    <row r="180" spans="1:10" ht="15.75" hidden="1" thickBot="1" x14ac:dyDescent="0.3">
      <c r="A180" s="219"/>
      <c r="B180" s="237"/>
      <c r="C180" s="32"/>
      <c r="D180" s="32"/>
      <c r="E180" s="33"/>
      <c r="F180" s="43" t="s">
        <v>522</v>
      </c>
      <c r="G180" s="31" t="str">
        <f t="shared" si="2"/>
        <v/>
      </c>
      <c r="H180" s="35"/>
      <c r="I180" s="31"/>
      <c r="J180" s="102">
        <v>0</v>
      </c>
    </row>
    <row r="181" spans="1:10" ht="15.75" hidden="1" thickBot="1" x14ac:dyDescent="0.3">
      <c r="A181" s="219"/>
      <c r="B181" s="237"/>
      <c r="C181" s="36" t="s">
        <v>23</v>
      </c>
      <c r="D181" s="36" t="s">
        <v>12</v>
      </c>
      <c r="E181" s="37">
        <v>0.4</v>
      </c>
      <c r="F181" s="31">
        <v>16.1785</v>
      </c>
      <c r="G181" s="34">
        <f t="shared" si="2"/>
        <v>6.4714</v>
      </c>
      <c r="H181" s="39">
        <f>SUM(G181:G181)</f>
        <v>6.4714</v>
      </c>
      <c r="I181" s="40"/>
      <c r="J181" s="102">
        <v>0</v>
      </c>
    </row>
    <row r="182" spans="1:10" ht="15.75" hidden="1" thickBot="1" x14ac:dyDescent="0.3">
      <c r="A182" s="220"/>
      <c r="B182" s="223"/>
      <c r="C182" s="36"/>
      <c r="D182" s="36"/>
      <c r="E182" s="37"/>
      <c r="F182" s="31" t="s">
        <v>522</v>
      </c>
      <c r="G182" s="31" t="str">
        <f t="shared" si="2"/>
        <v/>
      </c>
      <c r="H182" s="35"/>
      <c r="I182" s="31"/>
      <c r="J182" s="102">
        <v>0</v>
      </c>
    </row>
    <row r="183" spans="1:10" ht="15.75" hidden="1" thickBot="1" x14ac:dyDescent="0.3">
      <c r="A183" s="218" t="s">
        <v>71</v>
      </c>
      <c r="B183" s="221" t="e">
        <f>INDEX(#REF!,MATCH(Composições!A183,#REF!,0),2)</f>
        <v>#REF!</v>
      </c>
      <c r="C183" s="41"/>
      <c r="D183" s="26" t="s">
        <v>95</v>
      </c>
      <c r="E183" s="27"/>
      <c r="F183" s="42" t="s">
        <v>522</v>
      </c>
      <c r="G183" s="28" t="str">
        <f t="shared" si="2"/>
        <v/>
      </c>
      <c r="H183" s="29"/>
      <c r="I183" s="30"/>
      <c r="J183" s="102">
        <v>0</v>
      </c>
    </row>
    <row r="184" spans="1:10" ht="15.75" hidden="1" thickBot="1" x14ac:dyDescent="0.3">
      <c r="A184" s="219"/>
      <c r="B184" s="237"/>
      <c r="C184" s="32"/>
      <c r="D184" s="32"/>
      <c r="E184" s="33"/>
      <c r="F184" s="43" t="s">
        <v>522</v>
      </c>
      <c r="G184" s="31" t="str">
        <f t="shared" si="2"/>
        <v/>
      </c>
      <c r="H184" s="35"/>
      <c r="I184" s="31"/>
      <c r="J184" s="102">
        <v>0</v>
      </c>
    </row>
    <row r="185" spans="1:10" ht="15.75" hidden="1" thickBot="1" x14ac:dyDescent="0.3">
      <c r="A185" s="219"/>
      <c r="B185" s="237"/>
      <c r="C185" s="36" t="s">
        <v>27</v>
      </c>
      <c r="D185" s="36" t="s">
        <v>12</v>
      </c>
      <c r="E185" s="37">
        <f>0.0258*3</f>
        <v>7.7399999999999997E-2</v>
      </c>
      <c r="F185" s="31">
        <v>16.4255</v>
      </c>
      <c r="G185" s="34">
        <f t="shared" si="2"/>
        <v>1.2713337</v>
      </c>
      <c r="H185" s="39">
        <f>SUM(G185:G186)</f>
        <v>3.73208355</v>
      </c>
      <c r="I185" s="40"/>
      <c r="J185" s="102">
        <v>0</v>
      </c>
    </row>
    <row r="186" spans="1:10" ht="15.75" hidden="1" thickBot="1" x14ac:dyDescent="0.3">
      <c r="A186" s="219"/>
      <c r="B186" s="237"/>
      <c r="C186" s="36" t="s">
        <v>23</v>
      </c>
      <c r="D186" s="36" t="s">
        <v>12</v>
      </c>
      <c r="E186" s="37">
        <f>0.0507*3</f>
        <v>0.15210000000000001</v>
      </c>
      <c r="F186" s="31">
        <v>16.1785</v>
      </c>
      <c r="G186" s="34">
        <f t="shared" si="2"/>
        <v>2.46074985</v>
      </c>
      <c r="H186" s="35"/>
      <c r="I186" s="31"/>
      <c r="J186" s="102">
        <v>0</v>
      </c>
    </row>
    <row r="187" spans="1:10" ht="15.75" hidden="1" thickBot="1" x14ac:dyDescent="0.3">
      <c r="A187" s="219"/>
      <c r="B187" s="237"/>
      <c r="C187" s="36"/>
      <c r="D187" s="36"/>
      <c r="E187" s="37"/>
      <c r="F187" s="31" t="s">
        <v>522</v>
      </c>
      <c r="G187" s="34" t="str">
        <f t="shared" si="2"/>
        <v/>
      </c>
      <c r="H187" s="35"/>
      <c r="I187" s="31"/>
      <c r="J187" s="102">
        <v>0</v>
      </c>
    </row>
    <row r="188" spans="1:10" ht="15.75" hidden="1" thickBot="1" x14ac:dyDescent="0.3">
      <c r="A188" s="219"/>
      <c r="B188" s="237"/>
      <c r="C188" s="48" t="s">
        <v>72</v>
      </c>
      <c r="D188" s="36"/>
      <c r="E188" s="37"/>
      <c r="F188" s="31" t="s">
        <v>522</v>
      </c>
      <c r="G188" s="34" t="str">
        <f t="shared" si="2"/>
        <v/>
      </c>
      <c r="H188" s="35"/>
      <c r="I188" s="31"/>
      <c r="J188" s="102">
        <v>0</v>
      </c>
    </row>
    <row r="189" spans="1:10" ht="15.75" hidden="1" thickBot="1" x14ac:dyDescent="0.3">
      <c r="A189" s="220"/>
      <c r="B189" s="223"/>
      <c r="C189" s="36"/>
      <c r="D189" s="36"/>
      <c r="E189" s="37"/>
      <c r="F189" s="31" t="s">
        <v>522</v>
      </c>
      <c r="G189" s="31" t="str">
        <f t="shared" si="2"/>
        <v/>
      </c>
      <c r="H189" s="35"/>
      <c r="I189" s="31"/>
      <c r="J189" s="102">
        <v>0</v>
      </c>
    </row>
    <row r="190" spans="1:10" ht="15.75" hidden="1" thickBot="1" x14ac:dyDescent="0.3">
      <c r="A190" s="218" t="s">
        <v>73</v>
      </c>
      <c r="B190" s="221" t="e">
        <f>INDEX(#REF!,MATCH(Composições!A190,#REF!,0),2)</f>
        <v>#REF!</v>
      </c>
      <c r="C190" s="41"/>
      <c r="D190" s="26" t="s">
        <v>20</v>
      </c>
      <c r="E190" s="27"/>
      <c r="F190" s="42" t="s">
        <v>522</v>
      </c>
      <c r="G190" s="28" t="str">
        <f t="shared" si="2"/>
        <v/>
      </c>
      <c r="H190" s="29"/>
      <c r="I190" s="30"/>
      <c r="J190" s="102">
        <v>0</v>
      </c>
    </row>
    <row r="191" spans="1:10" ht="15.75" hidden="1" thickBot="1" x14ac:dyDescent="0.3">
      <c r="A191" s="219"/>
      <c r="B191" s="237"/>
      <c r="C191" s="32"/>
      <c r="D191" s="32"/>
      <c r="E191" s="33"/>
      <c r="F191" s="43" t="s">
        <v>522</v>
      </c>
      <c r="G191" s="31" t="str">
        <f t="shared" si="2"/>
        <v/>
      </c>
      <c r="H191" s="35"/>
      <c r="I191" s="31"/>
      <c r="J191" s="102">
        <v>0</v>
      </c>
    </row>
    <row r="192" spans="1:10" ht="15.75" hidden="1" thickBot="1" x14ac:dyDescent="0.3">
      <c r="A192" s="219"/>
      <c r="B192" s="237"/>
      <c r="C192" s="36" t="s">
        <v>74</v>
      </c>
      <c r="D192" s="36" t="s">
        <v>12</v>
      </c>
      <c r="E192" s="37">
        <v>0.5</v>
      </c>
      <c r="F192" s="31">
        <v>17.024000000000001</v>
      </c>
      <c r="G192" s="34">
        <f t="shared" si="2"/>
        <v>8.5120000000000005</v>
      </c>
      <c r="H192" s="39">
        <f>SUM(G192:G195)</f>
        <v>57.014249999999997</v>
      </c>
      <c r="I192" s="40"/>
      <c r="J192" s="102">
        <v>0</v>
      </c>
    </row>
    <row r="193" spans="1:10" ht="15.75" hidden="1" thickBot="1" x14ac:dyDescent="0.3">
      <c r="A193" s="219"/>
      <c r="B193" s="237"/>
      <c r="C193" s="36" t="s">
        <v>30</v>
      </c>
      <c r="D193" s="36" t="s">
        <v>12</v>
      </c>
      <c r="E193" s="37">
        <v>0.5</v>
      </c>
      <c r="F193" s="31">
        <v>21.688499999999998</v>
      </c>
      <c r="G193" s="34">
        <f t="shared" si="2"/>
        <v>10.844249999999999</v>
      </c>
      <c r="H193" s="35"/>
      <c r="I193" s="31"/>
      <c r="J193" s="102">
        <v>0</v>
      </c>
    </row>
    <row r="194" spans="1:10" ht="15.75" hidden="1" thickBot="1" x14ac:dyDescent="0.3">
      <c r="A194" s="219"/>
      <c r="B194" s="237"/>
      <c r="C194" s="36" t="s">
        <v>22</v>
      </c>
      <c r="D194" s="36" t="s">
        <v>12</v>
      </c>
      <c r="E194" s="37">
        <v>1</v>
      </c>
      <c r="F194" s="31">
        <v>21.479499999999998</v>
      </c>
      <c r="G194" s="34">
        <f t="shared" si="2"/>
        <v>21.479499999999998</v>
      </c>
      <c r="H194" s="35"/>
      <c r="I194" s="31"/>
      <c r="J194" s="102">
        <v>0</v>
      </c>
    </row>
    <row r="195" spans="1:10" ht="15.75" hidden="1" thickBot="1" x14ac:dyDescent="0.3">
      <c r="A195" s="219"/>
      <c r="B195" s="237"/>
      <c r="C195" s="36" t="s">
        <v>23</v>
      </c>
      <c r="D195" s="36" t="s">
        <v>12</v>
      </c>
      <c r="E195" s="37">
        <v>1</v>
      </c>
      <c r="F195" s="31">
        <v>16.1785</v>
      </c>
      <c r="G195" s="34">
        <f t="shared" si="2"/>
        <v>16.1785</v>
      </c>
      <c r="H195" s="35"/>
      <c r="I195" s="31"/>
      <c r="J195" s="102">
        <v>0</v>
      </c>
    </row>
    <row r="196" spans="1:10" ht="15.75" hidden="1" thickBot="1" x14ac:dyDescent="0.3">
      <c r="A196" s="220"/>
      <c r="B196" s="223"/>
      <c r="C196" s="36"/>
      <c r="D196" s="36"/>
      <c r="E196" s="37"/>
      <c r="F196" s="31" t="s">
        <v>522</v>
      </c>
      <c r="G196" s="31" t="str">
        <f t="shared" si="2"/>
        <v/>
      </c>
      <c r="H196" s="35"/>
      <c r="I196" s="31"/>
      <c r="J196" s="102">
        <v>0</v>
      </c>
    </row>
    <row r="197" spans="1:10" ht="15.75" hidden="1" thickBot="1" x14ac:dyDescent="0.3">
      <c r="A197" s="218" t="s">
        <v>75</v>
      </c>
      <c r="B197" s="221" t="e">
        <f>INDEX(#REF!,MATCH(Composições!A197,#REF!,0),2)</f>
        <v>#REF!</v>
      </c>
      <c r="C197" s="41"/>
      <c r="D197" s="26" t="s">
        <v>95</v>
      </c>
      <c r="E197" s="27"/>
      <c r="F197" s="42" t="s">
        <v>522</v>
      </c>
      <c r="G197" s="28" t="str">
        <f t="shared" si="2"/>
        <v/>
      </c>
      <c r="H197" s="29"/>
      <c r="I197" s="30"/>
      <c r="J197" s="102">
        <v>0</v>
      </c>
    </row>
    <row r="198" spans="1:10" ht="15.75" hidden="1" thickBot="1" x14ac:dyDescent="0.3">
      <c r="A198" s="219"/>
      <c r="B198" s="237"/>
      <c r="C198" s="32"/>
      <c r="D198" s="32"/>
      <c r="E198" s="33"/>
      <c r="F198" s="43" t="s">
        <v>522</v>
      </c>
      <c r="G198" s="31" t="str">
        <f t="shared" ref="G198:G261" si="3">IF(ISNUMBER(F198),E198*F198,"")</f>
        <v/>
      </c>
      <c r="H198" s="35"/>
      <c r="I198" s="31"/>
      <c r="J198" s="102">
        <v>0</v>
      </c>
    </row>
    <row r="199" spans="1:10" ht="15.75" hidden="1" thickBot="1" x14ac:dyDescent="0.3">
      <c r="A199" s="219"/>
      <c r="B199" s="237"/>
      <c r="C199" s="36" t="s">
        <v>23</v>
      </c>
      <c r="D199" s="36" t="s">
        <v>12</v>
      </c>
      <c r="E199" s="37">
        <v>0.2</v>
      </c>
      <c r="F199" s="31">
        <v>16.1785</v>
      </c>
      <c r="G199" s="34">
        <f t="shared" si="3"/>
        <v>3.2357</v>
      </c>
      <c r="H199" s="39">
        <f>SUM(G199:G199)</f>
        <v>3.2357</v>
      </c>
      <c r="I199" s="40"/>
      <c r="J199" s="102">
        <v>0</v>
      </c>
    </row>
    <row r="200" spans="1:10" ht="15.75" hidden="1" thickBot="1" x14ac:dyDescent="0.3">
      <c r="A200" s="220"/>
      <c r="B200" s="223"/>
      <c r="C200" s="36"/>
      <c r="D200" s="36"/>
      <c r="E200" s="37"/>
      <c r="F200" s="31" t="s">
        <v>522</v>
      </c>
      <c r="G200" s="31" t="str">
        <f t="shared" si="3"/>
        <v/>
      </c>
      <c r="H200" s="35"/>
      <c r="I200" s="31"/>
      <c r="J200" s="102">
        <v>0</v>
      </c>
    </row>
    <row r="201" spans="1:10" ht="15.75" hidden="1" thickBot="1" x14ac:dyDescent="0.3">
      <c r="A201" s="218" t="s">
        <v>76</v>
      </c>
      <c r="B201" s="221" t="e">
        <f>INDEX(#REF!,MATCH(Composições!A201,#REF!,0),2)</f>
        <v>#REF!</v>
      </c>
      <c r="C201" s="41"/>
      <c r="D201" s="26" t="s">
        <v>93</v>
      </c>
      <c r="E201" s="27"/>
      <c r="F201" s="42" t="s">
        <v>522</v>
      </c>
      <c r="G201" s="28" t="str">
        <f t="shared" si="3"/>
        <v/>
      </c>
      <c r="H201" s="29"/>
      <c r="I201" s="30"/>
      <c r="J201" s="102">
        <v>0</v>
      </c>
    </row>
    <row r="202" spans="1:10" ht="15.75" hidden="1" thickBot="1" x14ac:dyDescent="0.3">
      <c r="A202" s="219"/>
      <c r="B202" s="237"/>
      <c r="C202" s="32"/>
      <c r="D202" s="32"/>
      <c r="E202" s="33"/>
      <c r="F202" s="43" t="s">
        <v>522</v>
      </c>
      <c r="G202" s="31" t="str">
        <f t="shared" si="3"/>
        <v/>
      </c>
      <c r="H202" s="35"/>
      <c r="I202" s="31"/>
      <c r="J202" s="102">
        <v>0</v>
      </c>
    </row>
    <row r="203" spans="1:10" ht="15.75" hidden="1" thickBot="1" x14ac:dyDescent="0.3">
      <c r="A203" s="219"/>
      <c r="B203" s="237"/>
      <c r="C203" s="36" t="s">
        <v>23</v>
      </c>
      <c r="D203" s="36" t="s">
        <v>12</v>
      </c>
      <c r="E203" s="37">
        <f>0.437*0.2</f>
        <v>8.7400000000000005E-2</v>
      </c>
      <c r="F203" s="31">
        <v>16.1785</v>
      </c>
      <c r="G203" s="34">
        <f t="shared" si="3"/>
        <v>1.4140009</v>
      </c>
      <c r="H203" s="39">
        <f>SUM(G203:G203)</f>
        <v>1.4140009</v>
      </c>
      <c r="I203" s="40"/>
      <c r="J203" s="102">
        <v>0</v>
      </c>
    </row>
    <row r="204" spans="1:10" ht="15.75" hidden="1" thickBot="1" x14ac:dyDescent="0.3">
      <c r="A204" s="219"/>
      <c r="B204" s="237"/>
      <c r="C204" s="36"/>
      <c r="D204" s="36"/>
      <c r="E204" s="37"/>
      <c r="F204" s="31" t="s">
        <v>522</v>
      </c>
      <c r="G204" s="34" t="str">
        <f t="shared" si="3"/>
        <v/>
      </c>
      <c r="H204" s="35"/>
      <c r="I204" s="31"/>
      <c r="J204" s="102">
        <v>0</v>
      </c>
    </row>
    <row r="205" spans="1:10" ht="15.75" hidden="1" thickBot="1" x14ac:dyDescent="0.3">
      <c r="A205" s="218" t="s">
        <v>77</v>
      </c>
      <c r="B205" s="221" t="e">
        <f>INDEX(#REF!,MATCH(Composições!A205,#REF!,0),2)</f>
        <v>#REF!</v>
      </c>
      <c r="C205" s="41"/>
      <c r="D205" s="26" t="s">
        <v>95</v>
      </c>
      <c r="E205" s="27"/>
      <c r="F205" s="42" t="s">
        <v>522</v>
      </c>
      <c r="G205" s="28" t="str">
        <f t="shared" si="3"/>
        <v/>
      </c>
      <c r="H205" s="29"/>
      <c r="I205" s="30"/>
      <c r="J205" s="102">
        <v>0</v>
      </c>
    </row>
    <row r="206" spans="1:10" ht="15.75" hidden="1" thickBot="1" x14ac:dyDescent="0.3">
      <c r="A206" s="219"/>
      <c r="B206" s="237"/>
      <c r="C206" s="32"/>
      <c r="D206" s="32"/>
      <c r="E206" s="33"/>
      <c r="F206" s="43" t="s">
        <v>522</v>
      </c>
      <c r="G206" s="31" t="str">
        <f t="shared" si="3"/>
        <v/>
      </c>
      <c r="H206" s="35"/>
      <c r="I206" s="31"/>
      <c r="J206" s="102">
        <v>0</v>
      </c>
    </row>
    <row r="207" spans="1:10" ht="15.75" hidden="1" thickBot="1" x14ac:dyDescent="0.3">
      <c r="A207" s="219"/>
      <c r="B207" s="237"/>
      <c r="C207" s="36" t="s">
        <v>78</v>
      </c>
      <c r="D207" s="36" t="s">
        <v>12</v>
      </c>
      <c r="E207" s="37">
        <v>0.25</v>
      </c>
      <c r="F207" s="31">
        <v>21.2515</v>
      </c>
      <c r="G207" s="31">
        <f t="shared" si="3"/>
        <v>5.312875</v>
      </c>
      <c r="H207" s="39">
        <f>SUM(G207:G208)</f>
        <v>5.7173375000000002</v>
      </c>
      <c r="I207" s="40"/>
      <c r="J207" s="102">
        <v>0</v>
      </c>
    </row>
    <row r="208" spans="1:10" ht="15.75" hidden="1" thickBot="1" x14ac:dyDescent="0.3">
      <c r="A208" s="219"/>
      <c r="B208" s="237"/>
      <c r="C208" s="36" t="s">
        <v>23</v>
      </c>
      <c r="D208" s="47" t="s">
        <v>12</v>
      </c>
      <c r="E208" s="37">
        <v>2.5000000000000001E-2</v>
      </c>
      <c r="F208" s="31">
        <v>16.1785</v>
      </c>
      <c r="G208" s="34">
        <f t="shared" si="3"/>
        <v>0.4044625</v>
      </c>
      <c r="H208" s="35"/>
      <c r="I208" s="31"/>
      <c r="J208" s="102">
        <v>0</v>
      </c>
    </row>
    <row r="209" spans="1:10" ht="15.75" hidden="1" thickBot="1" x14ac:dyDescent="0.3">
      <c r="A209" s="220"/>
      <c r="B209" s="223"/>
      <c r="C209" s="36"/>
      <c r="D209" s="36"/>
      <c r="E209" s="37"/>
      <c r="F209" s="31" t="s">
        <v>522</v>
      </c>
      <c r="G209" s="31" t="str">
        <f t="shared" si="3"/>
        <v/>
      </c>
      <c r="H209" s="35"/>
      <c r="I209" s="31"/>
      <c r="J209" s="102">
        <v>0</v>
      </c>
    </row>
    <row r="210" spans="1:10" ht="15.75" hidden="1" thickBot="1" x14ac:dyDescent="0.3">
      <c r="A210" s="218" t="s">
        <v>79</v>
      </c>
      <c r="B210" s="221" t="e">
        <f>INDEX(#REF!,MATCH(Composições!A210,#REF!,0),2)</f>
        <v>#REF!</v>
      </c>
      <c r="C210" s="41"/>
      <c r="D210" s="26" t="s">
        <v>93</v>
      </c>
      <c r="E210" s="27"/>
      <c r="F210" s="42" t="s">
        <v>522</v>
      </c>
      <c r="G210" s="28" t="str">
        <f t="shared" si="3"/>
        <v/>
      </c>
      <c r="H210" s="29"/>
      <c r="I210" s="30"/>
      <c r="J210" s="102">
        <v>0</v>
      </c>
    </row>
    <row r="211" spans="1:10" ht="15.75" hidden="1" thickBot="1" x14ac:dyDescent="0.3">
      <c r="A211" s="219"/>
      <c r="B211" s="237"/>
      <c r="C211" s="32"/>
      <c r="D211" s="32"/>
      <c r="E211" s="33"/>
      <c r="F211" s="43" t="s">
        <v>522</v>
      </c>
      <c r="G211" s="31" t="str">
        <f t="shared" si="3"/>
        <v/>
      </c>
      <c r="H211" s="35"/>
      <c r="I211" s="31"/>
      <c r="J211" s="102">
        <v>0</v>
      </c>
    </row>
    <row r="212" spans="1:10" ht="15.75" hidden="1" thickBot="1" x14ac:dyDescent="0.3">
      <c r="A212" s="219"/>
      <c r="B212" s="237"/>
      <c r="C212" s="36" t="s">
        <v>23</v>
      </c>
      <c r="D212" s="36" t="s">
        <v>12</v>
      </c>
      <c r="E212" s="37">
        <v>0.55000000000000004</v>
      </c>
      <c r="F212" s="31">
        <v>16.1785</v>
      </c>
      <c r="G212" s="34">
        <f t="shared" si="3"/>
        <v>8.8981750000000002</v>
      </c>
      <c r="H212" s="39">
        <f>SUM(G212:G212)</f>
        <v>8.8981750000000002</v>
      </c>
      <c r="I212" s="40"/>
      <c r="J212" s="102">
        <v>0</v>
      </c>
    </row>
    <row r="213" spans="1:10" ht="15.75" hidden="1" thickBot="1" x14ac:dyDescent="0.3">
      <c r="A213" s="220"/>
      <c r="B213" s="223"/>
      <c r="C213" s="36"/>
      <c r="D213" s="36"/>
      <c r="E213" s="37"/>
      <c r="F213" s="31" t="s">
        <v>522</v>
      </c>
      <c r="G213" s="31" t="str">
        <f t="shared" si="3"/>
        <v/>
      </c>
      <c r="H213" s="35"/>
      <c r="I213" s="31"/>
      <c r="J213" s="102">
        <v>0</v>
      </c>
    </row>
    <row r="214" spans="1:10" ht="15.75" hidden="1" thickBot="1" x14ac:dyDescent="0.3">
      <c r="A214" s="218" t="s">
        <v>80</v>
      </c>
      <c r="B214" s="221" t="e">
        <f>INDEX(#REF!,MATCH(Composições!A214,#REF!,0),2)</f>
        <v>#REF!</v>
      </c>
      <c r="C214" s="41"/>
      <c r="D214" s="26" t="s">
        <v>20</v>
      </c>
      <c r="E214" s="27"/>
      <c r="F214" s="42" t="s">
        <v>522</v>
      </c>
      <c r="G214" s="28" t="str">
        <f t="shared" si="3"/>
        <v/>
      </c>
      <c r="H214" s="29"/>
      <c r="I214" s="30"/>
      <c r="J214" s="102">
        <v>0</v>
      </c>
    </row>
    <row r="215" spans="1:10" ht="15.75" hidden="1" thickBot="1" x14ac:dyDescent="0.3">
      <c r="A215" s="219"/>
      <c r="B215" s="237"/>
      <c r="C215" s="32"/>
      <c r="D215" s="32"/>
      <c r="E215" s="33"/>
      <c r="F215" s="43" t="s">
        <v>522</v>
      </c>
      <c r="G215" s="31" t="str">
        <f t="shared" si="3"/>
        <v/>
      </c>
      <c r="H215" s="35"/>
      <c r="I215" s="31"/>
      <c r="J215" s="102">
        <v>0</v>
      </c>
    </row>
    <row r="216" spans="1:10" ht="15.75" hidden="1" thickBot="1" x14ac:dyDescent="0.3">
      <c r="A216" s="219"/>
      <c r="B216" s="237"/>
      <c r="C216" s="36" t="s">
        <v>81</v>
      </c>
      <c r="D216" s="47" t="s">
        <v>12</v>
      </c>
      <c r="E216" s="37">
        <v>1</v>
      </c>
      <c r="F216" s="31">
        <v>22.733499999999999</v>
      </c>
      <c r="G216" s="31">
        <f t="shared" si="3"/>
        <v>22.733499999999999</v>
      </c>
      <c r="H216" s="39">
        <f>SUM(G216:G217)</f>
        <v>41.191999999999993</v>
      </c>
      <c r="I216" s="40"/>
      <c r="J216" s="102">
        <v>0</v>
      </c>
    </row>
    <row r="217" spans="1:10" ht="15.75" hidden="1" thickBot="1" x14ac:dyDescent="0.3">
      <c r="A217" s="219"/>
      <c r="B217" s="237"/>
      <c r="C217" s="36" t="s">
        <v>52</v>
      </c>
      <c r="D217" s="47" t="s">
        <v>12</v>
      </c>
      <c r="E217" s="37">
        <v>1</v>
      </c>
      <c r="F217" s="31">
        <v>18.458499999999997</v>
      </c>
      <c r="G217" s="34">
        <f t="shared" si="3"/>
        <v>18.458499999999997</v>
      </c>
      <c r="H217" s="35"/>
      <c r="I217" s="31"/>
      <c r="J217" s="102">
        <v>0</v>
      </c>
    </row>
    <row r="218" spans="1:10" ht="15.75" hidden="1" thickBot="1" x14ac:dyDescent="0.3">
      <c r="A218" s="220"/>
      <c r="B218" s="223"/>
      <c r="C218" s="36"/>
      <c r="D218" s="36"/>
      <c r="E218" s="37"/>
      <c r="F218" s="31" t="s">
        <v>522</v>
      </c>
      <c r="G218" s="31" t="str">
        <f t="shared" si="3"/>
        <v/>
      </c>
      <c r="H218" s="35"/>
      <c r="I218" s="31"/>
      <c r="J218" s="102">
        <v>0</v>
      </c>
    </row>
    <row r="219" spans="1:10" ht="15.75" hidden="1" thickBot="1" x14ac:dyDescent="0.3">
      <c r="A219" s="218" t="s">
        <v>82</v>
      </c>
      <c r="B219" s="221" t="e">
        <f>INDEX(#REF!,MATCH(Composições!A219,#REF!,0),2)</f>
        <v>#REF!</v>
      </c>
      <c r="C219" s="41"/>
      <c r="D219" s="26" t="s">
        <v>95</v>
      </c>
      <c r="E219" s="27"/>
      <c r="F219" s="42" t="s">
        <v>522</v>
      </c>
      <c r="G219" s="28" t="str">
        <f t="shared" si="3"/>
        <v/>
      </c>
      <c r="H219" s="29"/>
      <c r="I219" s="30"/>
      <c r="J219" s="102">
        <v>0</v>
      </c>
    </row>
    <row r="220" spans="1:10" ht="15.75" hidden="1" thickBot="1" x14ac:dyDescent="0.3">
      <c r="A220" s="219"/>
      <c r="B220" s="237"/>
      <c r="C220" s="32"/>
      <c r="D220" s="32"/>
      <c r="E220" s="33"/>
      <c r="F220" s="43" t="s">
        <v>522</v>
      </c>
      <c r="G220" s="31" t="str">
        <f t="shared" si="3"/>
        <v/>
      </c>
      <c r="H220" s="35"/>
      <c r="I220" s="31"/>
      <c r="J220" s="102">
        <v>0</v>
      </c>
    </row>
    <row r="221" spans="1:10" ht="15.75" hidden="1" thickBot="1" x14ac:dyDescent="0.3">
      <c r="A221" s="219"/>
      <c r="B221" s="237"/>
      <c r="C221" s="36" t="s">
        <v>23</v>
      </c>
      <c r="D221" s="36" t="s">
        <v>12</v>
      </c>
      <c r="E221" s="37">
        <v>0.39</v>
      </c>
      <c r="F221" s="31">
        <v>16.1785</v>
      </c>
      <c r="G221" s="34">
        <f t="shared" si="3"/>
        <v>6.309615</v>
      </c>
      <c r="H221" s="39">
        <f>SUM(G221:G222)</f>
        <v>14.2905175</v>
      </c>
      <c r="I221" s="40"/>
      <c r="J221" s="102">
        <v>0</v>
      </c>
    </row>
    <row r="222" spans="1:10" ht="15.75" hidden="1" thickBot="1" x14ac:dyDescent="0.3">
      <c r="A222" s="219"/>
      <c r="B222" s="237"/>
      <c r="C222" s="36" t="s">
        <v>68</v>
      </c>
      <c r="D222" s="36" t="s">
        <v>12</v>
      </c>
      <c r="E222" s="37">
        <v>0.40100000000000002</v>
      </c>
      <c r="F222" s="31">
        <v>19.9025</v>
      </c>
      <c r="G222" s="34">
        <f t="shared" si="3"/>
        <v>7.9809025</v>
      </c>
      <c r="H222" s="35"/>
      <c r="I222" s="31"/>
      <c r="J222" s="102">
        <v>0</v>
      </c>
    </row>
    <row r="223" spans="1:10" ht="15.75" hidden="1" thickBot="1" x14ac:dyDescent="0.3">
      <c r="A223" s="220"/>
      <c r="B223" s="223"/>
      <c r="C223" s="36"/>
      <c r="D223" s="36"/>
      <c r="E223" s="37"/>
      <c r="F223" s="31" t="s">
        <v>522</v>
      </c>
      <c r="G223" s="31" t="str">
        <f t="shared" si="3"/>
        <v/>
      </c>
      <c r="H223" s="35"/>
      <c r="I223" s="31"/>
      <c r="J223" s="102">
        <v>0</v>
      </c>
    </row>
    <row r="224" spans="1:10" ht="15.75" hidden="1" thickBot="1" x14ac:dyDescent="0.3">
      <c r="A224" s="239" t="s">
        <v>83</v>
      </c>
      <c r="B224" s="221" t="e">
        <f>INDEX(#REF!,MATCH(Composições!A224,#REF!,0),2)</f>
        <v>#REF!</v>
      </c>
      <c r="C224" s="41"/>
      <c r="D224" s="26" t="s">
        <v>109</v>
      </c>
      <c r="E224" s="27"/>
      <c r="F224" s="42" t="s">
        <v>522</v>
      </c>
      <c r="G224" s="28" t="str">
        <f t="shared" si="3"/>
        <v/>
      </c>
      <c r="H224" s="29"/>
      <c r="I224" s="30"/>
      <c r="J224" s="102">
        <v>0</v>
      </c>
    </row>
    <row r="225" spans="1:10" ht="15.75" hidden="1" thickBot="1" x14ac:dyDescent="0.3">
      <c r="A225" s="240"/>
      <c r="B225" s="237"/>
      <c r="C225" s="32"/>
      <c r="D225" s="32"/>
      <c r="E225" s="33"/>
      <c r="F225" s="43" t="s">
        <v>522</v>
      </c>
      <c r="G225" s="31" t="str">
        <f t="shared" si="3"/>
        <v/>
      </c>
      <c r="H225" s="35"/>
      <c r="I225" s="31"/>
      <c r="J225" s="102">
        <v>0</v>
      </c>
    </row>
    <row r="226" spans="1:10" ht="15.75" hidden="1" thickBot="1" x14ac:dyDescent="0.3">
      <c r="A226" s="240"/>
      <c r="B226" s="237"/>
      <c r="C226" s="36" t="s">
        <v>23</v>
      </c>
      <c r="D226" s="36" t="s">
        <v>12</v>
      </c>
      <c r="E226" s="37">
        <v>1</v>
      </c>
      <c r="F226" s="31">
        <v>16.1785</v>
      </c>
      <c r="G226" s="34">
        <f t="shared" si="3"/>
        <v>16.1785</v>
      </c>
      <c r="H226" s="39">
        <f>SUM(G226:G226)</f>
        <v>16.1785</v>
      </c>
      <c r="I226" s="40"/>
      <c r="J226" s="102">
        <v>0</v>
      </c>
    </row>
    <row r="227" spans="1:10" ht="15.75" hidden="1" thickBot="1" x14ac:dyDescent="0.3">
      <c r="A227" s="240"/>
      <c r="B227" s="237"/>
      <c r="C227" s="36"/>
      <c r="D227" s="36"/>
      <c r="E227" s="37"/>
      <c r="F227" s="31" t="s">
        <v>522</v>
      </c>
      <c r="G227" s="31" t="str">
        <f t="shared" si="3"/>
        <v/>
      </c>
      <c r="H227" s="35"/>
      <c r="I227" s="31"/>
      <c r="J227" s="102">
        <v>0</v>
      </c>
    </row>
    <row r="228" spans="1:10" ht="15.75" hidden="1" thickBot="1" x14ac:dyDescent="0.3">
      <c r="A228" s="239" t="s">
        <v>84</v>
      </c>
      <c r="B228" s="221" t="e">
        <f>INDEX(#REF!,MATCH(Composições!A228,#REF!,0),2)</f>
        <v>#REF!</v>
      </c>
      <c r="C228" s="41"/>
      <c r="D228" s="26" t="s">
        <v>1426</v>
      </c>
      <c r="E228" s="27"/>
      <c r="F228" s="42" t="s">
        <v>522</v>
      </c>
      <c r="G228" s="28" t="str">
        <f t="shared" si="3"/>
        <v/>
      </c>
      <c r="H228" s="29"/>
      <c r="I228" s="30"/>
      <c r="J228" s="102">
        <v>0</v>
      </c>
    </row>
    <row r="229" spans="1:10" ht="15.75" hidden="1" thickBot="1" x14ac:dyDescent="0.3">
      <c r="A229" s="240"/>
      <c r="B229" s="237"/>
      <c r="C229" s="32"/>
      <c r="D229" s="32"/>
      <c r="E229" s="33"/>
      <c r="F229" s="43" t="s">
        <v>522</v>
      </c>
      <c r="G229" s="31" t="str">
        <f t="shared" si="3"/>
        <v/>
      </c>
      <c r="H229" s="35"/>
      <c r="I229" s="31"/>
      <c r="J229" s="102">
        <v>0</v>
      </c>
    </row>
    <row r="230" spans="1:10" ht="39" hidden="1" thickBot="1" x14ac:dyDescent="0.3">
      <c r="A230" s="240"/>
      <c r="B230" s="237"/>
      <c r="C230" s="36" t="s">
        <v>85</v>
      </c>
      <c r="D230" s="36" t="s">
        <v>86</v>
      </c>
      <c r="E230" s="37">
        <v>1</v>
      </c>
      <c r="F230" s="31">
        <v>5.6905000000000001</v>
      </c>
      <c r="G230" s="34">
        <f t="shared" si="3"/>
        <v>5.6905000000000001</v>
      </c>
      <c r="H230" s="39">
        <f>SUM(G230:G230)</f>
        <v>5.6905000000000001</v>
      </c>
      <c r="I230" s="40"/>
      <c r="J230" s="102">
        <v>0</v>
      </c>
    </row>
    <row r="231" spans="1:10" ht="15.75" hidden="1" thickBot="1" x14ac:dyDescent="0.3">
      <c r="A231" s="240"/>
      <c r="B231" s="237"/>
      <c r="C231" s="36"/>
      <c r="D231" s="36"/>
      <c r="E231" s="37"/>
      <c r="F231" s="31" t="s">
        <v>522</v>
      </c>
      <c r="G231" s="31" t="str">
        <f t="shared" si="3"/>
        <v/>
      </c>
      <c r="H231" s="35"/>
      <c r="I231" s="31"/>
      <c r="J231" s="102">
        <v>0</v>
      </c>
    </row>
    <row r="232" spans="1:10" ht="15.75" hidden="1" thickBot="1" x14ac:dyDescent="0.3">
      <c r="A232" s="218" t="s">
        <v>87</v>
      </c>
      <c r="B232" s="221" t="e">
        <f>INDEX(#REF!,MATCH(Composições!A232,#REF!,0),2)</f>
        <v>#REF!</v>
      </c>
      <c r="C232" s="41"/>
      <c r="D232" s="26" t="s">
        <v>1428</v>
      </c>
      <c r="E232" s="27"/>
      <c r="F232" s="42" t="s">
        <v>522</v>
      </c>
      <c r="G232" s="28" t="str">
        <f t="shared" si="3"/>
        <v/>
      </c>
      <c r="H232" s="29"/>
      <c r="I232" s="30"/>
      <c r="J232" s="102">
        <v>0</v>
      </c>
    </row>
    <row r="233" spans="1:10" ht="15.75" hidden="1" thickBot="1" x14ac:dyDescent="0.3">
      <c r="A233" s="219"/>
      <c r="B233" s="237"/>
      <c r="C233" s="32"/>
      <c r="D233" s="32"/>
      <c r="E233" s="33"/>
      <c r="F233" s="43" t="s">
        <v>522</v>
      </c>
      <c r="G233" s="31" t="str">
        <f t="shared" si="3"/>
        <v/>
      </c>
      <c r="H233" s="35"/>
      <c r="I233" s="31"/>
      <c r="J233" s="102">
        <v>0</v>
      </c>
    </row>
    <row r="234" spans="1:10" ht="39" hidden="1" thickBot="1" x14ac:dyDescent="0.3">
      <c r="A234" s="219"/>
      <c r="B234" s="237"/>
      <c r="C234" s="36" t="s">
        <v>2026</v>
      </c>
      <c r="D234" s="47" t="s">
        <v>88</v>
      </c>
      <c r="E234" s="37">
        <v>1</v>
      </c>
      <c r="F234" s="31">
        <v>17.099999999999998</v>
      </c>
      <c r="G234" s="31">
        <f t="shared" si="3"/>
        <v>17.099999999999998</v>
      </c>
      <c r="H234" s="39">
        <f>SUM(G234:G234)</f>
        <v>17.099999999999998</v>
      </c>
      <c r="I234" s="40"/>
      <c r="J234" s="102">
        <v>0</v>
      </c>
    </row>
    <row r="235" spans="1:10" ht="15.75" hidden="1" thickBot="1" x14ac:dyDescent="0.3">
      <c r="A235" s="220"/>
      <c r="B235" s="223"/>
      <c r="C235" s="36"/>
      <c r="D235" s="36"/>
      <c r="E235" s="37"/>
      <c r="F235" s="31" t="s">
        <v>522</v>
      </c>
      <c r="G235" s="31" t="str">
        <f t="shared" si="3"/>
        <v/>
      </c>
      <c r="H235" s="35"/>
      <c r="I235" s="31"/>
      <c r="J235" s="102">
        <v>0</v>
      </c>
    </row>
    <row r="236" spans="1:10" ht="15.75" hidden="1" thickBot="1" x14ac:dyDescent="0.3">
      <c r="A236" s="239" t="s">
        <v>89</v>
      </c>
      <c r="B236" s="221" t="e">
        <f>INDEX(#REF!,MATCH(Composições!A236,#REF!,0),2)</f>
        <v>#REF!</v>
      </c>
      <c r="C236" s="41"/>
      <c r="D236" s="26" t="s">
        <v>93</v>
      </c>
      <c r="E236" s="27"/>
      <c r="F236" s="42" t="s">
        <v>522</v>
      </c>
      <c r="G236" s="28" t="str">
        <f t="shared" si="3"/>
        <v/>
      </c>
      <c r="H236" s="29"/>
      <c r="I236" s="30"/>
      <c r="J236" s="102">
        <v>0</v>
      </c>
    </row>
    <row r="237" spans="1:10" ht="15.75" hidden="1" thickBot="1" x14ac:dyDescent="0.3">
      <c r="A237" s="240"/>
      <c r="B237" s="237"/>
      <c r="C237" s="32"/>
      <c r="D237" s="32"/>
      <c r="E237" s="33"/>
      <c r="F237" s="43" t="s">
        <v>522</v>
      </c>
      <c r="G237" s="31" t="str">
        <f t="shared" si="3"/>
        <v/>
      </c>
      <c r="H237" s="35"/>
      <c r="I237" s="31"/>
      <c r="J237" s="102">
        <v>0</v>
      </c>
    </row>
    <row r="238" spans="1:10" ht="26.25" hidden="1" thickBot="1" x14ac:dyDescent="0.3">
      <c r="A238" s="240"/>
      <c r="B238" s="237"/>
      <c r="C238" s="36" t="s">
        <v>90</v>
      </c>
      <c r="D238" s="36" t="s">
        <v>91</v>
      </c>
      <c r="E238" s="37">
        <v>0.01</v>
      </c>
      <c r="F238" s="31">
        <v>624.44449999999995</v>
      </c>
      <c r="G238" s="34">
        <f t="shared" si="3"/>
        <v>6.2444449999999998</v>
      </c>
      <c r="H238" s="39">
        <f>SUM(G238:G238)</f>
        <v>6.2444449999999998</v>
      </c>
      <c r="I238" s="40"/>
      <c r="J238" s="102">
        <v>0</v>
      </c>
    </row>
    <row r="239" spans="1:10" ht="15.75" hidden="1" thickBot="1" x14ac:dyDescent="0.3">
      <c r="A239" s="240"/>
      <c r="B239" s="237"/>
      <c r="C239" s="36"/>
      <c r="D239" s="36"/>
      <c r="E239" s="37"/>
      <c r="F239" s="31" t="s">
        <v>522</v>
      </c>
      <c r="G239" s="31" t="str">
        <f t="shared" si="3"/>
        <v/>
      </c>
      <c r="H239" s="35"/>
      <c r="I239" s="31"/>
      <c r="J239" s="102">
        <v>0</v>
      </c>
    </row>
    <row r="240" spans="1:10" ht="15.75" thickBot="1" x14ac:dyDescent="0.3">
      <c r="A240" s="218" t="s">
        <v>92</v>
      </c>
      <c r="B240" s="221" t="s">
        <v>1438</v>
      </c>
      <c r="C240" s="41"/>
      <c r="D240" s="26" t="s">
        <v>1985</v>
      </c>
      <c r="E240" s="27"/>
      <c r="F240" s="49" t="s">
        <v>522</v>
      </c>
      <c r="G240" s="28" t="str">
        <f t="shared" si="3"/>
        <v/>
      </c>
      <c r="H240" s="29"/>
      <c r="I240" s="30"/>
      <c r="J240" s="102">
        <v>100</v>
      </c>
    </row>
    <row r="241" spans="1:10" x14ac:dyDescent="0.25">
      <c r="A241" s="219"/>
      <c r="B241" s="237"/>
      <c r="C241" s="32"/>
      <c r="D241" s="32"/>
      <c r="E241" s="33"/>
      <c r="F241" s="31" t="s">
        <v>522</v>
      </c>
      <c r="G241" s="31" t="str">
        <f t="shared" si="3"/>
        <v/>
      </c>
      <c r="H241" s="35"/>
      <c r="I241" s="31"/>
      <c r="J241" s="102">
        <v>100</v>
      </c>
    </row>
    <row r="242" spans="1:10" x14ac:dyDescent="0.25">
      <c r="A242" s="219"/>
      <c r="B242" s="237"/>
      <c r="C242" s="36" t="s">
        <v>23</v>
      </c>
      <c r="D242" s="36" t="s">
        <v>12</v>
      </c>
      <c r="E242" s="37">
        <v>0.15</v>
      </c>
      <c r="F242" s="31">
        <v>17.717499999999998</v>
      </c>
      <c r="G242" s="31">
        <f t="shared" si="3"/>
        <v>2.6576249999999995</v>
      </c>
      <c r="H242" s="39">
        <f>SUM(G242:G246)</f>
        <v>27.085924999999996</v>
      </c>
      <c r="I242" s="40"/>
      <c r="J242" s="102">
        <v>100</v>
      </c>
    </row>
    <row r="243" spans="1:10" x14ac:dyDescent="0.25">
      <c r="A243" s="219"/>
      <c r="B243" s="237"/>
      <c r="C243" s="36" t="s">
        <v>78</v>
      </c>
      <c r="D243" s="36" t="s">
        <v>12</v>
      </c>
      <c r="E243" s="37">
        <v>0.3</v>
      </c>
      <c r="F243" s="31">
        <v>23.588499999999996</v>
      </c>
      <c r="G243" s="31">
        <f t="shared" si="3"/>
        <v>7.0765499999999983</v>
      </c>
      <c r="H243" s="35"/>
      <c r="I243" s="31"/>
      <c r="J243" s="102">
        <v>100</v>
      </c>
    </row>
    <row r="244" spans="1:10" ht="25.5" x14ac:dyDescent="0.25">
      <c r="A244" s="219"/>
      <c r="B244" s="237"/>
      <c r="C244" s="36" t="s">
        <v>2013</v>
      </c>
      <c r="D244" s="36" t="s">
        <v>93</v>
      </c>
      <c r="E244" s="37">
        <v>1.5</v>
      </c>
      <c r="F244" s="34">
        <v>8.5879999999999992</v>
      </c>
      <c r="G244" s="31">
        <f t="shared" si="3"/>
        <v>12.881999999999998</v>
      </c>
      <c r="H244" s="35"/>
      <c r="I244" s="31"/>
      <c r="J244" s="102">
        <v>100</v>
      </c>
    </row>
    <row r="245" spans="1:10" x14ac:dyDescent="0.25">
      <c r="A245" s="219"/>
      <c r="B245" s="237"/>
      <c r="C245" s="36" t="s">
        <v>94</v>
      </c>
      <c r="D245" s="36" t="s">
        <v>42</v>
      </c>
      <c r="E245" s="37">
        <v>0.1</v>
      </c>
      <c r="F245" s="34">
        <v>21.754999999999999</v>
      </c>
      <c r="G245" s="31">
        <f t="shared" si="3"/>
        <v>2.1755</v>
      </c>
      <c r="H245" s="35"/>
      <c r="I245" s="31"/>
      <c r="J245" s="102">
        <v>100</v>
      </c>
    </row>
    <row r="246" spans="1:10" ht="25.5" x14ac:dyDescent="0.25">
      <c r="A246" s="219"/>
      <c r="B246" s="237"/>
      <c r="C246" s="36" t="s">
        <v>1817</v>
      </c>
      <c r="D246" s="36" t="s">
        <v>93</v>
      </c>
      <c r="E246" s="37">
        <v>1.1499999999999999</v>
      </c>
      <c r="F246" s="34">
        <v>1.9949999999999999</v>
      </c>
      <c r="G246" s="31">
        <f t="shared" si="3"/>
        <v>2.2942499999999999</v>
      </c>
      <c r="H246" s="35"/>
      <c r="I246" s="31"/>
      <c r="J246" s="102">
        <v>100</v>
      </c>
    </row>
    <row r="247" spans="1:10" ht="15.75" thickBot="1" x14ac:dyDescent="0.3">
      <c r="A247" s="220"/>
      <c r="B247" s="223"/>
      <c r="C247" s="36"/>
      <c r="D247" s="36"/>
      <c r="E247" s="37"/>
      <c r="F247" s="31" t="s">
        <v>522</v>
      </c>
      <c r="G247" s="31" t="str">
        <f t="shared" si="3"/>
        <v/>
      </c>
      <c r="H247" s="35"/>
      <c r="I247" s="31"/>
      <c r="J247" s="102">
        <v>100</v>
      </c>
    </row>
    <row r="248" spans="1:10" ht="15.75" thickBot="1" x14ac:dyDescent="0.3">
      <c r="A248" s="218" t="s">
        <v>96</v>
      </c>
      <c r="B248" s="221" t="s">
        <v>1456</v>
      </c>
      <c r="C248" s="41"/>
      <c r="D248" s="26" t="s">
        <v>1985</v>
      </c>
      <c r="E248" s="27"/>
      <c r="F248" s="42" t="s">
        <v>522</v>
      </c>
      <c r="G248" s="28" t="str">
        <f t="shared" si="3"/>
        <v/>
      </c>
      <c r="H248" s="29"/>
      <c r="I248" s="30"/>
      <c r="J248" s="102">
        <v>100</v>
      </c>
    </row>
    <row r="249" spans="1:10" x14ac:dyDescent="0.25">
      <c r="A249" s="219"/>
      <c r="B249" s="222"/>
      <c r="C249" s="103"/>
      <c r="D249" s="103"/>
      <c r="E249" s="104"/>
      <c r="F249" s="43" t="s">
        <v>522</v>
      </c>
      <c r="G249" s="31" t="str">
        <f t="shared" si="3"/>
        <v/>
      </c>
      <c r="H249" s="35"/>
      <c r="I249" s="31"/>
      <c r="J249" s="102">
        <v>100</v>
      </c>
    </row>
    <row r="250" spans="1:10" x14ac:dyDescent="0.25">
      <c r="A250" s="219"/>
      <c r="B250" s="222"/>
      <c r="C250" s="105" t="s">
        <v>78</v>
      </c>
      <c r="D250" s="105" t="s">
        <v>12</v>
      </c>
      <c r="E250" s="106">
        <v>0.4</v>
      </c>
      <c r="F250" s="31">
        <v>23.588499999999996</v>
      </c>
      <c r="G250" s="31">
        <f t="shared" si="3"/>
        <v>9.4353999999999996</v>
      </c>
      <c r="H250" s="39">
        <f>SUM(G250:G261)</f>
        <v>101.354265</v>
      </c>
      <c r="I250" s="40"/>
      <c r="J250" s="102">
        <v>100</v>
      </c>
    </row>
    <row r="251" spans="1:10" x14ac:dyDescent="0.25">
      <c r="A251" s="219"/>
      <c r="B251" s="222"/>
      <c r="C251" s="105" t="s">
        <v>23</v>
      </c>
      <c r="D251" s="105" t="s">
        <v>12</v>
      </c>
      <c r="E251" s="106">
        <v>0.4</v>
      </c>
      <c r="F251" s="31">
        <v>17.717499999999998</v>
      </c>
      <c r="G251" s="31">
        <f t="shared" si="3"/>
        <v>7.0869999999999997</v>
      </c>
      <c r="H251" s="35"/>
      <c r="I251" s="31"/>
      <c r="J251" s="102">
        <v>100</v>
      </c>
    </row>
    <row r="252" spans="1:10" x14ac:dyDescent="0.25">
      <c r="A252" s="219"/>
      <c r="B252" s="222"/>
      <c r="C252" s="105" t="s">
        <v>97</v>
      </c>
      <c r="D252" s="105" t="s">
        <v>95</v>
      </c>
      <c r="E252" s="106">
        <v>1.1000000000000001</v>
      </c>
      <c r="F252" s="31">
        <v>23.417499999999997</v>
      </c>
      <c r="G252" s="31">
        <f t="shared" si="3"/>
        <v>25.759249999999998</v>
      </c>
      <c r="H252" s="35"/>
      <c r="I252" s="31"/>
      <c r="J252" s="102">
        <v>100</v>
      </c>
    </row>
    <row r="253" spans="1:10" ht="25.5" x14ac:dyDescent="0.25">
      <c r="A253" s="219"/>
      <c r="B253" s="222"/>
      <c r="C253" s="105" t="s">
        <v>2013</v>
      </c>
      <c r="D253" s="105" t="s">
        <v>93</v>
      </c>
      <c r="E253" s="106">
        <v>1.6</v>
      </c>
      <c r="F253" s="34">
        <v>8.5879999999999992</v>
      </c>
      <c r="G253" s="31">
        <f t="shared" si="3"/>
        <v>13.7408</v>
      </c>
      <c r="H253" s="35"/>
      <c r="I253" s="31"/>
      <c r="J253" s="102">
        <v>100</v>
      </c>
    </row>
    <row r="254" spans="1:10" ht="25.5" x14ac:dyDescent="0.25">
      <c r="A254" s="219"/>
      <c r="B254" s="222"/>
      <c r="C254" s="105" t="s">
        <v>2373</v>
      </c>
      <c r="D254" s="105" t="s">
        <v>93</v>
      </c>
      <c r="E254" s="106">
        <v>1.65</v>
      </c>
      <c r="F254" s="34">
        <v>9.9844999999999988</v>
      </c>
      <c r="G254" s="31">
        <f t="shared" si="3"/>
        <v>16.474424999999997</v>
      </c>
      <c r="H254" s="35"/>
      <c r="I254" s="31"/>
      <c r="J254" s="102">
        <v>100</v>
      </c>
    </row>
    <row r="255" spans="1:10" ht="25.5" x14ac:dyDescent="0.25">
      <c r="A255" s="219"/>
      <c r="B255" s="222"/>
      <c r="C255" s="105" t="s">
        <v>2039</v>
      </c>
      <c r="D255" s="105" t="s">
        <v>93</v>
      </c>
      <c r="E255" s="106">
        <v>0.5</v>
      </c>
      <c r="F255" s="34">
        <v>29.1935</v>
      </c>
      <c r="G255" s="31">
        <f t="shared" si="3"/>
        <v>14.59675</v>
      </c>
      <c r="H255" s="35"/>
      <c r="I255" s="31"/>
      <c r="J255" s="102">
        <v>100</v>
      </c>
    </row>
    <row r="256" spans="1:10" x14ac:dyDescent="0.25">
      <c r="A256" s="219"/>
      <c r="B256" s="222"/>
      <c r="C256" s="105" t="s">
        <v>98</v>
      </c>
      <c r="D256" s="105" t="s">
        <v>42</v>
      </c>
      <c r="E256" s="106">
        <v>0.1</v>
      </c>
      <c r="F256" s="34">
        <v>22.134999999999998</v>
      </c>
      <c r="G256" s="31">
        <f t="shared" si="3"/>
        <v>2.2134999999999998</v>
      </c>
      <c r="H256" s="35"/>
      <c r="I256" s="31"/>
      <c r="J256" s="102">
        <v>100</v>
      </c>
    </row>
    <row r="257" spans="1:10" x14ac:dyDescent="0.25">
      <c r="A257" s="219"/>
      <c r="B257" s="222"/>
      <c r="C257" s="105" t="s">
        <v>99</v>
      </c>
      <c r="D257" s="105" t="s">
        <v>703</v>
      </c>
      <c r="E257" s="106">
        <v>1.5E-3</v>
      </c>
      <c r="F257" s="34">
        <v>19.95</v>
      </c>
      <c r="G257" s="31">
        <f t="shared" si="3"/>
        <v>2.9925E-2</v>
      </c>
      <c r="H257" s="35"/>
      <c r="I257" s="31"/>
      <c r="J257" s="102">
        <v>100</v>
      </c>
    </row>
    <row r="258" spans="1:10" x14ac:dyDescent="0.25">
      <c r="A258" s="219"/>
      <c r="B258" s="222"/>
      <c r="C258" s="105" t="s">
        <v>100</v>
      </c>
      <c r="D258" s="105" t="s">
        <v>12</v>
      </c>
      <c r="E258" s="106">
        <v>0.4</v>
      </c>
      <c r="F258" s="34">
        <v>24.842499999999998</v>
      </c>
      <c r="G258" s="31">
        <f t="shared" si="3"/>
        <v>9.9369999999999994</v>
      </c>
      <c r="H258" s="35"/>
      <c r="I258" s="31"/>
      <c r="J258" s="102">
        <v>100</v>
      </c>
    </row>
    <row r="259" spans="1:10" x14ac:dyDescent="0.25">
      <c r="A259" s="219"/>
      <c r="B259" s="222"/>
      <c r="C259" s="105" t="s">
        <v>101</v>
      </c>
      <c r="D259" s="105" t="s">
        <v>102</v>
      </c>
      <c r="E259" s="106">
        <v>2.2499999999999999E-2</v>
      </c>
      <c r="F259" s="34">
        <v>23.502999999999997</v>
      </c>
      <c r="G259" s="31">
        <f t="shared" si="3"/>
        <v>0.52881749999999994</v>
      </c>
      <c r="H259" s="35"/>
      <c r="I259" s="31"/>
      <c r="J259" s="102">
        <v>100</v>
      </c>
    </row>
    <row r="260" spans="1:10" x14ac:dyDescent="0.25">
      <c r="A260" s="219"/>
      <c r="B260" s="222"/>
      <c r="C260" s="105" t="s">
        <v>103</v>
      </c>
      <c r="D260" s="105" t="s">
        <v>42</v>
      </c>
      <c r="E260" s="106">
        <v>0.6</v>
      </c>
      <c r="F260" s="34">
        <v>1.5484999999999998</v>
      </c>
      <c r="G260" s="31">
        <f t="shared" si="3"/>
        <v>0.92909999999999981</v>
      </c>
      <c r="H260" s="35"/>
      <c r="I260" s="31"/>
      <c r="J260" s="102">
        <v>100</v>
      </c>
    </row>
    <row r="261" spans="1:10" x14ac:dyDescent="0.25">
      <c r="A261" s="219"/>
      <c r="B261" s="222"/>
      <c r="C261" s="105" t="s">
        <v>104</v>
      </c>
      <c r="D261" s="105" t="s">
        <v>42</v>
      </c>
      <c r="E261" s="106">
        <v>1.4999999999999999E-2</v>
      </c>
      <c r="F261" s="34">
        <v>41.486499999999999</v>
      </c>
      <c r="G261" s="31">
        <f t="shared" si="3"/>
        <v>0.62229749999999995</v>
      </c>
      <c r="H261" s="35"/>
      <c r="I261" s="31"/>
      <c r="J261" s="102">
        <v>100</v>
      </c>
    </row>
    <row r="262" spans="1:10" ht="15.75" thickBot="1" x14ac:dyDescent="0.3">
      <c r="A262" s="220"/>
      <c r="B262" s="223"/>
      <c r="C262" s="55"/>
      <c r="D262" s="55"/>
      <c r="E262" s="66"/>
      <c r="F262" s="67" t="s">
        <v>522</v>
      </c>
      <c r="G262" s="67" t="str">
        <f t="shared" ref="G262:G325" si="4">IF(ISNUMBER(F262),E262*F262,"")</f>
        <v/>
      </c>
      <c r="H262" s="69"/>
      <c r="I262" s="31"/>
      <c r="J262" s="102">
        <v>100</v>
      </c>
    </row>
    <row r="263" spans="1:10" ht="15.75" hidden="1" thickBot="1" x14ac:dyDescent="0.3">
      <c r="A263" s="218" t="s">
        <v>105</v>
      </c>
      <c r="B263" s="221" t="e">
        <f>INDEX(#REF!,MATCH(Composições!A263,#REF!,0),2)</f>
        <v>#REF!</v>
      </c>
      <c r="C263" s="41"/>
      <c r="D263" s="26" t="s">
        <v>95</v>
      </c>
      <c r="E263" s="27"/>
      <c r="F263" s="42" t="s">
        <v>522</v>
      </c>
      <c r="G263" s="28" t="str">
        <f t="shared" si="4"/>
        <v/>
      </c>
      <c r="H263" s="29"/>
      <c r="I263" s="30"/>
      <c r="J263" s="102">
        <v>0</v>
      </c>
    </row>
    <row r="264" spans="1:10" hidden="1" x14ac:dyDescent="0.25">
      <c r="A264" s="219"/>
      <c r="B264" s="237"/>
      <c r="C264" s="32"/>
      <c r="D264" s="32"/>
      <c r="E264" s="33"/>
      <c r="F264" s="43" t="s">
        <v>522</v>
      </c>
      <c r="G264" s="31" t="str">
        <f t="shared" si="4"/>
        <v/>
      </c>
      <c r="H264" s="35"/>
      <c r="I264" s="31"/>
      <c r="J264" s="102">
        <v>0</v>
      </c>
    </row>
    <row r="265" spans="1:10" hidden="1" x14ac:dyDescent="0.25">
      <c r="A265" s="219"/>
      <c r="B265" s="237"/>
      <c r="C265" s="36" t="s">
        <v>23</v>
      </c>
      <c r="D265" s="50" t="s">
        <v>12</v>
      </c>
      <c r="E265" s="37">
        <v>2.5000000000000001E-2</v>
      </c>
      <c r="F265" s="31">
        <v>16.1785</v>
      </c>
      <c r="G265" s="31">
        <f t="shared" si="4"/>
        <v>0.4044625</v>
      </c>
      <c r="H265" s="39">
        <f>SUM(G265:G266)</f>
        <v>1.9737769999999999</v>
      </c>
      <c r="I265" s="40"/>
      <c r="J265" s="102">
        <v>0</v>
      </c>
    </row>
    <row r="266" spans="1:10" hidden="1" x14ac:dyDescent="0.25">
      <c r="A266" s="219"/>
      <c r="B266" s="237"/>
      <c r="C266" s="36" t="s">
        <v>23</v>
      </c>
      <c r="D266" s="50" t="s">
        <v>12</v>
      </c>
      <c r="E266" s="37">
        <v>9.7000000000000003E-2</v>
      </c>
      <c r="F266" s="31">
        <v>16.1785</v>
      </c>
      <c r="G266" s="31">
        <f t="shared" si="4"/>
        <v>1.5693144999999999</v>
      </c>
      <c r="H266" s="35"/>
      <c r="I266" s="40"/>
      <c r="J266" s="102">
        <v>0</v>
      </c>
    </row>
    <row r="267" spans="1:10" ht="15.75" hidden="1" thickBot="1" x14ac:dyDescent="0.3">
      <c r="A267" s="220"/>
      <c r="B267" s="223"/>
      <c r="C267" s="36"/>
      <c r="D267" s="36"/>
      <c r="E267" s="37"/>
      <c r="F267" s="31" t="s">
        <v>522</v>
      </c>
      <c r="G267" s="31" t="str">
        <f t="shared" si="4"/>
        <v/>
      </c>
      <c r="H267" s="35"/>
      <c r="I267" s="31"/>
      <c r="J267" s="102">
        <v>0</v>
      </c>
    </row>
    <row r="268" spans="1:10" ht="15.75" hidden="1" thickBot="1" x14ac:dyDescent="0.3">
      <c r="A268" s="218" t="s">
        <v>106</v>
      </c>
      <c r="B268" s="221" t="e">
        <f>INDEX(#REF!,MATCH(Composições!A268,#REF!,0),2)</f>
        <v>#REF!</v>
      </c>
      <c r="C268" s="41"/>
      <c r="D268" s="26" t="s">
        <v>93</v>
      </c>
      <c r="E268" s="27"/>
      <c r="F268" s="42" t="s">
        <v>522</v>
      </c>
      <c r="G268" s="28" t="str">
        <f t="shared" si="4"/>
        <v/>
      </c>
      <c r="H268" s="29"/>
      <c r="I268" s="30"/>
      <c r="J268" s="102">
        <v>0</v>
      </c>
    </row>
    <row r="269" spans="1:10" hidden="1" x14ac:dyDescent="0.25">
      <c r="A269" s="219"/>
      <c r="B269" s="237"/>
      <c r="C269" s="32"/>
      <c r="D269" s="32"/>
      <c r="E269" s="33"/>
      <c r="F269" s="43" t="s">
        <v>522</v>
      </c>
      <c r="G269" s="31" t="str">
        <f t="shared" si="4"/>
        <v/>
      </c>
      <c r="H269" s="35"/>
      <c r="I269" s="31"/>
      <c r="J269" s="102">
        <v>0</v>
      </c>
    </row>
    <row r="270" spans="1:10" hidden="1" x14ac:dyDescent="0.25">
      <c r="A270" s="219"/>
      <c r="B270" s="237"/>
      <c r="C270" s="36" t="s">
        <v>74</v>
      </c>
      <c r="D270" s="36" t="s">
        <v>12</v>
      </c>
      <c r="E270" s="37">
        <v>3.4000000000000002E-2</v>
      </c>
      <c r="F270" s="31">
        <v>17.024000000000001</v>
      </c>
      <c r="G270" s="31">
        <f t="shared" si="4"/>
        <v>0.57881600000000011</v>
      </c>
      <c r="H270" s="39">
        <f>SUM(G270:G274)</f>
        <v>16.254113481042999</v>
      </c>
      <c r="I270" s="40"/>
      <c r="J270" s="102">
        <v>0</v>
      </c>
    </row>
    <row r="271" spans="1:10" hidden="1" x14ac:dyDescent="0.25">
      <c r="A271" s="219"/>
      <c r="B271" s="237"/>
      <c r="C271" s="36" t="s">
        <v>30</v>
      </c>
      <c r="D271" s="36" t="s">
        <v>12</v>
      </c>
      <c r="E271" s="37">
        <v>0.216</v>
      </c>
      <c r="F271" s="31">
        <v>21.688499999999998</v>
      </c>
      <c r="G271" s="31">
        <f t="shared" si="4"/>
        <v>4.6847159999999999</v>
      </c>
      <c r="H271" s="35"/>
      <c r="I271" s="31"/>
      <c r="J271" s="102">
        <v>0</v>
      </c>
    </row>
    <row r="272" spans="1:10" ht="25.5" hidden="1" x14ac:dyDescent="0.25">
      <c r="A272" s="219"/>
      <c r="B272" s="237"/>
      <c r="C272" s="36" t="s">
        <v>107</v>
      </c>
      <c r="D272" s="36" t="s">
        <v>12</v>
      </c>
      <c r="E272" s="37">
        <v>5.5E-2</v>
      </c>
      <c r="F272" s="31">
        <v>16.672499999999999</v>
      </c>
      <c r="G272" s="31">
        <f t="shared" si="4"/>
        <v>0.91698749999999996</v>
      </c>
      <c r="H272" s="35"/>
      <c r="I272" s="31"/>
      <c r="J272" s="102">
        <v>0</v>
      </c>
    </row>
    <row r="273" spans="1:10" hidden="1" x14ac:dyDescent="0.25">
      <c r="A273" s="219"/>
      <c r="B273" s="237"/>
      <c r="C273" s="36" t="s">
        <v>39</v>
      </c>
      <c r="D273" s="47" t="s">
        <v>12</v>
      </c>
      <c r="E273" s="37">
        <v>0.39100000000000001</v>
      </c>
      <c r="F273" s="31">
        <v>20.9</v>
      </c>
      <c r="G273" s="31">
        <f t="shared" si="4"/>
        <v>8.1718999999999991</v>
      </c>
      <c r="H273" s="35"/>
      <c r="I273" s="31"/>
      <c r="J273" s="102">
        <v>0</v>
      </c>
    </row>
    <row r="274" spans="1:10" ht="25.5" hidden="1" x14ac:dyDescent="0.25">
      <c r="A274" s="219"/>
      <c r="B274" s="237"/>
      <c r="C274" s="36" t="s">
        <v>108</v>
      </c>
      <c r="D274" s="36" t="s">
        <v>109</v>
      </c>
      <c r="E274" s="37">
        <v>3.0000000000000001E-3</v>
      </c>
      <c r="F274" s="34">
        <v>633.89799368099989</v>
      </c>
      <c r="G274" s="34">
        <f t="shared" si="4"/>
        <v>1.9016939810429998</v>
      </c>
      <c r="H274" s="35"/>
      <c r="I274" s="31"/>
      <c r="J274" s="102">
        <v>0</v>
      </c>
    </row>
    <row r="275" spans="1:10" ht="15.75" hidden="1" thickBot="1" x14ac:dyDescent="0.3">
      <c r="A275" s="220"/>
      <c r="B275" s="223"/>
      <c r="C275" s="36"/>
      <c r="D275" s="36"/>
      <c r="E275" s="37"/>
      <c r="F275" s="31" t="s">
        <v>522</v>
      </c>
      <c r="G275" s="31" t="str">
        <f t="shared" si="4"/>
        <v/>
      </c>
      <c r="H275" s="35"/>
      <c r="I275" s="31"/>
      <c r="J275" s="102">
        <v>0</v>
      </c>
    </row>
    <row r="276" spans="1:10" ht="15.75" hidden="1" thickBot="1" x14ac:dyDescent="0.3">
      <c r="A276" s="218" t="s">
        <v>110</v>
      </c>
      <c r="B276" s="221" t="e">
        <f>INDEX(#REF!,MATCH(Composições!A276,#REF!,0),2)</f>
        <v>#REF!</v>
      </c>
      <c r="C276" s="41"/>
      <c r="D276" s="26" t="s">
        <v>20</v>
      </c>
      <c r="E276" s="27"/>
      <c r="F276" s="42" t="s">
        <v>522</v>
      </c>
      <c r="G276" s="28" t="str">
        <f t="shared" si="4"/>
        <v/>
      </c>
      <c r="H276" s="29"/>
      <c r="I276" s="30"/>
      <c r="J276" s="102">
        <v>0</v>
      </c>
    </row>
    <row r="277" spans="1:10" hidden="1" x14ac:dyDescent="0.25">
      <c r="A277" s="219"/>
      <c r="B277" s="237"/>
      <c r="C277" s="32"/>
      <c r="D277" s="32"/>
      <c r="E277" s="33"/>
      <c r="F277" s="43" t="s">
        <v>522</v>
      </c>
      <c r="G277" s="31" t="str">
        <f t="shared" si="4"/>
        <v/>
      </c>
      <c r="H277" s="35"/>
      <c r="I277" s="31"/>
      <c r="J277" s="102">
        <v>0</v>
      </c>
    </row>
    <row r="278" spans="1:10" ht="25.5" hidden="1" x14ac:dyDescent="0.25">
      <c r="A278" s="219"/>
      <c r="B278" s="237"/>
      <c r="C278" s="36" t="s">
        <v>32</v>
      </c>
      <c r="D278" s="36" t="s">
        <v>33</v>
      </c>
      <c r="E278" s="37">
        <v>0.58699999999999997</v>
      </c>
      <c r="F278" s="34">
        <v>19.3705</v>
      </c>
      <c r="G278" s="34">
        <f t="shared" si="4"/>
        <v>11.370483499999999</v>
      </c>
      <c r="H278" s="39">
        <f>SUM(G278:G281)</f>
        <v>78.916385999999989</v>
      </c>
      <c r="I278" s="40"/>
      <c r="J278" s="102">
        <v>0</v>
      </c>
    </row>
    <row r="279" spans="1:10" ht="25.5" hidden="1" x14ac:dyDescent="0.25">
      <c r="A279" s="219"/>
      <c r="B279" s="237"/>
      <c r="C279" s="36" t="s">
        <v>34</v>
      </c>
      <c r="D279" s="36" t="s">
        <v>35</v>
      </c>
      <c r="E279" s="37">
        <v>1.29</v>
      </c>
      <c r="F279" s="34">
        <v>18.164000000000001</v>
      </c>
      <c r="G279" s="34">
        <f t="shared" si="4"/>
        <v>23.431560000000001</v>
      </c>
      <c r="H279" s="35"/>
      <c r="I279" s="31"/>
      <c r="J279" s="102">
        <v>0</v>
      </c>
    </row>
    <row r="280" spans="1:10" ht="25.5" hidden="1" x14ac:dyDescent="0.25">
      <c r="A280" s="219"/>
      <c r="B280" s="237"/>
      <c r="C280" s="36" t="s">
        <v>107</v>
      </c>
      <c r="D280" s="36" t="s">
        <v>12</v>
      </c>
      <c r="E280" s="37">
        <v>0.29299999999999998</v>
      </c>
      <c r="F280" s="31">
        <v>16.672499999999999</v>
      </c>
      <c r="G280" s="34">
        <f t="shared" si="4"/>
        <v>4.8850425</v>
      </c>
      <c r="H280" s="35"/>
      <c r="I280" s="31"/>
      <c r="J280" s="102">
        <v>0</v>
      </c>
    </row>
    <row r="281" spans="1:10" hidden="1" x14ac:dyDescent="0.25">
      <c r="A281" s="219"/>
      <c r="B281" s="237"/>
      <c r="C281" s="36" t="s">
        <v>39</v>
      </c>
      <c r="D281" s="47" t="s">
        <v>12</v>
      </c>
      <c r="E281" s="37">
        <v>1.877</v>
      </c>
      <c r="F281" s="31">
        <v>20.9</v>
      </c>
      <c r="G281" s="34">
        <f t="shared" si="4"/>
        <v>39.229299999999995</v>
      </c>
      <c r="H281" s="35"/>
      <c r="I281" s="31"/>
      <c r="J281" s="102">
        <v>0</v>
      </c>
    </row>
    <row r="282" spans="1:10" ht="15.75" hidden="1" thickBot="1" x14ac:dyDescent="0.3">
      <c r="A282" s="220"/>
      <c r="B282" s="223"/>
      <c r="C282" s="36"/>
      <c r="D282" s="36"/>
      <c r="E282" s="37"/>
      <c r="F282" s="31" t="s">
        <v>522</v>
      </c>
      <c r="G282" s="31" t="str">
        <f t="shared" si="4"/>
        <v/>
      </c>
      <c r="H282" s="35"/>
      <c r="I282" s="31"/>
      <c r="J282" s="102">
        <v>0</v>
      </c>
    </row>
    <row r="283" spans="1:10" ht="15.75" hidden="1" thickBot="1" x14ac:dyDescent="0.3">
      <c r="A283" s="218" t="s">
        <v>111</v>
      </c>
      <c r="B283" s="221" t="e">
        <f>INDEX(#REF!,MATCH(Composições!A283,#REF!,0),2)</f>
        <v>#REF!</v>
      </c>
      <c r="C283" s="41"/>
      <c r="D283" s="26" t="s">
        <v>20</v>
      </c>
      <c r="E283" s="27"/>
      <c r="F283" s="42" t="s">
        <v>522</v>
      </c>
      <c r="G283" s="28" t="str">
        <f t="shared" si="4"/>
        <v/>
      </c>
      <c r="H283" s="29"/>
      <c r="I283" s="30"/>
      <c r="J283" s="102">
        <v>0</v>
      </c>
    </row>
    <row r="284" spans="1:10" hidden="1" x14ac:dyDescent="0.25">
      <c r="A284" s="219"/>
      <c r="B284" s="237"/>
      <c r="C284" s="32"/>
      <c r="D284" s="32"/>
      <c r="E284" s="33"/>
      <c r="F284" s="43" t="s">
        <v>522</v>
      </c>
      <c r="G284" s="31" t="str">
        <f t="shared" si="4"/>
        <v/>
      </c>
      <c r="H284" s="35"/>
      <c r="I284" s="31"/>
      <c r="J284" s="102">
        <v>0</v>
      </c>
    </row>
    <row r="285" spans="1:10" ht="25.5" hidden="1" x14ac:dyDescent="0.25">
      <c r="A285" s="219"/>
      <c r="B285" s="237"/>
      <c r="C285" s="36" t="s">
        <v>32</v>
      </c>
      <c r="D285" s="36" t="s">
        <v>33</v>
      </c>
      <c r="E285" s="37">
        <v>0.75</v>
      </c>
      <c r="F285" s="34">
        <v>19.3705</v>
      </c>
      <c r="G285" s="34">
        <f t="shared" si="4"/>
        <v>14.527875</v>
      </c>
      <c r="H285" s="39">
        <f>SUM(G285:G288)</f>
        <v>100.79347049999998</v>
      </c>
      <c r="I285" s="40"/>
      <c r="J285" s="102">
        <v>0</v>
      </c>
    </row>
    <row r="286" spans="1:10" ht="25.5" hidden="1" x14ac:dyDescent="0.25">
      <c r="A286" s="219"/>
      <c r="B286" s="237"/>
      <c r="C286" s="36" t="s">
        <v>34</v>
      </c>
      <c r="D286" s="36" t="s">
        <v>35</v>
      </c>
      <c r="E286" s="37">
        <v>1.647</v>
      </c>
      <c r="F286" s="34">
        <v>18.164000000000001</v>
      </c>
      <c r="G286" s="34">
        <f t="shared" si="4"/>
        <v>29.916108000000001</v>
      </c>
      <c r="H286" s="35"/>
      <c r="I286" s="31"/>
      <c r="J286" s="102">
        <v>0</v>
      </c>
    </row>
    <row r="287" spans="1:10" ht="25.5" hidden="1" x14ac:dyDescent="0.25">
      <c r="A287" s="219"/>
      <c r="B287" s="237"/>
      <c r="C287" s="36" t="s">
        <v>107</v>
      </c>
      <c r="D287" s="36" t="s">
        <v>12</v>
      </c>
      <c r="E287" s="37">
        <v>0.375</v>
      </c>
      <c r="F287" s="31">
        <v>16.672499999999999</v>
      </c>
      <c r="G287" s="34">
        <f t="shared" si="4"/>
        <v>6.2521874999999998</v>
      </c>
      <c r="H287" s="35"/>
      <c r="I287" s="31"/>
      <c r="J287" s="102">
        <v>0</v>
      </c>
    </row>
    <row r="288" spans="1:10" hidden="1" x14ac:dyDescent="0.25">
      <c r="A288" s="219"/>
      <c r="B288" s="237"/>
      <c r="C288" s="36" t="s">
        <v>39</v>
      </c>
      <c r="D288" s="47" t="s">
        <v>12</v>
      </c>
      <c r="E288" s="37">
        <v>2.3969999999999998</v>
      </c>
      <c r="F288" s="31">
        <v>20.9</v>
      </c>
      <c r="G288" s="34">
        <f t="shared" si="4"/>
        <v>50.09729999999999</v>
      </c>
      <c r="H288" s="35"/>
      <c r="I288" s="31"/>
      <c r="J288" s="102">
        <v>0</v>
      </c>
    </row>
    <row r="289" spans="1:10" ht="15.75" hidden="1" thickBot="1" x14ac:dyDescent="0.3">
      <c r="A289" s="220"/>
      <c r="B289" s="223"/>
      <c r="C289" s="36"/>
      <c r="D289" s="36"/>
      <c r="E289" s="37"/>
      <c r="F289" s="31" t="s">
        <v>522</v>
      </c>
      <c r="G289" s="31" t="str">
        <f t="shared" si="4"/>
        <v/>
      </c>
      <c r="H289" s="35"/>
      <c r="I289" s="31"/>
      <c r="J289" s="102">
        <v>0</v>
      </c>
    </row>
    <row r="290" spans="1:10" ht="15.75" hidden="1" thickBot="1" x14ac:dyDescent="0.3">
      <c r="A290" s="218" t="s">
        <v>112</v>
      </c>
      <c r="B290" s="221" t="e">
        <f>INDEX(#REF!,MATCH(Composições!A290,#REF!,0),2)</f>
        <v>#REF!</v>
      </c>
      <c r="C290" s="41"/>
      <c r="D290" s="26" t="s">
        <v>109</v>
      </c>
      <c r="E290" s="27"/>
      <c r="F290" s="42" t="s">
        <v>522</v>
      </c>
      <c r="G290" s="28" t="str">
        <f t="shared" si="4"/>
        <v/>
      </c>
      <c r="H290" s="29"/>
      <c r="I290" s="30"/>
      <c r="J290" s="102">
        <v>0</v>
      </c>
    </row>
    <row r="291" spans="1:10" hidden="1" x14ac:dyDescent="0.25">
      <c r="A291" s="219"/>
      <c r="B291" s="237"/>
      <c r="C291" s="32"/>
      <c r="D291" s="32"/>
      <c r="E291" s="33"/>
      <c r="F291" s="43" t="s">
        <v>522</v>
      </c>
      <c r="G291" s="31" t="str">
        <f t="shared" si="4"/>
        <v/>
      </c>
      <c r="H291" s="35"/>
      <c r="I291" s="31"/>
      <c r="J291" s="102">
        <v>0</v>
      </c>
    </row>
    <row r="292" spans="1:10" ht="25.5" hidden="1" x14ac:dyDescent="0.25">
      <c r="A292" s="219"/>
      <c r="B292" s="237"/>
      <c r="C292" s="36" t="s">
        <v>3360</v>
      </c>
      <c r="D292" s="47" t="s">
        <v>109</v>
      </c>
      <c r="E292" s="37">
        <v>1</v>
      </c>
      <c r="F292" s="31" t="s">
        <v>522</v>
      </c>
      <c r="G292" s="34" t="str">
        <f t="shared" si="4"/>
        <v/>
      </c>
      <c r="H292" s="39">
        <f>SUM(G292:G301)</f>
        <v>494.13431830265</v>
      </c>
      <c r="I292" s="40"/>
      <c r="J292" s="102">
        <v>0</v>
      </c>
    </row>
    <row r="293" spans="1:10" hidden="1" x14ac:dyDescent="0.25">
      <c r="A293" s="219"/>
      <c r="B293" s="237"/>
      <c r="C293" s="36" t="s">
        <v>113</v>
      </c>
      <c r="D293" s="47" t="s">
        <v>109</v>
      </c>
      <c r="E293" s="37">
        <v>0.80459999999999998</v>
      </c>
      <c r="F293" s="34">
        <v>142.5</v>
      </c>
      <c r="G293" s="34">
        <f t="shared" si="4"/>
        <v>114.6555</v>
      </c>
      <c r="H293" s="35"/>
      <c r="I293" s="31"/>
      <c r="J293" s="102">
        <v>0</v>
      </c>
    </row>
    <row r="294" spans="1:10" hidden="1" x14ac:dyDescent="0.25">
      <c r="A294" s="219"/>
      <c r="B294" s="237"/>
      <c r="C294" s="36" t="s">
        <v>114</v>
      </c>
      <c r="D294" s="47" t="s">
        <v>42</v>
      </c>
      <c r="E294" s="37">
        <v>273.06299999999999</v>
      </c>
      <c r="F294" s="34">
        <v>0.58899999999999997</v>
      </c>
      <c r="G294" s="34">
        <f t="shared" si="4"/>
        <v>160.83410699999999</v>
      </c>
      <c r="H294" s="35"/>
      <c r="I294" s="31"/>
      <c r="J294" s="102">
        <v>0</v>
      </c>
    </row>
    <row r="295" spans="1:10" hidden="1" x14ac:dyDescent="0.25">
      <c r="A295" s="219"/>
      <c r="B295" s="237"/>
      <c r="C295" s="36" t="s">
        <v>115</v>
      </c>
      <c r="D295" s="47" t="s">
        <v>109</v>
      </c>
      <c r="E295" s="37">
        <v>0.57199999999999995</v>
      </c>
      <c r="F295" s="34">
        <v>141.74950000000001</v>
      </c>
      <c r="G295" s="34">
        <f t="shared" si="4"/>
        <v>81.080714</v>
      </c>
      <c r="H295" s="35"/>
      <c r="I295" s="31"/>
      <c r="J295" s="102">
        <v>0</v>
      </c>
    </row>
    <row r="296" spans="1:10" ht="25.5" hidden="1" x14ac:dyDescent="0.25">
      <c r="A296" s="219"/>
      <c r="B296" s="237"/>
      <c r="C296" s="36" t="s">
        <v>116</v>
      </c>
      <c r="D296" s="47" t="s">
        <v>12</v>
      </c>
      <c r="E296" s="37">
        <v>1.4695</v>
      </c>
      <c r="F296" s="31">
        <v>16.102499999999999</v>
      </c>
      <c r="G296" s="34">
        <f t="shared" si="4"/>
        <v>23.662623749999998</v>
      </c>
      <c r="H296" s="35"/>
      <c r="I296" s="31"/>
      <c r="J296" s="102">
        <v>0</v>
      </c>
    </row>
    <row r="297" spans="1:10" hidden="1" x14ac:dyDescent="0.25">
      <c r="A297" s="219"/>
      <c r="B297" s="237"/>
      <c r="C297" s="36" t="s">
        <v>23</v>
      </c>
      <c r="D297" s="36" t="s">
        <v>12</v>
      </c>
      <c r="E297" s="37">
        <v>2.3275000000000001</v>
      </c>
      <c r="F297" s="31">
        <v>16.1785</v>
      </c>
      <c r="G297" s="34">
        <f t="shared" si="4"/>
        <v>37.655458750000001</v>
      </c>
      <c r="H297" s="35"/>
      <c r="I297" s="31"/>
      <c r="J297" s="102">
        <v>0</v>
      </c>
    </row>
    <row r="298" spans="1:10" ht="38.25" hidden="1" x14ac:dyDescent="0.25">
      <c r="A298" s="219"/>
      <c r="B298" s="237"/>
      <c r="C298" s="36" t="s">
        <v>117</v>
      </c>
      <c r="D298" s="47" t="s">
        <v>33</v>
      </c>
      <c r="E298" s="37">
        <v>0.75629999999999997</v>
      </c>
      <c r="F298" s="34">
        <v>1.6624999999999999</v>
      </c>
      <c r="G298" s="34">
        <f t="shared" si="4"/>
        <v>1.2573487499999998</v>
      </c>
      <c r="H298" s="35"/>
      <c r="I298" s="31"/>
      <c r="J298" s="102">
        <v>0</v>
      </c>
    </row>
    <row r="299" spans="1:10" ht="38.25" hidden="1" x14ac:dyDescent="0.25">
      <c r="A299" s="219"/>
      <c r="B299" s="237"/>
      <c r="C299" s="36" t="s">
        <v>118</v>
      </c>
      <c r="D299" s="47" t="s">
        <v>35</v>
      </c>
      <c r="E299" s="37">
        <v>0.71309999999999996</v>
      </c>
      <c r="F299" s="34">
        <v>0.36099999999999999</v>
      </c>
      <c r="G299" s="34">
        <f t="shared" si="4"/>
        <v>0.25742909999999997</v>
      </c>
      <c r="H299" s="35"/>
      <c r="I299" s="31"/>
      <c r="J299" s="102">
        <v>0</v>
      </c>
    </row>
    <row r="300" spans="1:10" ht="51" hidden="1" x14ac:dyDescent="0.25">
      <c r="A300" s="219"/>
      <c r="B300" s="237"/>
      <c r="C300" s="36" t="s">
        <v>1914</v>
      </c>
      <c r="D300" s="36" t="s">
        <v>120</v>
      </c>
      <c r="E300" s="37">
        <f>1*(E293+E295)</f>
        <v>1.3765999999999998</v>
      </c>
      <c r="F300" s="34">
        <v>7.0254067499999993</v>
      </c>
      <c r="G300" s="34">
        <f t="shared" si="4"/>
        <v>9.6711749320499969</v>
      </c>
      <c r="H300" s="35"/>
      <c r="I300" s="31"/>
      <c r="J300" s="102">
        <v>0</v>
      </c>
    </row>
    <row r="301" spans="1:10" ht="38.25" hidden="1" x14ac:dyDescent="0.25">
      <c r="A301" s="219"/>
      <c r="B301" s="237"/>
      <c r="C301" s="36" t="s">
        <v>121</v>
      </c>
      <c r="D301" s="47" t="s">
        <v>122</v>
      </c>
      <c r="E301" s="37">
        <f>(E293+E295)*20</f>
        <v>27.531999999999996</v>
      </c>
      <c r="F301" s="34">
        <v>2.3630670500000002</v>
      </c>
      <c r="G301" s="34">
        <f t="shared" si="4"/>
        <v>65.059962020599997</v>
      </c>
      <c r="H301" s="35"/>
      <c r="I301" s="31"/>
      <c r="J301" s="102">
        <v>0</v>
      </c>
    </row>
    <row r="302" spans="1:10" hidden="1" x14ac:dyDescent="0.25">
      <c r="A302" s="219"/>
      <c r="B302" s="237"/>
      <c r="C302" s="51"/>
      <c r="D302" s="47"/>
      <c r="E302" s="37"/>
      <c r="F302" s="34" t="s">
        <v>522</v>
      </c>
      <c r="G302" s="34" t="str">
        <f t="shared" si="4"/>
        <v/>
      </c>
      <c r="H302" s="35"/>
      <c r="I302" s="31"/>
      <c r="J302" s="102">
        <v>0</v>
      </c>
    </row>
    <row r="303" spans="1:10" ht="25.5" hidden="1" x14ac:dyDescent="0.25">
      <c r="A303" s="219"/>
      <c r="B303" s="237"/>
      <c r="C303" s="48" t="s">
        <v>123</v>
      </c>
      <c r="D303" s="47"/>
      <c r="E303" s="37"/>
      <c r="F303" s="34" t="s">
        <v>522</v>
      </c>
      <c r="G303" s="34" t="str">
        <f t="shared" si="4"/>
        <v/>
      </c>
      <c r="H303" s="35"/>
      <c r="I303" s="31"/>
      <c r="J303" s="102">
        <v>0</v>
      </c>
    </row>
    <row r="304" spans="1:10" ht="15.75" hidden="1" thickBot="1" x14ac:dyDescent="0.3">
      <c r="A304" s="220"/>
      <c r="B304" s="223"/>
      <c r="C304" s="36"/>
      <c r="D304" s="36"/>
      <c r="E304" s="37"/>
      <c r="F304" s="31" t="s">
        <v>522</v>
      </c>
      <c r="G304" s="31" t="str">
        <f t="shared" si="4"/>
        <v/>
      </c>
      <c r="H304" s="35"/>
      <c r="I304" s="31"/>
      <c r="J304" s="102">
        <v>0</v>
      </c>
    </row>
    <row r="305" spans="1:10" ht="15.75" hidden="1" thickBot="1" x14ac:dyDescent="0.3">
      <c r="A305" s="218" t="s">
        <v>124</v>
      </c>
      <c r="B305" s="221" t="e">
        <f>INDEX(#REF!,MATCH(Composições!A305,#REF!,0),2)</f>
        <v>#REF!</v>
      </c>
      <c r="C305" s="41"/>
      <c r="D305" s="26" t="s">
        <v>109</v>
      </c>
      <c r="E305" s="27"/>
      <c r="F305" s="42" t="s">
        <v>522</v>
      </c>
      <c r="G305" s="28" t="str">
        <f t="shared" si="4"/>
        <v/>
      </c>
      <c r="H305" s="29"/>
      <c r="I305" s="30"/>
      <c r="J305" s="102">
        <v>0</v>
      </c>
    </row>
    <row r="306" spans="1:10" hidden="1" x14ac:dyDescent="0.25">
      <c r="A306" s="219"/>
      <c r="B306" s="237"/>
      <c r="C306" s="32"/>
      <c r="D306" s="32"/>
      <c r="E306" s="33"/>
      <c r="F306" s="43" t="s">
        <v>522</v>
      </c>
      <c r="G306" s="31" t="str">
        <f t="shared" si="4"/>
        <v/>
      </c>
      <c r="H306" s="35"/>
      <c r="I306" s="31"/>
      <c r="J306" s="102">
        <v>0</v>
      </c>
    </row>
    <row r="307" spans="1:10" ht="25.5" hidden="1" x14ac:dyDescent="0.25">
      <c r="A307" s="219"/>
      <c r="B307" s="237"/>
      <c r="C307" s="36" t="s">
        <v>3360</v>
      </c>
      <c r="D307" s="47" t="s">
        <v>109</v>
      </c>
      <c r="E307" s="37">
        <v>1</v>
      </c>
      <c r="F307" s="31" t="s">
        <v>522</v>
      </c>
      <c r="G307" s="34" t="str">
        <f t="shared" si="4"/>
        <v/>
      </c>
      <c r="H307" s="39">
        <f>SUM(G307:G316)</f>
        <v>534.66856596332502</v>
      </c>
      <c r="I307" s="40"/>
      <c r="J307" s="102">
        <v>0</v>
      </c>
    </row>
    <row r="308" spans="1:10" hidden="1" x14ac:dyDescent="0.25">
      <c r="A308" s="219"/>
      <c r="B308" s="237"/>
      <c r="C308" s="36" t="s">
        <v>113</v>
      </c>
      <c r="D308" s="47" t="s">
        <v>109</v>
      </c>
      <c r="E308" s="37">
        <v>0.72289999999999999</v>
      </c>
      <c r="F308" s="34">
        <v>142.5</v>
      </c>
      <c r="G308" s="31">
        <f t="shared" si="4"/>
        <v>103.01325</v>
      </c>
      <c r="H308" s="35"/>
      <c r="I308" s="31"/>
      <c r="J308" s="102">
        <v>0</v>
      </c>
    </row>
    <row r="309" spans="1:10" hidden="1" x14ac:dyDescent="0.25">
      <c r="A309" s="219"/>
      <c r="B309" s="237"/>
      <c r="C309" s="36" t="s">
        <v>114</v>
      </c>
      <c r="D309" s="47" t="s">
        <v>42</v>
      </c>
      <c r="E309" s="37">
        <v>362.65789999999998</v>
      </c>
      <c r="F309" s="34">
        <v>0.58899999999999997</v>
      </c>
      <c r="G309" s="31">
        <f t="shared" si="4"/>
        <v>213.60550309999999</v>
      </c>
      <c r="H309" s="35"/>
      <c r="I309" s="31"/>
      <c r="J309" s="102">
        <v>0</v>
      </c>
    </row>
    <row r="310" spans="1:10" hidden="1" x14ac:dyDescent="0.25">
      <c r="A310" s="219"/>
      <c r="B310" s="237"/>
      <c r="C310" s="36" t="s">
        <v>115</v>
      </c>
      <c r="D310" s="47" t="s">
        <v>109</v>
      </c>
      <c r="E310" s="37">
        <v>0.59340000000000004</v>
      </c>
      <c r="F310" s="34">
        <v>141.74950000000001</v>
      </c>
      <c r="G310" s="31">
        <f t="shared" si="4"/>
        <v>84.114153300000012</v>
      </c>
      <c r="H310" s="35"/>
      <c r="I310" s="31"/>
      <c r="J310" s="102">
        <v>0</v>
      </c>
    </row>
    <row r="311" spans="1:10" hidden="1" x14ac:dyDescent="0.25">
      <c r="A311" s="219"/>
      <c r="B311" s="237"/>
      <c r="C311" s="36" t="s">
        <v>23</v>
      </c>
      <c r="D311" s="47" t="s">
        <v>12</v>
      </c>
      <c r="E311" s="37">
        <v>2.3117000000000001</v>
      </c>
      <c r="F311" s="31">
        <v>16.1785</v>
      </c>
      <c r="G311" s="31">
        <f t="shared" si="4"/>
        <v>37.399838449999997</v>
      </c>
      <c r="H311" s="35"/>
      <c r="I311" s="31"/>
      <c r="J311" s="102">
        <v>0</v>
      </c>
    </row>
    <row r="312" spans="1:10" ht="25.5" hidden="1" x14ac:dyDescent="0.25">
      <c r="A312" s="219"/>
      <c r="B312" s="237"/>
      <c r="C312" s="36" t="s">
        <v>116</v>
      </c>
      <c r="D312" s="47" t="s">
        <v>12</v>
      </c>
      <c r="E312" s="37">
        <v>1.4637</v>
      </c>
      <c r="F312" s="31">
        <v>16.102499999999999</v>
      </c>
      <c r="G312" s="31">
        <f t="shared" si="4"/>
        <v>23.569229249999999</v>
      </c>
      <c r="H312" s="35"/>
      <c r="I312" s="31"/>
      <c r="J312" s="102">
        <v>0</v>
      </c>
    </row>
    <row r="313" spans="1:10" ht="38.25" hidden="1" x14ac:dyDescent="0.25">
      <c r="A313" s="219"/>
      <c r="B313" s="237"/>
      <c r="C313" s="36" t="s">
        <v>117</v>
      </c>
      <c r="D313" s="47" t="s">
        <v>33</v>
      </c>
      <c r="E313" s="37">
        <v>0.75339999999999996</v>
      </c>
      <c r="F313" s="34">
        <v>1.6624999999999999</v>
      </c>
      <c r="G313" s="31">
        <f t="shared" si="4"/>
        <v>1.2525274999999998</v>
      </c>
      <c r="H313" s="35"/>
      <c r="I313" s="31"/>
      <c r="J313" s="102">
        <v>0</v>
      </c>
    </row>
    <row r="314" spans="1:10" ht="38.25" hidden="1" x14ac:dyDescent="0.25">
      <c r="A314" s="219"/>
      <c r="B314" s="237"/>
      <c r="C314" s="36" t="s">
        <v>118</v>
      </c>
      <c r="D314" s="36" t="s">
        <v>35</v>
      </c>
      <c r="E314" s="37">
        <v>0.71030000000000004</v>
      </c>
      <c r="F314" s="34">
        <v>0.36099999999999999</v>
      </c>
      <c r="G314" s="31">
        <f t="shared" si="4"/>
        <v>0.25641829999999999</v>
      </c>
      <c r="H314" s="35"/>
      <c r="I314" s="31"/>
      <c r="J314" s="102">
        <v>0</v>
      </c>
    </row>
    <row r="315" spans="1:10" ht="51" hidden="1" x14ac:dyDescent="0.25">
      <c r="A315" s="219"/>
      <c r="B315" s="237"/>
      <c r="C315" s="36" t="s">
        <v>1914</v>
      </c>
      <c r="D315" s="36" t="s">
        <v>120</v>
      </c>
      <c r="E315" s="37">
        <f>1*(E308+E310)</f>
        <v>1.3163</v>
      </c>
      <c r="F315" s="34">
        <v>7.0254067499999993</v>
      </c>
      <c r="G315" s="34">
        <f t="shared" si="4"/>
        <v>9.247542905025</v>
      </c>
      <c r="H315" s="35"/>
      <c r="I315" s="31"/>
      <c r="J315" s="102">
        <v>0</v>
      </c>
    </row>
    <row r="316" spans="1:10" ht="38.25" hidden="1" x14ac:dyDescent="0.25">
      <c r="A316" s="219"/>
      <c r="B316" s="237"/>
      <c r="C316" s="36" t="s">
        <v>121</v>
      </c>
      <c r="D316" s="47" t="s">
        <v>122</v>
      </c>
      <c r="E316" s="37">
        <f>(E308+E310)*20</f>
        <v>26.326000000000001</v>
      </c>
      <c r="F316" s="34">
        <v>2.3630670500000002</v>
      </c>
      <c r="G316" s="34">
        <f t="shared" si="4"/>
        <v>62.210103158300008</v>
      </c>
      <c r="H316" s="35"/>
      <c r="I316" s="31"/>
      <c r="J316" s="102">
        <v>0</v>
      </c>
    </row>
    <row r="317" spans="1:10" hidden="1" x14ac:dyDescent="0.25">
      <c r="A317" s="219"/>
      <c r="B317" s="237"/>
      <c r="C317" s="51"/>
      <c r="D317" s="47"/>
      <c r="E317" s="37"/>
      <c r="F317" s="34" t="s">
        <v>522</v>
      </c>
      <c r="G317" s="34" t="str">
        <f t="shared" si="4"/>
        <v/>
      </c>
      <c r="H317" s="35"/>
      <c r="I317" s="31"/>
      <c r="J317" s="102">
        <v>0</v>
      </c>
    </row>
    <row r="318" spans="1:10" ht="25.5" hidden="1" x14ac:dyDescent="0.25">
      <c r="A318" s="219"/>
      <c r="B318" s="237"/>
      <c r="C318" s="48" t="s">
        <v>123</v>
      </c>
      <c r="D318" s="47"/>
      <c r="E318" s="37"/>
      <c r="F318" s="34" t="s">
        <v>522</v>
      </c>
      <c r="G318" s="34" t="str">
        <f t="shared" si="4"/>
        <v/>
      </c>
      <c r="H318" s="35"/>
      <c r="I318" s="31"/>
      <c r="J318" s="102">
        <v>0</v>
      </c>
    </row>
    <row r="319" spans="1:10" ht="15.75" hidden="1" thickBot="1" x14ac:dyDescent="0.3">
      <c r="A319" s="220"/>
      <c r="B319" s="223"/>
      <c r="C319" s="36"/>
      <c r="D319" s="36"/>
      <c r="E319" s="37"/>
      <c r="F319" s="31" t="s">
        <v>522</v>
      </c>
      <c r="G319" s="31" t="str">
        <f t="shared" si="4"/>
        <v/>
      </c>
      <c r="H319" s="35"/>
      <c r="I319" s="31"/>
      <c r="J319" s="102">
        <v>0</v>
      </c>
    </row>
    <row r="320" spans="1:10" ht="15.75" hidden="1" thickBot="1" x14ac:dyDescent="0.3">
      <c r="A320" s="218" t="s">
        <v>125</v>
      </c>
      <c r="B320" s="221" t="e">
        <f>INDEX(#REF!,MATCH(Composições!A320,#REF!,0),2)</f>
        <v>#REF!</v>
      </c>
      <c r="C320" s="41"/>
      <c r="D320" s="26" t="s">
        <v>1426</v>
      </c>
      <c r="E320" s="27"/>
      <c r="F320" s="42" t="s">
        <v>522</v>
      </c>
      <c r="G320" s="28" t="str">
        <f t="shared" si="4"/>
        <v/>
      </c>
      <c r="H320" s="29"/>
      <c r="I320" s="30"/>
      <c r="J320" s="102">
        <v>0</v>
      </c>
    </row>
    <row r="321" spans="1:10" hidden="1" x14ac:dyDescent="0.25">
      <c r="A321" s="219"/>
      <c r="B321" s="237"/>
      <c r="C321" s="32"/>
      <c r="D321" s="32"/>
      <c r="E321" s="33"/>
      <c r="F321" s="31" t="s">
        <v>522</v>
      </c>
      <c r="G321" s="31" t="str">
        <f t="shared" si="4"/>
        <v/>
      </c>
      <c r="H321" s="35"/>
      <c r="I321" s="31"/>
      <c r="J321" s="102">
        <v>0</v>
      </c>
    </row>
    <row r="322" spans="1:10" ht="38.25" hidden="1" x14ac:dyDescent="0.25">
      <c r="A322" s="219"/>
      <c r="B322" s="237"/>
      <c r="C322" s="36" t="s">
        <v>126</v>
      </c>
      <c r="D322" s="47" t="s">
        <v>127</v>
      </c>
      <c r="E322" s="37">
        <v>0.85</v>
      </c>
      <c r="F322" s="31">
        <v>7.8279999999999994</v>
      </c>
      <c r="G322" s="31">
        <f t="shared" si="4"/>
        <v>6.6537999999999995</v>
      </c>
      <c r="H322" s="39">
        <f>SUM(G322:G324)</f>
        <v>19.514899999999997</v>
      </c>
      <c r="I322" s="40"/>
      <c r="J322" s="102">
        <v>0</v>
      </c>
    </row>
    <row r="323" spans="1:10" hidden="1" x14ac:dyDescent="0.25">
      <c r="A323" s="219"/>
      <c r="B323" s="237"/>
      <c r="C323" s="36" t="s">
        <v>128</v>
      </c>
      <c r="D323" s="47" t="s">
        <v>12</v>
      </c>
      <c r="E323" s="37">
        <v>0.2</v>
      </c>
      <c r="F323" s="31">
        <v>17.071499999999997</v>
      </c>
      <c r="G323" s="31">
        <f t="shared" si="4"/>
        <v>3.4142999999999994</v>
      </c>
      <c r="H323" s="35"/>
      <c r="I323" s="31"/>
      <c r="J323" s="102">
        <v>0</v>
      </c>
    </row>
    <row r="324" spans="1:10" ht="25.5" hidden="1" x14ac:dyDescent="0.25">
      <c r="A324" s="219"/>
      <c r="B324" s="237"/>
      <c r="C324" s="36" t="s">
        <v>2013</v>
      </c>
      <c r="D324" s="47" t="s">
        <v>93</v>
      </c>
      <c r="E324" s="37">
        <v>1.1000000000000001</v>
      </c>
      <c r="F324" s="31">
        <v>8.5879999999999992</v>
      </c>
      <c r="G324" s="31">
        <f t="shared" si="4"/>
        <v>9.4467999999999996</v>
      </c>
      <c r="H324" s="35"/>
      <c r="I324" s="31"/>
      <c r="J324" s="102">
        <v>0</v>
      </c>
    </row>
    <row r="325" spans="1:10" hidden="1" x14ac:dyDescent="0.25">
      <c r="A325" s="219"/>
      <c r="B325" s="237"/>
      <c r="C325" s="36"/>
      <c r="D325" s="36"/>
      <c r="E325" s="37"/>
      <c r="F325" s="31" t="s">
        <v>522</v>
      </c>
      <c r="G325" s="31" t="str">
        <f t="shared" si="4"/>
        <v/>
      </c>
      <c r="H325" s="35"/>
      <c r="I325" s="31"/>
      <c r="J325" s="102">
        <v>0</v>
      </c>
    </row>
    <row r="326" spans="1:10" ht="15.75" hidden="1" thickBot="1" x14ac:dyDescent="0.3">
      <c r="A326" s="218" t="s">
        <v>129</v>
      </c>
      <c r="B326" s="221" t="e">
        <f>INDEX(#REF!,MATCH(Composições!A326,#REF!,0),2)</f>
        <v>#REF!</v>
      </c>
      <c r="C326" s="41"/>
      <c r="D326" s="26" t="s">
        <v>42</v>
      </c>
      <c r="E326" s="27"/>
      <c r="F326" s="42" t="s">
        <v>522</v>
      </c>
      <c r="G326" s="28" t="str">
        <f t="shared" ref="G326:G389" si="5">IF(ISNUMBER(F326),E326*F326,"")</f>
        <v/>
      </c>
      <c r="H326" s="29"/>
      <c r="I326" s="30"/>
      <c r="J326" s="102">
        <v>0</v>
      </c>
    </row>
    <row r="327" spans="1:10" hidden="1" x14ac:dyDescent="0.25">
      <c r="A327" s="219"/>
      <c r="B327" s="237"/>
      <c r="C327" s="32"/>
      <c r="D327" s="32"/>
      <c r="E327" s="33"/>
      <c r="F327" s="43" t="s">
        <v>522</v>
      </c>
      <c r="G327" s="31" t="str">
        <f t="shared" si="5"/>
        <v/>
      </c>
      <c r="H327" s="35"/>
      <c r="I327" s="31"/>
      <c r="J327" s="102">
        <v>0</v>
      </c>
    </row>
    <row r="328" spans="1:10" ht="38.25" hidden="1" x14ac:dyDescent="0.25">
      <c r="A328" s="219"/>
      <c r="B328" s="237"/>
      <c r="C328" s="36" t="s">
        <v>3353</v>
      </c>
      <c r="D328" s="47" t="s">
        <v>42</v>
      </c>
      <c r="E328" s="37">
        <v>0.01</v>
      </c>
      <c r="F328" s="34">
        <v>47.5</v>
      </c>
      <c r="G328" s="34">
        <f t="shared" si="5"/>
        <v>0.47500000000000003</v>
      </c>
      <c r="H328" s="39">
        <f>SUM(G328:G339)</f>
        <v>12.601179999999999</v>
      </c>
      <c r="I328" s="40"/>
      <c r="J328" s="102">
        <v>0</v>
      </c>
    </row>
    <row r="329" spans="1:10" ht="25.5" hidden="1" x14ac:dyDescent="0.25">
      <c r="A329" s="219"/>
      <c r="B329" s="237"/>
      <c r="C329" s="36" t="s">
        <v>130</v>
      </c>
      <c r="D329" s="47" t="s">
        <v>42</v>
      </c>
      <c r="E329" s="37">
        <v>0.27</v>
      </c>
      <c r="F329" s="34">
        <v>9.7564999999999991</v>
      </c>
      <c r="G329" s="34">
        <f t="shared" si="5"/>
        <v>2.634255</v>
      </c>
      <c r="H329" s="35"/>
      <c r="I329" s="31"/>
      <c r="J329" s="102">
        <v>0</v>
      </c>
    </row>
    <row r="330" spans="1:10" hidden="1" x14ac:dyDescent="0.25">
      <c r="A330" s="219"/>
      <c r="B330" s="237"/>
      <c r="C330" s="36" t="s">
        <v>131</v>
      </c>
      <c r="D330" s="47" t="s">
        <v>42</v>
      </c>
      <c r="E330" s="37">
        <v>0.33</v>
      </c>
      <c r="F330" s="34">
        <v>0</v>
      </c>
      <c r="G330" s="34">
        <f t="shared" si="5"/>
        <v>0</v>
      </c>
      <c r="H330" s="35"/>
      <c r="I330" s="31"/>
      <c r="J330" s="102">
        <v>0</v>
      </c>
    </row>
    <row r="331" spans="1:10" hidden="1" x14ac:dyDescent="0.25">
      <c r="A331" s="219"/>
      <c r="B331" s="237"/>
      <c r="C331" s="36" t="s">
        <v>132</v>
      </c>
      <c r="D331" s="47" t="s">
        <v>42</v>
      </c>
      <c r="E331" s="37">
        <v>2.5000000000000001E-2</v>
      </c>
      <c r="F331" s="34">
        <v>31.349999999999998</v>
      </c>
      <c r="G331" s="34">
        <f t="shared" si="5"/>
        <v>0.78374999999999995</v>
      </c>
      <c r="H331" s="35"/>
      <c r="I331" s="31"/>
      <c r="J331" s="102">
        <v>0</v>
      </c>
    </row>
    <row r="332" spans="1:10" ht="25.5" hidden="1" x14ac:dyDescent="0.25">
      <c r="A332" s="219"/>
      <c r="B332" s="237"/>
      <c r="C332" s="36" t="s">
        <v>133</v>
      </c>
      <c r="D332" s="47" t="s">
        <v>109</v>
      </c>
      <c r="E332" s="37">
        <v>0.05</v>
      </c>
      <c r="F332" s="34">
        <v>10.402499999999998</v>
      </c>
      <c r="G332" s="34">
        <f t="shared" si="5"/>
        <v>0.52012499999999995</v>
      </c>
      <c r="H332" s="35"/>
      <c r="I332" s="31"/>
      <c r="J332" s="102">
        <v>0</v>
      </c>
    </row>
    <row r="333" spans="1:10" hidden="1" x14ac:dyDescent="0.25">
      <c r="A333" s="219"/>
      <c r="B333" s="237"/>
      <c r="C333" s="36" t="s">
        <v>134</v>
      </c>
      <c r="D333" s="47" t="s">
        <v>42</v>
      </c>
      <c r="E333" s="37">
        <v>0.4</v>
      </c>
      <c r="F333" s="34">
        <v>0</v>
      </c>
      <c r="G333" s="34">
        <f t="shared" si="5"/>
        <v>0</v>
      </c>
      <c r="H333" s="35"/>
      <c r="I333" s="31"/>
      <c r="J333" s="102">
        <v>0</v>
      </c>
    </row>
    <row r="334" spans="1:10" hidden="1" x14ac:dyDescent="0.25">
      <c r="A334" s="219"/>
      <c r="B334" s="237"/>
      <c r="C334" s="36" t="s">
        <v>27</v>
      </c>
      <c r="D334" s="47" t="s">
        <v>12</v>
      </c>
      <c r="E334" s="37">
        <f>0.2+0.2</f>
        <v>0.4</v>
      </c>
      <c r="F334" s="31">
        <v>16.4255</v>
      </c>
      <c r="G334" s="34">
        <f t="shared" si="5"/>
        <v>6.5701999999999998</v>
      </c>
      <c r="H334" s="35"/>
      <c r="I334" s="31"/>
      <c r="J334" s="102">
        <v>0</v>
      </c>
    </row>
    <row r="335" spans="1:10" hidden="1" x14ac:dyDescent="0.25">
      <c r="A335" s="219"/>
      <c r="B335" s="237"/>
      <c r="C335" s="36" t="s">
        <v>23</v>
      </c>
      <c r="D335" s="47" t="s">
        <v>12</v>
      </c>
      <c r="E335" s="37">
        <v>0.1</v>
      </c>
      <c r="F335" s="31">
        <v>16.1785</v>
      </c>
      <c r="G335" s="34">
        <f t="shared" si="5"/>
        <v>1.61785</v>
      </c>
      <c r="H335" s="35"/>
      <c r="I335" s="31"/>
      <c r="J335" s="102">
        <v>0</v>
      </c>
    </row>
    <row r="336" spans="1:10" ht="25.5" hidden="1" x14ac:dyDescent="0.25">
      <c r="A336" s="219"/>
      <c r="B336" s="237"/>
      <c r="C336" s="36" t="s">
        <v>135</v>
      </c>
      <c r="D336" s="47" t="s">
        <v>42</v>
      </c>
      <c r="E336" s="37">
        <v>0.05</v>
      </c>
      <c r="F336" s="34">
        <v>0</v>
      </c>
      <c r="G336" s="34">
        <f t="shared" si="5"/>
        <v>0</v>
      </c>
      <c r="H336" s="35"/>
      <c r="I336" s="31"/>
      <c r="J336" s="102">
        <v>0</v>
      </c>
    </row>
    <row r="337" spans="1:10" ht="38.25" hidden="1" x14ac:dyDescent="0.25">
      <c r="A337" s="219"/>
      <c r="B337" s="237"/>
      <c r="C337" s="36" t="s">
        <v>136</v>
      </c>
      <c r="D337" s="47" t="s">
        <v>95</v>
      </c>
      <c r="E337" s="37">
        <v>0.05</v>
      </c>
      <c r="F337" s="34">
        <v>0</v>
      </c>
      <c r="G337" s="34">
        <f t="shared" si="5"/>
        <v>0</v>
      </c>
      <c r="H337" s="35"/>
      <c r="I337" s="31"/>
      <c r="J337" s="102">
        <v>0</v>
      </c>
    </row>
    <row r="338" spans="1:10" hidden="1" x14ac:dyDescent="0.25">
      <c r="A338" s="219"/>
      <c r="B338" s="237"/>
      <c r="C338" s="36" t="s">
        <v>137</v>
      </c>
      <c r="D338" s="47" t="s">
        <v>12</v>
      </c>
      <c r="E338" s="37">
        <v>2.5000000000000001E-2</v>
      </c>
      <c r="F338" s="34">
        <v>0</v>
      </c>
      <c r="G338" s="34">
        <f t="shared" si="5"/>
        <v>0</v>
      </c>
      <c r="H338" s="35"/>
      <c r="I338" s="31"/>
      <c r="J338" s="102">
        <v>0</v>
      </c>
    </row>
    <row r="339" spans="1:10" ht="51" hidden="1" x14ac:dyDescent="0.25">
      <c r="A339" s="219"/>
      <c r="B339" s="237"/>
      <c r="C339" s="36" t="s">
        <v>138</v>
      </c>
      <c r="D339" s="47" t="s">
        <v>12</v>
      </c>
      <c r="E339" s="37">
        <v>0.5</v>
      </c>
      <c r="F339" s="34">
        <v>0</v>
      </c>
      <c r="G339" s="34">
        <f t="shared" si="5"/>
        <v>0</v>
      </c>
      <c r="H339" s="35"/>
      <c r="I339" s="31"/>
      <c r="J339" s="102">
        <v>0</v>
      </c>
    </row>
    <row r="340" spans="1:10" ht="15.75" hidden="1" thickBot="1" x14ac:dyDescent="0.3">
      <c r="A340" s="220"/>
      <c r="B340" s="223"/>
      <c r="C340" s="36"/>
      <c r="D340" s="36"/>
      <c r="E340" s="37"/>
      <c r="F340" s="31" t="s">
        <v>522</v>
      </c>
      <c r="G340" s="31" t="str">
        <f t="shared" si="5"/>
        <v/>
      </c>
      <c r="H340" s="35"/>
      <c r="I340" s="31"/>
      <c r="J340" s="102">
        <v>0</v>
      </c>
    </row>
    <row r="341" spans="1:10" ht="15.75" hidden="1" thickBot="1" x14ac:dyDescent="0.3">
      <c r="A341" s="218" t="s">
        <v>139</v>
      </c>
      <c r="B341" s="221" t="e">
        <f>INDEX(#REF!,MATCH(Composições!A341,#REF!,0),2)</f>
        <v>#REF!</v>
      </c>
      <c r="C341" s="41"/>
      <c r="D341" s="26" t="s">
        <v>95</v>
      </c>
      <c r="E341" s="27"/>
      <c r="F341" s="42" t="s">
        <v>522</v>
      </c>
      <c r="G341" s="28" t="str">
        <f t="shared" si="5"/>
        <v/>
      </c>
      <c r="H341" s="29"/>
      <c r="I341" s="30"/>
      <c r="J341" s="102">
        <v>0</v>
      </c>
    </row>
    <row r="342" spans="1:10" hidden="1" x14ac:dyDescent="0.25">
      <c r="A342" s="219"/>
      <c r="B342" s="237"/>
      <c r="C342" s="32"/>
      <c r="D342" s="32"/>
      <c r="E342" s="33"/>
      <c r="F342" s="43" t="s">
        <v>522</v>
      </c>
      <c r="G342" s="31" t="str">
        <f t="shared" si="5"/>
        <v/>
      </c>
      <c r="H342" s="35"/>
      <c r="I342" s="31"/>
      <c r="J342" s="102">
        <v>0</v>
      </c>
    </row>
    <row r="343" spans="1:10" ht="25.5" hidden="1" x14ac:dyDescent="0.25">
      <c r="A343" s="219"/>
      <c r="B343" s="237"/>
      <c r="C343" s="36" t="s">
        <v>1151</v>
      </c>
      <c r="D343" s="50" t="s">
        <v>102</v>
      </c>
      <c r="E343" s="37">
        <v>0.01</v>
      </c>
      <c r="F343" s="34">
        <v>7.1535000000000002</v>
      </c>
      <c r="G343" s="34">
        <f t="shared" si="5"/>
        <v>7.1535000000000001E-2</v>
      </c>
      <c r="H343" s="39">
        <f>SUM(G343:G349)</f>
        <v>182.04809184200002</v>
      </c>
      <c r="I343" s="40"/>
      <c r="J343" s="102">
        <v>0</v>
      </c>
    </row>
    <row r="344" spans="1:10" ht="25.5" hidden="1" x14ac:dyDescent="0.25">
      <c r="A344" s="219"/>
      <c r="B344" s="237"/>
      <c r="C344" s="36" t="s">
        <v>2374</v>
      </c>
      <c r="D344" s="36" t="s">
        <v>479</v>
      </c>
      <c r="E344" s="37">
        <v>0.47399999999999998</v>
      </c>
      <c r="F344" s="34">
        <v>19.997499999999999</v>
      </c>
      <c r="G344" s="34">
        <f t="shared" si="5"/>
        <v>9.4788149999999991</v>
      </c>
      <c r="H344" s="35"/>
      <c r="I344" s="31"/>
      <c r="J344" s="102">
        <v>0</v>
      </c>
    </row>
    <row r="345" spans="1:10" hidden="1" x14ac:dyDescent="0.25">
      <c r="A345" s="219"/>
      <c r="B345" s="237"/>
      <c r="C345" s="36" t="s">
        <v>1796</v>
      </c>
      <c r="D345" s="36" t="s">
        <v>898</v>
      </c>
      <c r="E345" s="37">
        <v>4.9000000000000002E-2</v>
      </c>
      <c r="F345" s="34">
        <v>27.3125</v>
      </c>
      <c r="G345" s="34">
        <f t="shared" si="5"/>
        <v>1.3383125</v>
      </c>
      <c r="H345" s="35"/>
      <c r="I345" s="31"/>
      <c r="J345" s="102">
        <v>0</v>
      </c>
    </row>
    <row r="346" spans="1:10" hidden="1" x14ac:dyDescent="0.25">
      <c r="A346" s="219"/>
      <c r="B346" s="237"/>
      <c r="C346" s="36" t="s">
        <v>786</v>
      </c>
      <c r="D346" s="36" t="s">
        <v>703</v>
      </c>
      <c r="E346" s="37">
        <v>0.20499999999999999</v>
      </c>
      <c r="F346" s="31">
        <v>17.071499999999997</v>
      </c>
      <c r="G346" s="34">
        <f t="shared" si="5"/>
        <v>3.4996574999999992</v>
      </c>
      <c r="H346" s="35"/>
      <c r="I346" s="31"/>
      <c r="J346" s="102">
        <v>0</v>
      </c>
    </row>
    <row r="347" spans="1:10" hidden="1" x14ac:dyDescent="0.25">
      <c r="A347" s="219"/>
      <c r="B347" s="237"/>
      <c r="C347" s="36" t="s">
        <v>993</v>
      </c>
      <c r="D347" s="36" t="s">
        <v>703</v>
      </c>
      <c r="E347" s="37">
        <v>1.1200000000000001</v>
      </c>
      <c r="F347" s="31">
        <v>21.2515</v>
      </c>
      <c r="G347" s="34">
        <f t="shared" si="5"/>
        <v>23.801680000000001</v>
      </c>
      <c r="H347" s="35"/>
      <c r="I347" s="31"/>
      <c r="J347" s="102">
        <v>0</v>
      </c>
    </row>
    <row r="348" spans="1:10" ht="25.5" hidden="1" x14ac:dyDescent="0.25">
      <c r="A348" s="219"/>
      <c r="B348" s="237"/>
      <c r="C348" s="36" t="s">
        <v>2000</v>
      </c>
      <c r="D348" s="36" t="s">
        <v>992</v>
      </c>
      <c r="E348" s="37">
        <v>0.621</v>
      </c>
      <c r="F348" s="34">
        <v>120.09858200000001</v>
      </c>
      <c r="G348" s="34">
        <f t="shared" si="5"/>
        <v>74.581219422000004</v>
      </c>
      <c r="H348" s="35"/>
      <c r="I348" s="31"/>
      <c r="J348" s="102">
        <v>0</v>
      </c>
    </row>
    <row r="349" spans="1:10" ht="25.5" hidden="1" x14ac:dyDescent="0.25">
      <c r="A349" s="219"/>
      <c r="B349" s="237"/>
      <c r="C349" s="36" t="s">
        <v>2001</v>
      </c>
      <c r="D349" s="36" t="s">
        <v>479</v>
      </c>
      <c r="E349" s="37">
        <v>1.8160000000000001</v>
      </c>
      <c r="F349" s="34">
        <v>38.1480575</v>
      </c>
      <c r="G349" s="34">
        <f t="shared" si="5"/>
        <v>69.276872420000004</v>
      </c>
      <c r="H349" s="35"/>
      <c r="I349" s="31"/>
      <c r="J349" s="102">
        <v>0</v>
      </c>
    </row>
    <row r="350" spans="1:10" ht="15.75" hidden="1" thickBot="1" x14ac:dyDescent="0.3">
      <c r="A350" s="220"/>
      <c r="B350" s="223"/>
      <c r="C350" s="36"/>
      <c r="D350" s="36"/>
      <c r="E350" s="37"/>
      <c r="F350" s="31" t="s">
        <v>522</v>
      </c>
      <c r="G350" s="31" t="str">
        <f t="shared" si="5"/>
        <v/>
      </c>
      <c r="H350" s="35"/>
      <c r="I350" s="31"/>
      <c r="J350" s="102">
        <v>0</v>
      </c>
    </row>
    <row r="351" spans="1:10" ht="15.75" hidden="1" thickBot="1" x14ac:dyDescent="0.3">
      <c r="A351" s="218" t="s">
        <v>140</v>
      </c>
      <c r="B351" s="221" t="e">
        <f>INDEX(#REF!,MATCH(Composições!A351,#REF!,0),2)</f>
        <v>#REF!</v>
      </c>
      <c r="C351" s="41"/>
      <c r="D351" s="26" t="s">
        <v>93</v>
      </c>
      <c r="E351" s="27"/>
      <c r="F351" s="42" t="s">
        <v>522</v>
      </c>
      <c r="G351" s="28" t="str">
        <f t="shared" si="5"/>
        <v/>
      </c>
      <c r="H351" s="29"/>
      <c r="I351" s="30"/>
      <c r="J351" s="102">
        <v>0</v>
      </c>
    </row>
    <row r="352" spans="1:10" hidden="1" x14ac:dyDescent="0.25">
      <c r="A352" s="224"/>
      <c r="B352" s="237"/>
      <c r="C352" s="32"/>
      <c r="D352" s="32"/>
      <c r="E352" s="33"/>
      <c r="F352" s="43" t="s">
        <v>522</v>
      </c>
      <c r="G352" s="31" t="str">
        <f t="shared" si="5"/>
        <v/>
      </c>
      <c r="H352" s="35"/>
      <c r="I352" s="31"/>
      <c r="J352" s="102">
        <v>0</v>
      </c>
    </row>
    <row r="353" spans="1:10" hidden="1" x14ac:dyDescent="0.25">
      <c r="A353" s="224"/>
      <c r="B353" s="237"/>
      <c r="C353" s="36" t="s">
        <v>23</v>
      </c>
      <c r="D353" s="47" t="s">
        <v>12</v>
      </c>
      <c r="E353" s="37">
        <v>0.4</v>
      </c>
      <c r="F353" s="31">
        <v>16.1785</v>
      </c>
      <c r="G353" s="34">
        <f t="shared" si="5"/>
        <v>6.4714</v>
      </c>
      <c r="H353" s="39">
        <f>SUM(G353:G361)</f>
        <v>25.677624954999999</v>
      </c>
      <c r="I353" s="40"/>
      <c r="J353" s="102">
        <v>0</v>
      </c>
    </row>
    <row r="354" spans="1:10" hidden="1" x14ac:dyDescent="0.25">
      <c r="A354" s="224"/>
      <c r="B354" s="237"/>
      <c r="C354" s="36" t="s">
        <v>141</v>
      </c>
      <c r="D354" s="47" t="s">
        <v>12</v>
      </c>
      <c r="E354" s="37">
        <v>0.3</v>
      </c>
      <c r="F354" s="31">
        <v>21.479499999999998</v>
      </c>
      <c r="G354" s="34">
        <f t="shared" si="5"/>
        <v>6.4438499999999994</v>
      </c>
      <c r="H354" s="35"/>
      <c r="I354" s="31"/>
      <c r="J354" s="102">
        <v>0</v>
      </c>
    </row>
    <row r="355" spans="1:10" hidden="1" x14ac:dyDescent="0.25">
      <c r="A355" s="224"/>
      <c r="B355" s="237"/>
      <c r="C355" s="36" t="s">
        <v>113</v>
      </c>
      <c r="D355" s="36" t="s">
        <v>109</v>
      </c>
      <c r="E355" s="37">
        <v>0.01</v>
      </c>
      <c r="F355" s="34">
        <v>142.5</v>
      </c>
      <c r="G355" s="34">
        <f t="shared" si="5"/>
        <v>1.425</v>
      </c>
      <c r="H355" s="35"/>
      <c r="I355" s="31"/>
      <c r="J355" s="102">
        <v>0</v>
      </c>
    </row>
    <row r="356" spans="1:10" hidden="1" x14ac:dyDescent="0.25">
      <c r="A356" s="224"/>
      <c r="B356" s="237"/>
      <c r="C356" s="36" t="s">
        <v>142</v>
      </c>
      <c r="D356" s="36" t="s">
        <v>109</v>
      </c>
      <c r="E356" s="37">
        <v>0.01</v>
      </c>
      <c r="F356" s="34">
        <v>142.5</v>
      </c>
      <c r="G356" s="34">
        <f t="shared" si="5"/>
        <v>1.425</v>
      </c>
      <c r="H356" s="35"/>
      <c r="I356" s="31"/>
      <c r="J356" s="102">
        <v>0</v>
      </c>
    </row>
    <row r="357" spans="1:10" hidden="1" x14ac:dyDescent="0.25">
      <c r="A357" s="224"/>
      <c r="B357" s="237"/>
      <c r="C357" s="36" t="s">
        <v>114</v>
      </c>
      <c r="D357" s="47" t="s">
        <v>42</v>
      </c>
      <c r="E357" s="37">
        <v>2.0099999999999998</v>
      </c>
      <c r="F357" s="34">
        <v>0.58899999999999997</v>
      </c>
      <c r="G357" s="34">
        <f t="shared" si="5"/>
        <v>1.1838899999999999</v>
      </c>
      <c r="H357" s="35"/>
      <c r="I357" s="31"/>
      <c r="J357" s="102">
        <v>0</v>
      </c>
    </row>
    <row r="358" spans="1:10" hidden="1" x14ac:dyDescent="0.25">
      <c r="A358" s="224"/>
      <c r="B358" s="237"/>
      <c r="C358" s="36" t="s">
        <v>143</v>
      </c>
      <c r="D358" s="47" t="s">
        <v>144</v>
      </c>
      <c r="E358" s="37">
        <v>2.5</v>
      </c>
      <c r="F358" s="31">
        <v>0.95</v>
      </c>
      <c r="G358" s="34">
        <f t="shared" si="5"/>
        <v>2.375</v>
      </c>
      <c r="H358" s="35"/>
      <c r="I358" s="31"/>
      <c r="J358" s="102">
        <v>0</v>
      </c>
    </row>
    <row r="359" spans="1:10" hidden="1" x14ac:dyDescent="0.25">
      <c r="A359" s="224"/>
      <c r="B359" s="237"/>
      <c r="C359" s="36" t="s">
        <v>145</v>
      </c>
      <c r="D359" s="47" t="s">
        <v>42</v>
      </c>
      <c r="E359" s="37">
        <v>0.5</v>
      </c>
      <c r="F359" s="34">
        <v>10.535499999999999</v>
      </c>
      <c r="G359" s="34">
        <f t="shared" si="5"/>
        <v>5.2677499999999995</v>
      </c>
      <c r="H359" s="35"/>
      <c r="I359" s="31"/>
      <c r="J359" s="102">
        <v>0</v>
      </c>
    </row>
    <row r="360" spans="1:10" ht="51" hidden="1" x14ac:dyDescent="0.25">
      <c r="A360" s="224"/>
      <c r="B360" s="237"/>
      <c r="C360" s="36" t="s">
        <v>1914</v>
      </c>
      <c r="D360" s="36" t="s">
        <v>120</v>
      </c>
      <c r="E360" s="37">
        <f>1*(E355+E356)</f>
        <v>0.02</v>
      </c>
      <c r="F360" s="34">
        <v>7.0254067499999993</v>
      </c>
      <c r="G360" s="34">
        <f t="shared" si="5"/>
        <v>0.14050813499999998</v>
      </c>
      <c r="H360" s="35"/>
      <c r="I360" s="31"/>
      <c r="J360" s="102">
        <v>0</v>
      </c>
    </row>
    <row r="361" spans="1:10" ht="38.25" hidden="1" x14ac:dyDescent="0.25">
      <c r="A361" s="224"/>
      <c r="B361" s="237"/>
      <c r="C361" s="36" t="s">
        <v>121</v>
      </c>
      <c r="D361" s="47" t="s">
        <v>122</v>
      </c>
      <c r="E361" s="37">
        <f>(E355+E356)*20</f>
        <v>0.4</v>
      </c>
      <c r="F361" s="34">
        <v>2.3630670500000002</v>
      </c>
      <c r="G361" s="34">
        <f t="shared" si="5"/>
        <v>0.94522682000000013</v>
      </c>
      <c r="H361" s="35"/>
      <c r="I361" s="31"/>
      <c r="J361" s="102">
        <v>0</v>
      </c>
    </row>
    <row r="362" spans="1:10" hidden="1" x14ac:dyDescent="0.25">
      <c r="A362" s="224"/>
      <c r="B362" s="237"/>
      <c r="C362" s="51"/>
      <c r="D362" s="47"/>
      <c r="E362" s="37"/>
      <c r="F362" s="34" t="s">
        <v>522</v>
      </c>
      <c r="G362" s="34" t="str">
        <f t="shared" si="5"/>
        <v/>
      </c>
      <c r="H362" s="35"/>
      <c r="I362" s="31"/>
      <c r="J362" s="102">
        <v>0</v>
      </c>
    </row>
    <row r="363" spans="1:10" ht="25.5" hidden="1" x14ac:dyDescent="0.25">
      <c r="A363" s="224"/>
      <c r="B363" s="237"/>
      <c r="C363" s="48" t="s">
        <v>123</v>
      </c>
      <c r="D363" s="47"/>
      <c r="E363" s="37"/>
      <c r="F363" s="34" t="s">
        <v>522</v>
      </c>
      <c r="G363" s="34" t="str">
        <f t="shared" si="5"/>
        <v/>
      </c>
      <c r="H363" s="35"/>
      <c r="I363" s="31"/>
      <c r="J363" s="102">
        <v>0</v>
      </c>
    </row>
    <row r="364" spans="1:10" ht="15.75" hidden="1" thickBot="1" x14ac:dyDescent="0.3">
      <c r="A364" s="225"/>
      <c r="B364" s="223"/>
      <c r="C364" s="36"/>
      <c r="D364" s="36"/>
      <c r="E364" s="37"/>
      <c r="F364" s="31" t="s">
        <v>522</v>
      </c>
      <c r="G364" s="31" t="str">
        <f t="shared" si="5"/>
        <v/>
      </c>
      <c r="H364" s="35"/>
      <c r="I364" s="31"/>
      <c r="J364" s="102">
        <v>0</v>
      </c>
    </row>
    <row r="365" spans="1:10" ht="15.75" hidden="1" thickBot="1" x14ac:dyDescent="0.3">
      <c r="A365" s="218" t="s">
        <v>146</v>
      </c>
      <c r="B365" s="221" t="e">
        <f>INDEX(#REF!,MATCH(Composições!A365,#REF!,0),2)</f>
        <v>#REF!</v>
      </c>
      <c r="C365" s="41"/>
      <c r="D365" s="26" t="s">
        <v>95</v>
      </c>
      <c r="E365" s="27"/>
      <c r="F365" s="42" t="s">
        <v>522</v>
      </c>
      <c r="G365" s="28" t="str">
        <f t="shared" si="5"/>
        <v/>
      </c>
      <c r="H365" s="29"/>
      <c r="I365" s="30"/>
      <c r="J365" s="102">
        <v>0</v>
      </c>
    </row>
    <row r="366" spans="1:10" hidden="1" x14ac:dyDescent="0.25">
      <c r="A366" s="219"/>
      <c r="B366" s="237"/>
      <c r="C366" s="32"/>
      <c r="D366" s="32"/>
      <c r="E366" s="33"/>
      <c r="F366" s="43" t="s">
        <v>522</v>
      </c>
      <c r="G366" s="31" t="str">
        <f t="shared" si="5"/>
        <v/>
      </c>
      <c r="H366" s="35"/>
      <c r="I366" s="31"/>
      <c r="J366" s="102">
        <v>0</v>
      </c>
    </row>
    <row r="367" spans="1:10" ht="25.5" hidden="1" x14ac:dyDescent="0.25">
      <c r="A367" s="219"/>
      <c r="B367" s="237"/>
      <c r="C367" s="36" t="s">
        <v>147</v>
      </c>
      <c r="D367" s="36" t="s">
        <v>42</v>
      </c>
      <c r="E367" s="37">
        <v>3.2</v>
      </c>
      <c r="F367" s="34">
        <v>3.4104999999999999</v>
      </c>
      <c r="G367" s="31">
        <f t="shared" si="5"/>
        <v>10.913600000000001</v>
      </c>
      <c r="H367" s="39">
        <f>SUM(G367:G369)</f>
        <v>24.181338</v>
      </c>
      <c r="I367" s="40"/>
      <c r="J367" s="102">
        <v>0</v>
      </c>
    </row>
    <row r="368" spans="1:10" hidden="1" x14ac:dyDescent="0.25">
      <c r="A368" s="219"/>
      <c r="B368" s="237"/>
      <c r="C368" s="36" t="s">
        <v>50</v>
      </c>
      <c r="D368" s="50" t="s">
        <v>12</v>
      </c>
      <c r="E368" s="37">
        <v>0.108</v>
      </c>
      <c r="F368" s="31">
        <v>17.042999999999999</v>
      </c>
      <c r="G368" s="31">
        <f t="shared" si="5"/>
        <v>1.8406439999999999</v>
      </c>
      <c r="H368" s="35"/>
      <c r="I368" s="31"/>
      <c r="J368" s="102">
        <v>0</v>
      </c>
    </row>
    <row r="369" spans="1:10" hidden="1" x14ac:dyDescent="0.25">
      <c r="A369" s="219"/>
      <c r="B369" s="237"/>
      <c r="C369" s="36" t="s">
        <v>148</v>
      </c>
      <c r="D369" s="50" t="s">
        <v>12</v>
      </c>
      <c r="E369" s="37">
        <v>0.53200000000000003</v>
      </c>
      <c r="F369" s="31">
        <v>21.479499999999998</v>
      </c>
      <c r="G369" s="31">
        <f t="shared" si="5"/>
        <v>11.427094</v>
      </c>
      <c r="H369" s="35"/>
      <c r="I369" s="31"/>
      <c r="J369" s="102">
        <v>0</v>
      </c>
    </row>
    <row r="370" spans="1:10" ht="15.75" hidden="1" thickBot="1" x14ac:dyDescent="0.3">
      <c r="A370" s="220"/>
      <c r="B370" s="223"/>
      <c r="C370" s="36"/>
      <c r="D370" s="36"/>
      <c r="E370" s="37"/>
      <c r="F370" s="31" t="s">
        <v>522</v>
      </c>
      <c r="G370" s="31" t="str">
        <f t="shared" si="5"/>
        <v/>
      </c>
      <c r="H370" s="35"/>
      <c r="I370" s="31"/>
      <c r="J370" s="102">
        <v>0</v>
      </c>
    </row>
    <row r="371" spans="1:10" ht="15.75" hidden="1" thickBot="1" x14ac:dyDescent="0.3">
      <c r="A371" s="218" t="s">
        <v>149</v>
      </c>
      <c r="B371" s="221" t="e">
        <f>INDEX(#REF!,MATCH(Composições!A371,#REF!,0),2)</f>
        <v>#REF!</v>
      </c>
      <c r="C371" s="41"/>
      <c r="D371" s="26" t="s">
        <v>95</v>
      </c>
      <c r="E371" s="27"/>
      <c r="F371" s="42" t="s">
        <v>522</v>
      </c>
      <c r="G371" s="28" t="str">
        <f t="shared" si="5"/>
        <v/>
      </c>
      <c r="H371" s="29"/>
      <c r="I371" s="30"/>
      <c r="J371" s="102">
        <v>0</v>
      </c>
    </row>
    <row r="372" spans="1:10" hidden="1" x14ac:dyDescent="0.25">
      <c r="A372" s="219"/>
      <c r="B372" s="237"/>
      <c r="C372" s="32"/>
      <c r="D372" s="32"/>
      <c r="E372" s="33"/>
      <c r="F372" s="43" t="s">
        <v>522</v>
      </c>
      <c r="G372" s="31" t="str">
        <f t="shared" si="5"/>
        <v/>
      </c>
      <c r="H372" s="35"/>
      <c r="I372" s="31"/>
      <c r="J372" s="102">
        <v>0</v>
      </c>
    </row>
    <row r="373" spans="1:10" ht="25.5" hidden="1" x14ac:dyDescent="0.25">
      <c r="A373" s="219"/>
      <c r="B373" s="237"/>
      <c r="C373" s="36" t="s">
        <v>2491</v>
      </c>
      <c r="D373" s="36" t="s">
        <v>20</v>
      </c>
      <c r="E373" s="37">
        <v>28.31</v>
      </c>
      <c r="F373" s="34">
        <v>0.75049999999999994</v>
      </c>
      <c r="G373" s="34">
        <f t="shared" si="5"/>
        <v>21.246654999999997</v>
      </c>
      <c r="H373" s="39">
        <f>SUM(G373:G378)</f>
        <v>75.789287066954799</v>
      </c>
      <c r="I373" s="40"/>
      <c r="J373" s="102">
        <v>0</v>
      </c>
    </row>
    <row r="374" spans="1:10" ht="25.5" hidden="1" x14ac:dyDescent="0.25">
      <c r="A374" s="219"/>
      <c r="B374" s="237"/>
      <c r="C374" s="36" t="s">
        <v>151</v>
      </c>
      <c r="D374" s="47" t="s">
        <v>93</v>
      </c>
      <c r="E374" s="37">
        <v>0.42</v>
      </c>
      <c r="F374" s="34">
        <v>3.4579999999999997</v>
      </c>
      <c r="G374" s="34">
        <f t="shared" si="5"/>
        <v>1.4523599999999999</v>
      </c>
      <c r="H374" s="35"/>
      <c r="I374" s="31"/>
      <c r="J374" s="102">
        <v>0</v>
      </c>
    </row>
    <row r="375" spans="1:10" hidden="1" x14ac:dyDescent="0.25">
      <c r="A375" s="219"/>
      <c r="B375" s="237"/>
      <c r="C375" s="36" t="s">
        <v>152</v>
      </c>
      <c r="D375" s="47" t="s">
        <v>153</v>
      </c>
      <c r="E375" s="37">
        <v>5.0000000000000001E-3</v>
      </c>
      <c r="F375" s="34">
        <v>38.741</v>
      </c>
      <c r="G375" s="34">
        <f t="shared" si="5"/>
        <v>0.19370500000000002</v>
      </c>
      <c r="H375" s="35"/>
      <c r="I375" s="31"/>
      <c r="J375" s="102">
        <v>0</v>
      </c>
    </row>
    <row r="376" spans="1:10" ht="51" hidden="1" x14ac:dyDescent="0.25">
      <c r="A376" s="219"/>
      <c r="B376" s="237"/>
      <c r="C376" s="36" t="s">
        <v>154</v>
      </c>
      <c r="D376" s="47" t="s">
        <v>109</v>
      </c>
      <c r="E376" s="37">
        <v>9.1000000000000004E-3</v>
      </c>
      <c r="F376" s="34">
        <v>581.41533702799995</v>
      </c>
      <c r="G376" s="34">
        <f t="shared" si="5"/>
        <v>5.2908795669547999</v>
      </c>
      <c r="H376" s="35"/>
      <c r="I376" s="31"/>
      <c r="J376" s="102">
        <v>0</v>
      </c>
    </row>
    <row r="377" spans="1:10" hidden="1" x14ac:dyDescent="0.25">
      <c r="A377" s="219"/>
      <c r="B377" s="237"/>
      <c r="C377" s="36" t="s">
        <v>22</v>
      </c>
      <c r="D377" s="47" t="s">
        <v>12</v>
      </c>
      <c r="E377" s="37">
        <v>1.61</v>
      </c>
      <c r="F377" s="31">
        <v>21.479499999999998</v>
      </c>
      <c r="G377" s="31">
        <f t="shared" si="5"/>
        <v>34.581994999999999</v>
      </c>
      <c r="H377" s="35"/>
      <c r="I377" s="31"/>
      <c r="J377" s="102">
        <v>0</v>
      </c>
    </row>
    <row r="378" spans="1:10" hidden="1" x14ac:dyDescent="0.25">
      <c r="A378" s="219"/>
      <c r="B378" s="237"/>
      <c r="C378" s="36" t="s">
        <v>23</v>
      </c>
      <c r="D378" s="47" t="s">
        <v>12</v>
      </c>
      <c r="E378" s="37">
        <v>0.80500000000000005</v>
      </c>
      <c r="F378" s="31">
        <v>16.1785</v>
      </c>
      <c r="G378" s="31">
        <f t="shared" si="5"/>
        <v>13.023692500000001</v>
      </c>
      <c r="H378" s="35"/>
      <c r="I378" s="31"/>
      <c r="J378" s="102">
        <v>0</v>
      </c>
    </row>
    <row r="379" spans="1:10" ht="15.75" hidden="1" thickBot="1" x14ac:dyDescent="0.3">
      <c r="A379" s="220"/>
      <c r="B379" s="223"/>
      <c r="C379" s="36"/>
      <c r="D379" s="36"/>
      <c r="E379" s="37"/>
      <c r="F379" s="31" t="s">
        <v>522</v>
      </c>
      <c r="G379" s="31" t="str">
        <f t="shared" si="5"/>
        <v/>
      </c>
      <c r="H379" s="35"/>
      <c r="I379" s="31"/>
      <c r="J379" s="102">
        <v>0</v>
      </c>
    </row>
    <row r="380" spans="1:10" ht="15.75" hidden="1" thickBot="1" x14ac:dyDescent="0.3">
      <c r="A380" s="218" t="s">
        <v>155</v>
      </c>
      <c r="B380" s="221" t="e">
        <f>INDEX(#REF!,MATCH(Composições!A380,#REF!,0),2)</f>
        <v>#REF!</v>
      </c>
      <c r="C380" s="41"/>
      <c r="D380" s="26" t="s">
        <v>95</v>
      </c>
      <c r="E380" s="27"/>
      <c r="F380" s="42" t="s">
        <v>522</v>
      </c>
      <c r="G380" s="28" t="str">
        <f t="shared" si="5"/>
        <v/>
      </c>
      <c r="H380" s="29"/>
      <c r="I380" s="30"/>
      <c r="J380" s="102">
        <v>0</v>
      </c>
    </row>
    <row r="381" spans="1:10" hidden="1" x14ac:dyDescent="0.25">
      <c r="A381" s="219"/>
      <c r="B381" s="237"/>
      <c r="C381" s="32"/>
      <c r="D381" s="32"/>
      <c r="E381" s="33"/>
      <c r="F381" s="43" t="s">
        <v>522</v>
      </c>
      <c r="G381" s="31" t="str">
        <f t="shared" si="5"/>
        <v/>
      </c>
      <c r="H381" s="35"/>
      <c r="I381" s="31"/>
      <c r="J381" s="102">
        <v>0</v>
      </c>
    </row>
    <row r="382" spans="1:10" ht="25.5" hidden="1" x14ac:dyDescent="0.25">
      <c r="A382" s="219"/>
      <c r="B382" s="237"/>
      <c r="C382" s="36" t="s">
        <v>156</v>
      </c>
      <c r="D382" s="36" t="s">
        <v>153</v>
      </c>
      <c r="E382" s="37">
        <v>2.4299999999999999E-2</v>
      </c>
      <c r="F382" s="34">
        <v>45.048999999999999</v>
      </c>
      <c r="G382" s="34">
        <f t="shared" si="5"/>
        <v>1.0946906999999999</v>
      </c>
      <c r="H382" s="39">
        <f>SUM(G382:G392)</f>
        <v>54.913368699999999</v>
      </c>
      <c r="I382" s="40"/>
      <c r="J382" s="102">
        <v>0</v>
      </c>
    </row>
    <row r="383" spans="1:10" ht="25.5" hidden="1" x14ac:dyDescent="0.25">
      <c r="A383" s="219"/>
      <c r="B383" s="237"/>
      <c r="C383" s="36" t="s">
        <v>2011</v>
      </c>
      <c r="D383" s="36" t="s">
        <v>95</v>
      </c>
      <c r="E383" s="37">
        <v>1.0529999999999999</v>
      </c>
      <c r="F383" s="34">
        <v>16.149999999999999</v>
      </c>
      <c r="G383" s="34">
        <f t="shared" si="5"/>
        <v>17.005949999999999</v>
      </c>
      <c r="H383" s="45"/>
      <c r="I383" s="46"/>
      <c r="J383" s="102">
        <v>0</v>
      </c>
    </row>
    <row r="384" spans="1:10" ht="25.5" hidden="1" x14ac:dyDescent="0.25">
      <c r="A384" s="219"/>
      <c r="B384" s="237"/>
      <c r="C384" s="36" t="s">
        <v>157</v>
      </c>
      <c r="D384" s="36" t="s">
        <v>93</v>
      </c>
      <c r="E384" s="37">
        <v>0.76039999999999996</v>
      </c>
      <c r="F384" s="34">
        <v>8.2174999999999994</v>
      </c>
      <c r="G384" s="34">
        <f t="shared" si="5"/>
        <v>6.2485869999999988</v>
      </c>
      <c r="H384" s="45"/>
      <c r="I384" s="46"/>
      <c r="J384" s="102">
        <v>0</v>
      </c>
    </row>
    <row r="385" spans="1:10" ht="25.5" hidden="1" x14ac:dyDescent="0.25">
      <c r="A385" s="219"/>
      <c r="B385" s="237"/>
      <c r="C385" s="36" t="s">
        <v>158</v>
      </c>
      <c r="D385" s="36" t="s">
        <v>93</v>
      </c>
      <c r="E385" s="37">
        <v>1.9910000000000001</v>
      </c>
      <c r="F385" s="34">
        <v>9.3290000000000006</v>
      </c>
      <c r="G385" s="34">
        <f t="shared" si="5"/>
        <v>18.574039000000003</v>
      </c>
      <c r="H385" s="45"/>
      <c r="I385" s="46"/>
      <c r="J385" s="102">
        <v>0</v>
      </c>
    </row>
    <row r="386" spans="1:10" ht="25.5" hidden="1" x14ac:dyDescent="0.25">
      <c r="A386" s="219"/>
      <c r="B386" s="237"/>
      <c r="C386" s="36" t="s">
        <v>159</v>
      </c>
      <c r="D386" s="36" t="s">
        <v>93</v>
      </c>
      <c r="E386" s="37">
        <v>1.2513000000000001</v>
      </c>
      <c r="F386" s="34">
        <v>0.247</v>
      </c>
      <c r="G386" s="34">
        <f t="shared" si="5"/>
        <v>0.30907110000000004</v>
      </c>
      <c r="H386" s="45"/>
      <c r="I386" s="46"/>
      <c r="J386" s="102">
        <v>0</v>
      </c>
    </row>
    <row r="387" spans="1:10" ht="25.5" hidden="1" x14ac:dyDescent="0.25">
      <c r="A387" s="219"/>
      <c r="B387" s="237"/>
      <c r="C387" s="36" t="s">
        <v>160</v>
      </c>
      <c r="D387" s="36" t="s">
        <v>93</v>
      </c>
      <c r="E387" s="37">
        <v>0.74070000000000003</v>
      </c>
      <c r="F387" s="34">
        <v>2.2324999999999999</v>
      </c>
      <c r="G387" s="34">
        <f t="shared" si="5"/>
        <v>1.65361275</v>
      </c>
      <c r="H387" s="45"/>
      <c r="I387" s="46"/>
      <c r="J387" s="102">
        <v>0</v>
      </c>
    </row>
    <row r="388" spans="1:10" ht="38.25" hidden="1" x14ac:dyDescent="0.25">
      <c r="A388" s="219"/>
      <c r="B388" s="237"/>
      <c r="C388" s="36" t="s">
        <v>2009</v>
      </c>
      <c r="D388" s="36" t="s">
        <v>42</v>
      </c>
      <c r="E388" s="37">
        <v>0.51639999999999997</v>
      </c>
      <c r="F388" s="34">
        <v>2.7929999999999997</v>
      </c>
      <c r="G388" s="34">
        <f t="shared" si="5"/>
        <v>1.4423051999999998</v>
      </c>
      <c r="H388" s="45"/>
      <c r="I388" s="46"/>
      <c r="J388" s="102">
        <v>0</v>
      </c>
    </row>
    <row r="389" spans="1:10" ht="25.5" hidden="1" x14ac:dyDescent="0.25">
      <c r="A389" s="219"/>
      <c r="B389" s="237"/>
      <c r="C389" s="36" t="s">
        <v>161</v>
      </c>
      <c r="D389" s="36" t="s">
        <v>20</v>
      </c>
      <c r="E389" s="37">
        <v>10.0039</v>
      </c>
      <c r="F389" s="34">
        <v>9.5000000000000001E-2</v>
      </c>
      <c r="G389" s="34">
        <f t="shared" si="5"/>
        <v>0.95037050000000001</v>
      </c>
      <c r="H389" s="45"/>
      <c r="I389" s="46"/>
      <c r="J389" s="102">
        <v>0</v>
      </c>
    </row>
    <row r="390" spans="1:10" ht="25.5" hidden="1" x14ac:dyDescent="0.25">
      <c r="A390" s="219"/>
      <c r="B390" s="237"/>
      <c r="C390" s="36" t="s">
        <v>162</v>
      </c>
      <c r="D390" s="36" t="s">
        <v>20</v>
      </c>
      <c r="E390" s="37">
        <v>0.80759999999999998</v>
      </c>
      <c r="F390" s="34">
        <v>0.23749999999999999</v>
      </c>
      <c r="G390" s="34">
        <f t="shared" ref="G390:G453" si="6">IF(ISNUMBER(F390),E390*F390,"")</f>
        <v>0.19180499999999998</v>
      </c>
      <c r="H390" s="45"/>
      <c r="I390" s="46"/>
      <c r="J390" s="102">
        <v>0</v>
      </c>
    </row>
    <row r="391" spans="1:10" hidden="1" x14ac:dyDescent="0.25">
      <c r="A391" s="219"/>
      <c r="B391" s="237"/>
      <c r="C391" s="36" t="s">
        <v>27</v>
      </c>
      <c r="D391" s="36" t="s">
        <v>12</v>
      </c>
      <c r="E391" s="37">
        <v>0.36359999999999998</v>
      </c>
      <c r="F391" s="31">
        <v>16.4255</v>
      </c>
      <c r="G391" s="34">
        <f t="shared" si="6"/>
        <v>5.9723117999999991</v>
      </c>
      <c r="H391" s="45"/>
      <c r="I391" s="46"/>
      <c r="J391" s="102">
        <v>0</v>
      </c>
    </row>
    <row r="392" spans="1:10" hidden="1" x14ac:dyDescent="0.25">
      <c r="A392" s="219"/>
      <c r="B392" s="237"/>
      <c r="C392" s="36" t="s">
        <v>23</v>
      </c>
      <c r="D392" s="36" t="s">
        <v>12</v>
      </c>
      <c r="E392" s="37">
        <v>9.0899999999999995E-2</v>
      </c>
      <c r="F392" s="31">
        <v>16.1785</v>
      </c>
      <c r="G392" s="34">
        <f t="shared" si="6"/>
        <v>1.4706256499999999</v>
      </c>
      <c r="H392" s="45"/>
      <c r="I392" s="46"/>
      <c r="J392" s="102">
        <v>0</v>
      </c>
    </row>
    <row r="393" spans="1:10" ht="15.75" hidden="1" thickBot="1" x14ac:dyDescent="0.3">
      <c r="A393" s="220"/>
      <c r="B393" s="223"/>
      <c r="C393" s="36"/>
      <c r="D393" s="36"/>
      <c r="E393" s="37"/>
      <c r="F393" s="31" t="s">
        <v>522</v>
      </c>
      <c r="G393" s="31" t="str">
        <f t="shared" si="6"/>
        <v/>
      </c>
      <c r="H393" s="35"/>
      <c r="I393" s="31"/>
      <c r="J393" s="102">
        <v>0</v>
      </c>
    </row>
    <row r="394" spans="1:10" ht="15.75" hidden="1" thickBot="1" x14ac:dyDescent="0.3">
      <c r="A394" s="218" t="s">
        <v>163</v>
      </c>
      <c r="B394" s="221" t="e">
        <f>INDEX(#REF!,MATCH(Composições!A394,#REF!,0),2)</f>
        <v>#REF!</v>
      </c>
      <c r="C394" s="41"/>
      <c r="D394" s="26" t="s">
        <v>93</v>
      </c>
      <c r="E394" s="27"/>
      <c r="F394" s="42" t="s">
        <v>522</v>
      </c>
      <c r="G394" s="28" t="str">
        <f t="shared" si="6"/>
        <v/>
      </c>
      <c r="H394" s="29"/>
      <c r="I394" s="30"/>
      <c r="J394" s="102">
        <v>0</v>
      </c>
    </row>
    <row r="395" spans="1:10" hidden="1" x14ac:dyDescent="0.25">
      <c r="A395" s="219"/>
      <c r="B395" s="237"/>
      <c r="C395" s="32"/>
      <c r="D395" s="32"/>
      <c r="E395" s="33"/>
      <c r="F395" s="43" t="s">
        <v>522</v>
      </c>
      <c r="G395" s="31" t="str">
        <f t="shared" si="6"/>
        <v/>
      </c>
      <c r="H395" s="35"/>
      <c r="I395" s="31"/>
      <c r="J395" s="102">
        <v>0</v>
      </c>
    </row>
    <row r="396" spans="1:10" hidden="1" x14ac:dyDescent="0.25">
      <c r="A396" s="219"/>
      <c r="B396" s="237"/>
      <c r="C396" s="36" t="s">
        <v>1907</v>
      </c>
      <c r="D396" s="47" t="s">
        <v>20</v>
      </c>
      <c r="E396" s="37">
        <v>11.2</v>
      </c>
      <c r="F396" s="34">
        <v>0.63649999999999995</v>
      </c>
      <c r="G396" s="31">
        <f t="shared" si="6"/>
        <v>7.1287999999999991</v>
      </c>
      <c r="H396" s="39">
        <f>SUM(G396:G399)</f>
        <v>23.134635651968797</v>
      </c>
      <c r="I396" s="40"/>
      <c r="J396" s="102">
        <v>0</v>
      </c>
    </row>
    <row r="397" spans="1:10" ht="51" hidden="1" x14ac:dyDescent="0.25">
      <c r="A397" s="219"/>
      <c r="B397" s="237"/>
      <c r="C397" s="36" t="s">
        <v>164</v>
      </c>
      <c r="D397" s="47" t="s">
        <v>109</v>
      </c>
      <c r="E397" s="37">
        <v>5.1999999999999998E-3</v>
      </c>
      <c r="F397" s="34">
        <v>563.12675999399994</v>
      </c>
      <c r="G397" s="31">
        <f t="shared" si="6"/>
        <v>2.9282591519687995</v>
      </c>
      <c r="H397" s="45"/>
      <c r="I397" s="46"/>
      <c r="J397" s="102">
        <v>0</v>
      </c>
    </row>
    <row r="398" spans="1:10" hidden="1" x14ac:dyDescent="0.25">
      <c r="A398" s="219"/>
      <c r="B398" s="237"/>
      <c r="C398" s="36" t="s">
        <v>22</v>
      </c>
      <c r="D398" s="47" t="s">
        <v>12</v>
      </c>
      <c r="E398" s="37">
        <v>0.52900000000000003</v>
      </c>
      <c r="F398" s="31">
        <v>21.479499999999998</v>
      </c>
      <c r="G398" s="31">
        <f t="shared" si="6"/>
        <v>11.362655499999999</v>
      </c>
      <c r="H398" s="45"/>
      <c r="I398" s="46"/>
      <c r="J398" s="102">
        <v>0</v>
      </c>
    </row>
    <row r="399" spans="1:10" hidden="1" x14ac:dyDescent="0.25">
      <c r="A399" s="219"/>
      <c r="B399" s="237"/>
      <c r="C399" s="36" t="s">
        <v>23</v>
      </c>
      <c r="D399" s="47" t="s">
        <v>12</v>
      </c>
      <c r="E399" s="37">
        <v>0.106</v>
      </c>
      <c r="F399" s="31">
        <v>16.1785</v>
      </c>
      <c r="G399" s="31">
        <f t="shared" si="6"/>
        <v>1.7149209999999999</v>
      </c>
      <c r="H399" s="45"/>
      <c r="I399" s="46"/>
      <c r="J399" s="102">
        <v>0</v>
      </c>
    </row>
    <row r="400" spans="1:10" hidden="1" x14ac:dyDescent="0.25">
      <c r="A400" s="219"/>
      <c r="B400" s="237"/>
      <c r="C400" s="36"/>
      <c r="D400" s="47"/>
      <c r="E400" s="37"/>
      <c r="F400" s="34" t="s">
        <v>522</v>
      </c>
      <c r="G400" s="34" t="str">
        <f t="shared" si="6"/>
        <v/>
      </c>
      <c r="H400" s="45"/>
      <c r="I400" s="46"/>
      <c r="J400" s="102">
        <v>0</v>
      </c>
    </row>
    <row r="401" spans="1:10" ht="15.75" hidden="1" thickBot="1" x14ac:dyDescent="0.3">
      <c r="A401" s="218" t="s">
        <v>165</v>
      </c>
      <c r="B401" s="221" t="e">
        <f>INDEX(#REF!,MATCH(Composições!A401,#REF!,0),2)</f>
        <v>#REF!</v>
      </c>
      <c r="C401" s="41"/>
      <c r="D401" s="26" t="s">
        <v>95</v>
      </c>
      <c r="E401" s="27"/>
      <c r="F401" s="42" t="s">
        <v>522</v>
      </c>
      <c r="G401" s="28" t="str">
        <f t="shared" si="6"/>
        <v/>
      </c>
      <c r="H401" s="29"/>
      <c r="I401" s="30"/>
      <c r="J401" s="102">
        <v>0</v>
      </c>
    </row>
    <row r="402" spans="1:10" hidden="1" x14ac:dyDescent="0.25">
      <c r="A402" s="219"/>
      <c r="B402" s="237"/>
      <c r="C402" s="32"/>
      <c r="D402" s="32"/>
      <c r="E402" s="33"/>
      <c r="F402" s="43" t="s">
        <v>522</v>
      </c>
      <c r="G402" s="31" t="str">
        <f t="shared" si="6"/>
        <v/>
      </c>
      <c r="H402" s="35"/>
      <c r="I402" s="31"/>
      <c r="J402" s="102">
        <v>0</v>
      </c>
    </row>
    <row r="403" spans="1:10" ht="25.5" hidden="1" x14ac:dyDescent="0.25">
      <c r="A403" s="219"/>
      <c r="B403" s="237"/>
      <c r="C403" s="36" t="s">
        <v>166</v>
      </c>
      <c r="D403" s="47" t="s">
        <v>153</v>
      </c>
      <c r="E403" s="37">
        <v>2.4299999999999999E-2</v>
      </c>
      <c r="F403" s="34">
        <v>45.048999999999999</v>
      </c>
      <c r="G403" s="31">
        <f t="shared" si="6"/>
        <v>1.0946906999999999</v>
      </c>
      <c r="H403" s="39">
        <f>SUM(G403:G413)</f>
        <v>78.331630600000011</v>
      </c>
      <c r="I403" s="40"/>
      <c r="J403" s="102">
        <v>0</v>
      </c>
    </row>
    <row r="404" spans="1:10" ht="25.5" hidden="1" x14ac:dyDescent="0.25">
      <c r="A404" s="219"/>
      <c r="B404" s="237"/>
      <c r="C404" s="36" t="s">
        <v>2011</v>
      </c>
      <c r="D404" s="47" t="s">
        <v>95</v>
      </c>
      <c r="E404" s="37">
        <v>2.1059999999999999</v>
      </c>
      <c r="F404" s="34">
        <v>16.149999999999999</v>
      </c>
      <c r="G404" s="31">
        <f t="shared" si="6"/>
        <v>34.011899999999997</v>
      </c>
      <c r="H404" s="35"/>
      <c r="I404" s="31"/>
      <c r="J404" s="102">
        <v>0</v>
      </c>
    </row>
    <row r="405" spans="1:10" ht="25.5" hidden="1" x14ac:dyDescent="0.25">
      <c r="A405" s="219"/>
      <c r="B405" s="237"/>
      <c r="C405" s="36" t="s">
        <v>167</v>
      </c>
      <c r="D405" s="47" t="s">
        <v>93</v>
      </c>
      <c r="E405" s="37">
        <v>0.76039999999999996</v>
      </c>
      <c r="F405" s="34">
        <v>8.2174999999999994</v>
      </c>
      <c r="G405" s="31">
        <f t="shared" si="6"/>
        <v>6.2485869999999988</v>
      </c>
      <c r="H405" s="35"/>
      <c r="I405" s="31"/>
      <c r="J405" s="102">
        <v>0</v>
      </c>
    </row>
    <row r="406" spans="1:10" ht="25.5" hidden="1" x14ac:dyDescent="0.25">
      <c r="A406" s="219"/>
      <c r="B406" s="237"/>
      <c r="C406" s="36" t="s">
        <v>168</v>
      </c>
      <c r="D406" s="47" t="s">
        <v>93</v>
      </c>
      <c r="E406" s="37">
        <v>1.9910000000000001</v>
      </c>
      <c r="F406" s="34">
        <v>9.3290000000000006</v>
      </c>
      <c r="G406" s="31">
        <f t="shared" si="6"/>
        <v>18.574039000000003</v>
      </c>
      <c r="H406" s="35"/>
      <c r="I406" s="31"/>
      <c r="J406" s="102">
        <v>0</v>
      </c>
    </row>
    <row r="407" spans="1:10" ht="25.5" hidden="1" x14ac:dyDescent="0.25">
      <c r="A407" s="219"/>
      <c r="B407" s="237"/>
      <c r="C407" s="36" t="s">
        <v>169</v>
      </c>
      <c r="D407" s="47" t="s">
        <v>93</v>
      </c>
      <c r="E407" s="37">
        <v>2.5026999999999999</v>
      </c>
      <c r="F407" s="34">
        <v>0.247</v>
      </c>
      <c r="G407" s="31">
        <f t="shared" si="6"/>
        <v>0.61816689999999996</v>
      </c>
      <c r="H407" s="35"/>
      <c r="I407" s="31"/>
      <c r="J407" s="102">
        <v>0</v>
      </c>
    </row>
    <row r="408" spans="1:10" ht="25.5" hidden="1" x14ac:dyDescent="0.25">
      <c r="A408" s="219"/>
      <c r="B408" s="237"/>
      <c r="C408" s="36" t="s">
        <v>170</v>
      </c>
      <c r="D408" s="47" t="s">
        <v>93</v>
      </c>
      <c r="E408" s="37">
        <v>0.74070000000000003</v>
      </c>
      <c r="F408" s="34">
        <v>2.2324999999999999</v>
      </c>
      <c r="G408" s="31">
        <f t="shared" si="6"/>
        <v>1.65361275</v>
      </c>
      <c r="H408" s="35"/>
      <c r="I408" s="31"/>
      <c r="J408" s="102">
        <v>0</v>
      </c>
    </row>
    <row r="409" spans="1:10" ht="38.25" hidden="1" x14ac:dyDescent="0.25">
      <c r="A409" s="219"/>
      <c r="B409" s="237"/>
      <c r="C409" s="36" t="s">
        <v>2009</v>
      </c>
      <c r="D409" s="47" t="s">
        <v>42</v>
      </c>
      <c r="E409" s="37">
        <v>1.0327</v>
      </c>
      <c r="F409" s="34">
        <v>2.7929999999999997</v>
      </c>
      <c r="G409" s="31">
        <f t="shared" si="6"/>
        <v>2.8843310999999994</v>
      </c>
      <c r="H409" s="35"/>
      <c r="I409" s="31"/>
      <c r="J409" s="102">
        <v>0</v>
      </c>
    </row>
    <row r="410" spans="1:10" ht="25.5" hidden="1" x14ac:dyDescent="0.25">
      <c r="A410" s="219"/>
      <c r="B410" s="237"/>
      <c r="C410" s="36" t="s">
        <v>171</v>
      </c>
      <c r="D410" s="47" t="s">
        <v>20</v>
      </c>
      <c r="E410" s="37">
        <v>20.0077</v>
      </c>
      <c r="F410" s="34">
        <v>9.5000000000000001E-2</v>
      </c>
      <c r="G410" s="31">
        <f t="shared" si="6"/>
        <v>1.9007315</v>
      </c>
      <c r="H410" s="35"/>
      <c r="I410" s="31"/>
      <c r="J410" s="102">
        <v>0</v>
      </c>
    </row>
    <row r="411" spans="1:10" ht="25.5" hidden="1" x14ac:dyDescent="0.25">
      <c r="A411" s="219"/>
      <c r="B411" s="237"/>
      <c r="C411" s="36" t="s">
        <v>172</v>
      </c>
      <c r="D411" s="47" t="s">
        <v>20</v>
      </c>
      <c r="E411" s="37">
        <v>0.80759999999999998</v>
      </c>
      <c r="F411" s="34">
        <v>0.23749999999999999</v>
      </c>
      <c r="G411" s="31">
        <f t="shared" si="6"/>
        <v>0.19180499999999998</v>
      </c>
      <c r="H411" s="35"/>
      <c r="I411" s="31"/>
      <c r="J411" s="102">
        <v>0</v>
      </c>
    </row>
    <row r="412" spans="1:10" hidden="1" x14ac:dyDescent="0.25">
      <c r="A412" s="219"/>
      <c r="B412" s="237"/>
      <c r="C412" s="36" t="s">
        <v>27</v>
      </c>
      <c r="D412" s="47" t="s">
        <v>12</v>
      </c>
      <c r="E412" s="37">
        <v>0.54490000000000005</v>
      </c>
      <c r="F412" s="31">
        <v>16.4255</v>
      </c>
      <c r="G412" s="31">
        <f t="shared" si="6"/>
        <v>8.9502549499999997</v>
      </c>
      <c r="H412" s="35"/>
      <c r="I412" s="31"/>
      <c r="J412" s="102">
        <v>0</v>
      </c>
    </row>
    <row r="413" spans="1:10" hidden="1" x14ac:dyDescent="0.25">
      <c r="A413" s="219"/>
      <c r="B413" s="237"/>
      <c r="C413" s="36" t="s">
        <v>23</v>
      </c>
      <c r="D413" s="47" t="s">
        <v>12</v>
      </c>
      <c r="E413" s="37">
        <v>0.13619999999999999</v>
      </c>
      <c r="F413" s="31">
        <v>16.1785</v>
      </c>
      <c r="G413" s="31">
        <f t="shared" si="6"/>
        <v>2.2035117</v>
      </c>
      <c r="H413" s="35"/>
      <c r="I413" s="31"/>
      <c r="J413" s="102">
        <v>0</v>
      </c>
    </row>
    <row r="414" spans="1:10" ht="15.75" hidden="1" thickBot="1" x14ac:dyDescent="0.3">
      <c r="A414" s="220"/>
      <c r="B414" s="223"/>
      <c r="C414" s="36"/>
      <c r="D414" s="36"/>
      <c r="E414" s="37"/>
      <c r="F414" s="31" t="s">
        <v>522</v>
      </c>
      <c r="G414" s="31" t="str">
        <f t="shared" si="6"/>
        <v/>
      </c>
      <c r="H414" s="35"/>
      <c r="I414" s="31"/>
      <c r="J414" s="102">
        <v>0</v>
      </c>
    </row>
    <row r="415" spans="1:10" ht="15.75" hidden="1" thickBot="1" x14ac:dyDescent="0.3">
      <c r="A415" s="218" t="s">
        <v>173</v>
      </c>
      <c r="B415" s="221" t="e">
        <f>INDEX(#REF!,MATCH(Composições!A415,#REF!,0),2)</f>
        <v>#REF!</v>
      </c>
      <c r="C415" s="41"/>
      <c r="D415" s="26" t="s">
        <v>95</v>
      </c>
      <c r="E415" s="27"/>
      <c r="F415" s="42" t="s">
        <v>522</v>
      </c>
      <c r="G415" s="28" t="str">
        <f t="shared" si="6"/>
        <v/>
      </c>
      <c r="H415" s="29"/>
      <c r="I415" s="30"/>
      <c r="J415" s="102">
        <v>0</v>
      </c>
    </row>
    <row r="416" spans="1:10" hidden="1" x14ac:dyDescent="0.25">
      <c r="A416" s="219"/>
      <c r="B416" s="237"/>
      <c r="C416" s="32"/>
      <c r="D416" s="32"/>
      <c r="E416" s="33"/>
      <c r="F416" s="43" t="s">
        <v>522</v>
      </c>
      <c r="G416" s="31" t="str">
        <f t="shared" si="6"/>
        <v/>
      </c>
      <c r="H416" s="35"/>
      <c r="I416" s="31"/>
      <c r="J416" s="102">
        <v>0</v>
      </c>
    </row>
    <row r="417" spans="1:10" ht="25.5" hidden="1" x14ac:dyDescent="0.25">
      <c r="A417" s="219"/>
      <c r="B417" s="237"/>
      <c r="C417" s="36" t="s">
        <v>169</v>
      </c>
      <c r="D417" s="47" t="s">
        <v>93</v>
      </c>
      <c r="E417" s="37">
        <v>1.2513000000000001</v>
      </c>
      <c r="F417" s="34">
        <v>0.247</v>
      </c>
      <c r="G417" s="31">
        <f t="shared" si="6"/>
        <v>0.30907110000000004</v>
      </c>
      <c r="H417" s="39">
        <f>SUM(G417:G420)</f>
        <v>4.7710995</v>
      </c>
      <c r="I417" s="40"/>
      <c r="J417" s="102">
        <v>0</v>
      </c>
    </row>
    <row r="418" spans="1:10" ht="38.25" hidden="1" x14ac:dyDescent="0.25">
      <c r="A418" s="219"/>
      <c r="B418" s="237"/>
      <c r="C418" s="36" t="s">
        <v>2009</v>
      </c>
      <c r="D418" s="47" t="s">
        <v>42</v>
      </c>
      <c r="E418" s="37">
        <v>0.51639999999999997</v>
      </c>
      <c r="F418" s="34">
        <v>2.7929999999999997</v>
      </c>
      <c r="G418" s="31">
        <f t="shared" si="6"/>
        <v>1.4423051999999998</v>
      </c>
      <c r="H418" s="45"/>
      <c r="I418" s="46"/>
      <c r="J418" s="102">
        <v>0</v>
      </c>
    </row>
    <row r="419" spans="1:10" hidden="1" x14ac:dyDescent="0.25">
      <c r="A419" s="219"/>
      <c r="B419" s="237"/>
      <c r="C419" s="36" t="s">
        <v>27</v>
      </c>
      <c r="D419" s="47" t="s">
        <v>12</v>
      </c>
      <c r="E419" s="37">
        <f>0.3636/3</f>
        <v>0.12119999999999999</v>
      </c>
      <c r="F419" s="31">
        <v>16.4255</v>
      </c>
      <c r="G419" s="31">
        <f t="shared" si="6"/>
        <v>1.9907705999999998</v>
      </c>
      <c r="H419" s="45"/>
      <c r="I419" s="46"/>
      <c r="J419" s="102">
        <v>0</v>
      </c>
    </row>
    <row r="420" spans="1:10" hidden="1" x14ac:dyDescent="0.25">
      <c r="A420" s="219"/>
      <c r="B420" s="237"/>
      <c r="C420" s="36" t="s">
        <v>23</v>
      </c>
      <c r="D420" s="47" t="s">
        <v>12</v>
      </c>
      <c r="E420" s="37">
        <f>ROUND(0.0909*0.7,4)</f>
        <v>6.3600000000000004E-2</v>
      </c>
      <c r="F420" s="31">
        <v>16.1785</v>
      </c>
      <c r="G420" s="31">
        <f t="shared" si="6"/>
        <v>1.0289526</v>
      </c>
      <c r="H420" s="45"/>
      <c r="I420" s="46"/>
      <c r="J420" s="102">
        <v>0</v>
      </c>
    </row>
    <row r="421" spans="1:10" hidden="1" x14ac:dyDescent="0.25">
      <c r="A421" s="219"/>
      <c r="B421" s="237"/>
      <c r="C421" s="36"/>
      <c r="D421" s="47"/>
      <c r="E421" s="37"/>
      <c r="F421" s="34" t="s">
        <v>522</v>
      </c>
      <c r="G421" s="34" t="str">
        <f t="shared" si="6"/>
        <v/>
      </c>
      <c r="H421" s="45"/>
      <c r="I421" s="46"/>
      <c r="J421" s="102">
        <v>0</v>
      </c>
    </row>
    <row r="422" spans="1:10" ht="15.75" hidden="1" thickBot="1" x14ac:dyDescent="0.3">
      <c r="A422" s="218" t="s">
        <v>174</v>
      </c>
      <c r="B422" s="221" t="e">
        <f>INDEX(#REF!,MATCH(Composições!A422,#REF!,0),2)</f>
        <v>#REF!</v>
      </c>
      <c r="C422" s="41"/>
      <c r="D422" s="26" t="s">
        <v>95</v>
      </c>
      <c r="E422" s="27"/>
      <c r="F422" s="42" t="s">
        <v>522</v>
      </c>
      <c r="G422" s="28" t="str">
        <f t="shared" si="6"/>
        <v/>
      </c>
      <c r="H422" s="29"/>
      <c r="I422" s="30"/>
      <c r="J422" s="102">
        <v>0</v>
      </c>
    </row>
    <row r="423" spans="1:10" hidden="1" x14ac:dyDescent="0.25">
      <c r="A423" s="219"/>
      <c r="B423" s="237"/>
      <c r="C423" s="32"/>
      <c r="D423" s="32"/>
      <c r="E423" s="33"/>
      <c r="F423" s="43" t="s">
        <v>522</v>
      </c>
      <c r="G423" s="31" t="str">
        <f t="shared" si="6"/>
        <v/>
      </c>
      <c r="H423" s="35"/>
      <c r="I423" s="31"/>
      <c r="J423" s="102">
        <v>0</v>
      </c>
    </row>
    <row r="424" spans="1:10" ht="25.5" hidden="1" x14ac:dyDescent="0.25">
      <c r="A424" s="219"/>
      <c r="B424" s="237"/>
      <c r="C424" s="36" t="s">
        <v>1814</v>
      </c>
      <c r="D424" s="47" t="s">
        <v>479</v>
      </c>
      <c r="E424" s="37">
        <v>0.42</v>
      </c>
      <c r="F424" s="34">
        <v>3.4579999999999997</v>
      </c>
      <c r="G424" s="34">
        <f t="shared" si="6"/>
        <v>1.4523599999999999</v>
      </c>
      <c r="H424" s="39">
        <f>SUM(G424:G432)</f>
        <v>76.461673183787582</v>
      </c>
      <c r="I424" s="40"/>
      <c r="J424" s="102">
        <v>0</v>
      </c>
    </row>
    <row r="425" spans="1:10" hidden="1" x14ac:dyDescent="0.25">
      <c r="A425" s="219"/>
      <c r="B425" s="237"/>
      <c r="C425" s="36" t="s">
        <v>1793</v>
      </c>
      <c r="D425" s="47" t="s">
        <v>1248</v>
      </c>
      <c r="E425" s="37">
        <v>5.0000000000000001E-3</v>
      </c>
      <c r="F425" s="34">
        <v>38.741</v>
      </c>
      <c r="G425" s="34">
        <f t="shared" si="6"/>
        <v>0.19370500000000002</v>
      </c>
      <c r="H425" s="35"/>
      <c r="I425" s="31"/>
      <c r="J425" s="102">
        <v>0</v>
      </c>
    </row>
    <row r="426" spans="1:10" ht="25.5" hidden="1" x14ac:dyDescent="0.25">
      <c r="A426" s="219"/>
      <c r="B426" s="237"/>
      <c r="C426" s="36" t="s">
        <v>2490</v>
      </c>
      <c r="D426" s="47" t="s">
        <v>279</v>
      </c>
      <c r="E426" s="37">
        <v>13.6</v>
      </c>
      <c r="F426" s="34">
        <v>1.9379999999999999</v>
      </c>
      <c r="G426" s="34">
        <f t="shared" si="6"/>
        <v>26.3568</v>
      </c>
      <c r="H426" s="35"/>
      <c r="I426" s="31"/>
      <c r="J426" s="102">
        <v>0</v>
      </c>
    </row>
    <row r="427" spans="1:10" ht="51" hidden="1" x14ac:dyDescent="0.25">
      <c r="A427" s="219"/>
      <c r="B427" s="237"/>
      <c r="C427" s="36" t="s">
        <v>154</v>
      </c>
      <c r="D427" s="47" t="s">
        <v>120</v>
      </c>
      <c r="E427" s="37">
        <v>1.04E-2</v>
      </c>
      <c r="F427" s="34">
        <v>581.41533702799995</v>
      </c>
      <c r="G427" s="34">
        <f t="shared" si="6"/>
        <v>6.0467195050911995</v>
      </c>
      <c r="H427" s="35"/>
      <c r="I427" s="31"/>
      <c r="J427" s="102">
        <v>0</v>
      </c>
    </row>
    <row r="428" spans="1:10" hidden="1" x14ac:dyDescent="0.25">
      <c r="A428" s="219"/>
      <c r="B428" s="237"/>
      <c r="C428" s="36" t="s">
        <v>711</v>
      </c>
      <c r="D428" s="47" t="s">
        <v>703</v>
      </c>
      <c r="E428" s="37">
        <v>0.59</v>
      </c>
      <c r="F428" s="31">
        <v>21.479499999999998</v>
      </c>
      <c r="G428" s="34">
        <f t="shared" si="6"/>
        <v>12.672904999999998</v>
      </c>
      <c r="H428" s="35"/>
      <c r="I428" s="31"/>
      <c r="J428" s="102">
        <v>0</v>
      </c>
    </row>
    <row r="429" spans="1:10" hidden="1" x14ac:dyDescent="0.25">
      <c r="A429" s="219"/>
      <c r="B429" s="237"/>
      <c r="C429" s="36" t="s">
        <v>704</v>
      </c>
      <c r="D429" s="47" t="s">
        <v>703</v>
      </c>
      <c r="E429" s="37">
        <v>0.29499999999999998</v>
      </c>
      <c r="F429" s="31">
        <v>16.1785</v>
      </c>
      <c r="G429" s="34">
        <f t="shared" si="6"/>
        <v>4.7726574999999993</v>
      </c>
      <c r="H429" s="35"/>
      <c r="I429" s="31"/>
      <c r="J429" s="102">
        <v>0</v>
      </c>
    </row>
    <row r="430" spans="1:10" ht="51" hidden="1" x14ac:dyDescent="0.25">
      <c r="A430" s="219"/>
      <c r="B430" s="237"/>
      <c r="C430" s="36" t="s">
        <v>154</v>
      </c>
      <c r="D430" s="47" t="s">
        <v>109</v>
      </c>
      <c r="E430" s="37">
        <v>2.1299999999999999E-2</v>
      </c>
      <c r="F430" s="34">
        <v>581.41533702799995</v>
      </c>
      <c r="G430" s="34">
        <f t="shared" si="6"/>
        <v>12.384146678696398</v>
      </c>
      <c r="H430" s="35"/>
      <c r="I430" s="31"/>
      <c r="J430" s="102">
        <v>0</v>
      </c>
    </row>
    <row r="431" spans="1:10" hidden="1" x14ac:dyDescent="0.25">
      <c r="A431" s="219"/>
      <c r="B431" s="237"/>
      <c r="C431" s="36" t="s">
        <v>22</v>
      </c>
      <c r="D431" s="47" t="s">
        <v>12</v>
      </c>
      <c r="E431" s="37">
        <v>0.46</v>
      </c>
      <c r="F431" s="31">
        <v>21.479499999999998</v>
      </c>
      <c r="G431" s="34">
        <f t="shared" si="6"/>
        <v>9.8805699999999987</v>
      </c>
      <c r="H431" s="35"/>
      <c r="I431" s="31"/>
      <c r="J431" s="102">
        <v>0</v>
      </c>
    </row>
    <row r="432" spans="1:10" hidden="1" x14ac:dyDescent="0.25">
      <c r="A432" s="219"/>
      <c r="B432" s="237"/>
      <c r="C432" s="36" t="s">
        <v>23</v>
      </c>
      <c r="D432" s="47" t="s">
        <v>12</v>
      </c>
      <c r="E432" s="37">
        <v>0.16700000000000001</v>
      </c>
      <c r="F432" s="31">
        <v>16.1785</v>
      </c>
      <c r="G432" s="34">
        <f t="shared" si="6"/>
        <v>2.7018095</v>
      </c>
      <c r="H432" s="35"/>
      <c r="I432" s="31"/>
      <c r="J432" s="102">
        <v>0</v>
      </c>
    </row>
    <row r="433" spans="1:10" ht="15.75" hidden="1" thickBot="1" x14ac:dyDescent="0.3">
      <c r="A433" s="220"/>
      <c r="B433" s="223"/>
      <c r="C433" s="36"/>
      <c r="D433" s="36"/>
      <c r="E433" s="37"/>
      <c r="F433" s="31" t="s">
        <v>522</v>
      </c>
      <c r="G433" s="31" t="str">
        <f t="shared" si="6"/>
        <v/>
      </c>
      <c r="H433" s="35"/>
      <c r="I433" s="31"/>
      <c r="J433" s="102">
        <v>0</v>
      </c>
    </row>
    <row r="434" spans="1:10" ht="15.75" hidden="1" thickBot="1" x14ac:dyDescent="0.3">
      <c r="A434" s="218" t="s">
        <v>175</v>
      </c>
      <c r="B434" s="221" t="e">
        <f>INDEX(#REF!,MATCH(Composições!A434,#REF!,0),2)</f>
        <v>#REF!</v>
      </c>
      <c r="C434" s="41"/>
      <c r="D434" s="26" t="s">
        <v>95</v>
      </c>
      <c r="E434" s="27"/>
      <c r="F434" s="42" t="s">
        <v>522</v>
      </c>
      <c r="G434" s="28" t="str">
        <f t="shared" si="6"/>
        <v/>
      </c>
      <c r="H434" s="29"/>
      <c r="I434" s="30"/>
      <c r="J434" s="102">
        <v>0</v>
      </c>
    </row>
    <row r="435" spans="1:10" hidden="1" x14ac:dyDescent="0.25">
      <c r="A435" s="219"/>
      <c r="B435" s="237"/>
      <c r="C435" s="32"/>
      <c r="D435" s="32"/>
      <c r="E435" s="33"/>
      <c r="F435" s="43" t="s">
        <v>522</v>
      </c>
      <c r="G435" s="31" t="str">
        <f t="shared" si="6"/>
        <v/>
      </c>
      <c r="H435" s="35"/>
      <c r="I435" s="31"/>
      <c r="J435" s="102">
        <v>0</v>
      </c>
    </row>
    <row r="436" spans="1:10" ht="38.25" hidden="1" x14ac:dyDescent="0.25">
      <c r="A436" s="219"/>
      <c r="B436" s="237"/>
      <c r="C436" s="36" t="s">
        <v>176</v>
      </c>
      <c r="D436" s="36" t="s">
        <v>109</v>
      </c>
      <c r="E436" s="37">
        <v>3.2000000000000002E-3</v>
      </c>
      <c r="F436" s="34">
        <v>2003.9467199999997</v>
      </c>
      <c r="G436" s="34">
        <f t="shared" si="6"/>
        <v>6.412629503999999</v>
      </c>
      <c r="H436" s="39">
        <f>SUM(G436:G438)</f>
        <v>9.6693558539999973</v>
      </c>
      <c r="I436" s="40"/>
      <c r="J436" s="102">
        <v>0</v>
      </c>
    </row>
    <row r="437" spans="1:10" hidden="1" x14ac:dyDescent="0.25">
      <c r="A437" s="219"/>
      <c r="B437" s="237"/>
      <c r="C437" s="36" t="s">
        <v>22</v>
      </c>
      <c r="D437" s="36" t="s">
        <v>12</v>
      </c>
      <c r="E437" s="37">
        <v>0.14099999999999999</v>
      </c>
      <c r="F437" s="31">
        <v>21.479499999999998</v>
      </c>
      <c r="G437" s="34">
        <f t="shared" si="6"/>
        <v>3.0286094999999995</v>
      </c>
      <c r="H437" s="35"/>
      <c r="I437" s="31"/>
      <c r="J437" s="102">
        <v>0</v>
      </c>
    </row>
    <row r="438" spans="1:10" hidden="1" x14ac:dyDescent="0.25">
      <c r="A438" s="219"/>
      <c r="B438" s="237"/>
      <c r="C438" s="36" t="s">
        <v>23</v>
      </c>
      <c r="D438" s="36" t="s">
        <v>12</v>
      </c>
      <c r="E438" s="37">
        <v>1.41E-2</v>
      </c>
      <c r="F438" s="31">
        <v>16.1785</v>
      </c>
      <c r="G438" s="34">
        <f t="shared" si="6"/>
        <v>0.22811684999999998</v>
      </c>
      <c r="H438" s="35"/>
      <c r="I438" s="31"/>
      <c r="J438" s="102">
        <v>0</v>
      </c>
    </row>
    <row r="439" spans="1:10" ht="15.75" hidden="1" thickBot="1" x14ac:dyDescent="0.3">
      <c r="A439" s="220"/>
      <c r="B439" s="223"/>
      <c r="C439" s="36"/>
      <c r="D439" s="36"/>
      <c r="E439" s="37"/>
      <c r="F439" s="31" t="s">
        <v>522</v>
      </c>
      <c r="G439" s="31" t="str">
        <f t="shared" si="6"/>
        <v/>
      </c>
      <c r="H439" s="35"/>
      <c r="I439" s="31"/>
      <c r="J439" s="102">
        <v>0</v>
      </c>
    </row>
    <row r="440" spans="1:10" ht="15.75" hidden="1" thickBot="1" x14ac:dyDescent="0.3">
      <c r="A440" s="218" t="s">
        <v>177</v>
      </c>
      <c r="B440" s="221" t="e">
        <f>INDEX(#REF!,MATCH(Composições!A440,#REF!,0),2)</f>
        <v>#REF!</v>
      </c>
      <c r="C440" s="41"/>
      <c r="D440" s="26" t="s">
        <v>95</v>
      </c>
      <c r="E440" s="27"/>
      <c r="F440" s="42" t="s">
        <v>522</v>
      </c>
      <c r="G440" s="28" t="str">
        <f t="shared" si="6"/>
        <v/>
      </c>
      <c r="H440" s="29"/>
      <c r="I440" s="30"/>
      <c r="J440" s="102">
        <v>0</v>
      </c>
    </row>
    <row r="441" spans="1:10" hidden="1" x14ac:dyDescent="0.25">
      <c r="A441" s="219"/>
      <c r="B441" s="237"/>
      <c r="C441" s="32"/>
      <c r="D441" s="32"/>
      <c r="E441" s="33"/>
      <c r="F441" s="43" t="s">
        <v>522</v>
      </c>
      <c r="G441" s="31" t="str">
        <f t="shared" si="6"/>
        <v/>
      </c>
      <c r="H441" s="35"/>
      <c r="I441" s="31"/>
      <c r="J441" s="102">
        <v>0</v>
      </c>
    </row>
    <row r="442" spans="1:10" ht="38.25" hidden="1" x14ac:dyDescent="0.25">
      <c r="A442" s="219"/>
      <c r="B442" s="237"/>
      <c r="C442" s="36" t="s">
        <v>178</v>
      </c>
      <c r="D442" s="36" t="s">
        <v>109</v>
      </c>
      <c r="E442" s="37">
        <v>4.1999999999999997E-3</v>
      </c>
      <c r="F442" s="34">
        <v>614.14185940199991</v>
      </c>
      <c r="G442" s="34">
        <f t="shared" si="6"/>
        <v>2.5793958094883993</v>
      </c>
      <c r="H442" s="39">
        <f>SUM(G442:G444)</f>
        <v>4.1962103094884</v>
      </c>
      <c r="I442" s="40"/>
      <c r="J442" s="102">
        <v>0</v>
      </c>
    </row>
    <row r="443" spans="1:10" hidden="1" x14ac:dyDescent="0.25">
      <c r="A443" s="219"/>
      <c r="B443" s="237"/>
      <c r="C443" s="36" t="s">
        <v>22</v>
      </c>
      <c r="D443" s="36" t="s">
        <v>12</v>
      </c>
      <c r="E443" s="37">
        <v>7.0000000000000007E-2</v>
      </c>
      <c r="F443" s="31">
        <v>21.479499999999998</v>
      </c>
      <c r="G443" s="31">
        <f t="shared" si="6"/>
        <v>1.503565</v>
      </c>
      <c r="H443" s="35"/>
      <c r="I443" s="31"/>
      <c r="J443" s="102">
        <v>0</v>
      </c>
    </row>
    <row r="444" spans="1:10" hidden="1" x14ac:dyDescent="0.25">
      <c r="A444" s="219"/>
      <c r="B444" s="237"/>
      <c r="C444" s="36" t="s">
        <v>23</v>
      </c>
      <c r="D444" s="36" t="s">
        <v>12</v>
      </c>
      <c r="E444" s="37">
        <v>7.0000000000000001E-3</v>
      </c>
      <c r="F444" s="31">
        <v>16.1785</v>
      </c>
      <c r="G444" s="31">
        <f t="shared" si="6"/>
        <v>0.1132495</v>
      </c>
      <c r="H444" s="35"/>
      <c r="I444" s="31"/>
      <c r="J444" s="102">
        <v>0</v>
      </c>
    </row>
    <row r="445" spans="1:10" ht="15.75" hidden="1" thickBot="1" x14ac:dyDescent="0.3">
      <c r="A445" s="220"/>
      <c r="B445" s="223"/>
      <c r="C445" s="36"/>
      <c r="D445" s="36"/>
      <c r="E445" s="37"/>
      <c r="F445" s="31" t="s">
        <v>522</v>
      </c>
      <c r="G445" s="31" t="str">
        <f t="shared" si="6"/>
        <v/>
      </c>
      <c r="H445" s="35"/>
      <c r="I445" s="31"/>
      <c r="J445" s="102">
        <v>0</v>
      </c>
    </row>
    <row r="446" spans="1:10" ht="15.75" hidden="1" thickBot="1" x14ac:dyDescent="0.3">
      <c r="A446" s="218" t="s">
        <v>179</v>
      </c>
      <c r="B446" s="221" t="e">
        <f>INDEX(#REF!,MATCH(Composições!A446,#REF!,0),2)</f>
        <v>#REF!</v>
      </c>
      <c r="C446" s="41"/>
      <c r="D446" s="26" t="s">
        <v>95</v>
      </c>
      <c r="E446" s="27"/>
      <c r="F446" s="42" t="s">
        <v>522</v>
      </c>
      <c r="G446" s="28" t="str">
        <f t="shared" si="6"/>
        <v/>
      </c>
      <c r="H446" s="29"/>
      <c r="I446" s="30"/>
      <c r="J446" s="102">
        <v>0</v>
      </c>
    </row>
    <row r="447" spans="1:10" hidden="1" x14ac:dyDescent="0.25">
      <c r="A447" s="224"/>
      <c r="B447" s="237"/>
      <c r="C447" s="32"/>
      <c r="D447" s="32"/>
      <c r="E447" s="33"/>
      <c r="F447" s="43" t="s">
        <v>522</v>
      </c>
      <c r="G447" s="31" t="str">
        <f t="shared" si="6"/>
        <v/>
      </c>
      <c r="H447" s="35"/>
      <c r="I447" s="31"/>
      <c r="J447" s="102">
        <v>0</v>
      </c>
    </row>
    <row r="448" spans="1:10" hidden="1" x14ac:dyDescent="0.25">
      <c r="A448" s="224"/>
      <c r="B448" s="237"/>
      <c r="C448" s="36" t="s">
        <v>180</v>
      </c>
      <c r="D448" s="36" t="s">
        <v>12</v>
      </c>
      <c r="E448" s="37">
        <v>0.4</v>
      </c>
      <c r="F448" s="31">
        <v>21.365499999999997</v>
      </c>
      <c r="G448" s="31">
        <f t="shared" si="6"/>
        <v>8.5461999999999989</v>
      </c>
      <c r="H448" s="39">
        <f>SUM(G448:G450)</f>
        <v>9.8404799999999994</v>
      </c>
      <c r="I448" s="40"/>
      <c r="J448" s="102">
        <v>0</v>
      </c>
    </row>
    <row r="449" spans="1:10" hidden="1" x14ac:dyDescent="0.25">
      <c r="A449" s="224"/>
      <c r="B449" s="237"/>
      <c r="C449" s="36" t="s">
        <v>23</v>
      </c>
      <c r="D449" s="36" t="s">
        <v>12</v>
      </c>
      <c r="E449" s="37">
        <v>0.08</v>
      </c>
      <c r="F449" s="31">
        <v>16.1785</v>
      </c>
      <c r="G449" s="31">
        <f t="shared" si="6"/>
        <v>1.2942800000000001</v>
      </c>
      <c r="H449" s="35"/>
      <c r="I449" s="31"/>
      <c r="J449" s="102">
        <v>0</v>
      </c>
    </row>
    <row r="450" spans="1:10" hidden="1" x14ac:dyDescent="0.25">
      <c r="A450" s="224"/>
      <c r="B450" s="237"/>
      <c r="C450" s="36" t="s">
        <v>181</v>
      </c>
      <c r="D450" s="36" t="s">
        <v>42</v>
      </c>
      <c r="E450" s="37">
        <v>0.75</v>
      </c>
      <c r="F450" s="31" t="s">
        <v>522</v>
      </c>
      <c r="G450" s="31" t="str">
        <f t="shared" si="6"/>
        <v/>
      </c>
      <c r="H450" s="35"/>
      <c r="I450" s="31"/>
      <c r="J450" s="102">
        <v>0</v>
      </c>
    </row>
    <row r="451" spans="1:10" hidden="1" x14ac:dyDescent="0.25">
      <c r="A451" s="224"/>
      <c r="B451" s="237"/>
      <c r="C451" s="36"/>
      <c r="D451" s="36"/>
      <c r="E451" s="37"/>
      <c r="F451" s="31" t="s">
        <v>522</v>
      </c>
      <c r="G451" s="31" t="str">
        <f t="shared" si="6"/>
        <v/>
      </c>
      <c r="H451" s="35"/>
      <c r="I451" s="31"/>
      <c r="J451" s="102">
        <v>0</v>
      </c>
    </row>
    <row r="452" spans="1:10" ht="25.5" hidden="1" x14ac:dyDescent="0.25">
      <c r="A452" s="224"/>
      <c r="B452" s="237"/>
      <c r="C452" s="52" t="s">
        <v>182</v>
      </c>
      <c r="D452" s="52"/>
      <c r="E452" s="53"/>
      <c r="F452" s="34" t="s">
        <v>522</v>
      </c>
      <c r="G452" s="31" t="str">
        <f t="shared" si="6"/>
        <v/>
      </c>
      <c r="H452" s="35"/>
      <c r="I452" s="31"/>
      <c r="J452" s="102">
        <v>0</v>
      </c>
    </row>
    <row r="453" spans="1:10" ht="15.75" hidden="1" thickBot="1" x14ac:dyDescent="0.3">
      <c r="A453" s="225"/>
      <c r="B453" s="223"/>
      <c r="C453" s="36"/>
      <c r="D453" s="36"/>
      <c r="E453" s="37"/>
      <c r="F453" s="31" t="s">
        <v>522</v>
      </c>
      <c r="G453" s="31" t="str">
        <f t="shared" si="6"/>
        <v/>
      </c>
      <c r="H453" s="35"/>
      <c r="I453" s="31"/>
      <c r="J453" s="102">
        <v>0</v>
      </c>
    </row>
    <row r="454" spans="1:10" ht="15.75" hidden="1" thickBot="1" x14ac:dyDescent="0.3">
      <c r="A454" s="218" t="s">
        <v>183</v>
      </c>
      <c r="B454" s="221" t="e">
        <f>INDEX(#REF!,MATCH(Composições!A454,#REF!,0),2)</f>
        <v>#REF!</v>
      </c>
      <c r="C454" s="41"/>
      <c r="D454" s="26" t="s">
        <v>95</v>
      </c>
      <c r="E454" s="27"/>
      <c r="F454" s="42" t="s">
        <v>522</v>
      </c>
      <c r="G454" s="28" t="str">
        <f t="shared" ref="G454:G517" si="7">IF(ISNUMBER(F454),E454*F454,"")</f>
        <v/>
      </c>
      <c r="H454" s="29"/>
      <c r="I454" s="30"/>
      <c r="J454" s="102">
        <v>0</v>
      </c>
    </row>
    <row r="455" spans="1:10" hidden="1" x14ac:dyDescent="0.25">
      <c r="A455" s="219"/>
      <c r="B455" s="237"/>
      <c r="C455" s="32"/>
      <c r="D455" s="32"/>
      <c r="E455" s="33"/>
      <c r="F455" s="43" t="s">
        <v>522</v>
      </c>
      <c r="G455" s="31" t="str">
        <f t="shared" si="7"/>
        <v/>
      </c>
      <c r="H455" s="35"/>
      <c r="I455" s="31"/>
      <c r="J455" s="102">
        <v>0</v>
      </c>
    </row>
    <row r="456" spans="1:10" ht="25.5" hidden="1" x14ac:dyDescent="0.25">
      <c r="A456" s="219"/>
      <c r="B456" s="237"/>
      <c r="C456" s="36" t="s">
        <v>184</v>
      </c>
      <c r="D456" s="36" t="s">
        <v>42</v>
      </c>
      <c r="E456" s="37">
        <f>1890*0.02</f>
        <v>37.800000000000004</v>
      </c>
      <c r="F456" s="34">
        <v>0.51300000000000001</v>
      </c>
      <c r="G456" s="31">
        <f t="shared" si="7"/>
        <v>19.391400000000001</v>
      </c>
      <c r="H456" s="39">
        <f>SUM(G456:G459)</f>
        <v>35.257534300000003</v>
      </c>
      <c r="I456" s="40"/>
      <c r="J456" s="102">
        <v>0</v>
      </c>
    </row>
    <row r="457" spans="1:10" hidden="1" x14ac:dyDescent="0.25">
      <c r="A457" s="219"/>
      <c r="B457" s="237"/>
      <c r="C457" s="36" t="s">
        <v>23</v>
      </c>
      <c r="D457" s="36" t="s">
        <v>12</v>
      </c>
      <c r="E457" s="37">
        <f>12.59*0.02</f>
        <v>0.25180000000000002</v>
      </c>
      <c r="F457" s="31">
        <v>16.1785</v>
      </c>
      <c r="G457" s="31">
        <f t="shared" si="7"/>
        <v>4.0737463000000007</v>
      </c>
      <c r="H457" s="45"/>
      <c r="I457" s="46"/>
      <c r="J457" s="102">
        <v>0</v>
      </c>
    </row>
    <row r="458" spans="1:10" hidden="1" x14ac:dyDescent="0.25">
      <c r="A458" s="219"/>
      <c r="B458" s="237"/>
      <c r="C458" s="36" t="s">
        <v>22</v>
      </c>
      <c r="D458" s="36" t="s">
        <v>12</v>
      </c>
      <c r="E458" s="37">
        <v>0.43</v>
      </c>
      <c r="F458" s="31">
        <v>21.479499999999998</v>
      </c>
      <c r="G458" s="31">
        <f t="shared" si="7"/>
        <v>9.236184999999999</v>
      </c>
      <c r="H458" s="35"/>
      <c r="I458" s="31"/>
      <c r="J458" s="102">
        <v>0</v>
      </c>
    </row>
    <row r="459" spans="1:10" hidden="1" x14ac:dyDescent="0.25">
      <c r="A459" s="219"/>
      <c r="B459" s="237"/>
      <c r="C459" s="36" t="s">
        <v>23</v>
      </c>
      <c r="D459" s="36" t="s">
        <v>12</v>
      </c>
      <c r="E459" s="37">
        <f>0.158</f>
        <v>0.158</v>
      </c>
      <c r="F459" s="31">
        <v>16.1785</v>
      </c>
      <c r="G459" s="31">
        <f t="shared" si="7"/>
        <v>2.556203</v>
      </c>
      <c r="H459" s="35"/>
      <c r="I459" s="31"/>
      <c r="J459" s="102">
        <v>0</v>
      </c>
    </row>
    <row r="460" spans="1:10" hidden="1" x14ac:dyDescent="0.25">
      <c r="A460" s="219"/>
      <c r="B460" s="237"/>
      <c r="C460" s="36"/>
      <c r="D460" s="36"/>
      <c r="E460" s="37"/>
      <c r="F460" s="31" t="s">
        <v>522</v>
      </c>
      <c r="G460" s="31" t="str">
        <f t="shared" si="7"/>
        <v/>
      </c>
      <c r="H460" s="35"/>
      <c r="I460" s="31"/>
      <c r="J460" s="102">
        <v>0</v>
      </c>
    </row>
    <row r="461" spans="1:10" ht="51" hidden="1" x14ac:dyDescent="0.25">
      <c r="A461" s="219"/>
      <c r="B461" s="237"/>
      <c r="C461" s="52" t="s">
        <v>185</v>
      </c>
      <c r="D461" s="36"/>
      <c r="E461" s="37"/>
      <c r="F461" s="31" t="s">
        <v>522</v>
      </c>
      <c r="G461" s="31" t="str">
        <f t="shared" si="7"/>
        <v/>
      </c>
      <c r="H461" s="35"/>
      <c r="I461" s="31"/>
      <c r="J461" s="102">
        <v>0</v>
      </c>
    </row>
    <row r="462" spans="1:10" ht="30" hidden="1" x14ac:dyDescent="0.25">
      <c r="A462" s="219"/>
      <c r="B462" s="237"/>
      <c r="C462" s="93" t="s">
        <v>186</v>
      </c>
      <c r="D462" s="36"/>
      <c r="E462" s="37"/>
      <c r="F462" s="31" t="s">
        <v>522</v>
      </c>
      <c r="G462" s="31" t="str">
        <f t="shared" si="7"/>
        <v/>
      </c>
      <c r="H462" s="35"/>
      <c r="I462" s="31"/>
      <c r="J462" s="102">
        <v>0</v>
      </c>
    </row>
    <row r="463" spans="1:10" ht="15.75" hidden="1" thickBot="1" x14ac:dyDescent="0.3">
      <c r="A463" s="220"/>
      <c r="B463" s="223"/>
      <c r="C463" s="36"/>
      <c r="D463" s="36"/>
      <c r="E463" s="37"/>
      <c r="F463" s="31" t="s">
        <v>522</v>
      </c>
      <c r="G463" s="31" t="str">
        <f t="shared" si="7"/>
        <v/>
      </c>
      <c r="H463" s="35"/>
      <c r="I463" s="31"/>
      <c r="J463" s="102">
        <v>0</v>
      </c>
    </row>
    <row r="464" spans="1:10" ht="15.75" hidden="1" thickBot="1" x14ac:dyDescent="0.3">
      <c r="A464" s="218" t="s">
        <v>187</v>
      </c>
      <c r="B464" s="221" t="e">
        <f>INDEX(#REF!,MATCH(Composições!A464,#REF!,0),2)</f>
        <v>#REF!</v>
      </c>
      <c r="C464" s="41"/>
      <c r="D464" s="26" t="s">
        <v>95</v>
      </c>
      <c r="E464" s="27"/>
      <c r="F464" s="42" t="s">
        <v>522</v>
      </c>
      <c r="G464" s="28" t="str">
        <f t="shared" si="7"/>
        <v/>
      </c>
      <c r="H464" s="29"/>
      <c r="I464" s="30"/>
      <c r="J464" s="102">
        <v>0</v>
      </c>
    </row>
    <row r="465" spans="1:10" hidden="1" x14ac:dyDescent="0.25">
      <c r="A465" s="219"/>
      <c r="B465" s="237"/>
      <c r="C465" s="32"/>
      <c r="D465" s="32"/>
      <c r="E465" s="33"/>
      <c r="F465" s="43" t="s">
        <v>522</v>
      </c>
      <c r="G465" s="31" t="str">
        <f t="shared" si="7"/>
        <v/>
      </c>
      <c r="H465" s="35"/>
      <c r="I465" s="31"/>
      <c r="J465" s="102">
        <v>0</v>
      </c>
    </row>
    <row r="466" spans="1:10" ht="25.5" hidden="1" x14ac:dyDescent="0.25">
      <c r="A466" s="219"/>
      <c r="B466" s="237"/>
      <c r="C466" s="36" t="s">
        <v>184</v>
      </c>
      <c r="D466" s="36" t="s">
        <v>42</v>
      </c>
      <c r="E466" s="37">
        <f>1890*0.005</f>
        <v>9.4500000000000011</v>
      </c>
      <c r="F466" s="34">
        <v>0.51300000000000001</v>
      </c>
      <c r="G466" s="31">
        <f t="shared" si="7"/>
        <v>4.8478500000000002</v>
      </c>
      <c r="H466" s="39">
        <f>SUM(G466:G469)</f>
        <v>11.818382374999999</v>
      </c>
      <c r="I466" s="40"/>
      <c r="J466" s="102">
        <v>0</v>
      </c>
    </row>
    <row r="467" spans="1:10" hidden="1" x14ac:dyDescent="0.25">
      <c r="A467" s="219"/>
      <c r="B467" s="237"/>
      <c r="C467" s="36" t="s">
        <v>23</v>
      </c>
      <c r="D467" s="36" t="s">
        <v>12</v>
      </c>
      <c r="E467" s="37">
        <f>12.59*0.005</f>
        <v>6.2950000000000006E-2</v>
      </c>
      <c r="F467" s="31">
        <v>16.1785</v>
      </c>
      <c r="G467" s="31">
        <f t="shared" si="7"/>
        <v>1.0184365750000002</v>
      </c>
      <c r="H467" s="35"/>
      <c r="I467" s="31"/>
      <c r="J467" s="102">
        <v>0</v>
      </c>
    </row>
    <row r="468" spans="1:10" hidden="1" x14ac:dyDescent="0.25">
      <c r="A468" s="219"/>
      <c r="B468" s="237"/>
      <c r="C468" s="36" t="s">
        <v>22</v>
      </c>
      <c r="D468" s="36" t="s">
        <v>12</v>
      </c>
      <c r="E468" s="37">
        <f>0.31*0.7</f>
        <v>0.217</v>
      </c>
      <c r="F468" s="31">
        <v>21.479499999999998</v>
      </c>
      <c r="G468" s="31">
        <f t="shared" si="7"/>
        <v>4.6610514999999992</v>
      </c>
      <c r="H468" s="35"/>
      <c r="I468" s="31"/>
      <c r="J468" s="102">
        <v>0</v>
      </c>
    </row>
    <row r="469" spans="1:10" hidden="1" x14ac:dyDescent="0.25">
      <c r="A469" s="219"/>
      <c r="B469" s="237"/>
      <c r="C469" s="36" t="s">
        <v>23</v>
      </c>
      <c r="D469" s="36" t="s">
        <v>12</v>
      </c>
      <c r="E469" s="37">
        <f>0.114*0.7</f>
        <v>7.9799999999999996E-2</v>
      </c>
      <c r="F469" s="31">
        <v>16.1785</v>
      </c>
      <c r="G469" s="31">
        <f t="shared" si="7"/>
        <v>1.2910442999999998</v>
      </c>
      <c r="H469" s="35"/>
      <c r="I469" s="31"/>
      <c r="J469" s="102">
        <v>0</v>
      </c>
    </row>
    <row r="470" spans="1:10" ht="15.75" hidden="1" thickBot="1" x14ac:dyDescent="0.3">
      <c r="A470" s="220"/>
      <c r="B470" s="223"/>
      <c r="C470" s="36"/>
      <c r="D470" s="36"/>
      <c r="E470" s="37"/>
      <c r="F470" s="31" t="s">
        <v>522</v>
      </c>
      <c r="G470" s="31" t="str">
        <f t="shared" si="7"/>
        <v/>
      </c>
      <c r="H470" s="35"/>
      <c r="I470" s="31"/>
      <c r="J470" s="102">
        <v>0</v>
      </c>
    </row>
    <row r="471" spans="1:10" ht="15.75" hidden="1" thickBot="1" x14ac:dyDescent="0.3">
      <c r="A471" s="218" t="s">
        <v>188</v>
      </c>
      <c r="B471" s="221" t="e">
        <f>INDEX(#REF!,MATCH(Composições!A471,#REF!,0),2)</f>
        <v>#REF!</v>
      </c>
      <c r="C471" s="41"/>
      <c r="D471" s="26" t="s">
        <v>93</v>
      </c>
      <c r="E471" s="27"/>
      <c r="F471" s="42" t="s">
        <v>522</v>
      </c>
      <c r="G471" s="28" t="str">
        <f t="shared" si="7"/>
        <v/>
      </c>
      <c r="H471" s="29"/>
      <c r="I471" s="30"/>
      <c r="J471" s="102">
        <v>0</v>
      </c>
    </row>
    <row r="472" spans="1:10" hidden="1" x14ac:dyDescent="0.25">
      <c r="A472" s="219"/>
      <c r="B472" s="237"/>
      <c r="C472" s="32"/>
      <c r="D472" s="32"/>
      <c r="E472" s="33"/>
      <c r="F472" s="43" t="s">
        <v>522</v>
      </c>
      <c r="G472" s="31" t="str">
        <f t="shared" si="7"/>
        <v/>
      </c>
      <c r="H472" s="35"/>
      <c r="I472" s="31"/>
      <c r="J472" s="102">
        <v>0</v>
      </c>
    </row>
    <row r="473" spans="1:10" hidden="1" x14ac:dyDescent="0.25">
      <c r="A473" s="219"/>
      <c r="B473" s="237"/>
      <c r="C473" s="36" t="s">
        <v>23</v>
      </c>
      <c r="D473" s="47" t="s">
        <v>12</v>
      </c>
      <c r="E473" s="37">
        <v>0.6</v>
      </c>
      <c r="F473" s="31">
        <v>16.1785</v>
      </c>
      <c r="G473" s="34">
        <f t="shared" si="7"/>
        <v>9.7070999999999987</v>
      </c>
      <c r="H473" s="39">
        <f>SUM(G473:G477)</f>
        <v>14.446948299999999</v>
      </c>
      <c r="I473" s="40"/>
      <c r="J473" s="102">
        <v>0</v>
      </c>
    </row>
    <row r="474" spans="1:10" hidden="1" x14ac:dyDescent="0.25">
      <c r="A474" s="219"/>
      <c r="B474" s="237"/>
      <c r="C474" s="36" t="s">
        <v>22</v>
      </c>
      <c r="D474" s="47" t="s">
        <v>12</v>
      </c>
      <c r="E474" s="37">
        <v>0.155</v>
      </c>
      <c r="F474" s="31">
        <v>21.479499999999998</v>
      </c>
      <c r="G474" s="34">
        <f t="shared" si="7"/>
        <v>3.3293224999999995</v>
      </c>
      <c r="H474" s="35"/>
      <c r="I474" s="31"/>
      <c r="J474" s="102">
        <v>0</v>
      </c>
    </row>
    <row r="475" spans="1:10" hidden="1" x14ac:dyDescent="0.25">
      <c r="A475" s="219"/>
      <c r="B475" s="237"/>
      <c r="C475" s="36" t="s">
        <v>189</v>
      </c>
      <c r="D475" s="47" t="s">
        <v>93</v>
      </c>
      <c r="E475" s="37">
        <v>1.05</v>
      </c>
      <c r="F475" s="34">
        <v>0.95</v>
      </c>
      <c r="G475" s="34">
        <f t="shared" si="7"/>
        <v>0.99749999999999994</v>
      </c>
      <c r="H475" s="35"/>
      <c r="I475" s="31"/>
      <c r="J475" s="102">
        <v>0</v>
      </c>
    </row>
    <row r="476" spans="1:10" hidden="1" x14ac:dyDescent="0.25">
      <c r="A476" s="219"/>
      <c r="B476" s="237"/>
      <c r="C476" s="36" t="s">
        <v>2497</v>
      </c>
      <c r="D476" s="50" t="s">
        <v>102</v>
      </c>
      <c r="E476" s="37">
        <f>ROUND(1*0.15/(165/18),4)</f>
        <v>1.6400000000000001E-2</v>
      </c>
      <c r="F476" s="34">
        <v>25.1845</v>
      </c>
      <c r="G476" s="34">
        <f t="shared" si="7"/>
        <v>0.41302580000000005</v>
      </c>
      <c r="H476" s="35"/>
      <c r="I476" s="31"/>
      <c r="J476" s="102">
        <v>0</v>
      </c>
    </row>
    <row r="477" spans="1:10" hidden="1" x14ac:dyDescent="0.25">
      <c r="A477" s="219"/>
      <c r="B477" s="237"/>
      <c r="C477" s="36" t="s">
        <v>190</v>
      </c>
      <c r="D477" s="47" t="s">
        <v>2439</v>
      </c>
      <c r="E477" s="37">
        <v>0.4</v>
      </c>
      <c r="F477" s="34" t="s">
        <v>522</v>
      </c>
      <c r="G477" s="34" t="str">
        <f t="shared" si="7"/>
        <v/>
      </c>
      <c r="H477" s="35"/>
      <c r="I477" s="31"/>
      <c r="J477" s="102">
        <v>0</v>
      </c>
    </row>
    <row r="478" spans="1:10" hidden="1" x14ac:dyDescent="0.25">
      <c r="A478" s="219"/>
      <c r="B478" s="237"/>
      <c r="C478" s="36"/>
      <c r="D478" s="47"/>
      <c r="E478" s="37"/>
      <c r="F478" s="34" t="s">
        <v>522</v>
      </c>
      <c r="G478" s="34" t="str">
        <f t="shared" si="7"/>
        <v/>
      </c>
      <c r="H478" s="35"/>
      <c r="I478" s="31"/>
      <c r="J478" s="102">
        <v>0</v>
      </c>
    </row>
    <row r="479" spans="1:10" ht="51" hidden="1" x14ac:dyDescent="0.25">
      <c r="A479" s="219"/>
      <c r="B479" s="237"/>
      <c r="C479" s="52" t="s">
        <v>2440</v>
      </c>
      <c r="D479" s="47"/>
      <c r="E479" s="37"/>
      <c r="F479" s="34" t="s">
        <v>522</v>
      </c>
      <c r="G479" s="34" t="str">
        <f t="shared" si="7"/>
        <v/>
      </c>
      <c r="H479" s="35"/>
      <c r="I479" s="31"/>
      <c r="J479" s="102">
        <v>0</v>
      </c>
    </row>
    <row r="480" spans="1:10" ht="30" hidden="1" x14ac:dyDescent="0.25">
      <c r="A480" s="219"/>
      <c r="B480" s="237"/>
      <c r="C480" s="94" t="s">
        <v>2441</v>
      </c>
      <c r="D480" s="47"/>
      <c r="E480" s="37"/>
      <c r="F480" s="34" t="s">
        <v>522</v>
      </c>
      <c r="G480" s="34" t="str">
        <f t="shared" si="7"/>
        <v/>
      </c>
      <c r="H480" s="35"/>
      <c r="I480" s="31"/>
      <c r="J480" s="102">
        <v>0</v>
      </c>
    </row>
    <row r="481" spans="1:10" ht="30" hidden="1" x14ac:dyDescent="0.25">
      <c r="A481" s="219"/>
      <c r="B481" s="237"/>
      <c r="C481" s="94" t="s">
        <v>191</v>
      </c>
      <c r="D481" s="47"/>
      <c r="E481" s="37"/>
      <c r="F481" s="34" t="s">
        <v>522</v>
      </c>
      <c r="G481" s="34" t="str">
        <f t="shared" si="7"/>
        <v/>
      </c>
      <c r="H481" s="35"/>
      <c r="I481" s="31"/>
      <c r="J481" s="102">
        <v>0</v>
      </c>
    </row>
    <row r="482" spans="1:10" ht="15.75" hidden="1" thickBot="1" x14ac:dyDescent="0.3">
      <c r="A482" s="220"/>
      <c r="B482" s="223"/>
      <c r="C482" s="36"/>
      <c r="D482" s="36"/>
      <c r="E482" s="37"/>
      <c r="F482" s="31" t="s">
        <v>522</v>
      </c>
      <c r="G482" s="31" t="str">
        <f t="shared" si="7"/>
        <v/>
      </c>
      <c r="H482" s="35"/>
      <c r="I482" s="31"/>
      <c r="J482" s="102">
        <v>0</v>
      </c>
    </row>
    <row r="483" spans="1:10" ht="15.75" hidden="1" thickBot="1" x14ac:dyDescent="0.3">
      <c r="A483" s="218" t="s">
        <v>192</v>
      </c>
      <c r="B483" s="221" t="e">
        <f>INDEX(#REF!,MATCH(Composições!A483,#REF!,0),2)</f>
        <v>#REF!</v>
      </c>
      <c r="C483" s="41"/>
      <c r="D483" s="26" t="s">
        <v>95</v>
      </c>
      <c r="E483" s="27"/>
      <c r="F483" s="42" t="s">
        <v>522</v>
      </c>
      <c r="G483" s="28" t="str">
        <f t="shared" si="7"/>
        <v/>
      </c>
      <c r="H483" s="29"/>
      <c r="I483" s="30"/>
      <c r="J483" s="102">
        <v>0</v>
      </c>
    </row>
    <row r="484" spans="1:10" hidden="1" x14ac:dyDescent="0.25">
      <c r="A484" s="219"/>
      <c r="B484" s="237"/>
      <c r="C484" s="32"/>
      <c r="D484" s="32"/>
      <c r="E484" s="33"/>
      <c r="F484" s="43" t="s">
        <v>522</v>
      </c>
      <c r="G484" s="31" t="str">
        <f t="shared" si="7"/>
        <v/>
      </c>
      <c r="H484" s="35"/>
      <c r="I484" s="31"/>
      <c r="J484" s="102">
        <v>0</v>
      </c>
    </row>
    <row r="485" spans="1:10" hidden="1" x14ac:dyDescent="0.25">
      <c r="A485" s="219"/>
      <c r="B485" s="237"/>
      <c r="C485" s="36" t="s">
        <v>100</v>
      </c>
      <c r="D485" s="47" t="s">
        <v>12</v>
      </c>
      <c r="E485" s="37">
        <v>0.106</v>
      </c>
      <c r="F485" s="31">
        <v>22.495999999999999</v>
      </c>
      <c r="G485" s="34">
        <f t="shared" si="7"/>
        <v>2.3845759999999996</v>
      </c>
      <c r="H485" s="39">
        <f>SUM(G485:G487)</f>
        <v>2.8213954999999995</v>
      </c>
      <c r="I485" s="40"/>
      <c r="J485" s="102">
        <v>0</v>
      </c>
    </row>
    <row r="486" spans="1:10" hidden="1" x14ac:dyDescent="0.25">
      <c r="A486" s="219"/>
      <c r="B486" s="237"/>
      <c r="C486" s="36" t="s">
        <v>23</v>
      </c>
      <c r="D486" s="47" t="s">
        <v>12</v>
      </c>
      <c r="E486" s="37">
        <v>2.7E-2</v>
      </c>
      <c r="F486" s="31">
        <v>16.1785</v>
      </c>
      <c r="G486" s="34">
        <f t="shared" si="7"/>
        <v>0.43681949999999997</v>
      </c>
      <c r="H486" s="35"/>
      <c r="I486" s="31"/>
      <c r="J486" s="102">
        <v>0</v>
      </c>
    </row>
    <row r="487" spans="1:10" hidden="1" x14ac:dyDescent="0.25">
      <c r="A487" s="219"/>
      <c r="B487" s="237"/>
      <c r="C487" s="36" t="s">
        <v>193</v>
      </c>
      <c r="D487" s="50" t="s">
        <v>102</v>
      </c>
      <c r="E487" s="37">
        <v>0.16</v>
      </c>
      <c r="F487" s="34" t="s">
        <v>522</v>
      </c>
      <c r="G487" s="34" t="str">
        <f t="shared" si="7"/>
        <v/>
      </c>
      <c r="H487" s="35"/>
      <c r="I487" s="31"/>
      <c r="J487" s="102">
        <v>0</v>
      </c>
    </row>
    <row r="488" spans="1:10" ht="15.75" hidden="1" thickBot="1" x14ac:dyDescent="0.3">
      <c r="A488" s="220"/>
      <c r="B488" s="223"/>
      <c r="C488" s="36"/>
      <c r="D488" s="36"/>
      <c r="E488" s="37"/>
      <c r="F488" s="31" t="s">
        <v>522</v>
      </c>
      <c r="G488" s="31" t="str">
        <f t="shared" si="7"/>
        <v/>
      </c>
      <c r="H488" s="35"/>
      <c r="I488" s="31"/>
      <c r="J488" s="102">
        <v>0</v>
      </c>
    </row>
    <row r="489" spans="1:10" ht="15.75" hidden="1" thickBot="1" x14ac:dyDescent="0.3">
      <c r="A489" s="218" t="s">
        <v>194</v>
      </c>
      <c r="B489" s="221" t="e">
        <f>INDEX(#REF!,MATCH(Composições!A489,#REF!,0),2)</f>
        <v>#REF!</v>
      </c>
      <c r="C489" s="41"/>
      <c r="D489" s="26" t="s">
        <v>95</v>
      </c>
      <c r="E489" s="27"/>
      <c r="F489" s="42" t="s">
        <v>522</v>
      </c>
      <c r="G489" s="28" t="str">
        <f t="shared" si="7"/>
        <v/>
      </c>
      <c r="H489" s="29"/>
      <c r="I489" s="30"/>
      <c r="J489" s="102">
        <v>0</v>
      </c>
    </row>
    <row r="490" spans="1:10" hidden="1" x14ac:dyDescent="0.25">
      <c r="A490" s="219"/>
      <c r="B490" s="237"/>
      <c r="C490" s="32"/>
      <c r="D490" s="32"/>
      <c r="E490" s="33"/>
      <c r="F490" s="43" t="s">
        <v>522</v>
      </c>
      <c r="G490" s="31" t="str">
        <f t="shared" si="7"/>
        <v/>
      </c>
      <c r="H490" s="35"/>
      <c r="I490" s="31"/>
      <c r="J490" s="102">
        <v>0</v>
      </c>
    </row>
    <row r="491" spans="1:10" hidden="1" x14ac:dyDescent="0.25">
      <c r="A491" s="219"/>
      <c r="B491" s="237"/>
      <c r="C491" s="36" t="s">
        <v>100</v>
      </c>
      <c r="D491" s="47" t="s">
        <v>12</v>
      </c>
      <c r="E491" s="37">
        <f>2*0.2149</f>
        <v>0.42980000000000002</v>
      </c>
      <c r="F491" s="31">
        <v>22.495999999999999</v>
      </c>
      <c r="G491" s="34">
        <f t="shared" si="7"/>
        <v>9.6687808000000004</v>
      </c>
      <c r="H491" s="39">
        <f>SUM(G491:G492)</f>
        <v>9.6687808000000004</v>
      </c>
      <c r="I491" s="40"/>
      <c r="J491" s="102">
        <v>0</v>
      </c>
    </row>
    <row r="492" spans="1:10" hidden="1" x14ac:dyDescent="0.25">
      <c r="A492" s="219"/>
      <c r="B492" s="237"/>
      <c r="C492" s="36" t="s">
        <v>195</v>
      </c>
      <c r="D492" s="50" t="s">
        <v>102</v>
      </c>
      <c r="E492" s="37">
        <f>2*(3.6/45)</f>
        <v>0.16</v>
      </c>
      <c r="F492" s="34" t="s">
        <v>522</v>
      </c>
      <c r="G492" s="34" t="str">
        <f t="shared" si="7"/>
        <v/>
      </c>
      <c r="H492" s="35"/>
      <c r="I492" s="31"/>
      <c r="J492" s="102">
        <v>0</v>
      </c>
    </row>
    <row r="493" spans="1:10" hidden="1" x14ac:dyDescent="0.25">
      <c r="A493" s="219"/>
      <c r="B493" s="237"/>
      <c r="C493" s="36"/>
      <c r="D493" s="47"/>
      <c r="E493" s="37"/>
      <c r="F493" s="34" t="s">
        <v>522</v>
      </c>
      <c r="G493" s="34" t="str">
        <f t="shared" si="7"/>
        <v/>
      </c>
      <c r="H493" s="35"/>
      <c r="I493" s="31"/>
      <c r="J493" s="102">
        <v>0</v>
      </c>
    </row>
    <row r="494" spans="1:10" ht="25.5" hidden="1" x14ac:dyDescent="0.25">
      <c r="A494" s="219"/>
      <c r="B494" s="237"/>
      <c r="C494" s="52" t="s">
        <v>196</v>
      </c>
      <c r="D494" s="47"/>
      <c r="E494" s="37"/>
      <c r="F494" s="34" t="s">
        <v>522</v>
      </c>
      <c r="G494" s="34" t="str">
        <f t="shared" si="7"/>
        <v/>
      </c>
      <c r="H494" s="35"/>
      <c r="I494" s="31"/>
      <c r="J494" s="102">
        <v>0</v>
      </c>
    </row>
    <row r="495" spans="1:10" ht="30" hidden="1" x14ac:dyDescent="0.25">
      <c r="A495" s="219"/>
      <c r="B495" s="237"/>
      <c r="C495" s="94" t="s">
        <v>197</v>
      </c>
      <c r="D495" s="47"/>
      <c r="E495" s="37"/>
      <c r="F495" s="34" t="s">
        <v>522</v>
      </c>
      <c r="G495" s="34" t="str">
        <f t="shared" si="7"/>
        <v/>
      </c>
      <c r="H495" s="35"/>
      <c r="I495" s="31"/>
      <c r="J495" s="102">
        <v>0</v>
      </c>
    </row>
    <row r="496" spans="1:10" ht="30.75" hidden="1" thickBot="1" x14ac:dyDescent="0.3">
      <c r="A496" s="220"/>
      <c r="B496" s="223"/>
      <c r="C496" s="94" t="s">
        <v>198</v>
      </c>
      <c r="D496" s="36"/>
      <c r="E496" s="37"/>
      <c r="F496" s="31" t="s">
        <v>522</v>
      </c>
      <c r="G496" s="31" t="str">
        <f t="shared" si="7"/>
        <v/>
      </c>
      <c r="H496" s="35"/>
      <c r="I496" s="31"/>
      <c r="J496" s="102">
        <v>0</v>
      </c>
    </row>
    <row r="497" spans="1:10" ht="15.75" hidden="1" thickBot="1" x14ac:dyDescent="0.3">
      <c r="A497" s="218" t="s">
        <v>199</v>
      </c>
      <c r="B497" s="221" t="e">
        <f>INDEX(#REF!,MATCH(Composições!A497,#REF!,0),2)</f>
        <v>#REF!</v>
      </c>
      <c r="C497" s="41"/>
      <c r="D497" s="26" t="s">
        <v>95</v>
      </c>
      <c r="E497" s="27"/>
      <c r="F497" s="42" t="s">
        <v>522</v>
      </c>
      <c r="G497" s="28" t="str">
        <f t="shared" si="7"/>
        <v/>
      </c>
      <c r="H497" s="29"/>
      <c r="I497" s="30"/>
      <c r="J497" s="102">
        <v>0</v>
      </c>
    </row>
    <row r="498" spans="1:10" hidden="1" x14ac:dyDescent="0.25">
      <c r="A498" s="219"/>
      <c r="B498" s="237"/>
      <c r="C498" s="32"/>
      <c r="D498" s="32"/>
      <c r="E498" s="33"/>
      <c r="F498" s="43" t="s">
        <v>522</v>
      </c>
      <c r="G498" s="31" t="str">
        <f t="shared" si="7"/>
        <v/>
      </c>
      <c r="H498" s="35"/>
      <c r="I498" s="31"/>
      <c r="J498" s="102">
        <v>0</v>
      </c>
    </row>
    <row r="499" spans="1:10" ht="25.5" hidden="1" x14ac:dyDescent="0.25">
      <c r="A499" s="219"/>
      <c r="B499" s="237"/>
      <c r="C499" s="36" t="s">
        <v>2501</v>
      </c>
      <c r="D499" s="47" t="s">
        <v>20</v>
      </c>
      <c r="E499" s="37">
        <v>0.1</v>
      </c>
      <c r="F499" s="34">
        <v>1.2255</v>
      </c>
      <c r="G499" s="34">
        <f t="shared" si="7"/>
        <v>0.12255000000000001</v>
      </c>
      <c r="H499" s="39">
        <f>SUM(G499:G502)</f>
        <v>19.107113259999998</v>
      </c>
      <c r="I499" s="40"/>
      <c r="J499" s="102">
        <v>0</v>
      </c>
    </row>
    <row r="500" spans="1:10" hidden="1" x14ac:dyDescent="0.25">
      <c r="A500" s="219"/>
      <c r="B500" s="237"/>
      <c r="C500" s="36" t="s">
        <v>2502</v>
      </c>
      <c r="D500" s="47" t="s">
        <v>42</v>
      </c>
      <c r="E500" s="37">
        <v>1.5518400000000001</v>
      </c>
      <c r="F500" s="34">
        <v>6.5264999999999995</v>
      </c>
      <c r="G500" s="34">
        <f t="shared" si="7"/>
        <v>10.128083759999999</v>
      </c>
      <c r="H500" s="35"/>
      <c r="I500" s="31"/>
      <c r="J500" s="102">
        <v>0</v>
      </c>
    </row>
    <row r="501" spans="1:10" hidden="1" x14ac:dyDescent="0.25">
      <c r="A501" s="219"/>
      <c r="B501" s="237"/>
      <c r="C501" s="36" t="s">
        <v>100</v>
      </c>
      <c r="D501" s="47" t="s">
        <v>12</v>
      </c>
      <c r="E501" s="37">
        <v>0.33400000000000002</v>
      </c>
      <c r="F501" s="31">
        <v>22.495999999999999</v>
      </c>
      <c r="G501" s="34">
        <f t="shared" si="7"/>
        <v>7.5136640000000003</v>
      </c>
      <c r="H501" s="35"/>
      <c r="I501" s="31"/>
      <c r="J501" s="102">
        <v>0</v>
      </c>
    </row>
    <row r="502" spans="1:10" hidden="1" x14ac:dyDescent="0.25">
      <c r="A502" s="219"/>
      <c r="B502" s="237"/>
      <c r="C502" s="36" t="s">
        <v>23</v>
      </c>
      <c r="D502" s="47" t="s">
        <v>12</v>
      </c>
      <c r="E502" s="37">
        <v>8.3000000000000004E-2</v>
      </c>
      <c r="F502" s="31">
        <v>16.1785</v>
      </c>
      <c r="G502" s="34">
        <f t="shared" si="7"/>
        <v>1.3428154999999999</v>
      </c>
      <c r="H502" s="35"/>
      <c r="I502" s="31"/>
      <c r="J502" s="102">
        <v>0</v>
      </c>
    </row>
    <row r="503" spans="1:10" ht="15.75" hidden="1" thickBot="1" x14ac:dyDescent="0.3">
      <c r="A503" s="220"/>
      <c r="B503" s="223"/>
      <c r="C503" s="36"/>
      <c r="D503" s="36"/>
      <c r="E503" s="37"/>
      <c r="F503" s="31" t="s">
        <v>522</v>
      </c>
      <c r="G503" s="31" t="str">
        <f t="shared" si="7"/>
        <v/>
      </c>
      <c r="H503" s="35"/>
      <c r="I503" s="31"/>
      <c r="J503" s="102">
        <v>0</v>
      </c>
    </row>
    <row r="504" spans="1:10" ht="15.75" hidden="1" thickBot="1" x14ac:dyDescent="0.3">
      <c r="A504" s="218" t="s">
        <v>200</v>
      </c>
      <c r="B504" s="221" t="e">
        <f>INDEX(#REF!,MATCH(Composições!A504,#REF!,0),2)</f>
        <v>#REF!</v>
      </c>
      <c r="C504" s="41"/>
      <c r="D504" s="26" t="s">
        <v>95</v>
      </c>
      <c r="E504" s="27"/>
      <c r="F504" s="42" t="s">
        <v>522</v>
      </c>
      <c r="G504" s="28" t="str">
        <f t="shared" si="7"/>
        <v/>
      </c>
      <c r="H504" s="29"/>
      <c r="I504" s="30"/>
      <c r="J504" s="102">
        <v>0</v>
      </c>
    </row>
    <row r="505" spans="1:10" hidden="1" x14ac:dyDescent="0.25">
      <c r="A505" s="219"/>
      <c r="B505" s="237"/>
      <c r="C505" s="32"/>
      <c r="D505" s="32"/>
      <c r="E505" s="33"/>
      <c r="F505" s="43" t="s">
        <v>522</v>
      </c>
      <c r="G505" s="31" t="str">
        <f t="shared" si="7"/>
        <v/>
      </c>
      <c r="H505" s="35"/>
      <c r="I505" s="31"/>
      <c r="J505" s="102">
        <v>0</v>
      </c>
    </row>
    <row r="506" spans="1:10" ht="25.5" hidden="1" x14ac:dyDescent="0.25">
      <c r="A506" s="219"/>
      <c r="B506" s="237"/>
      <c r="C506" s="36" t="s">
        <v>2501</v>
      </c>
      <c r="D506" s="47" t="s">
        <v>20</v>
      </c>
      <c r="E506" s="37">
        <v>0.1</v>
      </c>
      <c r="F506" s="34">
        <v>1.2255</v>
      </c>
      <c r="G506" s="34">
        <f t="shared" si="7"/>
        <v>0.12255000000000001</v>
      </c>
      <c r="H506" s="39">
        <f>SUM(G506:G509)</f>
        <v>14.628818579999999</v>
      </c>
      <c r="I506" s="40"/>
      <c r="J506" s="102">
        <v>0</v>
      </c>
    </row>
    <row r="507" spans="1:10" hidden="1" x14ac:dyDescent="0.25">
      <c r="A507" s="219"/>
      <c r="B507" s="237"/>
      <c r="C507" s="36" t="s">
        <v>2503</v>
      </c>
      <c r="D507" s="47" t="s">
        <v>898</v>
      </c>
      <c r="E507" s="37">
        <v>1.5550200000000001</v>
      </c>
      <c r="F507" s="34">
        <v>3.6289999999999996</v>
      </c>
      <c r="G507" s="34">
        <f t="shared" si="7"/>
        <v>5.6431675799999992</v>
      </c>
      <c r="H507" s="35"/>
      <c r="I507" s="31"/>
      <c r="J507" s="102">
        <v>0</v>
      </c>
    </row>
    <row r="508" spans="1:10" hidden="1" x14ac:dyDescent="0.25">
      <c r="A508" s="219"/>
      <c r="B508" s="237"/>
      <c r="C508" s="36" t="s">
        <v>100</v>
      </c>
      <c r="D508" s="47" t="s">
        <v>12</v>
      </c>
      <c r="E508" s="37">
        <v>0.312</v>
      </c>
      <c r="F508" s="31">
        <v>22.495999999999999</v>
      </c>
      <c r="G508" s="34">
        <f t="shared" si="7"/>
        <v>7.0187519999999992</v>
      </c>
      <c r="H508" s="35"/>
      <c r="I508" s="31"/>
      <c r="J508" s="102">
        <v>0</v>
      </c>
    </row>
    <row r="509" spans="1:10" hidden="1" x14ac:dyDescent="0.25">
      <c r="A509" s="219"/>
      <c r="B509" s="237"/>
      <c r="C509" s="36" t="s">
        <v>23</v>
      </c>
      <c r="D509" s="47" t="s">
        <v>12</v>
      </c>
      <c r="E509" s="37">
        <v>0.114</v>
      </c>
      <c r="F509" s="31">
        <v>16.1785</v>
      </c>
      <c r="G509" s="34">
        <f t="shared" si="7"/>
        <v>1.844349</v>
      </c>
      <c r="H509" s="35"/>
      <c r="I509" s="31"/>
      <c r="J509" s="102">
        <v>0</v>
      </c>
    </row>
    <row r="510" spans="1:10" ht="15.75" hidden="1" thickBot="1" x14ac:dyDescent="0.3">
      <c r="A510" s="220"/>
      <c r="B510" s="223"/>
      <c r="C510" s="36"/>
      <c r="D510" s="36"/>
      <c r="E510" s="37"/>
      <c r="F510" s="31" t="s">
        <v>522</v>
      </c>
      <c r="G510" s="31" t="str">
        <f t="shared" si="7"/>
        <v/>
      </c>
      <c r="H510" s="35"/>
      <c r="I510" s="31"/>
      <c r="J510" s="102">
        <v>0</v>
      </c>
    </row>
    <row r="511" spans="1:10" ht="15.75" hidden="1" thickBot="1" x14ac:dyDescent="0.3">
      <c r="A511" s="218" t="s">
        <v>201</v>
      </c>
      <c r="B511" s="221" t="e">
        <f>INDEX(#REF!,MATCH(Composições!A511,#REF!,0),2)</f>
        <v>#REF!</v>
      </c>
      <c r="C511" s="41"/>
      <c r="D511" s="26" t="s">
        <v>95</v>
      </c>
      <c r="E511" s="27"/>
      <c r="F511" s="42" t="s">
        <v>522</v>
      </c>
      <c r="G511" s="28" t="str">
        <f t="shared" si="7"/>
        <v/>
      </c>
      <c r="H511" s="29"/>
      <c r="I511" s="30"/>
      <c r="J511" s="102">
        <v>0</v>
      </c>
    </row>
    <row r="512" spans="1:10" hidden="1" x14ac:dyDescent="0.25">
      <c r="A512" s="219"/>
      <c r="B512" s="237"/>
      <c r="C512" s="32"/>
      <c r="D512" s="32"/>
      <c r="E512" s="33"/>
      <c r="F512" s="43" t="s">
        <v>522</v>
      </c>
      <c r="G512" s="31" t="str">
        <f t="shared" si="7"/>
        <v/>
      </c>
      <c r="H512" s="35"/>
      <c r="I512" s="31"/>
      <c r="J512" s="102">
        <v>0</v>
      </c>
    </row>
    <row r="513" spans="1:10" hidden="1" x14ac:dyDescent="0.25">
      <c r="A513" s="219"/>
      <c r="B513" s="237"/>
      <c r="C513" s="36" t="s">
        <v>100</v>
      </c>
      <c r="D513" s="47" t="s">
        <v>12</v>
      </c>
      <c r="E513" s="37">
        <v>0.187</v>
      </c>
      <c r="F513" s="31">
        <v>22.495999999999999</v>
      </c>
      <c r="G513" s="34">
        <f t="shared" si="7"/>
        <v>4.2067519999999998</v>
      </c>
      <c r="H513" s="39">
        <f>SUM(G513:G515)</f>
        <v>12.8251235</v>
      </c>
      <c r="I513" s="40"/>
      <c r="J513" s="102">
        <v>0</v>
      </c>
    </row>
    <row r="514" spans="1:10" hidden="1" x14ac:dyDescent="0.25">
      <c r="A514" s="219"/>
      <c r="B514" s="237"/>
      <c r="C514" s="36" t="s">
        <v>23</v>
      </c>
      <c r="D514" s="47" t="s">
        <v>12</v>
      </c>
      <c r="E514" s="37">
        <v>6.9000000000000006E-2</v>
      </c>
      <c r="F514" s="31">
        <v>16.1785</v>
      </c>
      <c r="G514" s="34">
        <f t="shared" si="7"/>
        <v>1.1163165000000002</v>
      </c>
      <c r="H514" s="35"/>
      <c r="I514" s="31"/>
      <c r="J514" s="102">
        <v>0</v>
      </c>
    </row>
    <row r="515" spans="1:10" hidden="1" x14ac:dyDescent="0.25">
      <c r="A515" s="219"/>
      <c r="B515" s="237"/>
      <c r="C515" s="36" t="s">
        <v>2498</v>
      </c>
      <c r="D515" s="50" t="s">
        <v>102</v>
      </c>
      <c r="E515" s="37">
        <v>0.33</v>
      </c>
      <c r="F515" s="34">
        <v>22.733499999999999</v>
      </c>
      <c r="G515" s="34">
        <f t="shared" si="7"/>
        <v>7.5020550000000004</v>
      </c>
      <c r="H515" s="35"/>
      <c r="I515" s="31"/>
      <c r="J515" s="102">
        <v>0</v>
      </c>
    </row>
    <row r="516" spans="1:10" ht="15.75" hidden="1" thickBot="1" x14ac:dyDescent="0.3">
      <c r="A516" s="220"/>
      <c r="B516" s="223"/>
      <c r="C516" s="36"/>
      <c r="D516" s="36"/>
      <c r="E516" s="37"/>
      <c r="F516" s="31" t="s">
        <v>522</v>
      </c>
      <c r="G516" s="31" t="str">
        <f t="shared" si="7"/>
        <v/>
      </c>
      <c r="H516" s="35"/>
      <c r="I516" s="31"/>
      <c r="J516" s="102">
        <v>0</v>
      </c>
    </row>
    <row r="517" spans="1:10" ht="15.75" hidden="1" thickBot="1" x14ac:dyDescent="0.3">
      <c r="A517" s="218" t="s">
        <v>202</v>
      </c>
      <c r="B517" s="221" t="e">
        <f>INDEX(#REF!,MATCH(Composições!A517,#REF!,0),2)</f>
        <v>#REF!</v>
      </c>
      <c r="C517" s="41"/>
      <c r="D517" s="26" t="s">
        <v>95</v>
      </c>
      <c r="E517" s="27"/>
      <c r="F517" s="42" t="s">
        <v>522</v>
      </c>
      <c r="G517" s="28" t="str">
        <f t="shared" si="7"/>
        <v/>
      </c>
      <c r="H517" s="29"/>
      <c r="I517" s="30"/>
      <c r="J517" s="102">
        <v>0</v>
      </c>
    </row>
    <row r="518" spans="1:10" hidden="1" x14ac:dyDescent="0.25">
      <c r="A518" s="219"/>
      <c r="B518" s="237"/>
      <c r="C518" s="32"/>
      <c r="D518" s="32"/>
      <c r="E518" s="33"/>
      <c r="F518" s="43" t="s">
        <v>522</v>
      </c>
      <c r="G518" s="31" t="str">
        <f t="shared" ref="G518:G520" si="8">IF(ISNUMBER(F518),E518*F518,"")</f>
        <v/>
      </c>
      <c r="H518" s="35"/>
      <c r="I518" s="31"/>
      <c r="J518" s="102">
        <v>0</v>
      </c>
    </row>
    <row r="519" spans="1:10" hidden="1" x14ac:dyDescent="0.25">
      <c r="A519" s="219"/>
      <c r="B519" s="237"/>
      <c r="C519" s="36" t="s">
        <v>203</v>
      </c>
      <c r="D519" s="50" t="s">
        <v>102</v>
      </c>
      <c r="E519" s="37">
        <f>ROUND(3*3.6/100,4)</f>
        <v>0.108</v>
      </c>
      <c r="F519" s="34" t="s">
        <v>522</v>
      </c>
      <c r="G519" s="31" t="str">
        <f t="shared" si="8"/>
        <v/>
      </c>
      <c r="H519" s="39">
        <f>SUM(G519:G520)</f>
        <v>15.918169599999999</v>
      </c>
      <c r="I519" s="40"/>
      <c r="J519" s="102">
        <v>0</v>
      </c>
    </row>
    <row r="520" spans="1:10" hidden="1" x14ac:dyDescent="0.25">
      <c r="A520" s="219"/>
      <c r="B520" s="237"/>
      <c r="C520" s="36" t="s">
        <v>100</v>
      </c>
      <c r="D520" s="36" t="s">
        <v>12</v>
      </c>
      <c r="E520" s="37">
        <v>0.70760000000000001</v>
      </c>
      <c r="F520" s="31">
        <v>22.495999999999999</v>
      </c>
      <c r="G520" s="31">
        <f t="shared" si="8"/>
        <v>15.918169599999999</v>
      </c>
      <c r="H520" s="35"/>
      <c r="I520" s="31"/>
      <c r="J520" s="102">
        <v>0</v>
      </c>
    </row>
    <row r="521" spans="1:10" hidden="1" x14ac:dyDescent="0.25">
      <c r="A521" s="219"/>
      <c r="B521" s="237"/>
      <c r="C521" s="36"/>
      <c r="D521" s="36"/>
      <c r="E521" s="37"/>
      <c r="F521" s="31" t="s">
        <v>522</v>
      </c>
      <c r="G521" s="31"/>
      <c r="H521" s="35"/>
      <c r="I521" s="31"/>
      <c r="J521" s="102">
        <v>0</v>
      </c>
    </row>
    <row r="522" spans="1:10" ht="38.25" hidden="1" x14ac:dyDescent="0.25">
      <c r="A522" s="219"/>
      <c r="B522" s="237"/>
      <c r="C522" s="52" t="s">
        <v>1838</v>
      </c>
      <c r="D522" s="36"/>
      <c r="E522" s="37"/>
      <c r="F522" s="31" t="s">
        <v>522</v>
      </c>
      <c r="G522" s="31"/>
      <c r="H522" s="35"/>
      <c r="I522" s="31"/>
      <c r="J522" s="102">
        <v>0</v>
      </c>
    </row>
    <row r="523" spans="1:10" ht="15.75" hidden="1" thickBot="1" x14ac:dyDescent="0.3">
      <c r="A523" s="220"/>
      <c r="B523" s="223"/>
      <c r="C523" s="36"/>
      <c r="D523" s="36"/>
      <c r="E523" s="37"/>
      <c r="F523" s="31" t="s">
        <v>522</v>
      </c>
      <c r="G523" s="31" t="str">
        <f>IF(ISNUMBER(F523),E523*F523,"")</f>
        <v/>
      </c>
      <c r="H523" s="35"/>
      <c r="I523" s="31"/>
      <c r="J523" s="102">
        <v>0</v>
      </c>
    </row>
    <row r="524" spans="1:10" ht="15.75" hidden="1" thickBot="1" x14ac:dyDescent="0.3">
      <c r="A524" s="218" t="s">
        <v>204</v>
      </c>
      <c r="B524" s="221" t="e">
        <f>INDEX(#REF!,MATCH(Composições!A524,#REF!,0),2)</f>
        <v>#REF!</v>
      </c>
      <c r="C524" s="41"/>
      <c r="D524" s="26" t="s">
        <v>95</v>
      </c>
      <c r="E524" s="27"/>
      <c r="F524" s="42" t="s">
        <v>522</v>
      </c>
      <c r="G524" s="28" t="str">
        <f>IF(ISNUMBER(F524),E524*F524,"")</f>
        <v/>
      </c>
      <c r="H524" s="29"/>
      <c r="I524" s="30"/>
      <c r="J524" s="102">
        <v>0</v>
      </c>
    </row>
    <row r="525" spans="1:10" hidden="1" x14ac:dyDescent="0.25">
      <c r="A525" s="219"/>
      <c r="B525" s="237"/>
      <c r="C525" s="32"/>
      <c r="D525" s="32"/>
      <c r="E525" s="33"/>
      <c r="F525" s="43" t="s">
        <v>522</v>
      </c>
      <c r="G525" s="31" t="str">
        <f>IF(ISNUMBER(F525),E525*F525,"")</f>
        <v/>
      </c>
      <c r="H525" s="35"/>
      <c r="I525" s="31"/>
      <c r="J525" s="102">
        <v>0</v>
      </c>
    </row>
    <row r="526" spans="1:10" hidden="1" x14ac:dyDescent="0.25">
      <c r="A526" s="219"/>
      <c r="B526" s="237"/>
      <c r="C526" s="36" t="s">
        <v>100</v>
      </c>
      <c r="D526" s="36" t="s">
        <v>703</v>
      </c>
      <c r="E526" s="37">
        <v>0.57079999999999997</v>
      </c>
      <c r="F526" s="31">
        <v>22.495999999999999</v>
      </c>
      <c r="G526" s="34">
        <f>IF(ISNUMBER(F526),E526*F526,"")</f>
        <v>12.840716799999999</v>
      </c>
      <c r="H526" s="39">
        <f>SUM(G526:G527)</f>
        <v>12.840716799999999</v>
      </c>
      <c r="I526" s="40"/>
      <c r="J526" s="102">
        <v>0</v>
      </c>
    </row>
    <row r="527" spans="1:10" hidden="1" x14ac:dyDescent="0.25">
      <c r="A527" s="219"/>
      <c r="B527" s="237"/>
      <c r="C527" s="36" t="s">
        <v>205</v>
      </c>
      <c r="D527" s="50" t="s">
        <v>102</v>
      </c>
      <c r="E527" s="37">
        <f>ROUND(3*3.6/75,4)</f>
        <v>0.14399999999999999</v>
      </c>
      <c r="F527" s="34" t="s">
        <v>522</v>
      </c>
      <c r="G527" s="34" t="str">
        <f>IF(ISNUMBER(F527),E527*F527,"")</f>
        <v/>
      </c>
      <c r="H527" s="35"/>
      <c r="I527" s="31"/>
      <c r="J527" s="102">
        <v>0</v>
      </c>
    </row>
    <row r="528" spans="1:10" hidden="1" x14ac:dyDescent="0.25">
      <c r="A528" s="219"/>
      <c r="B528" s="237"/>
      <c r="C528" s="36"/>
      <c r="D528" s="50"/>
      <c r="E528" s="37"/>
      <c r="F528" s="34" t="s">
        <v>522</v>
      </c>
      <c r="G528" s="34"/>
      <c r="H528" s="35"/>
      <c r="I528" s="31"/>
      <c r="J528" s="102">
        <v>0</v>
      </c>
    </row>
    <row r="529" spans="1:10" ht="38.25" hidden="1" x14ac:dyDescent="0.25">
      <c r="A529" s="219"/>
      <c r="B529" s="237"/>
      <c r="C529" s="52" t="s">
        <v>1837</v>
      </c>
      <c r="D529" s="50"/>
      <c r="E529" s="37"/>
      <c r="F529" s="34" t="s">
        <v>522</v>
      </c>
      <c r="G529" s="34"/>
      <c r="H529" s="35"/>
      <c r="I529" s="31"/>
      <c r="J529" s="102">
        <v>0</v>
      </c>
    </row>
    <row r="530" spans="1:10" ht="15.75" hidden="1" thickBot="1" x14ac:dyDescent="0.3">
      <c r="A530" s="220"/>
      <c r="B530" s="223"/>
      <c r="C530" s="36"/>
      <c r="D530" s="36"/>
      <c r="E530" s="37"/>
      <c r="F530" s="31" t="s">
        <v>522</v>
      </c>
      <c r="G530" s="31" t="str">
        <f t="shared" ref="G530:G593" si="9">IF(ISNUMBER(F530),E530*F530,"")</f>
        <v/>
      </c>
      <c r="H530" s="35"/>
      <c r="I530" s="31"/>
      <c r="J530" s="102">
        <v>0</v>
      </c>
    </row>
    <row r="531" spans="1:10" ht="15.75" hidden="1" thickBot="1" x14ac:dyDescent="0.3">
      <c r="A531" s="218" t="s">
        <v>206</v>
      </c>
      <c r="B531" s="221" t="e">
        <f>INDEX(#REF!,MATCH(Composições!A531,#REF!,0),2)</f>
        <v>#REF!</v>
      </c>
      <c r="C531" s="41"/>
      <c r="D531" s="26" t="s">
        <v>95</v>
      </c>
      <c r="E531" s="27"/>
      <c r="F531" s="42" t="s">
        <v>522</v>
      </c>
      <c r="G531" s="28" t="str">
        <f t="shared" si="9"/>
        <v/>
      </c>
      <c r="H531" s="29"/>
      <c r="I531" s="30"/>
      <c r="J531" s="102">
        <v>0</v>
      </c>
    </row>
    <row r="532" spans="1:10" hidden="1" x14ac:dyDescent="0.25">
      <c r="A532" s="219"/>
      <c r="B532" s="237"/>
      <c r="C532" s="32"/>
      <c r="D532" s="32"/>
      <c r="E532" s="33"/>
      <c r="F532" s="43" t="s">
        <v>522</v>
      </c>
      <c r="G532" s="31" t="str">
        <f t="shared" si="9"/>
        <v/>
      </c>
      <c r="H532" s="35"/>
      <c r="I532" s="31"/>
      <c r="J532" s="102">
        <v>0</v>
      </c>
    </row>
    <row r="533" spans="1:10" hidden="1" x14ac:dyDescent="0.25">
      <c r="A533" s="219"/>
      <c r="B533" s="237"/>
      <c r="C533" s="36" t="s">
        <v>100</v>
      </c>
      <c r="D533" s="36" t="s">
        <v>703</v>
      </c>
      <c r="E533" s="37">
        <v>0.24399999999999999</v>
      </c>
      <c r="F533" s="31">
        <v>22.495999999999999</v>
      </c>
      <c r="G533" s="34">
        <f t="shared" si="9"/>
        <v>5.4890239999999997</v>
      </c>
      <c r="H533" s="39">
        <f>SUM(G533:G535)</f>
        <v>14.430965499999999</v>
      </c>
      <c r="I533" s="40"/>
      <c r="J533" s="102">
        <v>0</v>
      </c>
    </row>
    <row r="534" spans="1:10" hidden="1" x14ac:dyDescent="0.25">
      <c r="A534" s="219"/>
      <c r="B534" s="237"/>
      <c r="C534" s="36" t="s">
        <v>23</v>
      </c>
      <c r="D534" s="36" t="s">
        <v>703</v>
      </c>
      <c r="E534" s="37">
        <v>8.8999999999999996E-2</v>
      </c>
      <c r="F534" s="31">
        <v>16.1785</v>
      </c>
      <c r="G534" s="34">
        <f t="shared" si="9"/>
        <v>1.4398864999999998</v>
      </c>
      <c r="H534" s="35"/>
      <c r="I534" s="31"/>
      <c r="J534" s="102">
        <v>0</v>
      </c>
    </row>
    <row r="535" spans="1:10" hidden="1" x14ac:dyDescent="0.25">
      <c r="A535" s="219"/>
      <c r="B535" s="237"/>
      <c r="C535" s="36" t="s">
        <v>2498</v>
      </c>
      <c r="D535" s="50" t="s">
        <v>102</v>
      </c>
      <c r="E535" s="37">
        <v>0.33</v>
      </c>
      <c r="F535" s="34">
        <v>22.733499999999999</v>
      </c>
      <c r="G535" s="34">
        <f t="shared" si="9"/>
        <v>7.5020550000000004</v>
      </c>
      <c r="H535" s="35"/>
      <c r="I535" s="31"/>
      <c r="J535" s="102">
        <v>0</v>
      </c>
    </row>
    <row r="536" spans="1:10" ht="15.75" hidden="1" thickBot="1" x14ac:dyDescent="0.3">
      <c r="A536" s="220"/>
      <c r="B536" s="223"/>
      <c r="C536" s="36"/>
      <c r="D536" s="36"/>
      <c r="E536" s="37"/>
      <c r="F536" s="31" t="s">
        <v>522</v>
      </c>
      <c r="G536" s="31" t="str">
        <f t="shared" si="9"/>
        <v/>
      </c>
      <c r="H536" s="35"/>
      <c r="I536" s="31"/>
      <c r="J536" s="102">
        <v>0</v>
      </c>
    </row>
    <row r="537" spans="1:10" ht="15.75" hidden="1" thickBot="1" x14ac:dyDescent="0.3">
      <c r="A537" s="218" t="s">
        <v>207</v>
      </c>
      <c r="B537" s="221" t="e">
        <f>INDEX(#REF!,MATCH(Composições!A537,#REF!,0),2)</f>
        <v>#REF!</v>
      </c>
      <c r="C537" s="41"/>
      <c r="D537" s="26" t="s">
        <v>95</v>
      </c>
      <c r="E537" s="27"/>
      <c r="F537" s="42" t="s">
        <v>522</v>
      </c>
      <c r="G537" s="28" t="str">
        <f t="shared" si="9"/>
        <v/>
      </c>
      <c r="H537" s="29"/>
      <c r="I537" s="30"/>
      <c r="J537" s="102">
        <v>0</v>
      </c>
    </row>
    <row r="538" spans="1:10" hidden="1" x14ac:dyDescent="0.25">
      <c r="A538" s="219"/>
      <c r="B538" s="237"/>
      <c r="C538" s="32"/>
      <c r="D538" s="32"/>
      <c r="E538" s="33"/>
      <c r="F538" s="43" t="s">
        <v>522</v>
      </c>
      <c r="G538" s="31" t="str">
        <f t="shared" si="9"/>
        <v/>
      </c>
      <c r="H538" s="35"/>
      <c r="I538" s="31"/>
      <c r="J538" s="102">
        <v>0</v>
      </c>
    </row>
    <row r="539" spans="1:10" ht="25.5" hidden="1" x14ac:dyDescent="0.25">
      <c r="A539" s="219"/>
      <c r="B539" s="237"/>
      <c r="C539" s="36" t="s">
        <v>208</v>
      </c>
      <c r="D539" s="36" t="s">
        <v>95</v>
      </c>
      <c r="E539" s="37">
        <v>1.08</v>
      </c>
      <c r="F539" s="34">
        <v>38.721999999999994</v>
      </c>
      <c r="G539" s="34">
        <f t="shared" si="9"/>
        <v>41.819759999999995</v>
      </c>
      <c r="H539" s="39">
        <f>SUM(G539:G543)</f>
        <v>67.807389999999998</v>
      </c>
      <c r="I539" s="40"/>
      <c r="J539" s="102">
        <v>0</v>
      </c>
    </row>
    <row r="540" spans="1:10" hidden="1" x14ac:dyDescent="0.25">
      <c r="A540" s="219"/>
      <c r="B540" s="237"/>
      <c r="C540" s="36" t="s">
        <v>1919</v>
      </c>
      <c r="D540" s="36" t="s">
        <v>42</v>
      </c>
      <c r="E540" s="37">
        <v>6.14</v>
      </c>
      <c r="F540" s="34">
        <v>0.88349999999999995</v>
      </c>
      <c r="G540" s="34">
        <f t="shared" si="9"/>
        <v>5.4246899999999991</v>
      </c>
      <c r="H540" s="35"/>
      <c r="I540" s="31"/>
      <c r="J540" s="102">
        <v>0</v>
      </c>
    </row>
    <row r="541" spans="1:10" hidden="1" x14ac:dyDescent="0.25">
      <c r="A541" s="219"/>
      <c r="B541" s="237"/>
      <c r="C541" s="36" t="s">
        <v>1917</v>
      </c>
      <c r="D541" s="36" t="s">
        <v>42</v>
      </c>
      <c r="E541" s="37">
        <v>0.22</v>
      </c>
      <c r="F541" s="34">
        <v>2.7835000000000001</v>
      </c>
      <c r="G541" s="34">
        <f t="shared" si="9"/>
        <v>0.61236999999999997</v>
      </c>
      <c r="H541" s="35"/>
      <c r="I541" s="31"/>
      <c r="J541" s="102">
        <v>0</v>
      </c>
    </row>
    <row r="542" spans="1:10" hidden="1" x14ac:dyDescent="0.25">
      <c r="A542" s="219"/>
      <c r="B542" s="237"/>
      <c r="C542" s="36" t="s">
        <v>36</v>
      </c>
      <c r="D542" s="36" t="s">
        <v>12</v>
      </c>
      <c r="E542" s="37">
        <v>0.66</v>
      </c>
      <c r="F542" s="31">
        <v>21.403500000000001</v>
      </c>
      <c r="G542" s="34">
        <f t="shared" si="9"/>
        <v>14.126310000000002</v>
      </c>
      <c r="H542" s="35"/>
      <c r="I542" s="31"/>
      <c r="J542" s="102">
        <v>0</v>
      </c>
    </row>
    <row r="543" spans="1:10" hidden="1" x14ac:dyDescent="0.25">
      <c r="A543" s="219"/>
      <c r="B543" s="237"/>
      <c r="C543" s="36" t="s">
        <v>23</v>
      </c>
      <c r="D543" s="36" t="s">
        <v>12</v>
      </c>
      <c r="E543" s="37">
        <v>0.36</v>
      </c>
      <c r="F543" s="31">
        <v>16.1785</v>
      </c>
      <c r="G543" s="34">
        <f t="shared" si="9"/>
        <v>5.8242599999999998</v>
      </c>
      <c r="H543" s="35"/>
      <c r="I543" s="31"/>
      <c r="J543" s="102">
        <v>0</v>
      </c>
    </row>
    <row r="544" spans="1:10" ht="15.75" hidden="1" thickBot="1" x14ac:dyDescent="0.3">
      <c r="A544" s="220"/>
      <c r="B544" s="223"/>
      <c r="C544" s="36"/>
      <c r="D544" s="36"/>
      <c r="E544" s="37"/>
      <c r="F544" s="31" t="s">
        <v>522</v>
      </c>
      <c r="G544" s="31" t="str">
        <f t="shared" si="9"/>
        <v/>
      </c>
      <c r="H544" s="35"/>
      <c r="I544" s="31"/>
      <c r="J544" s="102">
        <v>0</v>
      </c>
    </row>
    <row r="545" spans="1:10" ht="15.75" hidden="1" thickBot="1" x14ac:dyDescent="0.3">
      <c r="A545" s="218" t="s">
        <v>209</v>
      </c>
      <c r="B545" s="221" t="e">
        <f>INDEX(#REF!,MATCH(Composições!A545,#REF!,0),2)</f>
        <v>#REF!</v>
      </c>
      <c r="C545" s="41"/>
      <c r="D545" s="26" t="s">
        <v>95</v>
      </c>
      <c r="E545" s="27"/>
      <c r="F545" s="42" t="s">
        <v>522</v>
      </c>
      <c r="G545" s="28" t="str">
        <f t="shared" si="9"/>
        <v/>
      </c>
      <c r="H545" s="29"/>
      <c r="I545" s="30"/>
      <c r="J545" s="102">
        <v>0</v>
      </c>
    </row>
    <row r="546" spans="1:10" hidden="1" x14ac:dyDescent="0.25">
      <c r="A546" s="219"/>
      <c r="B546" s="237"/>
      <c r="C546" s="32"/>
      <c r="D546" s="32"/>
      <c r="E546" s="33"/>
      <c r="F546" s="43" t="s">
        <v>522</v>
      </c>
      <c r="G546" s="31" t="str">
        <f t="shared" si="9"/>
        <v/>
      </c>
      <c r="H546" s="35"/>
      <c r="I546" s="31"/>
      <c r="J546" s="102">
        <v>0</v>
      </c>
    </row>
    <row r="547" spans="1:10" ht="25.5" hidden="1" x14ac:dyDescent="0.25">
      <c r="A547" s="219"/>
      <c r="B547" s="237"/>
      <c r="C547" s="36" t="s">
        <v>210</v>
      </c>
      <c r="D547" s="36" t="s">
        <v>109</v>
      </c>
      <c r="E547" s="37">
        <v>5.2999999999999999E-2</v>
      </c>
      <c r="F547" s="34">
        <v>711.97814020499993</v>
      </c>
      <c r="G547" s="34">
        <f t="shared" si="9"/>
        <v>37.734841430864996</v>
      </c>
      <c r="H547" s="39">
        <f>SUM(G547:G551)</f>
        <v>48.564261930865001</v>
      </c>
      <c r="I547" s="40"/>
      <c r="J547" s="102">
        <v>0</v>
      </c>
    </row>
    <row r="548" spans="1:10" hidden="1" x14ac:dyDescent="0.25">
      <c r="A548" s="219"/>
      <c r="B548" s="237"/>
      <c r="C548" s="36" t="s">
        <v>22</v>
      </c>
      <c r="D548" s="36" t="s">
        <v>12</v>
      </c>
      <c r="E548" s="37">
        <v>0.27100000000000002</v>
      </c>
      <c r="F548" s="31">
        <v>21.479499999999998</v>
      </c>
      <c r="G548" s="34">
        <f t="shared" si="9"/>
        <v>5.8209444999999995</v>
      </c>
      <c r="H548" s="35"/>
      <c r="I548" s="31"/>
      <c r="J548" s="102">
        <v>0</v>
      </c>
    </row>
    <row r="549" spans="1:10" hidden="1" x14ac:dyDescent="0.25">
      <c r="A549" s="219"/>
      <c r="B549" s="237"/>
      <c r="C549" s="36" t="s">
        <v>23</v>
      </c>
      <c r="D549" s="36" t="s">
        <v>12</v>
      </c>
      <c r="E549" s="37">
        <v>0.13600000000000001</v>
      </c>
      <c r="F549" s="31">
        <v>16.1785</v>
      </c>
      <c r="G549" s="34">
        <f t="shared" si="9"/>
        <v>2.2002760000000001</v>
      </c>
      <c r="H549" s="35"/>
      <c r="I549" s="31"/>
      <c r="J549" s="102">
        <v>0</v>
      </c>
    </row>
    <row r="550" spans="1:10" hidden="1" x14ac:dyDescent="0.25">
      <c r="A550" s="219"/>
      <c r="B550" s="237"/>
      <c r="C550" s="36" t="s">
        <v>114</v>
      </c>
      <c r="D550" s="47" t="s">
        <v>42</v>
      </c>
      <c r="E550" s="37">
        <v>0.5</v>
      </c>
      <c r="F550" s="34">
        <v>0.58899999999999997</v>
      </c>
      <c r="G550" s="34">
        <f t="shared" si="9"/>
        <v>0.29449999999999998</v>
      </c>
      <c r="H550" s="35"/>
      <c r="I550" s="31"/>
      <c r="J550" s="102">
        <v>0</v>
      </c>
    </row>
    <row r="551" spans="1:10" hidden="1" x14ac:dyDescent="0.25">
      <c r="A551" s="219"/>
      <c r="B551" s="237"/>
      <c r="C551" s="36" t="s">
        <v>211</v>
      </c>
      <c r="D551" s="50" t="s">
        <v>102</v>
      </c>
      <c r="E551" s="37">
        <v>0.21</v>
      </c>
      <c r="F551" s="34">
        <v>11.969999999999999</v>
      </c>
      <c r="G551" s="34">
        <f t="shared" si="9"/>
        <v>2.5136999999999996</v>
      </c>
      <c r="H551" s="35"/>
      <c r="I551" s="31"/>
      <c r="J551" s="102">
        <v>0</v>
      </c>
    </row>
    <row r="552" spans="1:10" ht="15.75" hidden="1" thickBot="1" x14ac:dyDescent="0.3">
      <c r="A552" s="220"/>
      <c r="B552" s="223"/>
      <c r="C552" s="36"/>
      <c r="D552" s="36"/>
      <c r="E552" s="37"/>
      <c r="F552" s="31" t="s">
        <v>522</v>
      </c>
      <c r="G552" s="31" t="str">
        <f t="shared" si="9"/>
        <v/>
      </c>
      <c r="H552" s="35"/>
      <c r="I552" s="31"/>
      <c r="J552" s="102">
        <v>0</v>
      </c>
    </row>
    <row r="553" spans="1:10" ht="15.75" hidden="1" thickBot="1" x14ac:dyDescent="0.3">
      <c r="A553" s="218" t="s">
        <v>212</v>
      </c>
      <c r="B553" s="221" t="e">
        <f>INDEX(#REF!,MATCH(Composições!A553,#REF!,0),2)</f>
        <v>#REF!</v>
      </c>
      <c r="C553" s="41"/>
      <c r="D553" s="26" t="s">
        <v>95</v>
      </c>
      <c r="E553" s="27"/>
      <c r="F553" s="42" t="s">
        <v>522</v>
      </c>
      <c r="G553" s="28" t="str">
        <f t="shared" si="9"/>
        <v/>
      </c>
      <c r="H553" s="29"/>
      <c r="I553" s="30"/>
      <c r="J553" s="102">
        <v>0</v>
      </c>
    </row>
    <row r="554" spans="1:10" hidden="1" x14ac:dyDescent="0.25">
      <c r="A554" s="219"/>
      <c r="B554" s="237"/>
      <c r="C554" s="32"/>
      <c r="D554" s="32"/>
      <c r="E554" s="33"/>
      <c r="F554" s="43" t="s">
        <v>522</v>
      </c>
      <c r="G554" s="31" t="str">
        <f t="shared" si="9"/>
        <v/>
      </c>
      <c r="H554" s="35"/>
      <c r="I554" s="31"/>
      <c r="J554" s="102">
        <v>0</v>
      </c>
    </row>
    <row r="555" spans="1:10" hidden="1" x14ac:dyDescent="0.25">
      <c r="A555" s="219"/>
      <c r="B555" s="237"/>
      <c r="C555" s="36" t="s">
        <v>114</v>
      </c>
      <c r="D555" s="36" t="s">
        <v>42</v>
      </c>
      <c r="E555" s="37">
        <v>0.5</v>
      </c>
      <c r="F555" s="34">
        <v>0.58899999999999997</v>
      </c>
      <c r="G555" s="34">
        <f t="shared" si="9"/>
        <v>0.29449999999999998</v>
      </c>
      <c r="H555" s="39">
        <f>SUM(G555:G559)</f>
        <v>31.207234846354993</v>
      </c>
      <c r="I555" s="40"/>
      <c r="J555" s="102">
        <v>0</v>
      </c>
    </row>
    <row r="556" spans="1:10" hidden="1" x14ac:dyDescent="0.25">
      <c r="A556" s="219"/>
      <c r="B556" s="237"/>
      <c r="C556" s="36" t="s">
        <v>211</v>
      </c>
      <c r="D556" s="50" t="s">
        <v>102</v>
      </c>
      <c r="E556" s="37">
        <v>0.21</v>
      </c>
      <c r="F556" s="34">
        <v>11.969999999999999</v>
      </c>
      <c r="G556" s="34">
        <f t="shared" si="9"/>
        <v>2.5136999999999996</v>
      </c>
      <c r="H556" s="35"/>
      <c r="I556" s="31"/>
      <c r="J556" s="102">
        <v>0</v>
      </c>
    </row>
    <row r="557" spans="1:10" ht="25.5" hidden="1" x14ac:dyDescent="0.25">
      <c r="A557" s="219"/>
      <c r="B557" s="237"/>
      <c r="C557" s="36" t="s">
        <v>210</v>
      </c>
      <c r="D557" s="36" t="s">
        <v>109</v>
      </c>
      <c r="E557" s="37">
        <v>3.1E-2</v>
      </c>
      <c r="F557" s="34">
        <v>711.97814020499993</v>
      </c>
      <c r="G557" s="34">
        <f t="shared" si="9"/>
        <v>22.071322346354997</v>
      </c>
      <c r="H557" s="35"/>
      <c r="I557" s="31"/>
      <c r="J557" s="102">
        <v>0</v>
      </c>
    </row>
    <row r="558" spans="1:10" hidden="1" x14ac:dyDescent="0.25">
      <c r="A558" s="219"/>
      <c r="B558" s="237"/>
      <c r="C558" s="36" t="s">
        <v>22</v>
      </c>
      <c r="D558" s="47" t="s">
        <v>12</v>
      </c>
      <c r="E558" s="37">
        <v>0.214</v>
      </c>
      <c r="F558" s="31">
        <v>21.479499999999998</v>
      </c>
      <c r="G558" s="34">
        <f t="shared" si="9"/>
        <v>4.5966129999999996</v>
      </c>
      <c r="H558" s="35"/>
      <c r="I558" s="31"/>
      <c r="J558" s="102">
        <v>0</v>
      </c>
    </row>
    <row r="559" spans="1:10" hidden="1" x14ac:dyDescent="0.25">
      <c r="A559" s="219"/>
      <c r="B559" s="237"/>
      <c r="C559" s="36" t="s">
        <v>23</v>
      </c>
      <c r="D559" s="47" t="s">
        <v>12</v>
      </c>
      <c r="E559" s="37">
        <v>0.107</v>
      </c>
      <c r="F559" s="31">
        <v>16.1785</v>
      </c>
      <c r="G559" s="34">
        <f t="shared" si="9"/>
        <v>1.7310995</v>
      </c>
      <c r="H559" s="35"/>
      <c r="I559" s="31"/>
      <c r="J559" s="102">
        <v>0</v>
      </c>
    </row>
    <row r="560" spans="1:10" ht="15.75" hidden="1" thickBot="1" x14ac:dyDescent="0.3">
      <c r="A560" s="220"/>
      <c r="B560" s="223"/>
      <c r="C560" s="36"/>
      <c r="D560" s="36"/>
      <c r="E560" s="37"/>
      <c r="F560" s="31" t="s">
        <v>522</v>
      </c>
      <c r="G560" s="31" t="str">
        <f t="shared" si="9"/>
        <v/>
      </c>
      <c r="H560" s="35"/>
      <c r="I560" s="31"/>
      <c r="J560" s="102">
        <v>0</v>
      </c>
    </row>
    <row r="561" spans="1:10" ht="15.75" hidden="1" thickBot="1" x14ac:dyDescent="0.3">
      <c r="A561" s="218" t="s">
        <v>213</v>
      </c>
      <c r="B561" s="221" t="e">
        <f>INDEX(#REF!,MATCH(Composições!A561,#REF!,0),2)</f>
        <v>#REF!</v>
      </c>
      <c r="C561" s="41"/>
      <c r="D561" s="26" t="s">
        <v>95</v>
      </c>
      <c r="E561" s="27"/>
      <c r="F561" s="42" t="s">
        <v>522</v>
      </c>
      <c r="G561" s="28" t="str">
        <f t="shared" si="9"/>
        <v/>
      </c>
      <c r="H561" s="29"/>
      <c r="I561" s="30"/>
      <c r="J561" s="102">
        <v>0</v>
      </c>
    </row>
    <row r="562" spans="1:10" hidden="1" x14ac:dyDescent="0.25">
      <c r="A562" s="219"/>
      <c r="B562" s="237"/>
      <c r="C562" s="32"/>
      <c r="D562" s="32"/>
      <c r="E562" s="33"/>
      <c r="F562" s="43" t="s">
        <v>522</v>
      </c>
      <c r="G562" s="31" t="str">
        <f t="shared" si="9"/>
        <v/>
      </c>
      <c r="H562" s="35"/>
      <c r="I562" s="31"/>
      <c r="J562" s="102">
        <v>0</v>
      </c>
    </row>
    <row r="563" spans="1:10" hidden="1" x14ac:dyDescent="0.25">
      <c r="A563" s="219"/>
      <c r="B563" s="237"/>
      <c r="C563" s="36" t="s">
        <v>1918</v>
      </c>
      <c r="D563" s="36" t="s">
        <v>42</v>
      </c>
      <c r="E563" s="37">
        <v>8.6199999999999992</v>
      </c>
      <c r="F563" s="34">
        <v>1.4535</v>
      </c>
      <c r="G563" s="34">
        <f t="shared" si="9"/>
        <v>12.529169999999999</v>
      </c>
      <c r="H563" s="39">
        <f>SUM(G563:G567)</f>
        <v>47.956246999999998</v>
      </c>
      <c r="I563" s="40"/>
      <c r="J563" s="102">
        <v>0</v>
      </c>
    </row>
    <row r="564" spans="1:10" hidden="1" x14ac:dyDescent="0.25">
      <c r="A564" s="219"/>
      <c r="B564" s="237"/>
      <c r="C564" s="36" t="s">
        <v>54</v>
      </c>
      <c r="D564" s="36" t="s">
        <v>12</v>
      </c>
      <c r="E564" s="37">
        <v>1.1879999999999999</v>
      </c>
      <c r="F564" s="31">
        <v>21.403500000000001</v>
      </c>
      <c r="G564" s="34">
        <f t="shared" si="9"/>
        <v>25.427358000000002</v>
      </c>
      <c r="H564" s="35"/>
      <c r="I564" s="31"/>
      <c r="J564" s="102">
        <v>0</v>
      </c>
    </row>
    <row r="565" spans="1:10" hidden="1" x14ac:dyDescent="0.25">
      <c r="A565" s="219"/>
      <c r="B565" s="237"/>
      <c r="C565" s="36" t="s">
        <v>23</v>
      </c>
      <c r="D565" s="36" t="s">
        <v>12</v>
      </c>
      <c r="E565" s="37">
        <v>0.59399999999999997</v>
      </c>
      <c r="F565" s="31">
        <v>16.1785</v>
      </c>
      <c r="G565" s="34">
        <f t="shared" si="9"/>
        <v>9.610028999999999</v>
      </c>
      <c r="H565" s="35"/>
      <c r="I565" s="31"/>
      <c r="J565" s="102">
        <v>0</v>
      </c>
    </row>
    <row r="566" spans="1:10" hidden="1" x14ac:dyDescent="0.25">
      <c r="A566" s="219"/>
      <c r="B566" s="237"/>
      <c r="C566" s="36" t="s">
        <v>1917</v>
      </c>
      <c r="D566" s="36" t="s">
        <v>42</v>
      </c>
      <c r="E566" s="37">
        <v>0.14000000000000001</v>
      </c>
      <c r="F566" s="34">
        <v>2.7835000000000001</v>
      </c>
      <c r="G566" s="34">
        <f t="shared" si="9"/>
        <v>0.38969000000000004</v>
      </c>
      <c r="H566" s="35"/>
      <c r="I566" s="31"/>
      <c r="J566" s="102">
        <v>0</v>
      </c>
    </row>
    <row r="567" spans="1:10" hidden="1" x14ac:dyDescent="0.25">
      <c r="A567" s="219"/>
      <c r="B567" s="237"/>
      <c r="C567" s="36" t="s">
        <v>214</v>
      </c>
      <c r="D567" s="36" t="s">
        <v>95</v>
      </c>
      <c r="E567" s="37">
        <v>1.1599999999999999</v>
      </c>
      <c r="F567" s="34" t="s">
        <v>522</v>
      </c>
      <c r="G567" s="54" t="str">
        <f t="shared" si="9"/>
        <v/>
      </c>
      <c r="H567" s="35"/>
      <c r="I567" s="31"/>
      <c r="J567" s="102">
        <v>0</v>
      </c>
    </row>
    <row r="568" spans="1:10" ht="15.75" hidden="1" thickBot="1" x14ac:dyDescent="0.3">
      <c r="A568" s="220"/>
      <c r="B568" s="223"/>
      <c r="C568" s="36"/>
      <c r="D568" s="36"/>
      <c r="E568" s="37"/>
      <c r="F568" s="31" t="s">
        <v>522</v>
      </c>
      <c r="G568" s="31" t="str">
        <f t="shared" si="9"/>
        <v/>
      </c>
      <c r="H568" s="35"/>
      <c r="I568" s="31"/>
      <c r="J568" s="102">
        <v>0</v>
      </c>
    </row>
    <row r="569" spans="1:10" ht="15.75" hidden="1" thickBot="1" x14ac:dyDescent="0.3">
      <c r="A569" s="218" t="s">
        <v>215</v>
      </c>
      <c r="B569" s="221" t="e">
        <f>INDEX(#REF!,MATCH(Composições!A569,#REF!,0),2)</f>
        <v>#REF!</v>
      </c>
      <c r="C569" s="41"/>
      <c r="D569" s="26" t="s">
        <v>95</v>
      </c>
      <c r="E569" s="27"/>
      <c r="F569" s="42" t="s">
        <v>522</v>
      </c>
      <c r="G569" s="28" t="str">
        <f t="shared" si="9"/>
        <v/>
      </c>
      <c r="H569" s="29"/>
      <c r="I569" s="30"/>
      <c r="J569" s="102">
        <v>0</v>
      </c>
    </row>
    <row r="570" spans="1:10" hidden="1" x14ac:dyDescent="0.25">
      <c r="A570" s="219"/>
      <c r="B570" s="237"/>
      <c r="C570" s="32"/>
      <c r="D570" s="32"/>
      <c r="E570" s="33"/>
      <c r="F570" s="43" t="s">
        <v>522</v>
      </c>
      <c r="G570" s="31" t="str">
        <f t="shared" si="9"/>
        <v/>
      </c>
      <c r="H570" s="35"/>
      <c r="I570" s="31"/>
      <c r="J570" s="102">
        <v>0</v>
      </c>
    </row>
    <row r="571" spans="1:10" ht="25.5" hidden="1" x14ac:dyDescent="0.25">
      <c r="A571" s="219"/>
      <c r="B571" s="237"/>
      <c r="C571" s="36" t="s">
        <v>216</v>
      </c>
      <c r="D571" s="36" t="s">
        <v>93</v>
      </c>
      <c r="E571" s="37">
        <f>ROUND(1.04/0.07,4)</f>
        <v>14.857100000000001</v>
      </c>
      <c r="F571" s="34" t="s">
        <v>522</v>
      </c>
      <c r="G571" s="34" t="str">
        <f t="shared" si="9"/>
        <v/>
      </c>
      <c r="H571" s="39">
        <f>SUM(G571:G575)</f>
        <v>104.12486399999999</v>
      </c>
      <c r="I571" s="40"/>
      <c r="J571" s="102">
        <v>0</v>
      </c>
    </row>
    <row r="572" spans="1:10" hidden="1" x14ac:dyDescent="0.25">
      <c r="A572" s="219"/>
      <c r="B572" s="237"/>
      <c r="C572" s="36" t="s">
        <v>1918</v>
      </c>
      <c r="D572" s="36" t="s">
        <v>42</v>
      </c>
      <c r="E572" s="37">
        <f>ROUND(0.8614/0.1,4)</f>
        <v>8.6140000000000008</v>
      </c>
      <c r="F572" s="34">
        <v>1.4535</v>
      </c>
      <c r="G572" s="34">
        <f t="shared" si="9"/>
        <v>12.520449000000001</v>
      </c>
      <c r="H572" s="45"/>
      <c r="I572" s="46"/>
      <c r="J572" s="102">
        <v>0</v>
      </c>
    </row>
    <row r="573" spans="1:10" hidden="1" x14ac:dyDescent="0.25">
      <c r="A573" s="219"/>
      <c r="B573" s="237"/>
      <c r="C573" s="36" t="s">
        <v>54</v>
      </c>
      <c r="D573" s="36" t="s">
        <v>12</v>
      </c>
      <c r="E573" s="37">
        <f>0.299/0.1</f>
        <v>2.9899999999999998</v>
      </c>
      <c r="F573" s="31">
        <v>21.403500000000001</v>
      </c>
      <c r="G573" s="34">
        <f t="shared" si="9"/>
        <v>63.996465000000001</v>
      </c>
      <c r="H573" s="35"/>
      <c r="I573" s="31"/>
      <c r="J573" s="102">
        <v>0</v>
      </c>
    </row>
    <row r="574" spans="1:10" hidden="1" x14ac:dyDescent="0.25">
      <c r="A574" s="219"/>
      <c r="B574" s="237"/>
      <c r="C574" s="36" t="s">
        <v>23</v>
      </c>
      <c r="D574" s="36" t="s">
        <v>12</v>
      </c>
      <c r="E574" s="37">
        <f>0.15/0.1</f>
        <v>1.4999999999999998</v>
      </c>
      <c r="F574" s="31">
        <v>16.1785</v>
      </c>
      <c r="G574" s="34">
        <f t="shared" si="9"/>
        <v>24.267749999999996</v>
      </c>
      <c r="H574" s="35"/>
      <c r="I574" s="31"/>
      <c r="J574" s="102">
        <v>0</v>
      </c>
    </row>
    <row r="575" spans="1:10" hidden="1" x14ac:dyDescent="0.25">
      <c r="A575" s="219"/>
      <c r="B575" s="237"/>
      <c r="C575" s="36" t="s">
        <v>1917</v>
      </c>
      <c r="D575" s="36" t="s">
        <v>42</v>
      </c>
      <c r="E575" s="37">
        <f>0.12/0.1</f>
        <v>1.2</v>
      </c>
      <c r="F575" s="34">
        <v>2.7835000000000001</v>
      </c>
      <c r="G575" s="34">
        <f t="shared" si="9"/>
        <v>3.3401999999999998</v>
      </c>
      <c r="H575" s="35"/>
      <c r="I575" s="31"/>
      <c r="J575" s="102">
        <v>0</v>
      </c>
    </row>
    <row r="576" spans="1:10" hidden="1" x14ac:dyDescent="0.25">
      <c r="A576" s="219"/>
      <c r="B576" s="237"/>
      <c r="C576" s="36"/>
      <c r="D576" s="36"/>
      <c r="E576" s="37"/>
      <c r="F576" s="34" t="s">
        <v>522</v>
      </c>
      <c r="G576" s="34" t="str">
        <f t="shared" si="9"/>
        <v/>
      </c>
      <c r="H576" s="35"/>
      <c r="I576" s="31"/>
      <c r="J576" s="102">
        <v>0</v>
      </c>
    </row>
    <row r="577" spans="1:10" ht="25.5" hidden="1" x14ac:dyDescent="0.25">
      <c r="A577" s="219"/>
      <c r="B577" s="237"/>
      <c r="C577" s="48" t="s">
        <v>217</v>
      </c>
      <c r="D577" s="36"/>
      <c r="E577" s="37"/>
      <c r="F577" s="34" t="s">
        <v>522</v>
      </c>
      <c r="G577" s="34" t="str">
        <f t="shared" si="9"/>
        <v/>
      </c>
      <c r="H577" s="35"/>
      <c r="I577" s="31"/>
      <c r="J577" s="102">
        <v>0</v>
      </c>
    </row>
    <row r="578" spans="1:10" ht="15.75" hidden="1" thickBot="1" x14ac:dyDescent="0.3">
      <c r="A578" s="220"/>
      <c r="B578" s="223"/>
      <c r="C578" s="36"/>
      <c r="D578" s="36"/>
      <c r="E578" s="37"/>
      <c r="F578" s="31" t="s">
        <v>522</v>
      </c>
      <c r="G578" s="31" t="str">
        <f t="shared" si="9"/>
        <v/>
      </c>
      <c r="H578" s="35"/>
      <c r="I578" s="31"/>
      <c r="J578" s="102">
        <v>0</v>
      </c>
    </row>
    <row r="579" spans="1:10" ht="15.75" hidden="1" thickBot="1" x14ac:dyDescent="0.3">
      <c r="A579" s="218" t="s">
        <v>218</v>
      </c>
      <c r="B579" s="221" t="e">
        <f>INDEX(#REF!,MATCH(Composições!A579,#REF!,0),2)</f>
        <v>#REF!</v>
      </c>
      <c r="C579" s="41"/>
      <c r="D579" s="26" t="s">
        <v>95</v>
      </c>
      <c r="E579" s="27"/>
      <c r="F579" s="42" t="s">
        <v>522</v>
      </c>
      <c r="G579" s="28" t="str">
        <f t="shared" si="9"/>
        <v/>
      </c>
      <c r="H579" s="29"/>
      <c r="I579" s="30"/>
      <c r="J579" s="102">
        <v>0</v>
      </c>
    </row>
    <row r="580" spans="1:10" hidden="1" x14ac:dyDescent="0.25">
      <c r="A580" s="219"/>
      <c r="B580" s="237"/>
      <c r="C580" s="32"/>
      <c r="D580" s="32"/>
      <c r="E580" s="33"/>
      <c r="F580" s="43" t="s">
        <v>522</v>
      </c>
      <c r="G580" s="31" t="str">
        <f t="shared" si="9"/>
        <v/>
      </c>
      <c r="H580" s="35"/>
      <c r="I580" s="31"/>
      <c r="J580" s="102">
        <v>0</v>
      </c>
    </row>
    <row r="581" spans="1:10" ht="25.5" hidden="1" x14ac:dyDescent="0.25">
      <c r="A581" s="219"/>
      <c r="B581" s="237"/>
      <c r="C581" s="36" t="s">
        <v>219</v>
      </c>
      <c r="D581" s="36" t="s">
        <v>93</v>
      </c>
      <c r="E581" s="37">
        <f>ROUND(1/0.15,4)</f>
        <v>6.6666999999999996</v>
      </c>
      <c r="F581" s="34" t="s">
        <v>522</v>
      </c>
      <c r="G581" s="34" t="str">
        <f t="shared" si="9"/>
        <v/>
      </c>
      <c r="H581" s="39">
        <f>SUM(G581:G584)</f>
        <v>119.99711345</v>
      </c>
      <c r="I581" s="40"/>
      <c r="J581" s="102">
        <v>0</v>
      </c>
    </row>
    <row r="582" spans="1:10" hidden="1" x14ac:dyDescent="0.25">
      <c r="A582" s="219"/>
      <c r="B582" s="237"/>
      <c r="C582" s="36" t="s">
        <v>1918</v>
      </c>
      <c r="D582" s="36" t="s">
        <v>42</v>
      </c>
      <c r="E582" s="37">
        <f>1.29/0.15</f>
        <v>8.6000000000000014</v>
      </c>
      <c r="F582" s="34">
        <v>1.4535</v>
      </c>
      <c r="G582" s="34">
        <f t="shared" si="9"/>
        <v>12.500100000000002</v>
      </c>
      <c r="H582" s="35"/>
      <c r="I582" s="31"/>
      <c r="J582" s="102">
        <v>0</v>
      </c>
    </row>
    <row r="583" spans="1:10" hidden="1" x14ac:dyDescent="0.25">
      <c r="A583" s="219"/>
      <c r="B583" s="237"/>
      <c r="C583" s="36" t="s">
        <v>54</v>
      </c>
      <c r="D583" s="36" t="s">
        <v>12</v>
      </c>
      <c r="E583" s="37">
        <f>ROUND(0.547/0.15,4)</f>
        <v>3.6467000000000001</v>
      </c>
      <c r="F583" s="31">
        <v>21.403500000000001</v>
      </c>
      <c r="G583" s="34">
        <f t="shared" si="9"/>
        <v>78.052143450000003</v>
      </c>
      <c r="H583" s="35"/>
      <c r="I583" s="31"/>
      <c r="J583" s="102">
        <v>0</v>
      </c>
    </row>
    <row r="584" spans="1:10" hidden="1" x14ac:dyDescent="0.25">
      <c r="A584" s="219"/>
      <c r="B584" s="237"/>
      <c r="C584" s="36" t="s">
        <v>23</v>
      </c>
      <c r="D584" s="36" t="s">
        <v>12</v>
      </c>
      <c r="E584" s="37">
        <f>ROUND(0.273/0.15,4)</f>
        <v>1.82</v>
      </c>
      <c r="F584" s="31">
        <v>16.1785</v>
      </c>
      <c r="G584" s="34">
        <f t="shared" si="9"/>
        <v>29.444870000000002</v>
      </c>
      <c r="H584" s="35"/>
      <c r="I584" s="31"/>
      <c r="J584" s="102">
        <v>0</v>
      </c>
    </row>
    <row r="585" spans="1:10" hidden="1" x14ac:dyDescent="0.25">
      <c r="A585" s="219"/>
      <c r="B585" s="237"/>
      <c r="C585" s="36"/>
      <c r="D585" s="36"/>
      <c r="E585" s="37"/>
      <c r="F585" s="31" t="s">
        <v>522</v>
      </c>
      <c r="G585" s="34" t="str">
        <f t="shared" si="9"/>
        <v/>
      </c>
      <c r="H585" s="35"/>
      <c r="I585" s="31"/>
      <c r="J585" s="102">
        <v>0</v>
      </c>
    </row>
    <row r="586" spans="1:10" ht="25.5" hidden="1" x14ac:dyDescent="0.25">
      <c r="A586" s="219"/>
      <c r="B586" s="237"/>
      <c r="C586" s="48" t="s">
        <v>220</v>
      </c>
      <c r="D586" s="36"/>
      <c r="E586" s="37"/>
      <c r="F586" s="31" t="s">
        <v>522</v>
      </c>
      <c r="G586" s="34" t="str">
        <f t="shared" si="9"/>
        <v/>
      </c>
      <c r="H586" s="35"/>
      <c r="I586" s="31"/>
      <c r="J586" s="102">
        <v>0</v>
      </c>
    </row>
    <row r="587" spans="1:10" ht="15.75" hidden="1" thickBot="1" x14ac:dyDescent="0.3">
      <c r="A587" s="220"/>
      <c r="B587" s="223"/>
      <c r="C587" s="36"/>
      <c r="D587" s="36"/>
      <c r="E587" s="37"/>
      <c r="F587" s="31" t="s">
        <v>522</v>
      </c>
      <c r="G587" s="31" t="str">
        <f t="shared" si="9"/>
        <v/>
      </c>
      <c r="H587" s="35"/>
      <c r="I587" s="31"/>
      <c r="J587" s="102">
        <v>0</v>
      </c>
    </row>
    <row r="588" spans="1:10" ht="15.75" hidden="1" thickBot="1" x14ac:dyDescent="0.3">
      <c r="A588" s="218" t="s">
        <v>221</v>
      </c>
      <c r="B588" s="221" t="e">
        <f>INDEX(#REF!,MATCH(Composições!A588,#REF!,0),2)</f>
        <v>#REF!</v>
      </c>
      <c r="C588" s="41"/>
      <c r="D588" s="26" t="s">
        <v>95</v>
      </c>
      <c r="E588" s="27"/>
      <c r="F588" s="42" t="s">
        <v>522</v>
      </c>
      <c r="G588" s="28" t="str">
        <f t="shared" si="9"/>
        <v/>
      </c>
      <c r="H588" s="29"/>
      <c r="I588" s="30"/>
      <c r="J588" s="102">
        <v>0</v>
      </c>
    </row>
    <row r="589" spans="1:10" hidden="1" x14ac:dyDescent="0.25">
      <c r="A589" s="219"/>
      <c r="B589" s="237"/>
      <c r="C589" s="32"/>
      <c r="D589" s="32"/>
      <c r="E589" s="33"/>
      <c r="F589" s="43" t="s">
        <v>522</v>
      </c>
      <c r="G589" s="31" t="str">
        <f t="shared" si="9"/>
        <v/>
      </c>
      <c r="H589" s="35"/>
      <c r="I589" s="31"/>
      <c r="J589" s="102">
        <v>0</v>
      </c>
    </row>
    <row r="590" spans="1:10" hidden="1" x14ac:dyDescent="0.25">
      <c r="A590" s="219"/>
      <c r="B590" s="237"/>
      <c r="C590" s="36" t="s">
        <v>1918</v>
      </c>
      <c r="D590" s="36" t="s">
        <v>42</v>
      </c>
      <c r="E590" s="37">
        <v>8.6199999999999992</v>
      </c>
      <c r="F590" s="34">
        <v>1.4535</v>
      </c>
      <c r="G590" s="34">
        <f t="shared" si="9"/>
        <v>12.529169999999999</v>
      </c>
      <c r="H590" s="39">
        <f>SUM(G590:G594)</f>
        <v>47.956246999999998</v>
      </c>
      <c r="I590" s="40"/>
      <c r="J590" s="102">
        <v>0</v>
      </c>
    </row>
    <row r="591" spans="1:10" hidden="1" x14ac:dyDescent="0.25">
      <c r="A591" s="219"/>
      <c r="B591" s="237"/>
      <c r="C591" s="36" t="s">
        <v>54</v>
      </c>
      <c r="D591" s="36" t="s">
        <v>12</v>
      </c>
      <c r="E591" s="37">
        <v>1.1879999999999999</v>
      </c>
      <c r="F591" s="31">
        <v>21.403500000000001</v>
      </c>
      <c r="G591" s="34">
        <f t="shared" si="9"/>
        <v>25.427358000000002</v>
      </c>
      <c r="H591" s="35"/>
      <c r="I591" s="31"/>
      <c r="J591" s="102">
        <v>0</v>
      </c>
    </row>
    <row r="592" spans="1:10" hidden="1" x14ac:dyDescent="0.25">
      <c r="A592" s="219"/>
      <c r="B592" s="237"/>
      <c r="C592" s="36" t="s">
        <v>23</v>
      </c>
      <c r="D592" s="36" t="s">
        <v>12</v>
      </c>
      <c r="E592" s="37">
        <v>0.59399999999999997</v>
      </c>
      <c r="F592" s="31">
        <v>16.1785</v>
      </c>
      <c r="G592" s="34">
        <f t="shared" si="9"/>
        <v>9.610028999999999</v>
      </c>
      <c r="H592" s="35"/>
      <c r="I592" s="31"/>
      <c r="J592" s="102">
        <v>0</v>
      </c>
    </row>
    <row r="593" spans="1:10" hidden="1" x14ac:dyDescent="0.25">
      <c r="A593" s="219"/>
      <c r="B593" s="237"/>
      <c r="C593" s="36" t="s">
        <v>1917</v>
      </c>
      <c r="D593" s="36" t="s">
        <v>42</v>
      </c>
      <c r="E593" s="37">
        <v>0.14000000000000001</v>
      </c>
      <c r="F593" s="34">
        <v>2.7835000000000001</v>
      </c>
      <c r="G593" s="34">
        <f t="shared" si="9"/>
        <v>0.38969000000000004</v>
      </c>
      <c r="H593" s="35"/>
      <c r="I593" s="31"/>
      <c r="J593" s="102">
        <v>0</v>
      </c>
    </row>
    <row r="594" spans="1:10" hidden="1" x14ac:dyDescent="0.25">
      <c r="A594" s="219"/>
      <c r="B594" s="237"/>
      <c r="C594" s="36" t="s">
        <v>222</v>
      </c>
      <c r="D594" s="36" t="s">
        <v>95</v>
      </c>
      <c r="E594" s="37">
        <v>1.1599999999999999</v>
      </c>
      <c r="F594" s="34" t="s">
        <v>522</v>
      </c>
      <c r="G594" s="54" t="str">
        <f t="shared" ref="G594:G657" si="10">IF(ISNUMBER(F594),E594*F594,"")</f>
        <v/>
      </c>
      <c r="H594" s="35"/>
      <c r="I594" s="31"/>
      <c r="J594" s="102">
        <v>0</v>
      </c>
    </row>
    <row r="595" spans="1:10" ht="15.75" hidden="1" thickBot="1" x14ac:dyDescent="0.3">
      <c r="A595" s="220"/>
      <c r="B595" s="223"/>
      <c r="C595" s="36"/>
      <c r="D595" s="36"/>
      <c r="E595" s="37"/>
      <c r="F595" s="31" t="s">
        <v>522</v>
      </c>
      <c r="G595" s="31" t="str">
        <f t="shared" si="10"/>
        <v/>
      </c>
      <c r="H595" s="35"/>
      <c r="I595" s="31"/>
      <c r="J595" s="102">
        <v>0</v>
      </c>
    </row>
    <row r="596" spans="1:10" ht="15.75" hidden="1" thickBot="1" x14ac:dyDescent="0.3">
      <c r="A596" s="218" t="s">
        <v>223</v>
      </c>
      <c r="B596" s="221" t="e">
        <f>INDEX(#REF!,MATCH(Composições!A596,#REF!,0),2)</f>
        <v>#REF!</v>
      </c>
      <c r="C596" s="41"/>
      <c r="D596" s="26" t="s">
        <v>95</v>
      </c>
      <c r="E596" s="27"/>
      <c r="F596" s="42" t="s">
        <v>522</v>
      </c>
      <c r="G596" s="28" t="str">
        <f t="shared" si="10"/>
        <v/>
      </c>
      <c r="H596" s="29"/>
      <c r="I596" s="30"/>
      <c r="J596" s="102">
        <v>0</v>
      </c>
    </row>
    <row r="597" spans="1:10" hidden="1" x14ac:dyDescent="0.25">
      <c r="A597" s="219"/>
      <c r="B597" s="237"/>
      <c r="C597" s="32"/>
      <c r="D597" s="32"/>
      <c r="E597" s="33"/>
      <c r="F597" s="43" t="s">
        <v>522</v>
      </c>
      <c r="G597" s="31" t="str">
        <f t="shared" si="10"/>
        <v/>
      </c>
      <c r="H597" s="35"/>
      <c r="I597" s="31"/>
      <c r="J597" s="102">
        <v>0</v>
      </c>
    </row>
    <row r="598" spans="1:10" ht="25.5" hidden="1" x14ac:dyDescent="0.25">
      <c r="A598" s="219"/>
      <c r="B598" s="237"/>
      <c r="C598" s="36" t="s">
        <v>224</v>
      </c>
      <c r="D598" s="36" t="s">
        <v>93</v>
      </c>
      <c r="E598" s="37">
        <f>ROUND(1.04/0.07,2)</f>
        <v>14.86</v>
      </c>
      <c r="F598" s="34" t="s">
        <v>522</v>
      </c>
      <c r="G598" s="34" t="str">
        <f t="shared" si="10"/>
        <v/>
      </c>
      <c r="H598" s="39">
        <f>SUM(G598:G602)</f>
        <v>104.12486399999999</v>
      </c>
      <c r="I598" s="40"/>
      <c r="J598" s="102">
        <v>0</v>
      </c>
    </row>
    <row r="599" spans="1:10" hidden="1" x14ac:dyDescent="0.25">
      <c r="A599" s="219"/>
      <c r="B599" s="237"/>
      <c r="C599" s="36" t="s">
        <v>1918</v>
      </c>
      <c r="D599" s="36" t="s">
        <v>42</v>
      </c>
      <c r="E599" s="37">
        <f>ROUND(0.8614/0.1,4)</f>
        <v>8.6140000000000008</v>
      </c>
      <c r="F599" s="34">
        <v>1.4535</v>
      </c>
      <c r="G599" s="34">
        <f t="shared" si="10"/>
        <v>12.520449000000001</v>
      </c>
      <c r="H599" s="35"/>
      <c r="I599" s="31"/>
      <c r="J599" s="102">
        <v>0</v>
      </c>
    </row>
    <row r="600" spans="1:10" hidden="1" x14ac:dyDescent="0.25">
      <c r="A600" s="219"/>
      <c r="B600" s="237"/>
      <c r="C600" s="36" t="s">
        <v>54</v>
      </c>
      <c r="D600" s="36" t="s">
        <v>12</v>
      </c>
      <c r="E600" s="37">
        <f>0.299/0.1</f>
        <v>2.9899999999999998</v>
      </c>
      <c r="F600" s="31">
        <v>21.403500000000001</v>
      </c>
      <c r="G600" s="34">
        <f t="shared" si="10"/>
        <v>63.996465000000001</v>
      </c>
      <c r="H600" s="35"/>
      <c r="I600" s="31"/>
      <c r="J600" s="102">
        <v>0</v>
      </c>
    </row>
    <row r="601" spans="1:10" hidden="1" x14ac:dyDescent="0.25">
      <c r="A601" s="219"/>
      <c r="B601" s="237"/>
      <c r="C601" s="36" t="s">
        <v>23</v>
      </c>
      <c r="D601" s="36" t="s">
        <v>12</v>
      </c>
      <c r="E601" s="37">
        <f>0.15/0.1</f>
        <v>1.4999999999999998</v>
      </c>
      <c r="F601" s="31">
        <v>16.1785</v>
      </c>
      <c r="G601" s="34">
        <f t="shared" si="10"/>
        <v>24.267749999999996</v>
      </c>
      <c r="H601" s="35"/>
      <c r="I601" s="31"/>
      <c r="J601" s="102">
        <v>0</v>
      </c>
    </row>
    <row r="602" spans="1:10" hidden="1" x14ac:dyDescent="0.25">
      <c r="A602" s="219"/>
      <c r="B602" s="237"/>
      <c r="C602" s="36" t="s">
        <v>1917</v>
      </c>
      <c r="D602" s="36" t="s">
        <v>42</v>
      </c>
      <c r="E602" s="37">
        <f>0.12/0.1</f>
        <v>1.2</v>
      </c>
      <c r="F602" s="34">
        <v>2.7835000000000001</v>
      </c>
      <c r="G602" s="34">
        <f t="shared" si="10"/>
        <v>3.3401999999999998</v>
      </c>
      <c r="H602" s="35"/>
      <c r="I602" s="31"/>
      <c r="J602" s="102">
        <v>0</v>
      </c>
    </row>
    <row r="603" spans="1:10" hidden="1" x14ac:dyDescent="0.25">
      <c r="A603" s="219"/>
      <c r="B603" s="237"/>
      <c r="C603" s="36"/>
      <c r="D603" s="36"/>
      <c r="E603" s="37"/>
      <c r="F603" s="34" t="s">
        <v>522</v>
      </c>
      <c r="G603" s="34" t="str">
        <f t="shared" si="10"/>
        <v/>
      </c>
      <c r="H603" s="35"/>
      <c r="I603" s="31"/>
      <c r="J603" s="102">
        <v>0</v>
      </c>
    </row>
    <row r="604" spans="1:10" ht="25.5" hidden="1" x14ac:dyDescent="0.25">
      <c r="A604" s="219"/>
      <c r="B604" s="237"/>
      <c r="C604" s="48" t="s">
        <v>217</v>
      </c>
      <c r="D604" s="36"/>
      <c r="E604" s="37"/>
      <c r="F604" s="34" t="s">
        <v>522</v>
      </c>
      <c r="G604" s="34" t="str">
        <f t="shared" si="10"/>
        <v/>
      </c>
      <c r="H604" s="35"/>
      <c r="I604" s="31"/>
      <c r="J604" s="102">
        <v>0</v>
      </c>
    </row>
    <row r="605" spans="1:10" ht="15.75" hidden="1" thickBot="1" x14ac:dyDescent="0.3">
      <c r="A605" s="220"/>
      <c r="B605" s="223"/>
      <c r="C605" s="36"/>
      <c r="D605" s="36"/>
      <c r="E605" s="37"/>
      <c r="F605" s="31" t="s">
        <v>522</v>
      </c>
      <c r="G605" s="31" t="str">
        <f t="shared" si="10"/>
        <v/>
      </c>
      <c r="H605" s="35"/>
      <c r="I605" s="31"/>
      <c r="J605" s="102">
        <v>0</v>
      </c>
    </row>
    <row r="606" spans="1:10" ht="15.75" hidden="1" thickBot="1" x14ac:dyDescent="0.3">
      <c r="A606" s="218" t="s">
        <v>225</v>
      </c>
      <c r="B606" s="221" t="e">
        <f>INDEX(#REF!,MATCH(Composições!A606,#REF!,0),2)</f>
        <v>#REF!</v>
      </c>
      <c r="C606" s="41"/>
      <c r="D606" s="26" t="s">
        <v>95</v>
      </c>
      <c r="E606" s="27"/>
      <c r="F606" s="42" t="s">
        <v>522</v>
      </c>
      <c r="G606" s="28" t="str">
        <f t="shared" si="10"/>
        <v/>
      </c>
      <c r="H606" s="29"/>
      <c r="I606" s="30"/>
      <c r="J606" s="102">
        <v>0</v>
      </c>
    </row>
    <row r="607" spans="1:10" hidden="1" x14ac:dyDescent="0.25">
      <c r="A607" s="219"/>
      <c r="B607" s="237"/>
      <c r="C607" s="32"/>
      <c r="D607" s="32"/>
      <c r="E607" s="33"/>
      <c r="F607" s="43" t="s">
        <v>522</v>
      </c>
      <c r="G607" s="31" t="str">
        <f t="shared" si="10"/>
        <v/>
      </c>
      <c r="H607" s="35"/>
      <c r="I607" s="31"/>
      <c r="J607" s="102">
        <v>0</v>
      </c>
    </row>
    <row r="608" spans="1:10" ht="25.5" hidden="1" x14ac:dyDescent="0.25">
      <c r="A608" s="219"/>
      <c r="B608" s="237"/>
      <c r="C608" s="36" t="s">
        <v>226</v>
      </c>
      <c r="D608" s="36" t="s">
        <v>93</v>
      </c>
      <c r="E608" s="37">
        <f>ROUND(1/0.15,4)</f>
        <v>6.6666999999999996</v>
      </c>
      <c r="F608" s="34" t="s">
        <v>522</v>
      </c>
      <c r="G608" s="34" t="str">
        <f t="shared" si="10"/>
        <v/>
      </c>
      <c r="H608" s="39">
        <f>SUM(G608:G611)</f>
        <v>119.99711345</v>
      </c>
      <c r="I608" s="40"/>
      <c r="J608" s="102">
        <v>0</v>
      </c>
    </row>
    <row r="609" spans="1:10" hidden="1" x14ac:dyDescent="0.25">
      <c r="A609" s="219"/>
      <c r="B609" s="237"/>
      <c r="C609" s="36" t="s">
        <v>1918</v>
      </c>
      <c r="D609" s="36" t="s">
        <v>42</v>
      </c>
      <c r="E609" s="37">
        <f>ROUND(1.29/0.15,4)</f>
        <v>8.6</v>
      </c>
      <c r="F609" s="34">
        <v>1.4535</v>
      </c>
      <c r="G609" s="34">
        <f t="shared" si="10"/>
        <v>12.5001</v>
      </c>
      <c r="H609" s="35"/>
      <c r="I609" s="31"/>
      <c r="J609" s="102">
        <v>0</v>
      </c>
    </row>
    <row r="610" spans="1:10" hidden="1" x14ac:dyDescent="0.25">
      <c r="A610" s="219"/>
      <c r="B610" s="237"/>
      <c r="C610" s="36" t="s">
        <v>54</v>
      </c>
      <c r="D610" s="36" t="s">
        <v>12</v>
      </c>
      <c r="E610" s="37">
        <f>ROUND(0.547/0.15,4)</f>
        <v>3.6467000000000001</v>
      </c>
      <c r="F610" s="31">
        <v>21.403500000000001</v>
      </c>
      <c r="G610" s="34">
        <f t="shared" si="10"/>
        <v>78.052143450000003</v>
      </c>
      <c r="H610" s="35"/>
      <c r="I610" s="31"/>
      <c r="J610" s="102">
        <v>0</v>
      </c>
    </row>
    <row r="611" spans="1:10" hidden="1" x14ac:dyDescent="0.25">
      <c r="A611" s="219"/>
      <c r="B611" s="237"/>
      <c r="C611" s="36" t="s">
        <v>23</v>
      </c>
      <c r="D611" s="36" t="s">
        <v>12</v>
      </c>
      <c r="E611" s="37">
        <f>ROUND(0.273/0.15,4)</f>
        <v>1.82</v>
      </c>
      <c r="F611" s="31">
        <v>16.1785</v>
      </c>
      <c r="G611" s="34">
        <f t="shared" si="10"/>
        <v>29.444870000000002</v>
      </c>
      <c r="H611" s="35"/>
      <c r="I611" s="31"/>
      <c r="J611" s="102">
        <v>0</v>
      </c>
    </row>
    <row r="612" spans="1:10" hidden="1" x14ac:dyDescent="0.25">
      <c r="A612" s="219"/>
      <c r="B612" s="237"/>
      <c r="C612" s="36"/>
      <c r="D612" s="36"/>
      <c r="E612" s="37"/>
      <c r="F612" s="31" t="s">
        <v>522</v>
      </c>
      <c r="G612" s="34" t="str">
        <f t="shared" si="10"/>
        <v/>
      </c>
      <c r="H612" s="35"/>
      <c r="I612" s="31"/>
      <c r="J612" s="102">
        <v>0</v>
      </c>
    </row>
    <row r="613" spans="1:10" ht="25.5" hidden="1" x14ac:dyDescent="0.25">
      <c r="A613" s="219"/>
      <c r="B613" s="237"/>
      <c r="C613" s="48" t="s">
        <v>220</v>
      </c>
      <c r="D613" s="36"/>
      <c r="E613" s="37"/>
      <c r="F613" s="31" t="s">
        <v>522</v>
      </c>
      <c r="G613" s="34" t="str">
        <f t="shared" si="10"/>
        <v/>
      </c>
      <c r="H613" s="35"/>
      <c r="I613" s="31"/>
      <c r="J613" s="102">
        <v>0</v>
      </c>
    </row>
    <row r="614" spans="1:10" ht="15.75" hidden="1" thickBot="1" x14ac:dyDescent="0.3">
      <c r="A614" s="220"/>
      <c r="B614" s="223"/>
      <c r="C614" s="36"/>
      <c r="D614" s="36"/>
      <c r="E614" s="37"/>
      <c r="F614" s="31" t="s">
        <v>522</v>
      </c>
      <c r="G614" s="31" t="str">
        <f t="shared" si="10"/>
        <v/>
      </c>
      <c r="H614" s="35"/>
      <c r="I614" s="31"/>
      <c r="J614" s="102">
        <v>0</v>
      </c>
    </row>
    <row r="615" spans="1:10" ht="15.75" hidden="1" thickBot="1" x14ac:dyDescent="0.3">
      <c r="A615" s="218" t="s">
        <v>227</v>
      </c>
      <c r="B615" s="221" t="e">
        <f>INDEX(#REF!,MATCH(Composições!A615,#REF!,0),2)</f>
        <v>#REF!</v>
      </c>
      <c r="C615" s="41"/>
      <c r="D615" s="26" t="s">
        <v>93</v>
      </c>
      <c r="E615" s="27"/>
      <c r="F615" s="42" t="s">
        <v>522</v>
      </c>
      <c r="G615" s="28" t="str">
        <f t="shared" si="10"/>
        <v/>
      </c>
      <c r="H615" s="29"/>
      <c r="I615" s="30"/>
      <c r="J615" s="102">
        <v>0</v>
      </c>
    </row>
    <row r="616" spans="1:10" hidden="1" x14ac:dyDescent="0.25">
      <c r="A616" s="219"/>
      <c r="B616" s="237"/>
      <c r="C616" s="32"/>
      <c r="D616" s="32"/>
      <c r="E616" s="33"/>
      <c r="F616" s="43" t="s">
        <v>522</v>
      </c>
      <c r="G616" s="31" t="str">
        <f t="shared" si="10"/>
        <v/>
      </c>
      <c r="H616" s="35"/>
      <c r="I616" s="31"/>
      <c r="J616" s="102">
        <v>0</v>
      </c>
    </row>
    <row r="617" spans="1:10" hidden="1" x14ac:dyDescent="0.25">
      <c r="A617" s="219"/>
      <c r="B617" s="237"/>
      <c r="C617" s="36" t="s">
        <v>1237</v>
      </c>
      <c r="D617" s="47" t="s">
        <v>42</v>
      </c>
      <c r="E617" s="37">
        <v>4.0300000000000002E-2</v>
      </c>
      <c r="F617" s="31">
        <v>41.353499999999997</v>
      </c>
      <c r="G617" s="34">
        <f t="shared" si="10"/>
        <v>1.66654605</v>
      </c>
      <c r="H617" s="39">
        <f>SUM(G617:G619)</f>
        <v>11.840891199999998</v>
      </c>
      <c r="I617" s="40"/>
      <c r="J617" s="102">
        <v>0</v>
      </c>
    </row>
    <row r="618" spans="1:10" hidden="1" x14ac:dyDescent="0.25">
      <c r="A618" s="219"/>
      <c r="B618" s="237"/>
      <c r="C618" s="36" t="s">
        <v>704</v>
      </c>
      <c r="D618" s="47" t="s">
        <v>703</v>
      </c>
      <c r="E618" s="37">
        <v>0.15140000000000001</v>
      </c>
      <c r="F618" s="34">
        <v>16.1785</v>
      </c>
      <c r="G618" s="34">
        <f t="shared" si="10"/>
        <v>2.4494248999999999</v>
      </c>
      <c r="H618" s="35"/>
      <c r="I618" s="31"/>
      <c r="J618" s="102">
        <v>0</v>
      </c>
    </row>
    <row r="619" spans="1:10" hidden="1" x14ac:dyDescent="0.25">
      <c r="A619" s="219"/>
      <c r="B619" s="237"/>
      <c r="C619" s="36" t="s">
        <v>1216</v>
      </c>
      <c r="D619" s="47" t="s">
        <v>703</v>
      </c>
      <c r="E619" s="37">
        <v>0.36349999999999999</v>
      </c>
      <c r="F619" s="34">
        <v>21.2515</v>
      </c>
      <c r="G619" s="34">
        <f t="shared" si="10"/>
        <v>7.7249202499999994</v>
      </c>
      <c r="H619" s="35"/>
      <c r="I619" s="31"/>
      <c r="J619" s="102">
        <v>0</v>
      </c>
    </row>
    <row r="620" spans="1:10" hidden="1" x14ac:dyDescent="0.25">
      <c r="A620" s="219"/>
      <c r="B620" s="237"/>
      <c r="C620" s="36"/>
      <c r="D620" s="36"/>
      <c r="E620" s="37"/>
      <c r="F620" s="31" t="s">
        <v>522</v>
      </c>
      <c r="G620" s="31" t="str">
        <f t="shared" si="10"/>
        <v/>
      </c>
      <c r="H620" s="35"/>
      <c r="I620" s="31"/>
      <c r="J620" s="102">
        <v>0</v>
      </c>
    </row>
    <row r="621" spans="1:10" ht="15.75" hidden="1" thickBot="1" x14ac:dyDescent="0.3">
      <c r="A621" s="218" t="s">
        <v>228</v>
      </c>
      <c r="B621" s="221" t="e">
        <f>INDEX(#REF!,MATCH(Composições!A621,#REF!,0),2)</f>
        <v>#REF!</v>
      </c>
      <c r="C621" s="41"/>
      <c r="D621" s="26" t="s">
        <v>95</v>
      </c>
      <c r="E621" s="27"/>
      <c r="F621" s="42" t="s">
        <v>522</v>
      </c>
      <c r="G621" s="28" t="str">
        <f t="shared" si="10"/>
        <v/>
      </c>
      <c r="H621" s="29"/>
      <c r="I621" s="30"/>
      <c r="J621" s="102">
        <v>0</v>
      </c>
    </row>
    <row r="622" spans="1:10" hidden="1" x14ac:dyDescent="0.25">
      <c r="A622" s="219"/>
      <c r="B622" s="237"/>
      <c r="C622" s="32"/>
      <c r="D622" s="32"/>
      <c r="E622" s="33"/>
      <c r="F622" s="43" t="s">
        <v>522</v>
      </c>
      <c r="G622" s="31" t="str">
        <f t="shared" si="10"/>
        <v/>
      </c>
      <c r="H622" s="35"/>
      <c r="I622" s="31"/>
      <c r="J622" s="102">
        <v>0</v>
      </c>
    </row>
    <row r="623" spans="1:10" hidden="1" x14ac:dyDescent="0.25">
      <c r="A623" s="219"/>
      <c r="B623" s="237"/>
      <c r="C623" s="36" t="s">
        <v>1918</v>
      </c>
      <c r="D623" s="36" t="s">
        <v>42</v>
      </c>
      <c r="E623" s="37">
        <v>8.6199999999999992</v>
      </c>
      <c r="F623" s="34">
        <v>1.4535</v>
      </c>
      <c r="G623" s="34">
        <f t="shared" si="10"/>
        <v>12.529169999999999</v>
      </c>
      <c r="H623" s="39">
        <f>SUM(G623:G627)</f>
        <v>47.956246999999998</v>
      </c>
      <c r="I623" s="40"/>
      <c r="J623" s="102">
        <v>0</v>
      </c>
    </row>
    <row r="624" spans="1:10" hidden="1" x14ac:dyDescent="0.25">
      <c r="A624" s="219"/>
      <c r="B624" s="237"/>
      <c r="C624" s="36" t="s">
        <v>54</v>
      </c>
      <c r="D624" s="36" t="s">
        <v>12</v>
      </c>
      <c r="E624" s="37">
        <v>1.1879999999999999</v>
      </c>
      <c r="F624" s="31">
        <v>21.403500000000001</v>
      </c>
      <c r="G624" s="34">
        <f t="shared" si="10"/>
        <v>25.427358000000002</v>
      </c>
      <c r="H624" s="35"/>
      <c r="I624" s="31"/>
      <c r="J624" s="102">
        <v>0</v>
      </c>
    </row>
    <row r="625" spans="1:10" hidden="1" x14ac:dyDescent="0.25">
      <c r="A625" s="219"/>
      <c r="B625" s="237"/>
      <c r="C625" s="36" t="s">
        <v>23</v>
      </c>
      <c r="D625" s="36" t="s">
        <v>12</v>
      </c>
      <c r="E625" s="37">
        <v>0.59399999999999997</v>
      </c>
      <c r="F625" s="31">
        <v>16.1785</v>
      </c>
      <c r="G625" s="34">
        <f t="shared" si="10"/>
        <v>9.610028999999999</v>
      </c>
      <c r="H625" s="35"/>
      <c r="I625" s="31"/>
      <c r="J625" s="102">
        <v>0</v>
      </c>
    </row>
    <row r="626" spans="1:10" hidden="1" x14ac:dyDescent="0.25">
      <c r="A626" s="219"/>
      <c r="B626" s="237"/>
      <c r="C626" s="36" t="s">
        <v>1917</v>
      </c>
      <c r="D626" s="36" t="s">
        <v>42</v>
      </c>
      <c r="E626" s="37">
        <v>0.14000000000000001</v>
      </c>
      <c r="F626" s="34">
        <v>2.7835000000000001</v>
      </c>
      <c r="G626" s="34">
        <f t="shared" si="10"/>
        <v>0.38969000000000004</v>
      </c>
      <c r="H626" s="35"/>
      <c r="I626" s="31"/>
      <c r="J626" s="102">
        <v>0</v>
      </c>
    </row>
    <row r="627" spans="1:10" hidden="1" x14ac:dyDescent="0.25">
      <c r="A627" s="219"/>
      <c r="B627" s="237"/>
      <c r="C627" s="36" t="s">
        <v>229</v>
      </c>
      <c r="D627" s="36" t="s">
        <v>95</v>
      </c>
      <c r="E627" s="37">
        <v>1.1599999999999999</v>
      </c>
      <c r="F627" s="34" t="s">
        <v>522</v>
      </c>
      <c r="G627" s="54" t="str">
        <f t="shared" si="10"/>
        <v/>
      </c>
      <c r="H627" s="35"/>
      <c r="I627" s="31"/>
      <c r="J627" s="102">
        <v>0</v>
      </c>
    </row>
    <row r="628" spans="1:10" ht="15.75" hidden="1" thickBot="1" x14ac:dyDescent="0.3">
      <c r="A628" s="220"/>
      <c r="B628" s="223"/>
      <c r="C628" s="36"/>
      <c r="D628" s="36"/>
      <c r="E628" s="37"/>
      <c r="F628" s="31" t="s">
        <v>522</v>
      </c>
      <c r="G628" s="31" t="str">
        <f t="shared" si="10"/>
        <v/>
      </c>
      <c r="H628" s="35"/>
      <c r="I628" s="31"/>
      <c r="J628" s="102">
        <v>0</v>
      </c>
    </row>
    <row r="629" spans="1:10" ht="15.75" hidden="1" thickBot="1" x14ac:dyDescent="0.3">
      <c r="A629" s="218" t="s">
        <v>230</v>
      </c>
      <c r="B629" s="221" t="e">
        <f>INDEX(#REF!,MATCH(Composições!A629,#REF!,0),2)</f>
        <v>#REF!</v>
      </c>
      <c r="C629" s="41"/>
      <c r="D629" s="26" t="s">
        <v>95</v>
      </c>
      <c r="E629" s="27"/>
      <c r="F629" s="42" t="s">
        <v>522</v>
      </c>
      <c r="G629" s="28" t="str">
        <f t="shared" si="10"/>
        <v/>
      </c>
      <c r="H629" s="29"/>
      <c r="I629" s="30"/>
      <c r="J629" s="102">
        <v>0</v>
      </c>
    </row>
    <row r="630" spans="1:10" hidden="1" x14ac:dyDescent="0.25">
      <c r="A630" s="219"/>
      <c r="B630" s="237"/>
      <c r="C630" s="32"/>
      <c r="D630" s="32"/>
      <c r="E630" s="33"/>
      <c r="F630" s="43" t="s">
        <v>522</v>
      </c>
      <c r="G630" s="31" t="str">
        <f t="shared" si="10"/>
        <v/>
      </c>
      <c r="H630" s="35"/>
      <c r="I630" s="31"/>
      <c r="J630" s="102">
        <v>0</v>
      </c>
    </row>
    <row r="631" spans="1:10" hidden="1" x14ac:dyDescent="0.25">
      <c r="A631" s="219"/>
      <c r="B631" s="237"/>
      <c r="C631" s="36" t="s">
        <v>1918</v>
      </c>
      <c r="D631" s="36" t="s">
        <v>42</v>
      </c>
      <c r="E631" s="37">
        <v>8.6199999999999992</v>
      </c>
      <c r="F631" s="34">
        <v>1.4535</v>
      </c>
      <c r="G631" s="34">
        <f t="shared" si="10"/>
        <v>12.529169999999999</v>
      </c>
      <c r="H631" s="39">
        <f>SUM(G631:G635)</f>
        <v>47.956246999999998</v>
      </c>
      <c r="I631" s="40"/>
      <c r="J631" s="102">
        <v>0</v>
      </c>
    </row>
    <row r="632" spans="1:10" hidden="1" x14ac:dyDescent="0.25">
      <c r="A632" s="219"/>
      <c r="B632" s="237"/>
      <c r="C632" s="36" t="s">
        <v>54</v>
      </c>
      <c r="D632" s="36" t="s">
        <v>12</v>
      </c>
      <c r="E632" s="37">
        <v>1.1879999999999999</v>
      </c>
      <c r="F632" s="31">
        <v>21.403500000000001</v>
      </c>
      <c r="G632" s="34">
        <f t="shared" si="10"/>
        <v>25.427358000000002</v>
      </c>
      <c r="H632" s="35"/>
      <c r="I632" s="31"/>
      <c r="J632" s="102">
        <v>0</v>
      </c>
    </row>
    <row r="633" spans="1:10" hidden="1" x14ac:dyDescent="0.25">
      <c r="A633" s="219"/>
      <c r="B633" s="237"/>
      <c r="C633" s="36" t="s">
        <v>23</v>
      </c>
      <c r="D633" s="36" t="s">
        <v>12</v>
      </c>
      <c r="E633" s="37">
        <v>0.59399999999999997</v>
      </c>
      <c r="F633" s="31">
        <v>16.1785</v>
      </c>
      <c r="G633" s="34">
        <f t="shared" si="10"/>
        <v>9.610028999999999</v>
      </c>
      <c r="H633" s="35"/>
      <c r="I633" s="31"/>
      <c r="J633" s="102">
        <v>0</v>
      </c>
    </row>
    <row r="634" spans="1:10" hidden="1" x14ac:dyDescent="0.25">
      <c r="A634" s="219"/>
      <c r="B634" s="237"/>
      <c r="C634" s="36" t="s">
        <v>1917</v>
      </c>
      <c r="D634" s="36" t="s">
        <v>42</v>
      </c>
      <c r="E634" s="37">
        <v>0.14000000000000001</v>
      </c>
      <c r="F634" s="34">
        <v>2.7835000000000001</v>
      </c>
      <c r="G634" s="34">
        <f t="shared" si="10"/>
        <v>0.38969000000000004</v>
      </c>
      <c r="H634" s="35"/>
      <c r="I634" s="31"/>
      <c r="J634" s="102">
        <v>0</v>
      </c>
    </row>
    <row r="635" spans="1:10" hidden="1" x14ac:dyDescent="0.25">
      <c r="A635" s="219"/>
      <c r="B635" s="237"/>
      <c r="C635" s="36" t="s">
        <v>231</v>
      </c>
      <c r="D635" s="36" t="s">
        <v>95</v>
      </c>
      <c r="E635" s="37">
        <v>1.1599999999999999</v>
      </c>
      <c r="F635" s="34" t="s">
        <v>522</v>
      </c>
      <c r="G635" s="54" t="str">
        <f t="shared" si="10"/>
        <v/>
      </c>
      <c r="H635" s="35"/>
      <c r="I635" s="31"/>
      <c r="J635" s="102">
        <v>0</v>
      </c>
    </row>
    <row r="636" spans="1:10" ht="15.75" hidden="1" thickBot="1" x14ac:dyDescent="0.3">
      <c r="A636" s="220"/>
      <c r="B636" s="223"/>
      <c r="C636" s="36"/>
      <c r="D636" s="36"/>
      <c r="E636" s="37"/>
      <c r="F636" s="31" t="s">
        <v>522</v>
      </c>
      <c r="G636" s="31" t="str">
        <f t="shared" si="10"/>
        <v/>
      </c>
      <c r="H636" s="35"/>
      <c r="I636" s="31"/>
      <c r="J636" s="102">
        <v>0</v>
      </c>
    </row>
    <row r="637" spans="1:10" ht="15.75" hidden="1" thickBot="1" x14ac:dyDescent="0.3">
      <c r="A637" s="218" t="s">
        <v>232</v>
      </c>
      <c r="B637" s="221" t="e">
        <f>INDEX(#REF!,MATCH(Composições!A637,#REF!,0),2)</f>
        <v>#REF!</v>
      </c>
      <c r="C637" s="41"/>
      <c r="D637" s="26" t="s">
        <v>93</v>
      </c>
      <c r="E637" s="27"/>
      <c r="F637" s="42" t="s">
        <v>522</v>
      </c>
      <c r="G637" s="28" t="str">
        <f t="shared" si="10"/>
        <v/>
      </c>
      <c r="H637" s="29"/>
      <c r="I637" s="30"/>
      <c r="J637" s="102">
        <v>0</v>
      </c>
    </row>
    <row r="638" spans="1:10" hidden="1" x14ac:dyDescent="0.25">
      <c r="A638" s="219"/>
      <c r="B638" s="237"/>
      <c r="C638" s="32"/>
      <c r="D638" s="32"/>
      <c r="E638" s="33"/>
      <c r="F638" s="43" t="s">
        <v>522</v>
      </c>
      <c r="G638" s="31" t="str">
        <f t="shared" si="10"/>
        <v/>
      </c>
      <c r="H638" s="35"/>
      <c r="I638" s="31"/>
      <c r="J638" s="102">
        <v>0</v>
      </c>
    </row>
    <row r="639" spans="1:10" ht="25.5" hidden="1" x14ac:dyDescent="0.25">
      <c r="A639" s="219"/>
      <c r="B639" s="237"/>
      <c r="C639" s="36" t="s">
        <v>1805</v>
      </c>
      <c r="D639" s="47" t="s">
        <v>479</v>
      </c>
      <c r="E639" s="37">
        <v>1.0349999999999999</v>
      </c>
      <c r="F639" s="31">
        <v>14.725</v>
      </c>
      <c r="G639" s="34">
        <f t="shared" si="10"/>
        <v>15.240374999999998</v>
      </c>
      <c r="H639" s="39">
        <f>SUM(G639:G642)</f>
        <v>27.081266199999998</v>
      </c>
      <c r="I639" s="40"/>
      <c r="J639" s="102">
        <v>0</v>
      </c>
    </row>
    <row r="640" spans="1:10" hidden="1" x14ac:dyDescent="0.25">
      <c r="A640" s="219"/>
      <c r="B640" s="237"/>
      <c r="C640" s="36" t="s">
        <v>1237</v>
      </c>
      <c r="D640" s="105" t="s">
        <v>42</v>
      </c>
      <c r="E640" s="37">
        <v>4.0300000000000002E-2</v>
      </c>
      <c r="F640" s="31">
        <v>41.353499999999997</v>
      </c>
      <c r="G640" s="34">
        <f t="shared" si="10"/>
        <v>1.66654605</v>
      </c>
      <c r="H640" s="35"/>
      <c r="I640" s="31"/>
      <c r="J640" s="102">
        <v>0</v>
      </c>
    </row>
    <row r="641" spans="1:10" hidden="1" x14ac:dyDescent="0.25">
      <c r="A641" s="219"/>
      <c r="B641" s="237"/>
      <c r="C641" s="36" t="s">
        <v>704</v>
      </c>
      <c r="D641" s="47" t="s">
        <v>703</v>
      </c>
      <c r="E641" s="37">
        <v>0.15140000000000001</v>
      </c>
      <c r="F641" s="34">
        <v>16.1785</v>
      </c>
      <c r="G641" s="34">
        <f t="shared" si="10"/>
        <v>2.4494248999999999</v>
      </c>
      <c r="H641" s="35"/>
      <c r="I641" s="31"/>
      <c r="J641" s="102">
        <v>0</v>
      </c>
    </row>
    <row r="642" spans="1:10" hidden="1" x14ac:dyDescent="0.25">
      <c r="A642" s="219"/>
      <c r="B642" s="237"/>
      <c r="C642" s="36" t="s">
        <v>1216</v>
      </c>
      <c r="D642" s="47" t="s">
        <v>703</v>
      </c>
      <c r="E642" s="37">
        <v>0.36349999999999999</v>
      </c>
      <c r="F642" s="34">
        <v>21.2515</v>
      </c>
      <c r="G642" s="34">
        <f t="shared" si="10"/>
        <v>7.7249202499999994</v>
      </c>
      <c r="H642" s="35"/>
      <c r="I642" s="31"/>
      <c r="J642" s="102">
        <v>0</v>
      </c>
    </row>
    <row r="643" spans="1:10" ht="15.75" hidden="1" thickBot="1" x14ac:dyDescent="0.3">
      <c r="A643" s="220"/>
      <c r="B643" s="223"/>
      <c r="C643" s="36"/>
      <c r="D643" s="36"/>
      <c r="E643" s="37"/>
      <c r="F643" s="31" t="s">
        <v>522</v>
      </c>
      <c r="G643" s="31" t="str">
        <f t="shared" si="10"/>
        <v/>
      </c>
      <c r="H643" s="35"/>
      <c r="I643" s="31"/>
      <c r="J643" s="102">
        <v>0</v>
      </c>
    </row>
    <row r="644" spans="1:10" ht="15.75" hidden="1" thickBot="1" x14ac:dyDescent="0.3">
      <c r="A644" s="218" t="s">
        <v>234</v>
      </c>
      <c r="B644" s="221" t="e">
        <f>INDEX(#REF!,MATCH(Composições!A644,#REF!,0),2)</f>
        <v>#REF!</v>
      </c>
      <c r="C644" s="41"/>
      <c r="D644" s="26" t="s">
        <v>93</v>
      </c>
      <c r="E644" s="27"/>
      <c r="F644" s="42" t="s">
        <v>522</v>
      </c>
      <c r="G644" s="28" t="str">
        <f t="shared" si="10"/>
        <v/>
      </c>
      <c r="H644" s="29"/>
      <c r="I644" s="30"/>
      <c r="J644" s="102">
        <v>0</v>
      </c>
    </row>
    <row r="645" spans="1:10" hidden="1" x14ac:dyDescent="0.25">
      <c r="A645" s="219"/>
      <c r="B645" s="237"/>
      <c r="C645" s="32"/>
      <c r="D645" s="32"/>
      <c r="E645" s="33"/>
      <c r="F645" s="43" t="s">
        <v>522</v>
      </c>
      <c r="G645" s="31" t="str">
        <f t="shared" si="10"/>
        <v/>
      </c>
      <c r="H645" s="35"/>
      <c r="I645" s="31"/>
      <c r="J645" s="102">
        <v>0</v>
      </c>
    </row>
    <row r="646" spans="1:10" hidden="1" x14ac:dyDescent="0.25">
      <c r="A646" s="219"/>
      <c r="B646" s="237"/>
      <c r="C646" s="36" t="s">
        <v>54</v>
      </c>
      <c r="D646" s="47" t="s">
        <v>12</v>
      </c>
      <c r="E646" s="37">
        <v>2</v>
      </c>
      <c r="F646" s="31">
        <v>21.403500000000001</v>
      </c>
      <c r="G646" s="34">
        <f t="shared" si="10"/>
        <v>42.807000000000002</v>
      </c>
      <c r="H646" s="39">
        <f>SUM(G646:G646)</f>
        <v>42.807000000000002</v>
      </c>
      <c r="I646" s="40"/>
      <c r="J646" s="102">
        <v>0</v>
      </c>
    </row>
    <row r="647" spans="1:10" ht="15.75" hidden="1" thickBot="1" x14ac:dyDescent="0.3">
      <c r="A647" s="220"/>
      <c r="B647" s="223"/>
      <c r="C647" s="55"/>
      <c r="D647" s="36"/>
      <c r="E647" s="37"/>
      <c r="F647" s="31" t="s">
        <v>522</v>
      </c>
      <c r="G647" s="31" t="str">
        <f t="shared" si="10"/>
        <v/>
      </c>
      <c r="H647" s="35"/>
      <c r="I647" s="31"/>
      <c r="J647" s="102">
        <v>0</v>
      </c>
    </row>
    <row r="648" spans="1:10" ht="15.75" hidden="1" thickBot="1" x14ac:dyDescent="0.3">
      <c r="A648" s="218" t="s">
        <v>235</v>
      </c>
      <c r="B648" s="221" t="e">
        <f>INDEX(#REF!,MATCH(Composições!A648,#REF!,0),2)</f>
        <v>#REF!</v>
      </c>
      <c r="C648" s="41"/>
      <c r="D648" s="26" t="s">
        <v>93</v>
      </c>
      <c r="E648" s="27"/>
      <c r="F648" s="42" t="s">
        <v>522</v>
      </c>
      <c r="G648" s="28" t="str">
        <f t="shared" si="10"/>
        <v/>
      </c>
      <c r="H648" s="29"/>
      <c r="I648" s="30"/>
      <c r="J648" s="102">
        <v>0</v>
      </c>
    </row>
    <row r="649" spans="1:10" hidden="1" x14ac:dyDescent="0.25">
      <c r="A649" s="219"/>
      <c r="B649" s="237"/>
      <c r="C649" s="32"/>
      <c r="D649" s="32"/>
      <c r="E649" s="33"/>
      <c r="F649" s="43" t="s">
        <v>522</v>
      </c>
      <c r="G649" s="31" t="str">
        <f t="shared" si="10"/>
        <v/>
      </c>
      <c r="H649" s="35"/>
      <c r="I649" s="31"/>
      <c r="J649" s="102">
        <v>0</v>
      </c>
    </row>
    <row r="650" spans="1:10" hidden="1" x14ac:dyDescent="0.25">
      <c r="A650" s="219"/>
      <c r="B650" s="237"/>
      <c r="C650" s="36" t="s">
        <v>54</v>
      </c>
      <c r="D650" s="47" t="s">
        <v>12</v>
      </c>
      <c r="E650" s="37">
        <v>1.75</v>
      </c>
      <c r="F650" s="31">
        <v>21.403500000000001</v>
      </c>
      <c r="G650" s="34">
        <f t="shared" si="10"/>
        <v>37.456125</v>
      </c>
      <c r="H650" s="39">
        <f>SUM(G650:G650)</f>
        <v>37.456125</v>
      </c>
      <c r="I650" s="40"/>
      <c r="J650" s="102">
        <v>0</v>
      </c>
    </row>
    <row r="651" spans="1:10" ht="15.75" hidden="1" thickBot="1" x14ac:dyDescent="0.3">
      <c r="A651" s="220"/>
      <c r="B651" s="223"/>
      <c r="C651" s="55"/>
      <c r="D651" s="36"/>
      <c r="E651" s="37"/>
      <c r="F651" s="31" t="s">
        <v>522</v>
      </c>
      <c r="G651" s="31" t="str">
        <f t="shared" si="10"/>
        <v/>
      </c>
      <c r="H651" s="35"/>
      <c r="I651" s="31"/>
      <c r="J651" s="102">
        <v>0</v>
      </c>
    </row>
    <row r="652" spans="1:10" ht="15.75" hidden="1" thickBot="1" x14ac:dyDescent="0.3">
      <c r="A652" s="218" t="s">
        <v>236</v>
      </c>
      <c r="B652" s="221" t="e">
        <f>INDEX(#REF!,MATCH(Composições!A652,#REF!,0),2)</f>
        <v>#REF!</v>
      </c>
      <c r="C652" s="41"/>
      <c r="D652" s="26" t="s">
        <v>93</v>
      </c>
      <c r="E652" s="27"/>
      <c r="F652" s="42" t="s">
        <v>522</v>
      </c>
      <c r="G652" s="28" t="str">
        <f t="shared" si="10"/>
        <v/>
      </c>
      <c r="H652" s="29"/>
      <c r="I652" s="30"/>
      <c r="J652" s="102">
        <v>0</v>
      </c>
    </row>
    <row r="653" spans="1:10" hidden="1" x14ac:dyDescent="0.25">
      <c r="A653" s="219"/>
      <c r="B653" s="237"/>
      <c r="C653" s="32"/>
      <c r="D653" s="32"/>
      <c r="E653" s="33"/>
      <c r="F653" s="43" t="s">
        <v>522</v>
      </c>
      <c r="G653" s="31" t="str">
        <f t="shared" si="10"/>
        <v/>
      </c>
      <c r="H653" s="35"/>
      <c r="I653" s="31"/>
      <c r="J653" s="102">
        <v>0</v>
      </c>
    </row>
    <row r="654" spans="1:10" hidden="1" x14ac:dyDescent="0.25">
      <c r="A654" s="219"/>
      <c r="B654" s="237"/>
      <c r="C654" s="36" t="s">
        <v>54</v>
      </c>
      <c r="D654" s="47" t="s">
        <v>12</v>
      </c>
      <c r="E654" s="37">
        <v>1</v>
      </c>
      <c r="F654" s="31">
        <v>21.403500000000001</v>
      </c>
      <c r="G654" s="34">
        <f t="shared" si="10"/>
        <v>21.403500000000001</v>
      </c>
      <c r="H654" s="39">
        <f>SUM(G654:G654)</f>
        <v>21.403500000000001</v>
      </c>
      <c r="I654" s="40"/>
      <c r="J654" s="102">
        <v>0</v>
      </c>
    </row>
    <row r="655" spans="1:10" ht="15.75" hidden="1" thickBot="1" x14ac:dyDescent="0.3">
      <c r="A655" s="220"/>
      <c r="B655" s="223"/>
      <c r="C655" s="55"/>
      <c r="D655" s="36"/>
      <c r="E655" s="37"/>
      <c r="F655" s="31" t="s">
        <v>522</v>
      </c>
      <c r="G655" s="31" t="str">
        <f t="shared" si="10"/>
        <v/>
      </c>
      <c r="H655" s="35"/>
      <c r="I655" s="31"/>
      <c r="J655" s="102">
        <v>0</v>
      </c>
    </row>
    <row r="656" spans="1:10" ht="15.75" hidden="1" thickBot="1" x14ac:dyDescent="0.3">
      <c r="A656" s="218" t="s">
        <v>237</v>
      </c>
      <c r="B656" s="221" t="e">
        <f>INDEX(#REF!,MATCH(Composições!A656,#REF!,0),2)</f>
        <v>#REF!</v>
      </c>
      <c r="C656" s="41"/>
      <c r="D656" s="26" t="s">
        <v>93</v>
      </c>
      <c r="E656" s="27"/>
      <c r="F656" s="42" t="s">
        <v>522</v>
      </c>
      <c r="G656" s="28" t="str">
        <f t="shared" si="10"/>
        <v/>
      </c>
      <c r="H656" s="29"/>
      <c r="I656" s="30"/>
      <c r="J656" s="102">
        <v>0</v>
      </c>
    </row>
    <row r="657" spans="1:10" hidden="1" x14ac:dyDescent="0.25">
      <c r="A657" s="219"/>
      <c r="B657" s="237"/>
      <c r="C657" s="32"/>
      <c r="D657" s="32"/>
      <c r="E657" s="33"/>
      <c r="F657" s="43" t="s">
        <v>522</v>
      </c>
      <c r="G657" s="31" t="str">
        <f t="shared" si="10"/>
        <v/>
      </c>
      <c r="H657" s="35"/>
      <c r="I657" s="31"/>
      <c r="J657" s="102">
        <v>0</v>
      </c>
    </row>
    <row r="658" spans="1:10" hidden="1" x14ac:dyDescent="0.25">
      <c r="A658" s="219"/>
      <c r="B658" s="237"/>
      <c r="C658" s="36" t="s">
        <v>54</v>
      </c>
      <c r="D658" s="47" t="s">
        <v>12</v>
      </c>
      <c r="E658" s="37">
        <v>1.25</v>
      </c>
      <c r="F658" s="31">
        <v>21.403500000000001</v>
      </c>
      <c r="G658" s="34">
        <f t="shared" ref="G658:G721" si="11">IF(ISNUMBER(F658),E658*F658,"")</f>
        <v>26.754375000000003</v>
      </c>
      <c r="H658" s="39">
        <f>SUM(G658:G658)</f>
        <v>26.754375000000003</v>
      </c>
      <c r="I658" s="40"/>
      <c r="J658" s="102">
        <v>0</v>
      </c>
    </row>
    <row r="659" spans="1:10" ht="15.75" hidden="1" thickBot="1" x14ac:dyDescent="0.3">
      <c r="A659" s="220"/>
      <c r="B659" s="223"/>
      <c r="C659" s="55"/>
      <c r="D659" s="36"/>
      <c r="E659" s="37"/>
      <c r="F659" s="31" t="s">
        <v>522</v>
      </c>
      <c r="G659" s="31" t="str">
        <f t="shared" si="11"/>
        <v/>
      </c>
      <c r="H659" s="35"/>
      <c r="I659" s="31"/>
      <c r="J659" s="102">
        <v>0</v>
      </c>
    </row>
    <row r="660" spans="1:10" ht="15.75" hidden="1" thickBot="1" x14ac:dyDescent="0.3">
      <c r="A660" s="218" t="s">
        <v>238</v>
      </c>
      <c r="B660" s="221" t="e">
        <f>INDEX(#REF!,MATCH(Composições!A660,#REF!,0),2)</f>
        <v>#REF!</v>
      </c>
      <c r="C660" s="41"/>
      <c r="D660" s="26" t="s">
        <v>20</v>
      </c>
      <c r="E660" s="27"/>
      <c r="F660" s="42" t="s">
        <v>522</v>
      </c>
      <c r="G660" s="28" t="str">
        <f t="shared" si="11"/>
        <v/>
      </c>
      <c r="H660" s="29"/>
      <c r="I660" s="30"/>
      <c r="J660" s="102">
        <v>0</v>
      </c>
    </row>
    <row r="661" spans="1:10" hidden="1" x14ac:dyDescent="0.25">
      <c r="A661" s="219"/>
      <c r="B661" s="237"/>
      <c r="C661" s="32"/>
      <c r="D661" s="32"/>
      <c r="E661" s="33"/>
      <c r="F661" s="43" t="s">
        <v>522</v>
      </c>
      <c r="G661" s="31" t="str">
        <f t="shared" si="11"/>
        <v/>
      </c>
      <c r="H661" s="35"/>
      <c r="I661" s="31"/>
      <c r="J661" s="102">
        <v>0</v>
      </c>
    </row>
    <row r="662" spans="1:10" ht="25.5" hidden="1" x14ac:dyDescent="0.25">
      <c r="A662" s="219"/>
      <c r="B662" s="237"/>
      <c r="C662" s="36" t="s">
        <v>239</v>
      </c>
      <c r="D662" s="47" t="s">
        <v>20</v>
      </c>
      <c r="E662" s="37">
        <v>1</v>
      </c>
      <c r="F662" s="31">
        <v>117.41999999999999</v>
      </c>
      <c r="G662" s="34">
        <f t="shared" si="11"/>
        <v>117.41999999999999</v>
      </c>
      <c r="H662" s="39">
        <f>SUM(G662:G662)</f>
        <v>117.41999999999999</v>
      </c>
      <c r="I662" s="40"/>
      <c r="J662" s="102">
        <v>0</v>
      </c>
    </row>
    <row r="663" spans="1:10" ht="15.75" hidden="1" thickBot="1" x14ac:dyDescent="0.3">
      <c r="A663" s="220"/>
      <c r="B663" s="223"/>
      <c r="C663" s="55"/>
      <c r="D663" s="36"/>
      <c r="E663" s="37"/>
      <c r="F663" s="31" t="s">
        <v>522</v>
      </c>
      <c r="G663" s="31" t="str">
        <f t="shared" si="11"/>
        <v/>
      </c>
      <c r="H663" s="35"/>
      <c r="I663" s="31"/>
      <c r="J663" s="102">
        <v>0</v>
      </c>
    </row>
    <row r="664" spans="1:10" ht="15.75" hidden="1" thickBot="1" x14ac:dyDescent="0.3">
      <c r="A664" s="218" t="s">
        <v>240</v>
      </c>
      <c r="B664" s="221" t="e">
        <f>INDEX(#REF!,MATCH(Composições!A664,#REF!,0),2)</f>
        <v>#REF!</v>
      </c>
      <c r="C664" s="114"/>
      <c r="D664" s="26" t="s">
        <v>20</v>
      </c>
      <c r="E664" s="27"/>
      <c r="F664" s="42" t="s">
        <v>522</v>
      </c>
      <c r="G664" s="28" t="str">
        <f t="shared" si="11"/>
        <v/>
      </c>
      <c r="H664" s="29"/>
      <c r="I664" s="30"/>
      <c r="J664" s="102">
        <v>0</v>
      </c>
    </row>
    <row r="665" spans="1:10" hidden="1" x14ac:dyDescent="0.25">
      <c r="A665" s="219"/>
      <c r="B665" s="237"/>
      <c r="C665" s="32"/>
      <c r="D665" s="32"/>
      <c r="E665" s="33"/>
      <c r="F665" s="43" t="s">
        <v>522</v>
      </c>
      <c r="G665" s="31" t="str">
        <f t="shared" si="11"/>
        <v/>
      </c>
      <c r="H665" s="35"/>
      <c r="I665" s="31"/>
      <c r="J665" s="102">
        <v>0</v>
      </c>
    </row>
    <row r="666" spans="1:10" ht="26.25" hidden="1" x14ac:dyDescent="0.25">
      <c r="A666" s="219"/>
      <c r="B666" s="237"/>
      <c r="C666" s="51" t="s">
        <v>2375</v>
      </c>
      <c r="D666" s="47" t="s">
        <v>20</v>
      </c>
      <c r="E666" s="37">
        <v>1</v>
      </c>
      <c r="F666" s="31">
        <v>17.613</v>
      </c>
      <c r="G666" s="34">
        <f t="shared" si="11"/>
        <v>17.613</v>
      </c>
      <c r="H666" s="39">
        <f>SUM(G666:G666)</f>
        <v>17.613</v>
      </c>
      <c r="I666" s="40"/>
      <c r="J666" s="102">
        <v>0</v>
      </c>
    </row>
    <row r="667" spans="1:10" ht="15.75" hidden="1" thickBot="1" x14ac:dyDescent="0.3">
      <c r="A667" s="220"/>
      <c r="B667" s="223"/>
      <c r="C667" s="36"/>
      <c r="D667" s="36"/>
      <c r="E667" s="37"/>
      <c r="F667" s="31" t="s">
        <v>522</v>
      </c>
      <c r="G667" s="31" t="str">
        <f t="shared" si="11"/>
        <v/>
      </c>
      <c r="H667" s="35"/>
      <c r="I667" s="31"/>
      <c r="J667" s="102">
        <v>0</v>
      </c>
    </row>
    <row r="668" spans="1:10" ht="15.75" hidden="1" thickBot="1" x14ac:dyDescent="0.3">
      <c r="A668" s="218" t="s">
        <v>241</v>
      </c>
      <c r="B668" s="221" t="e">
        <f>INDEX(#REF!,MATCH(Composições!A668,#REF!,0),2)</f>
        <v>#REF!</v>
      </c>
      <c r="C668" s="41"/>
      <c r="D668" s="26" t="s">
        <v>95</v>
      </c>
      <c r="E668" s="27"/>
      <c r="F668" s="42" t="s">
        <v>522</v>
      </c>
      <c r="G668" s="28" t="str">
        <f t="shared" si="11"/>
        <v/>
      </c>
      <c r="H668" s="29"/>
      <c r="I668" s="30"/>
      <c r="J668" s="102">
        <v>0</v>
      </c>
    </row>
    <row r="669" spans="1:10" hidden="1" x14ac:dyDescent="0.25">
      <c r="A669" s="219"/>
      <c r="B669" s="237"/>
      <c r="C669" s="32"/>
      <c r="D669" s="32"/>
      <c r="E669" s="33"/>
      <c r="F669" s="43" t="s">
        <v>522</v>
      </c>
      <c r="G669" s="31" t="str">
        <f t="shared" si="11"/>
        <v/>
      </c>
      <c r="H669" s="35"/>
      <c r="I669" s="31"/>
      <c r="J669" s="102">
        <v>0</v>
      </c>
    </row>
    <row r="670" spans="1:10" ht="25.5" hidden="1" x14ac:dyDescent="0.25">
      <c r="A670" s="219"/>
      <c r="B670" s="237"/>
      <c r="C670" s="36" t="s">
        <v>242</v>
      </c>
      <c r="D670" s="36" t="s">
        <v>93</v>
      </c>
      <c r="E670" s="37">
        <f>ROUND(1.04/0.15,4)</f>
        <v>6.9333</v>
      </c>
      <c r="F670" s="34" t="s">
        <v>522</v>
      </c>
      <c r="G670" s="34" t="str">
        <f t="shared" si="11"/>
        <v/>
      </c>
      <c r="H670" s="39">
        <f>SUM(G670:G674)</f>
        <v>69.415910999999994</v>
      </c>
      <c r="I670" s="40"/>
      <c r="J670" s="102">
        <v>0</v>
      </c>
    </row>
    <row r="671" spans="1:10" hidden="1" x14ac:dyDescent="0.25">
      <c r="A671" s="219"/>
      <c r="B671" s="237"/>
      <c r="C671" s="36" t="s">
        <v>1918</v>
      </c>
      <c r="D671" s="36" t="s">
        <v>42</v>
      </c>
      <c r="E671" s="37">
        <f>ROUND(0.8614/0.15,4)</f>
        <v>5.7427000000000001</v>
      </c>
      <c r="F671" s="34">
        <v>1.4535</v>
      </c>
      <c r="G671" s="34">
        <f t="shared" si="11"/>
        <v>8.3470144499999996</v>
      </c>
      <c r="H671" s="35"/>
      <c r="I671" s="31"/>
      <c r="J671" s="102">
        <v>0</v>
      </c>
    </row>
    <row r="672" spans="1:10" hidden="1" x14ac:dyDescent="0.25">
      <c r="A672" s="219"/>
      <c r="B672" s="237"/>
      <c r="C672" s="36" t="s">
        <v>54</v>
      </c>
      <c r="D672" s="36" t="s">
        <v>12</v>
      </c>
      <c r="E672" s="37">
        <f>ROUND(0.299/0.15,4)</f>
        <v>1.9933000000000001</v>
      </c>
      <c r="F672" s="31">
        <v>21.403500000000001</v>
      </c>
      <c r="G672" s="34">
        <f t="shared" si="11"/>
        <v>42.663596550000001</v>
      </c>
      <c r="H672" s="35"/>
      <c r="I672" s="31"/>
      <c r="J672" s="102">
        <v>0</v>
      </c>
    </row>
    <row r="673" spans="1:10" hidden="1" x14ac:dyDescent="0.25">
      <c r="A673" s="219"/>
      <c r="B673" s="237"/>
      <c r="C673" s="36" t="s">
        <v>23</v>
      </c>
      <c r="D673" s="36" t="s">
        <v>12</v>
      </c>
      <c r="E673" s="37">
        <f>0.15/0.15</f>
        <v>1</v>
      </c>
      <c r="F673" s="31">
        <v>16.1785</v>
      </c>
      <c r="G673" s="34">
        <f t="shared" si="11"/>
        <v>16.1785</v>
      </c>
      <c r="H673" s="35"/>
      <c r="I673" s="31"/>
      <c r="J673" s="102">
        <v>0</v>
      </c>
    </row>
    <row r="674" spans="1:10" hidden="1" x14ac:dyDescent="0.25">
      <c r="A674" s="219"/>
      <c r="B674" s="237"/>
      <c r="C674" s="36" t="s">
        <v>1917</v>
      </c>
      <c r="D674" s="36" t="s">
        <v>42</v>
      </c>
      <c r="E674" s="37">
        <f>0.12/0.15</f>
        <v>0.8</v>
      </c>
      <c r="F674" s="34">
        <v>2.7835000000000001</v>
      </c>
      <c r="G674" s="34">
        <f t="shared" si="11"/>
        <v>2.2268000000000003</v>
      </c>
      <c r="H674" s="35"/>
      <c r="I674" s="31"/>
      <c r="J674" s="102">
        <v>0</v>
      </c>
    </row>
    <row r="675" spans="1:10" hidden="1" x14ac:dyDescent="0.25">
      <c r="A675" s="219"/>
      <c r="B675" s="237"/>
      <c r="C675" s="36"/>
      <c r="D675" s="36"/>
      <c r="E675" s="37"/>
      <c r="F675" s="34" t="s">
        <v>522</v>
      </c>
      <c r="G675" s="34" t="str">
        <f t="shared" si="11"/>
        <v/>
      </c>
      <c r="H675" s="35"/>
      <c r="I675" s="31"/>
      <c r="J675" s="102">
        <v>0</v>
      </c>
    </row>
    <row r="676" spans="1:10" ht="15.75" hidden="1" thickBot="1" x14ac:dyDescent="0.3">
      <c r="A676" s="218" t="s">
        <v>243</v>
      </c>
      <c r="B676" s="221" t="e">
        <f>INDEX(#REF!,MATCH(Composições!A676,#REF!,0),2)</f>
        <v>#REF!</v>
      </c>
      <c r="C676" s="41"/>
      <c r="D676" s="26" t="s">
        <v>95</v>
      </c>
      <c r="E676" s="27"/>
      <c r="F676" s="42" t="s">
        <v>522</v>
      </c>
      <c r="G676" s="28" t="str">
        <f t="shared" si="11"/>
        <v/>
      </c>
      <c r="H676" s="29"/>
      <c r="I676" s="30"/>
      <c r="J676" s="102">
        <v>0</v>
      </c>
    </row>
    <row r="677" spans="1:10" hidden="1" x14ac:dyDescent="0.25">
      <c r="A677" s="219"/>
      <c r="B677" s="237"/>
      <c r="C677" s="32"/>
      <c r="D677" s="32"/>
      <c r="E677" s="33"/>
      <c r="F677" s="43" t="s">
        <v>522</v>
      </c>
      <c r="G677" s="31" t="str">
        <f t="shared" si="11"/>
        <v/>
      </c>
      <c r="H677" s="35"/>
      <c r="I677" s="31"/>
      <c r="J677" s="102">
        <v>0</v>
      </c>
    </row>
    <row r="678" spans="1:10" hidden="1" x14ac:dyDescent="0.25">
      <c r="A678" s="219"/>
      <c r="B678" s="237"/>
      <c r="C678" s="36" t="s">
        <v>1791</v>
      </c>
      <c r="D678" s="36" t="s">
        <v>898</v>
      </c>
      <c r="E678" s="37">
        <f>ROUND(0.5228/(1.5*0.6),4)</f>
        <v>0.58089999999999997</v>
      </c>
      <c r="F678" s="54">
        <v>35.501499999999993</v>
      </c>
      <c r="G678" s="54">
        <f t="shared" si="11"/>
        <v>20.622821349999995</v>
      </c>
      <c r="H678" s="39">
        <f>SUM(G678:G684)</f>
        <v>135.802291</v>
      </c>
      <c r="I678" s="40"/>
      <c r="J678" s="102">
        <v>0</v>
      </c>
    </row>
    <row r="679" spans="1:10" ht="38.25" hidden="1" x14ac:dyDescent="0.25">
      <c r="A679" s="219"/>
      <c r="B679" s="237"/>
      <c r="C679" s="36" t="s">
        <v>1131</v>
      </c>
      <c r="D679" s="36" t="s">
        <v>279</v>
      </c>
      <c r="E679" s="37">
        <f>ROUND(6/(1.5*0.6),4)</f>
        <v>6.6666999999999996</v>
      </c>
      <c r="F679" s="54">
        <v>0.874</v>
      </c>
      <c r="G679" s="54">
        <f t="shared" si="11"/>
        <v>5.8266957999999995</v>
      </c>
      <c r="H679" s="73"/>
      <c r="I679" s="74"/>
      <c r="J679" s="102">
        <v>0</v>
      </c>
    </row>
    <row r="680" spans="1:10" ht="25.5" hidden="1" x14ac:dyDescent="0.25">
      <c r="A680" s="219"/>
      <c r="B680" s="237"/>
      <c r="C680" s="36" t="s">
        <v>244</v>
      </c>
      <c r="D680" s="36" t="s">
        <v>992</v>
      </c>
      <c r="E680" s="37">
        <f>ROUND(1.005/(1.5*0.6),4)</f>
        <v>1.1167</v>
      </c>
      <c r="F680" s="54" t="s">
        <v>522</v>
      </c>
      <c r="G680" s="54" t="str">
        <f t="shared" si="11"/>
        <v/>
      </c>
      <c r="H680" s="73"/>
      <c r="I680" s="74"/>
      <c r="J680" s="102">
        <v>0</v>
      </c>
    </row>
    <row r="681" spans="1:10" hidden="1" x14ac:dyDescent="0.25">
      <c r="A681" s="219"/>
      <c r="B681" s="237"/>
      <c r="C681" s="36" t="s">
        <v>1906</v>
      </c>
      <c r="D681" s="36" t="s">
        <v>898</v>
      </c>
      <c r="E681" s="37">
        <f>ROUND(0.0211/(1.5*0.6),4)</f>
        <v>2.3400000000000001E-2</v>
      </c>
      <c r="F681" s="54">
        <v>58.738499999999995</v>
      </c>
      <c r="G681" s="54">
        <f t="shared" si="11"/>
        <v>1.3744809</v>
      </c>
      <c r="H681" s="73"/>
      <c r="I681" s="74"/>
      <c r="J681" s="102">
        <v>0</v>
      </c>
    </row>
    <row r="682" spans="1:10" ht="25.5" hidden="1" x14ac:dyDescent="0.25">
      <c r="A682" s="219"/>
      <c r="B682" s="237"/>
      <c r="C682" s="36" t="s">
        <v>1807</v>
      </c>
      <c r="D682" s="36" t="s">
        <v>279</v>
      </c>
      <c r="E682" s="37">
        <f>ROUND(2/(1.5*0.6),4)</f>
        <v>2.2222</v>
      </c>
      <c r="F682" s="54">
        <v>24.643000000000001</v>
      </c>
      <c r="G682" s="54">
        <f t="shared" si="11"/>
        <v>54.761674599999999</v>
      </c>
      <c r="H682" s="73"/>
      <c r="I682" s="74"/>
      <c r="J682" s="102">
        <v>0</v>
      </c>
    </row>
    <row r="683" spans="1:10" hidden="1" x14ac:dyDescent="0.25">
      <c r="A683" s="219"/>
      <c r="B683" s="237"/>
      <c r="C683" s="36" t="s">
        <v>1685</v>
      </c>
      <c r="D683" s="36" t="s">
        <v>703</v>
      </c>
      <c r="E683" s="37">
        <f>ROUND(1.4944/(1.5*0.6),4)</f>
        <v>1.6604000000000001</v>
      </c>
      <c r="F683" s="54">
        <v>21.403500000000001</v>
      </c>
      <c r="G683" s="54">
        <f t="shared" si="11"/>
        <v>35.538371400000003</v>
      </c>
      <c r="H683" s="73"/>
      <c r="I683" s="74"/>
      <c r="J683" s="102">
        <v>0</v>
      </c>
    </row>
    <row r="684" spans="1:10" hidden="1" x14ac:dyDescent="0.25">
      <c r="A684" s="219"/>
      <c r="B684" s="237"/>
      <c r="C684" s="36" t="s">
        <v>704</v>
      </c>
      <c r="D684" s="36" t="s">
        <v>703</v>
      </c>
      <c r="E684" s="37">
        <f>ROUND(0.9834/(1.5*0.6),4)</f>
        <v>1.0927</v>
      </c>
      <c r="F684" s="54">
        <v>16.1785</v>
      </c>
      <c r="G684" s="54">
        <f t="shared" si="11"/>
        <v>17.678246949999998</v>
      </c>
      <c r="H684" s="73"/>
      <c r="I684" s="74"/>
      <c r="J684" s="102">
        <v>0</v>
      </c>
    </row>
    <row r="685" spans="1:10" hidden="1" x14ac:dyDescent="0.25">
      <c r="A685" s="219"/>
      <c r="B685" s="237"/>
      <c r="C685" s="36"/>
      <c r="D685" s="36"/>
      <c r="E685" s="37"/>
      <c r="F685" s="31" t="s">
        <v>522</v>
      </c>
      <c r="G685" s="34" t="str">
        <f t="shared" si="11"/>
        <v/>
      </c>
      <c r="H685" s="35"/>
      <c r="I685" s="31"/>
      <c r="J685" s="102">
        <v>0</v>
      </c>
    </row>
    <row r="686" spans="1:10" ht="15.75" hidden="1" thickBot="1" x14ac:dyDescent="0.3">
      <c r="A686" s="218" t="s">
        <v>245</v>
      </c>
      <c r="B686" s="221" t="e">
        <f>INDEX(#REF!,MATCH(Composições!A686,#REF!,0),2)</f>
        <v>#REF!</v>
      </c>
      <c r="C686" s="41"/>
      <c r="D686" s="26" t="s">
        <v>95</v>
      </c>
      <c r="E686" s="27"/>
      <c r="F686" s="42" t="s">
        <v>522</v>
      </c>
      <c r="G686" s="28" t="str">
        <f t="shared" si="11"/>
        <v/>
      </c>
      <c r="H686" s="29"/>
      <c r="I686" s="30"/>
      <c r="J686" s="102">
        <v>0</v>
      </c>
    </row>
    <row r="687" spans="1:10" hidden="1" x14ac:dyDescent="0.25">
      <c r="A687" s="219"/>
      <c r="B687" s="237"/>
      <c r="C687" s="32"/>
      <c r="D687" s="32"/>
      <c r="E687" s="33"/>
      <c r="F687" s="43" t="s">
        <v>522</v>
      </c>
      <c r="G687" s="31" t="str">
        <f t="shared" si="11"/>
        <v/>
      </c>
      <c r="H687" s="35"/>
      <c r="I687" s="31"/>
      <c r="J687" s="102">
        <v>0</v>
      </c>
    </row>
    <row r="688" spans="1:10" ht="25.5" hidden="1" x14ac:dyDescent="0.25">
      <c r="A688" s="219"/>
      <c r="B688" s="237"/>
      <c r="C688" s="36" t="s">
        <v>776</v>
      </c>
      <c r="D688" s="36" t="s">
        <v>898</v>
      </c>
      <c r="E688" s="37">
        <v>0.53</v>
      </c>
      <c r="F688" s="34">
        <v>47.205499999999994</v>
      </c>
      <c r="G688" s="34">
        <f t="shared" si="11"/>
        <v>25.018914999999996</v>
      </c>
      <c r="H688" s="39">
        <f>SUM(G688:G694)</f>
        <v>91.871526499999987</v>
      </c>
      <c r="I688" s="40"/>
      <c r="J688" s="102">
        <v>0</v>
      </c>
    </row>
    <row r="689" spans="1:10" ht="25.5" hidden="1" x14ac:dyDescent="0.25">
      <c r="A689" s="219"/>
      <c r="B689" s="237"/>
      <c r="C689" s="36" t="s">
        <v>2329</v>
      </c>
      <c r="D689" s="36" t="s">
        <v>992</v>
      </c>
      <c r="E689" s="37">
        <v>1.05</v>
      </c>
      <c r="F689" s="34" t="s">
        <v>522</v>
      </c>
      <c r="G689" s="34" t="str">
        <f t="shared" si="11"/>
        <v/>
      </c>
      <c r="H689" s="35"/>
      <c r="I689" s="31"/>
      <c r="J689" s="102">
        <v>0</v>
      </c>
    </row>
    <row r="690" spans="1:10" hidden="1" x14ac:dyDescent="0.25">
      <c r="A690" s="219"/>
      <c r="B690" s="237"/>
      <c r="C690" s="36" t="s">
        <v>1898</v>
      </c>
      <c r="D690" s="36" t="s">
        <v>898</v>
      </c>
      <c r="E690" s="37">
        <v>0.97</v>
      </c>
      <c r="F690" s="31">
        <v>1.6719999999999999</v>
      </c>
      <c r="G690" s="34">
        <f t="shared" si="11"/>
        <v>1.6218399999999999</v>
      </c>
      <c r="H690" s="35"/>
      <c r="I690" s="31"/>
      <c r="J690" s="102">
        <v>0</v>
      </c>
    </row>
    <row r="691" spans="1:10" hidden="1" x14ac:dyDescent="0.25">
      <c r="A691" s="219"/>
      <c r="B691" s="237"/>
      <c r="C691" s="36" t="s">
        <v>1685</v>
      </c>
      <c r="D691" s="36" t="s">
        <v>703</v>
      </c>
      <c r="E691" s="37">
        <v>1.405</v>
      </c>
      <c r="F691" s="31">
        <v>21.403500000000001</v>
      </c>
      <c r="G691" s="34">
        <f t="shared" si="11"/>
        <v>30.071917500000001</v>
      </c>
      <c r="H691" s="35"/>
      <c r="I691" s="31"/>
      <c r="J691" s="102">
        <v>0</v>
      </c>
    </row>
    <row r="692" spans="1:10" hidden="1" x14ac:dyDescent="0.25">
      <c r="A692" s="219"/>
      <c r="B692" s="237"/>
      <c r="C692" s="36" t="s">
        <v>704</v>
      </c>
      <c r="D692" s="36" t="s">
        <v>703</v>
      </c>
      <c r="E692" s="37">
        <v>0.70199999999999996</v>
      </c>
      <c r="F692" s="31">
        <v>16.1785</v>
      </c>
      <c r="G692" s="34">
        <f t="shared" si="11"/>
        <v>11.357306999999999</v>
      </c>
      <c r="H692" s="35"/>
      <c r="I692" s="31"/>
      <c r="J692" s="102">
        <v>0</v>
      </c>
    </row>
    <row r="693" spans="1:10" ht="25.5" hidden="1" x14ac:dyDescent="0.25">
      <c r="A693" s="219"/>
      <c r="B693" s="237"/>
      <c r="C693" s="36" t="s">
        <v>1155</v>
      </c>
      <c r="D693" s="36" t="s">
        <v>942</v>
      </c>
      <c r="E693" s="37">
        <v>8.8999999999999996E-2</v>
      </c>
      <c r="F693" s="31">
        <v>17.954999999999998</v>
      </c>
      <c r="G693" s="34">
        <f t="shared" si="11"/>
        <v>1.5979949999999998</v>
      </c>
      <c r="H693" s="35"/>
      <c r="I693" s="31"/>
      <c r="J693" s="102">
        <v>0</v>
      </c>
    </row>
    <row r="694" spans="1:10" ht="25.5" hidden="1" x14ac:dyDescent="0.25">
      <c r="A694" s="219"/>
      <c r="B694" s="237"/>
      <c r="C694" s="36" t="s">
        <v>1156</v>
      </c>
      <c r="D694" s="36" t="s">
        <v>944</v>
      </c>
      <c r="E694" s="37">
        <v>1.3160000000000001</v>
      </c>
      <c r="F694" s="34">
        <v>16.872</v>
      </c>
      <c r="G694" s="34">
        <f t="shared" si="11"/>
        <v>22.203552000000002</v>
      </c>
      <c r="H694" s="35"/>
      <c r="I694" s="31"/>
      <c r="J694" s="102">
        <v>0</v>
      </c>
    </row>
    <row r="695" spans="1:10" hidden="1" x14ac:dyDescent="0.25">
      <c r="A695" s="219"/>
      <c r="B695" s="237"/>
      <c r="C695" s="36"/>
      <c r="D695" s="36"/>
      <c r="E695" s="37"/>
      <c r="F695" s="34" t="s">
        <v>522</v>
      </c>
      <c r="G695" s="34" t="str">
        <f t="shared" si="11"/>
        <v/>
      </c>
      <c r="H695" s="35"/>
      <c r="I695" s="31"/>
      <c r="J695" s="102">
        <v>0</v>
      </c>
    </row>
    <row r="696" spans="1:10" ht="15.75" hidden="1" thickBot="1" x14ac:dyDescent="0.3">
      <c r="A696" s="218" t="s">
        <v>246</v>
      </c>
      <c r="B696" s="221" t="e">
        <f>INDEX(#REF!,MATCH(Composições!A696,#REF!,0),2)</f>
        <v>#REF!</v>
      </c>
      <c r="C696" s="41"/>
      <c r="D696" s="26" t="s">
        <v>95</v>
      </c>
      <c r="E696" s="27"/>
      <c r="F696" s="42" t="s">
        <v>522</v>
      </c>
      <c r="G696" s="28" t="str">
        <f t="shared" si="11"/>
        <v/>
      </c>
      <c r="H696" s="29"/>
      <c r="I696" s="30"/>
      <c r="J696" s="102">
        <v>0</v>
      </c>
    </row>
    <row r="697" spans="1:10" hidden="1" x14ac:dyDescent="0.25">
      <c r="A697" s="219"/>
      <c r="B697" s="237"/>
      <c r="C697" s="32"/>
      <c r="D697" s="32"/>
      <c r="E697" s="33"/>
      <c r="F697" s="43" t="s">
        <v>522</v>
      </c>
      <c r="G697" s="31" t="str">
        <f t="shared" si="11"/>
        <v/>
      </c>
      <c r="H697" s="35"/>
      <c r="I697" s="31"/>
      <c r="J697" s="102">
        <v>0</v>
      </c>
    </row>
    <row r="698" spans="1:10" ht="25.5" hidden="1" x14ac:dyDescent="0.25">
      <c r="A698" s="219"/>
      <c r="B698" s="237"/>
      <c r="C698" s="36" t="s">
        <v>247</v>
      </c>
      <c r="D698" s="36" t="s">
        <v>93</v>
      </c>
      <c r="E698" s="37">
        <f>ROUND(1.04/0.15,4)</f>
        <v>6.9333</v>
      </c>
      <c r="F698" s="34" t="s">
        <v>522</v>
      </c>
      <c r="G698" s="31" t="str">
        <f t="shared" si="11"/>
        <v/>
      </c>
      <c r="H698" s="39">
        <f>SUM(G698:G702)</f>
        <v>69.415910999999994</v>
      </c>
      <c r="I698" s="40"/>
      <c r="J698" s="102">
        <v>0</v>
      </c>
    </row>
    <row r="699" spans="1:10" hidden="1" x14ac:dyDescent="0.25">
      <c r="A699" s="219"/>
      <c r="B699" s="237"/>
      <c r="C699" s="36" t="s">
        <v>1918</v>
      </c>
      <c r="D699" s="36" t="s">
        <v>42</v>
      </c>
      <c r="E699" s="37">
        <f>ROUND(0.8614/0.15,4)</f>
        <v>5.7427000000000001</v>
      </c>
      <c r="F699" s="34">
        <v>1.4535</v>
      </c>
      <c r="G699" s="34">
        <f t="shared" si="11"/>
        <v>8.3470144499999996</v>
      </c>
      <c r="H699" s="35"/>
      <c r="I699" s="31"/>
      <c r="J699" s="102">
        <v>0</v>
      </c>
    </row>
    <row r="700" spans="1:10" hidden="1" x14ac:dyDescent="0.25">
      <c r="A700" s="219"/>
      <c r="B700" s="237"/>
      <c r="C700" s="36" t="s">
        <v>54</v>
      </c>
      <c r="D700" s="36" t="s">
        <v>12</v>
      </c>
      <c r="E700" s="37">
        <f>ROUND(0.299/0.15,4)</f>
        <v>1.9933000000000001</v>
      </c>
      <c r="F700" s="34">
        <v>21.403500000000001</v>
      </c>
      <c r="G700" s="34">
        <f t="shared" si="11"/>
        <v>42.663596550000001</v>
      </c>
      <c r="H700" s="35"/>
      <c r="I700" s="31"/>
      <c r="J700" s="102">
        <v>0</v>
      </c>
    </row>
    <row r="701" spans="1:10" hidden="1" x14ac:dyDescent="0.25">
      <c r="A701" s="219"/>
      <c r="B701" s="237"/>
      <c r="C701" s="36" t="s">
        <v>23</v>
      </c>
      <c r="D701" s="36" t="s">
        <v>12</v>
      </c>
      <c r="E701" s="37">
        <f>0.15/0.15</f>
        <v>1</v>
      </c>
      <c r="F701" s="34">
        <v>16.1785</v>
      </c>
      <c r="G701" s="34">
        <f t="shared" si="11"/>
        <v>16.1785</v>
      </c>
      <c r="H701" s="35"/>
      <c r="I701" s="31"/>
      <c r="J701" s="102">
        <v>0</v>
      </c>
    </row>
    <row r="702" spans="1:10" hidden="1" x14ac:dyDescent="0.25">
      <c r="A702" s="219"/>
      <c r="B702" s="237"/>
      <c r="C702" s="36" t="s">
        <v>1917</v>
      </c>
      <c r="D702" s="36" t="s">
        <v>42</v>
      </c>
      <c r="E702" s="37">
        <f>0.12/0.15</f>
        <v>0.8</v>
      </c>
      <c r="F702" s="34">
        <v>2.7835000000000001</v>
      </c>
      <c r="G702" s="34">
        <f t="shared" si="11"/>
        <v>2.2268000000000003</v>
      </c>
      <c r="H702" s="35"/>
      <c r="I702" s="31"/>
      <c r="J702" s="102">
        <v>0</v>
      </c>
    </row>
    <row r="703" spans="1:10" hidden="1" x14ac:dyDescent="0.25">
      <c r="A703" s="219"/>
      <c r="B703" s="237"/>
      <c r="C703" s="36"/>
      <c r="D703" s="36"/>
      <c r="E703" s="37"/>
      <c r="F703" s="34" t="s">
        <v>522</v>
      </c>
      <c r="G703" s="34" t="str">
        <f t="shared" si="11"/>
        <v/>
      </c>
      <c r="H703" s="35"/>
      <c r="I703" s="31"/>
      <c r="J703" s="102">
        <v>0</v>
      </c>
    </row>
    <row r="704" spans="1:10" ht="15.75" hidden="1" thickBot="1" x14ac:dyDescent="0.3">
      <c r="A704" s="218" t="s">
        <v>248</v>
      </c>
      <c r="B704" s="221" t="e">
        <f>INDEX(#REF!,MATCH(Composições!A704,#REF!,0),2)</f>
        <v>#REF!</v>
      </c>
      <c r="C704" s="41"/>
      <c r="D704" s="26" t="s">
        <v>95</v>
      </c>
      <c r="E704" s="27"/>
      <c r="F704" s="42" t="s">
        <v>522</v>
      </c>
      <c r="G704" s="28" t="str">
        <f t="shared" si="11"/>
        <v/>
      </c>
      <c r="H704" s="29"/>
      <c r="I704" s="30"/>
      <c r="J704" s="102">
        <v>0</v>
      </c>
    </row>
    <row r="705" spans="1:10" hidden="1" x14ac:dyDescent="0.25">
      <c r="A705" s="219"/>
      <c r="B705" s="237"/>
      <c r="C705" s="32"/>
      <c r="D705" s="32"/>
      <c r="E705" s="33"/>
      <c r="F705" s="43" t="s">
        <v>522</v>
      </c>
      <c r="G705" s="31" t="str">
        <f t="shared" si="11"/>
        <v/>
      </c>
      <c r="H705" s="35"/>
      <c r="I705" s="31"/>
      <c r="J705" s="102">
        <v>0</v>
      </c>
    </row>
    <row r="706" spans="1:10" hidden="1" x14ac:dyDescent="0.25">
      <c r="A706" s="219"/>
      <c r="B706" s="237"/>
      <c r="C706" s="36" t="s">
        <v>1791</v>
      </c>
      <c r="D706" s="36" t="s">
        <v>898</v>
      </c>
      <c r="E706" s="37">
        <f>ROUND(0.5228/(1.5*0.6),4)</f>
        <v>0.58089999999999997</v>
      </c>
      <c r="F706" s="54">
        <v>35.501499999999993</v>
      </c>
      <c r="G706" s="54">
        <f t="shared" si="11"/>
        <v>20.622821349999995</v>
      </c>
      <c r="H706" s="39">
        <f>SUM(G706:G712)</f>
        <v>135.802291</v>
      </c>
      <c r="I706" s="40"/>
      <c r="J706" s="102">
        <v>0</v>
      </c>
    </row>
    <row r="707" spans="1:10" ht="38.25" hidden="1" x14ac:dyDescent="0.25">
      <c r="A707" s="219"/>
      <c r="B707" s="237"/>
      <c r="C707" s="36" t="s">
        <v>1131</v>
      </c>
      <c r="D707" s="36" t="s">
        <v>279</v>
      </c>
      <c r="E707" s="37">
        <f>ROUND(6/(1.5*0.6),4)</f>
        <v>6.6666999999999996</v>
      </c>
      <c r="F707" s="54">
        <v>0.874</v>
      </c>
      <c r="G707" s="54">
        <f t="shared" si="11"/>
        <v>5.8266957999999995</v>
      </c>
      <c r="H707" s="73"/>
      <c r="I707" s="74"/>
      <c r="J707" s="102">
        <v>0</v>
      </c>
    </row>
    <row r="708" spans="1:10" ht="25.5" hidden="1" x14ac:dyDescent="0.25">
      <c r="A708" s="219"/>
      <c r="B708" s="237"/>
      <c r="C708" s="36" t="s">
        <v>249</v>
      </c>
      <c r="D708" s="36" t="s">
        <v>992</v>
      </c>
      <c r="E708" s="37">
        <f>ROUND(1.005/(1.5*0.6),4)</f>
        <v>1.1167</v>
      </c>
      <c r="F708" s="54" t="s">
        <v>522</v>
      </c>
      <c r="G708" s="54" t="str">
        <f t="shared" si="11"/>
        <v/>
      </c>
      <c r="H708" s="73"/>
      <c r="I708" s="74"/>
      <c r="J708" s="102">
        <v>0</v>
      </c>
    </row>
    <row r="709" spans="1:10" hidden="1" x14ac:dyDescent="0.25">
      <c r="A709" s="219"/>
      <c r="B709" s="237"/>
      <c r="C709" s="36" t="s">
        <v>1906</v>
      </c>
      <c r="D709" s="36" t="s">
        <v>898</v>
      </c>
      <c r="E709" s="37">
        <f>ROUND(0.0211/(1.5*0.6),4)</f>
        <v>2.3400000000000001E-2</v>
      </c>
      <c r="F709" s="54">
        <v>58.738499999999995</v>
      </c>
      <c r="G709" s="54">
        <f t="shared" si="11"/>
        <v>1.3744809</v>
      </c>
      <c r="H709" s="73"/>
      <c r="I709" s="74"/>
      <c r="J709" s="102">
        <v>0</v>
      </c>
    </row>
    <row r="710" spans="1:10" ht="25.5" hidden="1" x14ac:dyDescent="0.25">
      <c r="A710" s="219"/>
      <c r="B710" s="237"/>
      <c r="C710" s="36" t="s">
        <v>1807</v>
      </c>
      <c r="D710" s="36" t="s">
        <v>279</v>
      </c>
      <c r="E710" s="37">
        <f>ROUND(2/(1.5*0.6),4)</f>
        <v>2.2222</v>
      </c>
      <c r="F710" s="54">
        <v>24.643000000000001</v>
      </c>
      <c r="G710" s="54">
        <f t="shared" si="11"/>
        <v>54.761674599999999</v>
      </c>
      <c r="H710" s="73"/>
      <c r="I710" s="74"/>
      <c r="J710" s="102">
        <v>0</v>
      </c>
    </row>
    <row r="711" spans="1:10" hidden="1" x14ac:dyDescent="0.25">
      <c r="A711" s="219"/>
      <c r="B711" s="237"/>
      <c r="C711" s="36" t="s">
        <v>1685</v>
      </c>
      <c r="D711" s="36" t="s">
        <v>703</v>
      </c>
      <c r="E711" s="37">
        <f>ROUND(1.4944/(1.5*0.6),4)</f>
        <v>1.6604000000000001</v>
      </c>
      <c r="F711" s="54">
        <v>21.403500000000001</v>
      </c>
      <c r="G711" s="54">
        <f t="shared" si="11"/>
        <v>35.538371400000003</v>
      </c>
      <c r="H711" s="73"/>
      <c r="I711" s="74"/>
      <c r="J711" s="102">
        <v>0</v>
      </c>
    </row>
    <row r="712" spans="1:10" hidden="1" x14ac:dyDescent="0.25">
      <c r="A712" s="219"/>
      <c r="B712" s="237"/>
      <c r="C712" s="36" t="s">
        <v>704</v>
      </c>
      <c r="D712" s="36" t="s">
        <v>703</v>
      </c>
      <c r="E712" s="37">
        <f>ROUND(0.9834/(1.5*0.6),4)</f>
        <v>1.0927</v>
      </c>
      <c r="F712" s="54">
        <v>16.1785</v>
      </c>
      <c r="G712" s="54">
        <f t="shared" si="11"/>
        <v>17.678246949999998</v>
      </c>
      <c r="H712" s="73"/>
      <c r="I712" s="74"/>
      <c r="J712" s="102">
        <v>0</v>
      </c>
    </row>
    <row r="713" spans="1:10" hidden="1" x14ac:dyDescent="0.25">
      <c r="A713" s="219"/>
      <c r="B713" s="237"/>
      <c r="C713" s="36"/>
      <c r="D713" s="36"/>
      <c r="E713" s="37"/>
      <c r="F713" s="31" t="s">
        <v>522</v>
      </c>
      <c r="G713" s="34" t="str">
        <f t="shared" si="11"/>
        <v/>
      </c>
      <c r="H713" s="35"/>
      <c r="I713" s="31"/>
      <c r="J713" s="102">
        <v>0</v>
      </c>
    </row>
    <row r="714" spans="1:10" ht="15.75" hidden="1" thickBot="1" x14ac:dyDescent="0.3">
      <c r="A714" s="218" t="s">
        <v>250</v>
      </c>
      <c r="B714" s="221" t="e">
        <f>INDEX(#REF!,MATCH(Composições!A714,#REF!,0),2)</f>
        <v>#REF!</v>
      </c>
      <c r="C714" s="41"/>
      <c r="D714" s="26" t="s">
        <v>95</v>
      </c>
      <c r="E714" s="27"/>
      <c r="F714" s="42" t="s">
        <v>522</v>
      </c>
      <c r="G714" s="28" t="str">
        <f t="shared" si="11"/>
        <v/>
      </c>
      <c r="H714" s="29"/>
      <c r="I714" s="30"/>
      <c r="J714" s="102">
        <v>0</v>
      </c>
    </row>
    <row r="715" spans="1:10" hidden="1" x14ac:dyDescent="0.25">
      <c r="A715" s="219"/>
      <c r="B715" s="237"/>
      <c r="C715" s="32"/>
      <c r="D715" s="32"/>
      <c r="E715" s="33"/>
      <c r="F715" s="43" t="s">
        <v>522</v>
      </c>
      <c r="G715" s="31" t="str">
        <f t="shared" si="11"/>
        <v/>
      </c>
      <c r="H715" s="35"/>
      <c r="I715" s="31"/>
      <c r="J715" s="102">
        <v>0</v>
      </c>
    </row>
    <row r="716" spans="1:10" hidden="1" x14ac:dyDescent="0.25">
      <c r="A716" s="219"/>
      <c r="B716" s="237"/>
      <c r="C716" s="36" t="s">
        <v>1791</v>
      </c>
      <c r="D716" s="36" t="s">
        <v>898</v>
      </c>
      <c r="E716" s="37">
        <f>ROUND(0.5228/(1.5*0.6),4)</f>
        <v>0.58089999999999997</v>
      </c>
      <c r="F716" s="54">
        <v>35.501499999999993</v>
      </c>
      <c r="G716" s="54">
        <f t="shared" si="11"/>
        <v>20.622821349999995</v>
      </c>
      <c r="H716" s="39">
        <f>SUM(G716:G721)</f>
        <v>135.802291</v>
      </c>
      <c r="I716" s="40"/>
      <c r="J716" s="102">
        <v>0</v>
      </c>
    </row>
    <row r="717" spans="1:10" ht="38.25" hidden="1" x14ac:dyDescent="0.25">
      <c r="A717" s="219"/>
      <c r="B717" s="237"/>
      <c r="C717" s="36" t="s">
        <v>1131</v>
      </c>
      <c r="D717" s="36" t="s">
        <v>279</v>
      </c>
      <c r="E717" s="37">
        <f>ROUND(6/(1.5*0.6),4)</f>
        <v>6.6666999999999996</v>
      </c>
      <c r="F717" s="54">
        <v>0.874</v>
      </c>
      <c r="G717" s="54">
        <f t="shared" si="11"/>
        <v>5.8266957999999995</v>
      </c>
      <c r="H717" s="73"/>
      <c r="I717" s="74"/>
      <c r="J717" s="102">
        <v>0</v>
      </c>
    </row>
    <row r="718" spans="1:10" hidden="1" x14ac:dyDescent="0.25">
      <c r="A718" s="219"/>
      <c r="B718" s="237"/>
      <c r="C718" s="36" t="s">
        <v>1906</v>
      </c>
      <c r="D718" s="36" t="s">
        <v>898</v>
      </c>
      <c r="E718" s="37">
        <f>ROUND(0.0211/(1.5*0.6),4)</f>
        <v>2.3400000000000001E-2</v>
      </c>
      <c r="F718" s="54">
        <v>58.738499999999995</v>
      </c>
      <c r="G718" s="54">
        <f t="shared" si="11"/>
        <v>1.3744809</v>
      </c>
      <c r="H718" s="73"/>
      <c r="I718" s="74"/>
      <c r="J718" s="102">
        <v>0</v>
      </c>
    </row>
    <row r="719" spans="1:10" ht="25.5" hidden="1" x14ac:dyDescent="0.25">
      <c r="A719" s="219"/>
      <c r="B719" s="237"/>
      <c r="C719" s="36" t="s">
        <v>1807</v>
      </c>
      <c r="D719" s="36" t="s">
        <v>279</v>
      </c>
      <c r="E719" s="37">
        <f>ROUND(2/(1.5*0.6),4)</f>
        <v>2.2222</v>
      </c>
      <c r="F719" s="54">
        <v>24.643000000000001</v>
      </c>
      <c r="G719" s="54">
        <f t="shared" si="11"/>
        <v>54.761674599999999</v>
      </c>
      <c r="H719" s="73"/>
      <c r="I719" s="74"/>
      <c r="J719" s="102">
        <v>0</v>
      </c>
    </row>
    <row r="720" spans="1:10" hidden="1" x14ac:dyDescent="0.25">
      <c r="A720" s="219"/>
      <c r="B720" s="237"/>
      <c r="C720" s="36" t="s">
        <v>1685</v>
      </c>
      <c r="D720" s="36" t="s">
        <v>703</v>
      </c>
      <c r="E720" s="37">
        <f>ROUND(1.4944/(1.5*0.6),4)</f>
        <v>1.6604000000000001</v>
      </c>
      <c r="F720" s="54">
        <v>21.403500000000001</v>
      </c>
      <c r="G720" s="54">
        <f t="shared" si="11"/>
        <v>35.538371400000003</v>
      </c>
      <c r="H720" s="73"/>
      <c r="I720" s="74"/>
      <c r="J720" s="102">
        <v>0</v>
      </c>
    </row>
    <row r="721" spans="1:10" hidden="1" x14ac:dyDescent="0.25">
      <c r="A721" s="219"/>
      <c r="B721" s="237"/>
      <c r="C721" s="36" t="s">
        <v>704</v>
      </c>
      <c r="D721" s="36" t="s">
        <v>703</v>
      </c>
      <c r="E721" s="37">
        <f>ROUND(0.9834/(1.5*0.6),4)</f>
        <v>1.0927</v>
      </c>
      <c r="F721" s="54">
        <v>16.1785</v>
      </c>
      <c r="G721" s="54">
        <f t="shared" si="11"/>
        <v>17.678246949999998</v>
      </c>
      <c r="H721" s="73"/>
      <c r="I721" s="74"/>
      <c r="J721" s="102">
        <v>0</v>
      </c>
    </row>
    <row r="722" spans="1:10" ht="15.75" hidden="1" thickBot="1" x14ac:dyDescent="0.3">
      <c r="A722" s="220"/>
      <c r="B722" s="223"/>
      <c r="C722" s="36"/>
      <c r="D722" s="36"/>
      <c r="E722" s="37"/>
      <c r="F722" s="31" t="s">
        <v>522</v>
      </c>
      <c r="G722" s="31" t="str">
        <f t="shared" ref="G722:G785" si="12">IF(ISNUMBER(F722),E722*F722,"")</f>
        <v/>
      </c>
      <c r="H722" s="35"/>
      <c r="I722" s="31"/>
      <c r="J722" s="102">
        <v>0</v>
      </c>
    </row>
    <row r="723" spans="1:10" ht="15.75" hidden="1" thickBot="1" x14ac:dyDescent="0.3">
      <c r="A723" s="218" t="s">
        <v>251</v>
      </c>
      <c r="B723" s="221" t="e">
        <f>INDEX(#REF!,MATCH(Composições!A723,#REF!,0),2)</f>
        <v>#REF!</v>
      </c>
      <c r="C723" s="41"/>
      <c r="D723" s="26" t="s">
        <v>95</v>
      </c>
      <c r="E723" s="27"/>
      <c r="F723" s="42" t="s">
        <v>522</v>
      </c>
      <c r="G723" s="28" t="str">
        <f t="shared" si="12"/>
        <v/>
      </c>
      <c r="H723" s="29"/>
      <c r="I723" s="30"/>
      <c r="J723" s="102">
        <v>0</v>
      </c>
    </row>
    <row r="724" spans="1:10" hidden="1" x14ac:dyDescent="0.25">
      <c r="A724" s="219"/>
      <c r="B724" s="237"/>
      <c r="C724" s="32"/>
      <c r="D724" s="32"/>
      <c r="E724" s="33"/>
      <c r="F724" s="43" t="s">
        <v>522</v>
      </c>
      <c r="G724" s="31" t="str">
        <f t="shared" si="12"/>
        <v/>
      </c>
      <c r="H724" s="35"/>
      <c r="I724" s="31"/>
      <c r="J724" s="102">
        <v>0</v>
      </c>
    </row>
    <row r="725" spans="1:10" hidden="1" x14ac:dyDescent="0.25">
      <c r="A725" s="219"/>
      <c r="B725" s="237"/>
      <c r="C725" s="36" t="s">
        <v>1918</v>
      </c>
      <c r="D725" s="36" t="s">
        <v>42</v>
      </c>
      <c r="E725" s="37">
        <f>0.8614</f>
        <v>0.86140000000000005</v>
      </c>
      <c r="F725" s="34">
        <v>1.4535</v>
      </c>
      <c r="G725" s="34">
        <f t="shared" si="12"/>
        <v>1.2520449</v>
      </c>
      <c r="H725" s="39">
        <f>SUM(G725:G728)</f>
        <v>10.412486400000001</v>
      </c>
      <c r="I725" s="40"/>
      <c r="J725" s="102">
        <v>0</v>
      </c>
    </row>
    <row r="726" spans="1:10" hidden="1" x14ac:dyDescent="0.25">
      <c r="A726" s="219"/>
      <c r="B726" s="237"/>
      <c r="C726" s="36" t="s">
        <v>54</v>
      </c>
      <c r="D726" s="36" t="s">
        <v>12</v>
      </c>
      <c r="E726" s="37">
        <f>0.299</f>
        <v>0.29899999999999999</v>
      </c>
      <c r="F726" s="31">
        <v>21.403500000000001</v>
      </c>
      <c r="G726" s="34">
        <f t="shared" si="12"/>
        <v>6.3996465000000002</v>
      </c>
      <c r="H726" s="35"/>
      <c r="I726" s="31"/>
      <c r="J726" s="102">
        <v>0</v>
      </c>
    </row>
    <row r="727" spans="1:10" hidden="1" x14ac:dyDescent="0.25">
      <c r="A727" s="219"/>
      <c r="B727" s="237"/>
      <c r="C727" s="36" t="s">
        <v>23</v>
      </c>
      <c r="D727" s="36" t="s">
        <v>12</v>
      </c>
      <c r="E727" s="37">
        <f>0.15</f>
        <v>0.15</v>
      </c>
      <c r="F727" s="31">
        <v>16.1785</v>
      </c>
      <c r="G727" s="34">
        <f t="shared" si="12"/>
        <v>2.4267749999999997</v>
      </c>
      <c r="H727" s="35"/>
      <c r="I727" s="31"/>
      <c r="J727" s="102">
        <v>0</v>
      </c>
    </row>
    <row r="728" spans="1:10" hidden="1" x14ac:dyDescent="0.25">
      <c r="A728" s="219"/>
      <c r="B728" s="237"/>
      <c r="C728" s="36" t="s">
        <v>1917</v>
      </c>
      <c r="D728" s="36" t="s">
        <v>42</v>
      </c>
      <c r="E728" s="37">
        <f>0.12</f>
        <v>0.12</v>
      </c>
      <c r="F728" s="34">
        <v>2.7835000000000001</v>
      </c>
      <c r="G728" s="34">
        <f t="shared" si="12"/>
        <v>0.33401999999999998</v>
      </c>
      <c r="H728" s="35"/>
      <c r="I728" s="31"/>
      <c r="J728" s="102">
        <v>0</v>
      </c>
    </row>
    <row r="729" spans="1:10" ht="15.75" hidden="1" thickBot="1" x14ac:dyDescent="0.3">
      <c r="A729" s="220"/>
      <c r="B729" s="223"/>
      <c r="C729" s="36"/>
      <c r="D729" s="36"/>
      <c r="E729" s="37"/>
      <c r="F729" s="31" t="s">
        <v>522</v>
      </c>
      <c r="G729" s="31" t="str">
        <f t="shared" si="12"/>
        <v/>
      </c>
      <c r="H729" s="35"/>
      <c r="I729" s="31"/>
      <c r="J729" s="102">
        <v>0</v>
      </c>
    </row>
    <row r="730" spans="1:10" ht="15.75" hidden="1" thickBot="1" x14ac:dyDescent="0.3">
      <c r="A730" s="218" t="s">
        <v>252</v>
      </c>
      <c r="B730" s="221" t="e">
        <f>INDEX(#REF!,MATCH(Composições!A730,#REF!,0),2)</f>
        <v>#REF!</v>
      </c>
      <c r="C730" s="41"/>
      <c r="D730" s="26" t="s">
        <v>95</v>
      </c>
      <c r="E730" s="27"/>
      <c r="F730" s="42" t="s">
        <v>522</v>
      </c>
      <c r="G730" s="28" t="str">
        <f t="shared" si="12"/>
        <v/>
      </c>
      <c r="H730" s="29"/>
      <c r="I730" s="30"/>
      <c r="J730" s="102">
        <v>0</v>
      </c>
    </row>
    <row r="731" spans="1:10" hidden="1" x14ac:dyDescent="0.25">
      <c r="A731" s="219"/>
      <c r="B731" s="237"/>
      <c r="C731" s="32"/>
      <c r="D731" s="32"/>
      <c r="E731" s="33"/>
      <c r="F731" s="43" t="s">
        <v>522</v>
      </c>
      <c r="G731" s="31" t="str">
        <f t="shared" si="12"/>
        <v/>
      </c>
      <c r="H731" s="35"/>
      <c r="I731" s="31"/>
      <c r="J731" s="102">
        <v>0</v>
      </c>
    </row>
    <row r="732" spans="1:10" hidden="1" x14ac:dyDescent="0.25">
      <c r="A732" s="219"/>
      <c r="B732" s="237"/>
      <c r="C732" s="36" t="s">
        <v>54</v>
      </c>
      <c r="D732" s="36" t="s">
        <v>12</v>
      </c>
      <c r="E732" s="37">
        <v>1.1879999999999999</v>
      </c>
      <c r="F732" s="31">
        <v>21.403500000000001</v>
      </c>
      <c r="G732" s="34">
        <f t="shared" si="12"/>
        <v>25.427358000000002</v>
      </c>
      <c r="H732" s="39">
        <f>SUM(G732:G734)</f>
        <v>47.566557000000003</v>
      </c>
      <c r="I732" s="40"/>
      <c r="J732" s="102">
        <v>0</v>
      </c>
    </row>
    <row r="733" spans="1:10" hidden="1" x14ac:dyDescent="0.25">
      <c r="A733" s="219"/>
      <c r="B733" s="237"/>
      <c r="C733" s="36" t="s">
        <v>23</v>
      </c>
      <c r="D733" s="36" t="s">
        <v>12</v>
      </c>
      <c r="E733" s="37">
        <v>0.59399999999999997</v>
      </c>
      <c r="F733" s="31">
        <v>16.1785</v>
      </c>
      <c r="G733" s="34">
        <f t="shared" si="12"/>
        <v>9.610028999999999</v>
      </c>
      <c r="H733" s="35"/>
      <c r="I733" s="31"/>
      <c r="J733" s="102">
        <v>0</v>
      </c>
    </row>
    <row r="734" spans="1:10" hidden="1" x14ac:dyDescent="0.25">
      <c r="A734" s="219"/>
      <c r="B734" s="237"/>
      <c r="C734" s="36" t="s">
        <v>1918</v>
      </c>
      <c r="D734" s="36" t="s">
        <v>42</v>
      </c>
      <c r="E734" s="37">
        <v>8.6199999999999992</v>
      </c>
      <c r="F734" s="34">
        <v>1.4535</v>
      </c>
      <c r="G734" s="34">
        <f t="shared" si="12"/>
        <v>12.529169999999999</v>
      </c>
      <c r="H734" s="35"/>
      <c r="I734" s="31"/>
      <c r="J734" s="102">
        <v>0</v>
      </c>
    </row>
    <row r="735" spans="1:10" ht="15.75" hidden="1" thickBot="1" x14ac:dyDescent="0.3">
      <c r="A735" s="220"/>
      <c r="B735" s="223"/>
      <c r="C735" s="36"/>
      <c r="D735" s="36"/>
      <c r="E735" s="37"/>
      <c r="F735" s="31" t="s">
        <v>522</v>
      </c>
      <c r="G735" s="31" t="str">
        <f t="shared" si="12"/>
        <v/>
      </c>
      <c r="H735" s="35"/>
      <c r="I735" s="31"/>
      <c r="J735" s="102">
        <v>0</v>
      </c>
    </row>
    <row r="736" spans="1:10" ht="15.75" hidden="1" thickBot="1" x14ac:dyDescent="0.3">
      <c r="A736" s="218" t="s">
        <v>253</v>
      </c>
      <c r="B736" s="221" t="e">
        <f>INDEX(#REF!,MATCH(Composições!A736,#REF!,0),2)</f>
        <v>#REF!</v>
      </c>
      <c r="C736" s="41"/>
      <c r="D736" s="26" t="s">
        <v>95</v>
      </c>
      <c r="E736" s="27"/>
      <c r="F736" s="42" t="s">
        <v>522</v>
      </c>
      <c r="G736" s="28" t="str">
        <f t="shared" si="12"/>
        <v/>
      </c>
      <c r="H736" s="29"/>
      <c r="I736" s="30"/>
      <c r="J736" s="102">
        <v>0</v>
      </c>
    </row>
    <row r="737" spans="1:10" hidden="1" x14ac:dyDescent="0.25">
      <c r="A737" s="219"/>
      <c r="B737" s="237"/>
      <c r="C737" s="32"/>
      <c r="D737" s="32"/>
      <c r="E737" s="33"/>
      <c r="F737" s="43" t="s">
        <v>522</v>
      </c>
      <c r="G737" s="31" t="str">
        <f t="shared" si="12"/>
        <v/>
      </c>
      <c r="H737" s="35"/>
      <c r="I737" s="31"/>
      <c r="J737" s="102">
        <v>0</v>
      </c>
    </row>
    <row r="738" spans="1:10" ht="25.5" hidden="1" x14ac:dyDescent="0.25">
      <c r="A738" s="219"/>
      <c r="B738" s="237"/>
      <c r="C738" s="36" t="s">
        <v>254</v>
      </c>
      <c r="D738" s="36" t="s">
        <v>93</v>
      </c>
      <c r="E738" s="37">
        <f>ROUND(1.04/0.15,4)</f>
        <v>6.9333</v>
      </c>
      <c r="F738" s="34" t="s">
        <v>522</v>
      </c>
      <c r="G738" s="34" t="str">
        <f t="shared" si="12"/>
        <v/>
      </c>
      <c r="H738" s="39">
        <f>SUM(G738:G742)</f>
        <v>47.956246999999998</v>
      </c>
      <c r="I738" s="40"/>
      <c r="J738" s="102">
        <v>0</v>
      </c>
    </row>
    <row r="739" spans="1:10" hidden="1" x14ac:dyDescent="0.25">
      <c r="A739" s="219"/>
      <c r="B739" s="237"/>
      <c r="C739" s="36" t="s">
        <v>1918</v>
      </c>
      <c r="D739" s="36" t="s">
        <v>42</v>
      </c>
      <c r="E739" s="37">
        <v>8.6199999999999992</v>
      </c>
      <c r="F739" s="34">
        <v>1.4535</v>
      </c>
      <c r="G739" s="34">
        <f t="shared" si="12"/>
        <v>12.529169999999999</v>
      </c>
      <c r="H739" s="35"/>
      <c r="I739" s="31"/>
      <c r="J739" s="102">
        <v>0</v>
      </c>
    </row>
    <row r="740" spans="1:10" hidden="1" x14ac:dyDescent="0.25">
      <c r="A740" s="219"/>
      <c r="B740" s="237"/>
      <c r="C740" s="36" t="s">
        <v>54</v>
      </c>
      <c r="D740" s="36" t="s">
        <v>12</v>
      </c>
      <c r="E740" s="37">
        <v>1.1879999999999999</v>
      </c>
      <c r="F740" s="31">
        <v>21.403500000000001</v>
      </c>
      <c r="G740" s="34">
        <f t="shared" si="12"/>
        <v>25.427358000000002</v>
      </c>
      <c r="H740" s="35"/>
      <c r="I740" s="31"/>
      <c r="J740" s="102">
        <v>0</v>
      </c>
    </row>
    <row r="741" spans="1:10" hidden="1" x14ac:dyDescent="0.25">
      <c r="A741" s="219"/>
      <c r="B741" s="237"/>
      <c r="C741" s="36" t="s">
        <v>23</v>
      </c>
      <c r="D741" s="36" t="s">
        <v>12</v>
      </c>
      <c r="E741" s="37">
        <v>0.59399999999999997</v>
      </c>
      <c r="F741" s="31">
        <v>16.1785</v>
      </c>
      <c r="G741" s="34">
        <f t="shared" si="12"/>
        <v>9.610028999999999</v>
      </c>
      <c r="H741" s="35"/>
      <c r="I741" s="31"/>
      <c r="J741" s="102">
        <v>0</v>
      </c>
    </row>
    <row r="742" spans="1:10" hidden="1" x14ac:dyDescent="0.25">
      <c r="A742" s="219"/>
      <c r="B742" s="237"/>
      <c r="C742" s="36" t="s">
        <v>1917</v>
      </c>
      <c r="D742" s="36" t="s">
        <v>42</v>
      </c>
      <c r="E742" s="37">
        <v>0.14000000000000001</v>
      </c>
      <c r="F742" s="34">
        <v>2.7835000000000001</v>
      </c>
      <c r="G742" s="34">
        <f t="shared" si="12"/>
        <v>0.38969000000000004</v>
      </c>
      <c r="H742" s="35"/>
      <c r="I742" s="31"/>
      <c r="J742" s="102">
        <v>0</v>
      </c>
    </row>
    <row r="743" spans="1:10" hidden="1" x14ac:dyDescent="0.25">
      <c r="A743" s="219"/>
      <c r="B743" s="237"/>
      <c r="C743" s="36"/>
      <c r="D743" s="36"/>
      <c r="E743" s="37"/>
      <c r="F743" s="34" t="s">
        <v>522</v>
      </c>
      <c r="G743" s="34" t="str">
        <f t="shared" si="12"/>
        <v/>
      </c>
      <c r="H743" s="35"/>
      <c r="I743" s="31"/>
      <c r="J743" s="102">
        <v>0</v>
      </c>
    </row>
    <row r="744" spans="1:10" ht="15.75" hidden="1" thickBot="1" x14ac:dyDescent="0.3">
      <c r="A744" s="218" t="s">
        <v>255</v>
      </c>
      <c r="B744" s="221" t="e">
        <f>INDEX(#REF!,MATCH(Composições!A744,#REF!,0),2)</f>
        <v>#REF!</v>
      </c>
      <c r="C744" s="41"/>
      <c r="D744" s="26" t="s">
        <v>95</v>
      </c>
      <c r="E744" s="27"/>
      <c r="F744" s="42" t="s">
        <v>522</v>
      </c>
      <c r="G744" s="28" t="str">
        <f t="shared" si="12"/>
        <v/>
      </c>
      <c r="H744" s="29"/>
      <c r="I744" s="30"/>
      <c r="J744" s="102">
        <v>0</v>
      </c>
    </row>
    <row r="745" spans="1:10" hidden="1" x14ac:dyDescent="0.25">
      <c r="A745" s="219"/>
      <c r="B745" s="237"/>
      <c r="C745" s="32"/>
      <c r="D745" s="32"/>
      <c r="E745" s="33"/>
      <c r="F745" s="43" t="s">
        <v>522</v>
      </c>
      <c r="G745" s="31" t="str">
        <f t="shared" si="12"/>
        <v/>
      </c>
      <c r="H745" s="35"/>
      <c r="I745" s="31"/>
      <c r="J745" s="102">
        <v>0</v>
      </c>
    </row>
    <row r="746" spans="1:10" ht="25.5" hidden="1" x14ac:dyDescent="0.25">
      <c r="A746" s="219"/>
      <c r="B746" s="237"/>
      <c r="C746" s="36" t="s">
        <v>256</v>
      </c>
      <c r="D746" s="47" t="s">
        <v>95</v>
      </c>
      <c r="E746" s="37">
        <v>1</v>
      </c>
      <c r="F746" s="31">
        <v>0</v>
      </c>
      <c r="G746" s="34">
        <f t="shared" si="12"/>
        <v>0</v>
      </c>
      <c r="H746" s="39">
        <f>SUM(G746:G746)</f>
        <v>0</v>
      </c>
      <c r="I746" s="40"/>
      <c r="J746" s="102">
        <v>0</v>
      </c>
    </row>
    <row r="747" spans="1:10" ht="15.75" hidden="1" thickBot="1" x14ac:dyDescent="0.3">
      <c r="A747" s="220"/>
      <c r="B747" s="223"/>
      <c r="C747" s="36"/>
      <c r="D747" s="36"/>
      <c r="E747" s="37"/>
      <c r="F747" s="31" t="s">
        <v>522</v>
      </c>
      <c r="G747" s="31" t="str">
        <f t="shared" si="12"/>
        <v/>
      </c>
      <c r="H747" s="35"/>
      <c r="I747" s="31"/>
      <c r="J747" s="102">
        <v>0</v>
      </c>
    </row>
    <row r="748" spans="1:10" ht="15.75" hidden="1" thickBot="1" x14ac:dyDescent="0.3">
      <c r="A748" s="218" t="s">
        <v>257</v>
      </c>
      <c r="B748" s="221" t="e">
        <f>INDEX(#REF!,MATCH(Composições!A748,#REF!,0),2)</f>
        <v>#REF!</v>
      </c>
      <c r="C748" s="41"/>
      <c r="D748" s="26" t="s">
        <v>95</v>
      </c>
      <c r="E748" s="27"/>
      <c r="F748" s="42" t="s">
        <v>522</v>
      </c>
      <c r="G748" s="28" t="str">
        <f t="shared" si="12"/>
        <v/>
      </c>
      <c r="H748" s="29"/>
      <c r="I748" s="30"/>
      <c r="J748" s="102">
        <v>0</v>
      </c>
    </row>
    <row r="749" spans="1:10" hidden="1" x14ac:dyDescent="0.25">
      <c r="A749" s="219"/>
      <c r="B749" s="237"/>
      <c r="C749" s="32"/>
      <c r="D749" s="32"/>
      <c r="E749" s="33"/>
      <c r="F749" s="43" t="s">
        <v>522</v>
      </c>
      <c r="G749" s="31" t="str">
        <f t="shared" si="12"/>
        <v/>
      </c>
      <c r="H749" s="35"/>
      <c r="I749" s="31"/>
      <c r="J749" s="102">
        <v>0</v>
      </c>
    </row>
    <row r="750" spans="1:10" ht="25.5" hidden="1" x14ac:dyDescent="0.25">
      <c r="A750" s="219"/>
      <c r="B750" s="237"/>
      <c r="C750" s="36" t="s">
        <v>258</v>
      </c>
      <c r="D750" s="47" t="s">
        <v>93</v>
      </c>
      <c r="E750" s="37">
        <f>2*(1.5+0.67)</f>
        <v>4.34</v>
      </c>
      <c r="F750" s="34">
        <v>5.0824999999999996</v>
      </c>
      <c r="G750" s="34">
        <f t="shared" si="12"/>
        <v>22.058049999999998</v>
      </c>
      <c r="H750" s="39">
        <f>SUM(G750:G753)</f>
        <v>59.602049999999991</v>
      </c>
      <c r="I750" s="40"/>
      <c r="J750" s="102">
        <v>0</v>
      </c>
    </row>
    <row r="751" spans="1:10" hidden="1" x14ac:dyDescent="0.25">
      <c r="A751" s="219"/>
      <c r="B751" s="237"/>
      <c r="C751" s="36" t="s">
        <v>259</v>
      </c>
      <c r="D751" s="47" t="s">
        <v>95</v>
      </c>
      <c r="E751" s="37">
        <f>0.36/0.6/0.6</f>
        <v>1</v>
      </c>
      <c r="F751" s="34" t="s">
        <v>522</v>
      </c>
      <c r="G751" s="34" t="str">
        <f t="shared" si="12"/>
        <v/>
      </c>
      <c r="H751" s="35"/>
      <c r="I751" s="31"/>
      <c r="J751" s="102">
        <v>0</v>
      </c>
    </row>
    <row r="752" spans="1:10" hidden="1" x14ac:dyDescent="0.25">
      <c r="A752" s="219"/>
      <c r="B752" s="237"/>
      <c r="C752" s="36" t="s">
        <v>180</v>
      </c>
      <c r="D752" s="47" t="s">
        <v>12</v>
      </c>
      <c r="E752" s="37">
        <v>1</v>
      </c>
      <c r="F752" s="31">
        <v>21.365499999999997</v>
      </c>
      <c r="G752" s="34">
        <f t="shared" si="12"/>
        <v>21.365499999999997</v>
      </c>
      <c r="H752" s="35"/>
      <c r="I752" s="31"/>
      <c r="J752" s="102">
        <v>0</v>
      </c>
    </row>
    <row r="753" spans="1:10" hidden="1" x14ac:dyDescent="0.25">
      <c r="A753" s="219"/>
      <c r="B753" s="237"/>
      <c r="C753" s="36" t="s">
        <v>23</v>
      </c>
      <c r="D753" s="47" t="s">
        <v>12</v>
      </c>
      <c r="E753" s="37">
        <v>1</v>
      </c>
      <c r="F753" s="31">
        <v>16.1785</v>
      </c>
      <c r="G753" s="34">
        <f t="shared" si="12"/>
        <v>16.1785</v>
      </c>
      <c r="H753" s="35"/>
      <c r="I753" s="31"/>
      <c r="J753" s="102">
        <v>0</v>
      </c>
    </row>
    <row r="754" spans="1:10" ht="15.75" hidden="1" thickBot="1" x14ac:dyDescent="0.3">
      <c r="A754" s="220"/>
      <c r="B754" s="223"/>
      <c r="C754" s="36"/>
      <c r="D754" s="36"/>
      <c r="E754" s="37"/>
      <c r="F754" s="31" t="s">
        <v>522</v>
      </c>
      <c r="G754" s="31" t="str">
        <f t="shared" si="12"/>
        <v/>
      </c>
      <c r="H754" s="35"/>
      <c r="I754" s="31"/>
      <c r="J754" s="102">
        <v>0</v>
      </c>
    </row>
    <row r="755" spans="1:10" ht="15.75" hidden="1" thickBot="1" x14ac:dyDescent="0.3">
      <c r="A755" s="218" t="s">
        <v>260</v>
      </c>
      <c r="B755" s="221" t="e">
        <f>INDEX(#REF!,MATCH(Composições!A755,#REF!,0),2)</f>
        <v>#REF!</v>
      </c>
      <c r="C755" s="41"/>
      <c r="D755" s="26" t="s">
        <v>95</v>
      </c>
      <c r="E755" s="27"/>
      <c r="F755" s="42" t="s">
        <v>522</v>
      </c>
      <c r="G755" s="28" t="str">
        <f t="shared" si="12"/>
        <v/>
      </c>
      <c r="H755" s="29"/>
      <c r="I755" s="30"/>
      <c r="J755" s="102">
        <v>0</v>
      </c>
    </row>
    <row r="756" spans="1:10" hidden="1" x14ac:dyDescent="0.25">
      <c r="A756" s="219"/>
      <c r="B756" s="237"/>
      <c r="C756" s="32"/>
      <c r="D756" s="32"/>
      <c r="E756" s="33"/>
      <c r="F756" s="43" t="s">
        <v>522</v>
      </c>
      <c r="G756" s="31" t="str">
        <f t="shared" si="12"/>
        <v/>
      </c>
      <c r="H756" s="35"/>
      <c r="I756" s="31"/>
      <c r="J756" s="102">
        <v>0</v>
      </c>
    </row>
    <row r="757" spans="1:10" ht="25.5" hidden="1" x14ac:dyDescent="0.25">
      <c r="A757" s="219"/>
      <c r="B757" s="237"/>
      <c r="C757" s="36" t="s">
        <v>261</v>
      </c>
      <c r="D757" s="47" t="s">
        <v>42</v>
      </c>
      <c r="E757" s="37">
        <v>4.2599999999999999E-2</v>
      </c>
      <c r="F757" s="34">
        <v>28.737499999999997</v>
      </c>
      <c r="G757" s="31">
        <f t="shared" si="12"/>
        <v>1.2242175</v>
      </c>
      <c r="H757" s="39">
        <f>SUM(G757:G764)</f>
        <v>67.300868049999991</v>
      </c>
      <c r="I757" s="40"/>
      <c r="J757" s="102">
        <v>0</v>
      </c>
    </row>
    <row r="758" spans="1:10" ht="25.5" hidden="1" x14ac:dyDescent="0.25">
      <c r="A758" s="219"/>
      <c r="B758" s="237"/>
      <c r="C758" s="36" t="s">
        <v>262</v>
      </c>
      <c r="D758" s="47" t="s">
        <v>95</v>
      </c>
      <c r="E758" s="37">
        <v>1.0955999999999999</v>
      </c>
      <c r="F758" s="34">
        <v>26.599999999999998</v>
      </c>
      <c r="G758" s="31">
        <f t="shared" si="12"/>
        <v>29.142959999999995</v>
      </c>
      <c r="H758" s="35"/>
      <c r="I758" s="31"/>
      <c r="J758" s="102">
        <v>0</v>
      </c>
    </row>
    <row r="759" spans="1:10" ht="25.5" hidden="1" x14ac:dyDescent="0.25">
      <c r="A759" s="219"/>
      <c r="B759" s="237"/>
      <c r="C759" s="36" t="s">
        <v>263</v>
      </c>
      <c r="D759" s="47" t="s">
        <v>93</v>
      </c>
      <c r="E759" s="37">
        <v>3.8498999999999999</v>
      </c>
      <c r="F759" s="34">
        <v>6.0514999999999999</v>
      </c>
      <c r="G759" s="31">
        <f t="shared" si="12"/>
        <v>23.297669849999998</v>
      </c>
      <c r="H759" s="35"/>
      <c r="I759" s="31"/>
      <c r="J759" s="102">
        <v>0</v>
      </c>
    </row>
    <row r="760" spans="1:10" ht="25.5" hidden="1" x14ac:dyDescent="0.25">
      <c r="A760" s="219"/>
      <c r="B760" s="237"/>
      <c r="C760" s="36" t="s">
        <v>264</v>
      </c>
      <c r="D760" s="47" t="s">
        <v>20</v>
      </c>
      <c r="E760" s="37">
        <v>1.3265</v>
      </c>
      <c r="F760" s="34">
        <v>2.2799999999999998</v>
      </c>
      <c r="G760" s="31">
        <f t="shared" si="12"/>
        <v>3.0244199999999997</v>
      </c>
      <c r="H760" s="35"/>
      <c r="I760" s="31"/>
      <c r="J760" s="102">
        <v>0</v>
      </c>
    </row>
    <row r="761" spans="1:10" ht="25.5" hidden="1" x14ac:dyDescent="0.25">
      <c r="A761" s="219"/>
      <c r="B761" s="237"/>
      <c r="C761" s="36" t="s">
        <v>162</v>
      </c>
      <c r="D761" s="47" t="s">
        <v>20</v>
      </c>
      <c r="E761" s="37">
        <v>2.1911999999999998</v>
      </c>
      <c r="F761" s="34">
        <v>0.23749999999999999</v>
      </c>
      <c r="G761" s="31">
        <f t="shared" si="12"/>
        <v>0.52040999999999993</v>
      </c>
      <c r="H761" s="35"/>
      <c r="I761" s="31"/>
      <c r="J761" s="102">
        <v>0</v>
      </c>
    </row>
    <row r="762" spans="1:10" ht="25.5" hidden="1" x14ac:dyDescent="0.25">
      <c r="A762" s="219"/>
      <c r="B762" s="237"/>
      <c r="C762" s="36" t="s">
        <v>265</v>
      </c>
      <c r="D762" s="47" t="s">
        <v>153</v>
      </c>
      <c r="E762" s="37">
        <v>1.32E-2</v>
      </c>
      <c r="F762" s="34">
        <v>26.866</v>
      </c>
      <c r="G762" s="31">
        <f t="shared" si="12"/>
        <v>0.35463119999999998</v>
      </c>
      <c r="H762" s="35"/>
      <c r="I762" s="31"/>
      <c r="J762" s="102">
        <v>0</v>
      </c>
    </row>
    <row r="763" spans="1:10" ht="25.5" hidden="1" x14ac:dyDescent="0.25">
      <c r="A763" s="219"/>
      <c r="B763" s="237"/>
      <c r="C763" s="36" t="s">
        <v>266</v>
      </c>
      <c r="D763" s="47" t="s">
        <v>153</v>
      </c>
      <c r="E763" s="37">
        <v>3.3300000000000003E-2</v>
      </c>
      <c r="F763" s="34">
        <v>46.055999999999997</v>
      </c>
      <c r="G763" s="31">
        <f t="shared" si="12"/>
        <v>1.5336648000000002</v>
      </c>
      <c r="H763" s="35"/>
      <c r="I763" s="31"/>
      <c r="J763" s="102">
        <v>0</v>
      </c>
    </row>
    <row r="764" spans="1:10" hidden="1" x14ac:dyDescent="0.25">
      <c r="A764" s="219"/>
      <c r="B764" s="237"/>
      <c r="C764" s="36" t="s">
        <v>27</v>
      </c>
      <c r="D764" s="47" t="s">
        <v>12</v>
      </c>
      <c r="E764" s="37">
        <v>0.49940000000000001</v>
      </c>
      <c r="F764" s="31">
        <v>16.4255</v>
      </c>
      <c r="G764" s="31">
        <f t="shared" si="12"/>
        <v>8.2028946999999999</v>
      </c>
      <c r="H764" s="35"/>
      <c r="I764" s="31"/>
      <c r="J764" s="102">
        <v>0</v>
      </c>
    </row>
    <row r="765" spans="1:10" ht="15.75" hidden="1" thickBot="1" x14ac:dyDescent="0.3">
      <c r="A765" s="220"/>
      <c r="B765" s="223"/>
      <c r="C765" s="36"/>
      <c r="D765" s="36"/>
      <c r="E765" s="37"/>
      <c r="F765" s="31" t="s">
        <v>522</v>
      </c>
      <c r="G765" s="31" t="str">
        <f t="shared" si="12"/>
        <v/>
      </c>
      <c r="H765" s="35"/>
      <c r="I765" s="31"/>
      <c r="J765" s="102">
        <v>0</v>
      </c>
    </row>
    <row r="766" spans="1:10" ht="15.75" hidden="1" thickBot="1" x14ac:dyDescent="0.3">
      <c r="A766" s="218" t="s">
        <v>267</v>
      </c>
      <c r="B766" s="221" t="e">
        <f>INDEX(#REF!,MATCH(Composições!A766,#REF!,0),2)</f>
        <v>#REF!</v>
      </c>
      <c r="C766" s="41"/>
      <c r="D766" s="26" t="s">
        <v>95</v>
      </c>
      <c r="E766" s="27"/>
      <c r="F766" s="42" t="s">
        <v>522</v>
      </c>
      <c r="G766" s="28" t="str">
        <f t="shared" si="12"/>
        <v/>
      </c>
      <c r="H766" s="29"/>
      <c r="I766" s="30"/>
      <c r="J766" s="102">
        <v>0</v>
      </c>
    </row>
    <row r="767" spans="1:10" hidden="1" x14ac:dyDescent="0.25">
      <c r="A767" s="219"/>
      <c r="B767" s="237"/>
      <c r="C767" s="32"/>
      <c r="D767" s="32"/>
      <c r="E767" s="33"/>
      <c r="F767" s="43" t="s">
        <v>522</v>
      </c>
      <c r="G767" s="31" t="str">
        <f t="shared" si="12"/>
        <v/>
      </c>
      <c r="H767" s="35"/>
      <c r="I767" s="31"/>
      <c r="J767" s="102">
        <v>0</v>
      </c>
    </row>
    <row r="768" spans="1:10" ht="25.5" hidden="1" x14ac:dyDescent="0.25">
      <c r="A768" s="219"/>
      <c r="B768" s="237"/>
      <c r="C768" s="36" t="s">
        <v>262</v>
      </c>
      <c r="D768" s="47" t="s">
        <v>95</v>
      </c>
      <c r="E768" s="37">
        <v>1.0955999999999999</v>
      </c>
      <c r="F768" s="34">
        <v>26.599999999999998</v>
      </c>
      <c r="G768" s="31">
        <f t="shared" si="12"/>
        <v>29.142959999999995</v>
      </c>
      <c r="H768" s="39">
        <f>SUM(G768:G770)</f>
        <v>32.123909899999994</v>
      </c>
      <c r="I768" s="40"/>
      <c r="J768" s="102">
        <v>0</v>
      </c>
    </row>
    <row r="769" spans="1:10" ht="25.5" hidden="1" x14ac:dyDescent="0.25">
      <c r="A769" s="219"/>
      <c r="B769" s="237"/>
      <c r="C769" s="36" t="s">
        <v>162</v>
      </c>
      <c r="D769" s="47" t="s">
        <v>20</v>
      </c>
      <c r="E769" s="37">
        <v>2.1911999999999998</v>
      </c>
      <c r="F769" s="34">
        <v>0.23749999999999999</v>
      </c>
      <c r="G769" s="34">
        <f t="shared" si="12"/>
        <v>0.52040999999999993</v>
      </c>
      <c r="H769" s="44"/>
      <c r="I769" s="40"/>
      <c r="J769" s="102">
        <v>0</v>
      </c>
    </row>
    <row r="770" spans="1:10" hidden="1" x14ac:dyDescent="0.25">
      <c r="A770" s="219"/>
      <c r="B770" s="237"/>
      <c r="C770" s="36" t="s">
        <v>27</v>
      </c>
      <c r="D770" s="47" t="s">
        <v>12</v>
      </c>
      <c r="E770" s="37">
        <f>ROUND(0.4994*0.3,4)</f>
        <v>0.14979999999999999</v>
      </c>
      <c r="F770" s="31">
        <v>16.4255</v>
      </c>
      <c r="G770" s="34">
        <f t="shared" si="12"/>
        <v>2.4605398999999997</v>
      </c>
      <c r="H770" s="35"/>
      <c r="I770" s="31"/>
      <c r="J770" s="102">
        <v>0</v>
      </c>
    </row>
    <row r="771" spans="1:10" ht="15.75" hidden="1" thickBot="1" x14ac:dyDescent="0.3">
      <c r="A771" s="220"/>
      <c r="B771" s="223"/>
      <c r="C771" s="36"/>
      <c r="D771" s="36"/>
      <c r="E771" s="37"/>
      <c r="F771" s="31" t="s">
        <v>522</v>
      </c>
      <c r="G771" s="31" t="str">
        <f t="shared" si="12"/>
        <v/>
      </c>
      <c r="H771" s="35"/>
      <c r="I771" s="31"/>
      <c r="J771" s="102">
        <v>0</v>
      </c>
    </row>
    <row r="772" spans="1:10" ht="15.75" hidden="1" thickBot="1" x14ac:dyDescent="0.3">
      <c r="A772" s="218" t="s">
        <v>268</v>
      </c>
      <c r="B772" s="221" t="e">
        <f>INDEX(#REF!,MATCH(Composições!A772,#REF!,0),2)</f>
        <v>#REF!</v>
      </c>
      <c r="C772" s="41"/>
      <c r="D772" s="26" t="s">
        <v>95</v>
      </c>
      <c r="E772" s="27"/>
      <c r="F772" s="42" t="s">
        <v>522</v>
      </c>
      <c r="G772" s="28" t="str">
        <f t="shared" si="12"/>
        <v/>
      </c>
      <c r="H772" s="29"/>
      <c r="I772" s="30"/>
      <c r="J772" s="102">
        <v>0</v>
      </c>
    </row>
    <row r="773" spans="1:10" hidden="1" x14ac:dyDescent="0.25">
      <c r="A773" s="224"/>
      <c r="B773" s="237"/>
      <c r="C773" s="32"/>
      <c r="D773" s="32"/>
      <c r="E773" s="33"/>
      <c r="F773" s="43" t="s">
        <v>522</v>
      </c>
      <c r="G773" s="31" t="str">
        <f t="shared" si="12"/>
        <v/>
      </c>
      <c r="H773" s="35"/>
      <c r="I773" s="31"/>
      <c r="J773" s="102">
        <v>0</v>
      </c>
    </row>
    <row r="774" spans="1:10" ht="25.5" hidden="1" x14ac:dyDescent="0.25">
      <c r="A774" s="224"/>
      <c r="B774" s="237"/>
      <c r="C774" s="36" t="s">
        <v>261</v>
      </c>
      <c r="D774" s="47" t="s">
        <v>42</v>
      </c>
      <c r="E774" s="37">
        <v>4.2599999999999999E-2</v>
      </c>
      <c r="F774" s="34">
        <v>28.737499999999997</v>
      </c>
      <c r="G774" s="31">
        <f t="shared" si="12"/>
        <v>1.2242175</v>
      </c>
      <c r="H774" s="39">
        <f>SUM(G774:G781)</f>
        <v>38.157908049999996</v>
      </c>
      <c r="I774" s="40"/>
      <c r="J774" s="102">
        <v>0</v>
      </c>
    </row>
    <row r="775" spans="1:10" hidden="1" x14ac:dyDescent="0.25">
      <c r="A775" s="224"/>
      <c r="B775" s="237"/>
      <c r="C775" s="36" t="s">
        <v>269</v>
      </c>
      <c r="D775" s="47" t="s">
        <v>95</v>
      </c>
      <c r="E775" s="37">
        <v>1.0955999999999999</v>
      </c>
      <c r="F775" s="34" t="s">
        <v>522</v>
      </c>
      <c r="G775" s="31" t="str">
        <f t="shared" si="12"/>
        <v/>
      </c>
      <c r="H775" s="35"/>
      <c r="I775" s="31"/>
      <c r="J775" s="102">
        <v>0</v>
      </c>
    </row>
    <row r="776" spans="1:10" ht="25.5" hidden="1" x14ac:dyDescent="0.25">
      <c r="A776" s="224"/>
      <c r="B776" s="237"/>
      <c r="C776" s="36" t="s">
        <v>263</v>
      </c>
      <c r="D776" s="47" t="s">
        <v>93</v>
      </c>
      <c r="E776" s="37">
        <v>3.8498999999999999</v>
      </c>
      <c r="F776" s="34">
        <v>6.0514999999999999</v>
      </c>
      <c r="G776" s="31">
        <f t="shared" si="12"/>
        <v>23.297669849999998</v>
      </c>
      <c r="H776" s="35"/>
      <c r="I776" s="31"/>
      <c r="J776" s="102">
        <v>0</v>
      </c>
    </row>
    <row r="777" spans="1:10" ht="25.5" hidden="1" x14ac:dyDescent="0.25">
      <c r="A777" s="224"/>
      <c r="B777" s="237"/>
      <c r="C777" s="36" t="s">
        <v>264</v>
      </c>
      <c r="D777" s="47" t="s">
        <v>20</v>
      </c>
      <c r="E777" s="37">
        <v>1.3265</v>
      </c>
      <c r="F777" s="34">
        <v>2.2799999999999998</v>
      </c>
      <c r="G777" s="31">
        <f t="shared" si="12"/>
        <v>3.0244199999999997</v>
      </c>
      <c r="H777" s="35"/>
      <c r="I777" s="31"/>
      <c r="J777" s="102">
        <v>0</v>
      </c>
    </row>
    <row r="778" spans="1:10" ht="25.5" hidden="1" x14ac:dyDescent="0.25">
      <c r="A778" s="224"/>
      <c r="B778" s="237"/>
      <c r="C778" s="36" t="s">
        <v>162</v>
      </c>
      <c r="D778" s="47" t="s">
        <v>20</v>
      </c>
      <c r="E778" s="37">
        <v>2.1911999999999998</v>
      </c>
      <c r="F778" s="34">
        <v>0.23749999999999999</v>
      </c>
      <c r="G778" s="31">
        <f t="shared" si="12"/>
        <v>0.52040999999999993</v>
      </c>
      <c r="H778" s="35"/>
      <c r="I778" s="31"/>
      <c r="J778" s="102">
        <v>0</v>
      </c>
    </row>
    <row r="779" spans="1:10" ht="25.5" hidden="1" x14ac:dyDescent="0.25">
      <c r="A779" s="224"/>
      <c r="B779" s="237"/>
      <c r="C779" s="36" t="s">
        <v>265</v>
      </c>
      <c r="D779" s="47" t="s">
        <v>153</v>
      </c>
      <c r="E779" s="37">
        <v>1.32E-2</v>
      </c>
      <c r="F779" s="34">
        <v>26.866</v>
      </c>
      <c r="G779" s="31">
        <f t="shared" si="12"/>
        <v>0.35463119999999998</v>
      </c>
      <c r="H779" s="35"/>
      <c r="I779" s="31"/>
      <c r="J779" s="102">
        <v>0</v>
      </c>
    </row>
    <row r="780" spans="1:10" ht="25.5" hidden="1" x14ac:dyDescent="0.25">
      <c r="A780" s="224"/>
      <c r="B780" s="237"/>
      <c r="C780" s="36" t="s">
        <v>266</v>
      </c>
      <c r="D780" s="47" t="s">
        <v>153</v>
      </c>
      <c r="E780" s="37">
        <v>3.3300000000000003E-2</v>
      </c>
      <c r="F780" s="34">
        <v>46.055999999999997</v>
      </c>
      <c r="G780" s="31">
        <f t="shared" si="12"/>
        <v>1.5336648000000002</v>
      </c>
      <c r="H780" s="35"/>
      <c r="I780" s="31"/>
      <c r="J780" s="102">
        <v>0</v>
      </c>
    </row>
    <row r="781" spans="1:10" hidden="1" x14ac:dyDescent="0.25">
      <c r="A781" s="224"/>
      <c r="B781" s="237"/>
      <c r="C781" s="36" t="s">
        <v>27</v>
      </c>
      <c r="D781" s="47" t="s">
        <v>12</v>
      </c>
      <c r="E781" s="37">
        <v>0.49940000000000001</v>
      </c>
      <c r="F781" s="31">
        <v>16.4255</v>
      </c>
      <c r="G781" s="31">
        <f t="shared" si="12"/>
        <v>8.2028946999999999</v>
      </c>
      <c r="H781" s="35"/>
      <c r="I781" s="31"/>
      <c r="J781" s="102">
        <v>0</v>
      </c>
    </row>
    <row r="782" spans="1:10" ht="15.75" hidden="1" thickBot="1" x14ac:dyDescent="0.3">
      <c r="A782" s="225"/>
      <c r="B782" s="223"/>
      <c r="C782" s="36"/>
      <c r="D782" s="36"/>
      <c r="E782" s="37"/>
      <c r="F782" s="31" t="s">
        <v>522</v>
      </c>
      <c r="G782" s="31" t="str">
        <f t="shared" si="12"/>
        <v/>
      </c>
      <c r="H782" s="35"/>
      <c r="I782" s="31"/>
      <c r="J782" s="102">
        <v>0</v>
      </c>
    </row>
    <row r="783" spans="1:10" ht="15.75" hidden="1" thickBot="1" x14ac:dyDescent="0.3">
      <c r="A783" s="218" t="s">
        <v>270</v>
      </c>
      <c r="B783" s="221" t="e">
        <f>INDEX(#REF!,MATCH(Composições!A783,#REF!,0),2)</f>
        <v>#REF!</v>
      </c>
      <c r="C783" s="41"/>
      <c r="D783" s="26" t="s">
        <v>95</v>
      </c>
      <c r="E783" s="27"/>
      <c r="F783" s="42" t="s">
        <v>522</v>
      </c>
      <c r="G783" s="28" t="str">
        <f t="shared" si="12"/>
        <v/>
      </c>
      <c r="H783" s="29"/>
      <c r="I783" s="30"/>
      <c r="J783" s="102">
        <v>0</v>
      </c>
    </row>
    <row r="784" spans="1:10" hidden="1" x14ac:dyDescent="0.25">
      <c r="A784" s="224"/>
      <c r="B784" s="237"/>
      <c r="C784" s="32"/>
      <c r="D784" s="32"/>
      <c r="E784" s="33"/>
      <c r="F784" s="43" t="s">
        <v>522</v>
      </c>
      <c r="G784" s="31" t="str">
        <f t="shared" si="12"/>
        <v/>
      </c>
      <c r="H784" s="35"/>
      <c r="I784" s="31"/>
      <c r="J784" s="102">
        <v>0</v>
      </c>
    </row>
    <row r="785" spans="1:10" hidden="1" x14ac:dyDescent="0.25">
      <c r="A785" s="224"/>
      <c r="B785" s="237"/>
      <c r="C785" s="36" t="s">
        <v>52</v>
      </c>
      <c r="D785" s="47" t="s">
        <v>12</v>
      </c>
      <c r="E785" s="37">
        <v>0.5</v>
      </c>
      <c r="F785" s="34">
        <v>18.458499999999997</v>
      </c>
      <c r="G785" s="31">
        <f t="shared" si="12"/>
        <v>9.2292499999999986</v>
      </c>
      <c r="H785" s="39">
        <f>SUM(G785:G788)</f>
        <v>17.442</v>
      </c>
      <c r="I785" s="40"/>
      <c r="J785" s="102">
        <v>0</v>
      </c>
    </row>
    <row r="786" spans="1:10" hidden="1" x14ac:dyDescent="0.25">
      <c r="A786" s="224"/>
      <c r="B786" s="237"/>
      <c r="C786" s="36" t="s">
        <v>27</v>
      </c>
      <c r="D786" s="47" t="s">
        <v>12</v>
      </c>
      <c r="E786" s="37">
        <v>0.5</v>
      </c>
      <c r="F786" s="34">
        <v>16.4255</v>
      </c>
      <c r="G786" s="31">
        <f t="shared" ref="G786:G849" si="13">IF(ISNUMBER(F786),E786*F786,"")</f>
        <v>8.2127499999999998</v>
      </c>
      <c r="H786" s="35"/>
      <c r="I786" s="31"/>
      <c r="J786" s="102">
        <v>0</v>
      </c>
    </row>
    <row r="787" spans="1:10" hidden="1" x14ac:dyDescent="0.25">
      <c r="A787" s="224"/>
      <c r="B787" s="237"/>
      <c r="C787" s="38" t="s">
        <v>271</v>
      </c>
      <c r="D787" s="36" t="s">
        <v>95</v>
      </c>
      <c r="E787" s="37">
        <v>1</v>
      </c>
      <c r="F787" s="34" t="s">
        <v>522</v>
      </c>
      <c r="G787" s="31" t="str">
        <f t="shared" si="13"/>
        <v/>
      </c>
      <c r="H787" s="35"/>
      <c r="I787" s="31"/>
      <c r="J787" s="102">
        <v>0</v>
      </c>
    </row>
    <row r="788" spans="1:10" hidden="1" x14ac:dyDescent="0.25">
      <c r="A788" s="224"/>
      <c r="B788" s="237"/>
      <c r="C788" s="38" t="s">
        <v>272</v>
      </c>
      <c r="D788" s="36" t="s">
        <v>95</v>
      </c>
      <c r="E788" s="37">
        <v>1</v>
      </c>
      <c r="F788" s="34" t="s">
        <v>522</v>
      </c>
      <c r="G788" s="31" t="str">
        <f t="shared" si="13"/>
        <v/>
      </c>
      <c r="H788" s="35"/>
      <c r="I788" s="31"/>
      <c r="J788" s="102">
        <v>0</v>
      </c>
    </row>
    <row r="789" spans="1:10" ht="15.75" hidden="1" thickBot="1" x14ac:dyDescent="0.3">
      <c r="A789" s="225"/>
      <c r="B789" s="223"/>
      <c r="C789" s="36"/>
      <c r="D789" s="36"/>
      <c r="E789" s="37"/>
      <c r="F789" s="31" t="s">
        <v>522</v>
      </c>
      <c r="G789" s="31" t="str">
        <f t="shared" si="13"/>
        <v/>
      </c>
      <c r="H789" s="35"/>
      <c r="I789" s="31"/>
      <c r="J789" s="102">
        <v>0</v>
      </c>
    </row>
    <row r="790" spans="1:10" ht="15.75" hidden="1" thickBot="1" x14ac:dyDescent="0.3">
      <c r="A790" s="218" t="s">
        <v>273</v>
      </c>
      <c r="B790" s="221" t="e">
        <f>INDEX(#REF!,MATCH(Composições!A790,#REF!,0),2)</f>
        <v>#REF!</v>
      </c>
      <c r="C790" s="41"/>
      <c r="D790" s="26" t="s">
        <v>95</v>
      </c>
      <c r="E790" s="27"/>
      <c r="F790" s="42" t="s">
        <v>522</v>
      </c>
      <c r="G790" s="28" t="str">
        <f t="shared" si="13"/>
        <v/>
      </c>
      <c r="H790" s="29"/>
      <c r="I790" s="30"/>
      <c r="J790" s="102">
        <v>0</v>
      </c>
    </row>
    <row r="791" spans="1:10" hidden="1" x14ac:dyDescent="0.25">
      <c r="A791" s="219"/>
      <c r="B791" s="237"/>
      <c r="C791" s="32"/>
      <c r="D791" s="32"/>
      <c r="E791" s="33"/>
      <c r="F791" s="43" t="s">
        <v>522</v>
      </c>
      <c r="G791" s="31" t="str">
        <f t="shared" si="13"/>
        <v/>
      </c>
      <c r="H791" s="35"/>
      <c r="I791" s="31"/>
      <c r="J791" s="102">
        <v>0</v>
      </c>
    </row>
    <row r="792" spans="1:10" ht="25.5" hidden="1" x14ac:dyDescent="0.25">
      <c r="A792" s="219"/>
      <c r="B792" s="237"/>
      <c r="C792" s="36" t="s">
        <v>261</v>
      </c>
      <c r="D792" s="47" t="s">
        <v>42</v>
      </c>
      <c r="E792" s="37">
        <v>4.2599999999999999E-2</v>
      </c>
      <c r="F792" s="34">
        <v>28.737499999999997</v>
      </c>
      <c r="G792" s="34">
        <f t="shared" si="13"/>
        <v>1.2242175</v>
      </c>
      <c r="H792" s="39">
        <f>SUM(G792:G802)</f>
        <v>63.390958749999989</v>
      </c>
      <c r="I792" s="40"/>
      <c r="J792" s="102">
        <v>0</v>
      </c>
    </row>
    <row r="793" spans="1:10" ht="25.5" hidden="1" x14ac:dyDescent="0.25">
      <c r="A793" s="219"/>
      <c r="B793" s="237"/>
      <c r="C793" s="36" t="s">
        <v>2011</v>
      </c>
      <c r="D793" s="47" t="s">
        <v>95</v>
      </c>
      <c r="E793" s="37">
        <v>1.0966</v>
      </c>
      <c r="F793" s="34">
        <v>16.149999999999999</v>
      </c>
      <c r="G793" s="34">
        <f t="shared" si="13"/>
        <v>17.710089999999997</v>
      </c>
      <c r="H793" s="45"/>
      <c r="I793" s="46"/>
      <c r="J793" s="102">
        <v>0</v>
      </c>
    </row>
    <row r="794" spans="1:10" ht="25.5" hidden="1" x14ac:dyDescent="0.25">
      <c r="A794" s="219"/>
      <c r="B794" s="237"/>
      <c r="C794" s="36" t="s">
        <v>263</v>
      </c>
      <c r="D794" s="47" t="s">
        <v>93</v>
      </c>
      <c r="E794" s="37">
        <v>3.851</v>
      </c>
      <c r="F794" s="34">
        <v>6.0514999999999999</v>
      </c>
      <c r="G794" s="34">
        <f t="shared" si="13"/>
        <v>23.304326499999998</v>
      </c>
      <c r="H794" s="45"/>
      <c r="I794" s="46"/>
      <c r="J794" s="102">
        <v>0</v>
      </c>
    </row>
    <row r="795" spans="1:10" ht="25.5" hidden="1" x14ac:dyDescent="0.25">
      <c r="A795" s="219"/>
      <c r="B795" s="237"/>
      <c r="C795" s="36" t="s">
        <v>264</v>
      </c>
      <c r="D795" s="47" t="s">
        <v>20</v>
      </c>
      <c r="E795" s="37">
        <v>1.3265</v>
      </c>
      <c r="F795" s="34">
        <v>2.2799999999999998</v>
      </c>
      <c r="G795" s="34">
        <f t="shared" si="13"/>
        <v>3.0244199999999997</v>
      </c>
      <c r="H795" s="45"/>
      <c r="I795" s="46"/>
      <c r="J795" s="102">
        <v>0</v>
      </c>
    </row>
    <row r="796" spans="1:10" ht="25.5" hidden="1" x14ac:dyDescent="0.25">
      <c r="A796" s="219"/>
      <c r="B796" s="237"/>
      <c r="C796" s="36" t="s">
        <v>160</v>
      </c>
      <c r="D796" s="47" t="s">
        <v>93</v>
      </c>
      <c r="E796" s="37">
        <v>1.4395</v>
      </c>
      <c r="F796" s="34">
        <v>2.2324999999999999</v>
      </c>
      <c r="G796" s="34">
        <f t="shared" si="13"/>
        <v>3.21368375</v>
      </c>
      <c r="H796" s="45"/>
      <c r="I796" s="46"/>
      <c r="J796" s="102">
        <v>0</v>
      </c>
    </row>
    <row r="797" spans="1:10" ht="38.25" hidden="1" x14ac:dyDescent="0.25">
      <c r="A797" s="219"/>
      <c r="B797" s="237"/>
      <c r="C797" s="36" t="s">
        <v>2009</v>
      </c>
      <c r="D797" s="47" t="s">
        <v>42</v>
      </c>
      <c r="E797" s="37">
        <v>0.5202</v>
      </c>
      <c r="F797" s="34">
        <v>2.7929999999999997</v>
      </c>
      <c r="G797" s="34">
        <f t="shared" si="13"/>
        <v>1.4529185999999998</v>
      </c>
      <c r="H797" s="45"/>
      <c r="I797" s="46"/>
      <c r="J797" s="102">
        <v>0</v>
      </c>
    </row>
    <row r="798" spans="1:10" ht="25.5" hidden="1" x14ac:dyDescent="0.25">
      <c r="A798" s="219"/>
      <c r="B798" s="237"/>
      <c r="C798" s="36" t="s">
        <v>161</v>
      </c>
      <c r="D798" s="47" t="s">
        <v>20</v>
      </c>
      <c r="E798" s="37">
        <v>7.9740000000000002</v>
      </c>
      <c r="F798" s="34">
        <v>9.5000000000000001E-2</v>
      </c>
      <c r="G798" s="34">
        <f t="shared" si="13"/>
        <v>0.75753000000000004</v>
      </c>
      <c r="H798" s="45"/>
      <c r="I798" s="46"/>
      <c r="J798" s="102">
        <v>0</v>
      </c>
    </row>
    <row r="799" spans="1:10" ht="25.5" hidden="1" x14ac:dyDescent="0.25">
      <c r="A799" s="219"/>
      <c r="B799" s="237"/>
      <c r="C799" s="36" t="s">
        <v>162</v>
      </c>
      <c r="D799" s="47" t="s">
        <v>20</v>
      </c>
      <c r="E799" s="37">
        <v>2.1911999999999998</v>
      </c>
      <c r="F799" s="34">
        <v>0.23749999999999999</v>
      </c>
      <c r="G799" s="34">
        <f t="shared" si="13"/>
        <v>0.52040999999999993</v>
      </c>
      <c r="H799" s="45"/>
      <c r="I799" s="46"/>
      <c r="J799" s="102">
        <v>0</v>
      </c>
    </row>
    <row r="800" spans="1:10" ht="25.5" hidden="1" x14ac:dyDescent="0.25">
      <c r="A800" s="219"/>
      <c r="B800" s="237"/>
      <c r="C800" s="36" t="s">
        <v>265</v>
      </c>
      <c r="D800" s="47" t="s">
        <v>153</v>
      </c>
      <c r="E800" s="37">
        <v>1.32E-2</v>
      </c>
      <c r="F800" s="34">
        <v>26.866</v>
      </c>
      <c r="G800" s="34">
        <f t="shared" si="13"/>
        <v>0.35463119999999998</v>
      </c>
      <c r="H800" s="45"/>
      <c r="I800" s="46"/>
      <c r="J800" s="102">
        <v>0</v>
      </c>
    </row>
    <row r="801" spans="1:10" hidden="1" x14ac:dyDescent="0.25">
      <c r="A801" s="219"/>
      <c r="B801" s="237"/>
      <c r="C801" s="36" t="s">
        <v>27</v>
      </c>
      <c r="D801" s="47" t="s">
        <v>12</v>
      </c>
      <c r="E801" s="37">
        <v>0.36280000000000001</v>
      </c>
      <c r="F801" s="31">
        <v>16.4255</v>
      </c>
      <c r="G801" s="34">
        <f t="shared" si="13"/>
        <v>5.9591713999999998</v>
      </c>
      <c r="H801" s="45"/>
      <c r="I801" s="46"/>
      <c r="J801" s="102">
        <v>0</v>
      </c>
    </row>
    <row r="802" spans="1:10" hidden="1" x14ac:dyDescent="0.25">
      <c r="A802" s="219"/>
      <c r="B802" s="237"/>
      <c r="C802" s="36" t="s">
        <v>23</v>
      </c>
      <c r="D802" s="36" t="s">
        <v>12</v>
      </c>
      <c r="E802" s="37">
        <v>0.36280000000000001</v>
      </c>
      <c r="F802" s="31">
        <v>16.1785</v>
      </c>
      <c r="G802" s="34">
        <f t="shared" si="13"/>
        <v>5.8695598000000002</v>
      </c>
      <c r="H802" s="45"/>
      <c r="I802" s="46"/>
      <c r="J802" s="102">
        <v>0</v>
      </c>
    </row>
    <row r="803" spans="1:10" ht="15.75" hidden="1" thickBot="1" x14ac:dyDescent="0.3">
      <c r="A803" s="220"/>
      <c r="B803" s="223"/>
      <c r="C803" s="36"/>
      <c r="D803" s="36"/>
      <c r="E803" s="37"/>
      <c r="F803" s="31" t="s">
        <v>522</v>
      </c>
      <c r="G803" s="31" t="str">
        <f t="shared" si="13"/>
        <v/>
      </c>
      <c r="H803" s="35"/>
      <c r="I803" s="31"/>
      <c r="J803" s="102">
        <v>0</v>
      </c>
    </row>
    <row r="804" spans="1:10" ht="15.75" hidden="1" thickBot="1" x14ac:dyDescent="0.3">
      <c r="A804" s="218" t="s">
        <v>274</v>
      </c>
      <c r="B804" s="221" t="e">
        <f>INDEX(#REF!,MATCH(Composições!A804,#REF!,0),2)</f>
        <v>#REF!</v>
      </c>
      <c r="C804" s="41"/>
      <c r="D804" s="26" t="s">
        <v>95</v>
      </c>
      <c r="E804" s="27"/>
      <c r="F804" s="42" t="s">
        <v>522</v>
      </c>
      <c r="G804" s="28" t="str">
        <f t="shared" si="13"/>
        <v/>
      </c>
      <c r="H804" s="29"/>
      <c r="I804" s="30"/>
      <c r="J804" s="102">
        <v>0</v>
      </c>
    </row>
    <row r="805" spans="1:10" hidden="1" x14ac:dyDescent="0.25">
      <c r="A805" s="219"/>
      <c r="B805" s="237"/>
      <c r="C805" s="32"/>
      <c r="D805" s="32"/>
      <c r="E805" s="33"/>
      <c r="F805" s="43" t="s">
        <v>522</v>
      </c>
      <c r="G805" s="31" t="str">
        <f t="shared" si="13"/>
        <v/>
      </c>
      <c r="H805" s="35"/>
      <c r="I805" s="31"/>
      <c r="J805" s="102">
        <v>0</v>
      </c>
    </row>
    <row r="806" spans="1:10" ht="25.5" hidden="1" x14ac:dyDescent="0.25">
      <c r="A806" s="219"/>
      <c r="B806" s="237"/>
      <c r="C806" s="36" t="s">
        <v>2011</v>
      </c>
      <c r="D806" s="47" t="s">
        <v>95</v>
      </c>
      <c r="E806" s="37">
        <v>1.0966</v>
      </c>
      <c r="F806" s="34">
        <v>16.149999999999999</v>
      </c>
      <c r="G806" s="34">
        <f t="shared" si="13"/>
        <v>17.710089999999997</v>
      </c>
      <c r="H806" s="39">
        <f>SUM(G806:G812)</f>
        <v>35.483363549999993</v>
      </c>
      <c r="I806" s="40"/>
      <c r="J806" s="102">
        <v>0</v>
      </c>
    </row>
    <row r="807" spans="1:10" ht="25.5" hidden="1" x14ac:dyDescent="0.25">
      <c r="A807" s="219"/>
      <c r="B807" s="237"/>
      <c r="C807" s="36" t="s">
        <v>160</v>
      </c>
      <c r="D807" s="47" t="s">
        <v>93</v>
      </c>
      <c r="E807" s="37">
        <v>1.4395</v>
      </c>
      <c r="F807" s="34">
        <v>2.2324999999999999</v>
      </c>
      <c r="G807" s="34">
        <f t="shared" si="13"/>
        <v>3.21368375</v>
      </c>
      <c r="H807" s="45"/>
      <c r="I807" s="46"/>
      <c r="J807" s="102">
        <v>0</v>
      </c>
    </row>
    <row r="808" spans="1:10" ht="38.25" hidden="1" x14ac:dyDescent="0.25">
      <c r="A808" s="219"/>
      <c r="B808" s="237"/>
      <c r="C808" s="36" t="s">
        <v>2009</v>
      </c>
      <c r="D808" s="47" t="s">
        <v>42</v>
      </c>
      <c r="E808" s="37">
        <v>0.5202</v>
      </c>
      <c r="F808" s="34">
        <v>2.7929999999999997</v>
      </c>
      <c r="G808" s="34">
        <f t="shared" si="13"/>
        <v>1.4529185999999998</v>
      </c>
      <c r="H808" s="45"/>
      <c r="I808" s="46"/>
      <c r="J808" s="102">
        <v>0</v>
      </c>
    </row>
    <row r="809" spans="1:10" ht="25.5" hidden="1" x14ac:dyDescent="0.25">
      <c r="A809" s="219"/>
      <c r="B809" s="237"/>
      <c r="C809" s="36" t="s">
        <v>161</v>
      </c>
      <c r="D809" s="47" t="s">
        <v>20</v>
      </c>
      <c r="E809" s="37">
        <v>7.9740000000000002</v>
      </c>
      <c r="F809" s="34">
        <v>9.5000000000000001E-2</v>
      </c>
      <c r="G809" s="34">
        <f t="shared" si="13"/>
        <v>0.75753000000000004</v>
      </c>
      <c r="H809" s="45"/>
      <c r="I809" s="46"/>
      <c r="J809" s="102">
        <v>0</v>
      </c>
    </row>
    <row r="810" spans="1:10" ht="25.5" hidden="1" x14ac:dyDescent="0.25">
      <c r="A810" s="219"/>
      <c r="B810" s="237"/>
      <c r="C810" s="36" t="s">
        <v>162</v>
      </c>
      <c r="D810" s="47" t="s">
        <v>20</v>
      </c>
      <c r="E810" s="37">
        <v>2.1911999999999998</v>
      </c>
      <c r="F810" s="34">
        <v>0.23749999999999999</v>
      </c>
      <c r="G810" s="34">
        <f t="shared" si="13"/>
        <v>0.52040999999999993</v>
      </c>
      <c r="H810" s="45"/>
      <c r="I810" s="46"/>
      <c r="J810" s="102">
        <v>0</v>
      </c>
    </row>
    <row r="811" spans="1:10" hidden="1" x14ac:dyDescent="0.25">
      <c r="A811" s="219"/>
      <c r="B811" s="237"/>
      <c r="C811" s="36" t="s">
        <v>27</v>
      </c>
      <c r="D811" s="47" t="s">
        <v>12</v>
      </c>
      <c r="E811" s="37">
        <v>0.36280000000000001</v>
      </c>
      <c r="F811" s="31">
        <v>16.4255</v>
      </c>
      <c r="G811" s="34">
        <f t="shared" si="13"/>
        <v>5.9591713999999998</v>
      </c>
      <c r="H811" s="45"/>
      <c r="I811" s="46"/>
      <c r="J811" s="102">
        <v>0</v>
      </c>
    </row>
    <row r="812" spans="1:10" hidden="1" x14ac:dyDescent="0.25">
      <c r="A812" s="219"/>
      <c r="B812" s="237"/>
      <c r="C812" s="36" t="s">
        <v>23</v>
      </c>
      <c r="D812" s="36" t="s">
        <v>12</v>
      </c>
      <c r="E812" s="37">
        <v>0.36280000000000001</v>
      </c>
      <c r="F812" s="31">
        <v>16.1785</v>
      </c>
      <c r="G812" s="34">
        <f t="shared" si="13"/>
        <v>5.8695598000000002</v>
      </c>
      <c r="H812" s="45"/>
      <c r="I812" s="46"/>
      <c r="J812" s="102">
        <v>0</v>
      </c>
    </row>
    <row r="813" spans="1:10" ht="15.75" hidden="1" thickBot="1" x14ac:dyDescent="0.3">
      <c r="A813" s="220"/>
      <c r="B813" s="223"/>
      <c r="C813" s="36"/>
      <c r="D813" s="36"/>
      <c r="E813" s="37"/>
      <c r="F813" s="31" t="s">
        <v>522</v>
      </c>
      <c r="G813" s="31" t="str">
        <f t="shared" si="13"/>
        <v/>
      </c>
      <c r="H813" s="35"/>
      <c r="I813" s="31"/>
      <c r="J813" s="102">
        <v>0</v>
      </c>
    </row>
    <row r="814" spans="1:10" ht="15.75" hidden="1" thickBot="1" x14ac:dyDescent="0.3">
      <c r="A814" s="218" t="s">
        <v>275</v>
      </c>
      <c r="B814" s="221" t="e">
        <f>INDEX(#REF!,MATCH(Composições!A814,#REF!,0),2)</f>
        <v>#REF!</v>
      </c>
      <c r="C814" s="41"/>
      <c r="D814" s="26" t="s">
        <v>95</v>
      </c>
      <c r="E814" s="27"/>
      <c r="F814" s="42" t="s">
        <v>522</v>
      </c>
      <c r="G814" s="28" t="str">
        <f t="shared" si="13"/>
        <v/>
      </c>
      <c r="H814" s="29"/>
      <c r="I814" s="30"/>
      <c r="J814" s="102">
        <v>0</v>
      </c>
    </row>
    <row r="815" spans="1:10" hidden="1" x14ac:dyDescent="0.25">
      <c r="A815" s="219"/>
      <c r="B815" s="237"/>
      <c r="C815" s="32"/>
      <c r="D815" s="32"/>
      <c r="E815" s="33"/>
      <c r="F815" s="43" t="s">
        <v>522</v>
      </c>
      <c r="G815" s="31" t="str">
        <f t="shared" si="13"/>
        <v/>
      </c>
      <c r="H815" s="35"/>
      <c r="I815" s="31"/>
      <c r="J815" s="102">
        <v>0</v>
      </c>
    </row>
    <row r="816" spans="1:10" ht="38.25" hidden="1" x14ac:dyDescent="0.25">
      <c r="A816" s="219"/>
      <c r="B816" s="237"/>
      <c r="C816" s="36" t="s">
        <v>276</v>
      </c>
      <c r="D816" s="47" t="s">
        <v>95</v>
      </c>
      <c r="E816" s="37">
        <v>1</v>
      </c>
      <c r="F816" s="34">
        <v>149.26400000000001</v>
      </c>
      <c r="G816" s="34">
        <f t="shared" si="13"/>
        <v>149.26400000000001</v>
      </c>
      <c r="H816" s="39">
        <f>SUM(G816:G816)</f>
        <v>149.26400000000001</v>
      </c>
      <c r="I816" s="40"/>
      <c r="J816" s="102">
        <v>0</v>
      </c>
    </row>
    <row r="817" spans="1:10" ht="15.75" hidden="1" thickBot="1" x14ac:dyDescent="0.3">
      <c r="A817" s="220"/>
      <c r="B817" s="223"/>
      <c r="C817" s="36"/>
      <c r="D817" s="36"/>
      <c r="E817" s="37"/>
      <c r="F817" s="31" t="s">
        <v>522</v>
      </c>
      <c r="G817" s="31" t="str">
        <f t="shared" si="13"/>
        <v/>
      </c>
      <c r="H817" s="35"/>
      <c r="I817" s="31"/>
      <c r="J817" s="102">
        <v>0</v>
      </c>
    </row>
    <row r="818" spans="1:10" ht="15.75" hidden="1" thickBot="1" x14ac:dyDescent="0.3">
      <c r="A818" s="218" t="s">
        <v>277</v>
      </c>
      <c r="B818" s="221" t="e">
        <f>INDEX(#REF!,MATCH(Composições!A818,#REF!,0),2)</f>
        <v>#REF!</v>
      </c>
      <c r="C818" s="41"/>
      <c r="D818" s="26" t="s">
        <v>95</v>
      </c>
      <c r="E818" s="27"/>
      <c r="F818" s="42" t="s">
        <v>522</v>
      </c>
      <c r="G818" s="28" t="str">
        <f t="shared" si="13"/>
        <v/>
      </c>
      <c r="H818" s="29"/>
      <c r="I818" s="30"/>
      <c r="J818" s="102">
        <v>0</v>
      </c>
    </row>
    <row r="819" spans="1:10" hidden="1" x14ac:dyDescent="0.25">
      <c r="A819" s="219"/>
      <c r="B819" s="237"/>
      <c r="C819" s="32"/>
      <c r="D819" s="32"/>
      <c r="E819" s="33"/>
      <c r="F819" s="43" t="s">
        <v>522</v>
      </c>
      <c r="G819" s="31" t="str">
        <f t="shared" si="13"/>
        <v/>
      </c>
      <c r="H819" s="35"/>
      <c r="I819" s="31"/>
      <c r="J819" s="102">
        <v>0</v>
      </c>
    </row>
    <row r="820" spans="1:10" hidden="1" x14ac:dyDescent="0.25">
      <c r="A820" s="219"/>
      <c r="B820" s="237"/>
      <c r="C820" s="36" t="s">
        <v>50</v>
      </c>
      <c r="D820" s="36" t="s">
        <v>12</v>
      </c>
      <c r="E820" s="37">
        <f>1.2/4</f>
        <v>0.3</v>
      </c>
      <c r="F820" s="31">
        <v>17.042999999999999</v>
      </c>
      <c r="G820" s="31">
        <f t="shared" si="13"/>
        <v>5.1128999999999998</v>
      </c>
      <c r="H820" s="39">
        <f>SUM(G820:G821)</f>
        <v>38.362899999999996</v>
      </c>
      <c r="I820" s="40"/>
      <c r="J820" s="102">
        <v>0</v>
      </c>
    </row>
    <row r="821" spans="1:10" ht="25.5" hidden="1" x14ac:dyDescent="0.25">
      <c r="A821" s="219"/>
      <c r="B821" s="237"/>
      <c r="C821" s="36" t="s">
        <v>278</v>
      </c>
      <c r="D821" s="36" t="s">
        <v>279</v>
      </c>
      <c r="E821" s="37">
        <v>1</v>
      </c>
      <c r="F821" s="34">
        <v>33.25</v>
      </c>
      <c r="G821" s="31">
        <f t="shared" si="13"/>
        <v>33.25</v>
      </c>
      <c r="H821" s="35"/>
      <c r="I821" s="31"/>
      <c r="J821" s="102">
        <v>0</v>
      </c>
    </row>
    <row r="822" spans="1:10" ht="15.75" hidden="1" thickBot="1" x14ac:dyDescent="0.3">
      <c r="A822" s="220"/>
      <c r="B822" s="223"/>
      <c r="C822" s="36"/>
      <c r="D822" s="36"/>
      <c r="E822" s="37"/>
      <c r="F822" s="31" t="s">
        <v>522</v>
      </c>
      <c r="G822" s="31" t="str">
        <f t="shared" si="13"/>
        <v/>
      </c>
      <c r="H822" s="35"/>
      <c r="I822" s="31"/>
      <c r="J822" s="102">
        <v>0</v>
      </c>
    </row>
    <row r="823" spans="1:10" ht="15.75" hidden="1" thickBot="1" x14ac:dyDescent="0.3">
      <c r="A823" s="218" t="s">
        <v>280</v>
      </c>
      <c r="B823" s="221" t="e">
        <f>INDEX(#REF!,MATCH(Composições!A823,#REF!,0),2)</f>
        <v>#REF!</v>
      </c>
      <c r="C823" s="41"/>
      <c r="D823" s="26" t="s">
        <v>95</v>
      </c>
      <c r="E823" s="27"/>
      <c r="F823" s="42" t="s">
        <v>522</v>
      </c>
      <c r="G823" s="28" t="str">
        <f t="shared" si="13"/>
        <v/>
      </c>
      <c r="H823" s="29"/>
      <c r="I823" s="30"/>
      <c r="J823" s="102">
        <v>0</v>
      </c>
    </row>
    <row r="824" spans="1:10" hidden="1" x14ac:dyDescent="0.25">
      <c r="A824" s="219"/>
      <c r="B824" s="237"/>
      <c r="C824" s="32"/>
      <c r="D824" s="32"/>
      <c r="E824" s="33"/>
      <c r="F824" s="43" t="s">
        <v>522</v>
      </c>
      <c r="G824" s="31" t="str">
        <f t="shared" si="13"/>
        <v/>
      </c>
      <c r="H824" s="35"/>
      <c r="I824" s="31"/>
      <c r="J824" s="102">
        <v>0</v>
      </c>
    </row>
    <row r="825" spans="1:10" hidden="1" x14ac:dyDescent="0.25">
      <c r="A825" s="219"/>
      <c r="B825" s="237"/>
      <c r="C825" s="36" t="s">
        <v>27</v>
      </c>
      <c r="D825" s="47" t="s">
        <v>12</v>
      </c>
      <c r="E825" s="37">
        <f>ROUND(0.4994*0.3,4)</f>
        <v>0.14979999999999999</v>
      </c>
      <c r="F825" s="31">
        <v>16.4255</v>
      </c>
      <c r="G825" s="31">
        <f t="shared" si="13"/>
        <v>2.4605398999999997</v>
      </c>
      <c r="H825" s="39">
        <f>SUM(G825:G825)</f>
        <v>2.4605398999999997</v>
      </c>
      <c r="I825" s="40"/>
      <c r="J825" s="102">
        <v>0</v>
      </c>
    </row>
    <row r="826" spans="1:10" ht="15.75" hidden="1" thickBot="1" x14ac:dyDescent="0.3">
      <c r="A826" s="220"/>
      <c r="B826" s="223"/>
      <c r="C826" s="36"/>
      <c r="D826" s="36"/>
      <c r="E826" s="37"/>
      <c r="F826" s="31" t="s">
        <v>522</v>
      </c>
      <c r="G826" s="31" t="str">
        <f t="shared" si="13"/>
        <v/>
      </c>
      <c r="H826" s="35"/>
      <c r="I826" s="31"/>
      <c r="J826" s="102">
        <v>0</v>
      </c>
    </row>
    <row r="827" spans="1:10" ht="15.75" hidden="1" thickBot="1" x14ac:dyDescent="0.3">
      <c r="A827" s="218" t="s">
        <v>281</v>
      </c>
      <c r="B827" s="221" t="e">
        <f>INDEX(#REF!,MATCH(Composições!A827,#REF!,0),2)</f>
        <v>#REF!</v>
      </c>
      <c r="C827" s="41"/>
      <c r="D827" s="26" t="s">
        <v>95</v>
      </c>
      <c r="E827" s="27"/>
      <c r="F827" s="42" t="s">
        <v>522</v>
      </c>
      <c r="G827" s="28" t="str">
        <f t="shared" si="13"/>
        <v/>
      </c>
      <c r="H827" s="29"/>
      <c r="I827" s="30"/>
      <c r="J827" s="102">
        <v>0</v>
      </c>
    </row>
    <row r="828" spans="1:10" hidden="1" x14ac:dyDescent="0.25">
      <c r="A828" s="219"/>
      <c r="B828" s="237"/>
      <c r="C828" s="32"/>
      <c r="D828" s="32"/>
      <c r="E828" s="33"/>
      <c r="F828" s="43" t="s">
        <v>522</v>
      </c>
      <c r="G828" s="31" t="str">
        <f t="shared" si="13"/>
        <v/>
      </c>
      <c r="H828" s="35"/>
      <c r="I828" s="31"/>
      <c r="J828" s="102">
        <v>0</v>
      </c>
    </row>
    <row r="829" spans="1:10" hidden="1" x14ac:dyDescent="0.25">
      <c r="A829" s="219"/>
      <c r="B829" s="237"/>
      <c r="C829" s="36" t="s">
        <v>50</v>
      </c>
      <c r="D829" s="47" t="s">
        <v>12</v>
      </c>
      <c r="E829" s="37">
        <v>1.2</v>
      </c>
      <c r="F829" s="31">
        <v>17.042999999999999</v>
      </c>
      <c r="G829" s="31">
        <f t="shared" si="13"/>
        <v>20.451599999999999</v>
      </c>
      <c r="H829" s="39">
        <f>SUM(G829:G830)</f>
        <v>40.162199999999999</v>
      </c>
      <c r="I829" s="40"/>
      <c r="J829" s="102">
        <v>0</v>
      </c>
    </row>
    <row r="830" spans="1:10" hidden="1" x14ac:dyDescent="0.25">
      <c r="A830" s="219"/>
      <c r="B830" s="237"/>
      <c r="C830" s="36" t="s">
        <v>27</v>
      </c>
      <c r="D830" s="47" t="s">
        <v>12</v>
      </c>
      <c r="E830" s="37">
        <v>1.2</v>
      </c>
      <c r="F830" s="31">
        <v>16.4255</v>
      </c>
      <c r="G830" s="31">
        <f t="shared" si="13"/>
        <v>19.710599999999999</v>
      </c>
      <c r="H830" s="35"/>
      <c r="I830" s="31"/>
      <c r="J830" s="102">
        <v>0</v>
      </c>
    </row>
    <row r="831" spans="1:10" ht="15.75" hidden="1" thickBot="1" x14ac:dyDescent="0.3">
      <c r="A831" s="220"/>
      <c r="B831" s="223"/>
      <c r="C831" s="36"/>
      <c r="D831" s="36"/>
      <c r="E831" s="37"/>
      <c r="F831" s="31" t="s">
        <v>522</v>
      </c>
      <c r="G831" s="31" t="str">
        <f t="shared" si="13"/>
        <v/>
      </c>
      <c r="H831" s="35"/>
      <c r="I831" s="31"/>
      <c r="J831" s="102">
        <v>0</v>
      </c>
    </row>
    <row r="832" spans="1:10" ht="15.75" hidden="1" thickBot="1" x14ac:dyDescent="0.3">
      <c r="A832" s="218" t="s">
        <v>282</v>
      </c>
      <c r="B832" s="221" t="e">
        <f>INDEX(#REF!,MATCH(Composições!A832,#REF!,0),2)</f>
        <v>#REF!</v>
      </c>
      <c r="C832" s="41"/>
      <c r="D832" s="26" t="s">
        <v>93</v>
      </c>
      <c r="E832" s="27"/>
      <c r="F832" s="42" t="s">
        <v>522</v>
      </c>
      <c r="G832" s="28" t="str">
        <f t="shared" si="13"/>
        <v/>
      </c>
      <c r="H832" s="29"/>
      <c r="I832" s="30"/>
      <c r="J832" s="102">
        <v>0</v>
      </c>
    </row>
    <row r="833" spans="1:10" hidden="1" x14ac:dyDescent="0.25">
      <c r="A833" s="219"/>
      <c r="B833" s="237"/>
      <c r="C833" s="32"/>
      <c r="D833" s="32"/>
      <c r="E833" s="33"/>
      <c r="F833" s="43" t="s">
        <v>522</v>
      </c>
      <c r="G833" s="31" t="str">
        <f t="shared" si="13"/>
        <v/>
      </c>
      <c r="H833" s="35"/>
      <c r="I833" s="31"/>
      <c r="J833" s="102">
        <v>0</v>
      </c>
    </row>
    <row r="834" spans="1:10" ht="25.5" hidden="1" x14ac:dyDescent="0.25">
      <c r="A834" s="219"/>
      <c r="B834" s="237"/>
      <c r="C834" s="36" t="s">
        <v>283</v>
      </c>
      <c r="D834" s="36" t="s">
        <v>93</v>
      </c>
      <c r="E834" s="37">
        <v>1.1512</v>
      </c>
      <c r="F834" s="34">
        <v>5.8709999999999996</v>
      </c>
      <c r="G834" s="34">
        <f t="shared" si="13"/>
        <v>6.7586951999999991</v>
      </c>
      <c r="H834" s="39">
        <f>SUM(G834:G837)</f>
        <v>12.758086749999997</v>
      </c>
      <c r="I834" s="40"/>
      <c r="J834" s="102">
        <v>0</v>
      </c>
    </row>
    <row r="835" spans="1:10" ht="25.5" hidden="1" x14ac:dyDescent="0.25">
      <c r="A835" s="219"/>
      <c r="B835" s="237"/>
      <c r="C835" s="36" t="s">
        <v>162</v>
      </c>
      <c r="D835" s="36" t="s">
        <v>20</v>
      </c>
      <c r="E835" s="37">
        <v>0.58330000000000004</v>
      </c>
      <c r="F835" s="34">
        <v>0.23749999999999999</v>
      </c>
      <c r="G835" s="34">
        <f t="shared" si="13"/>
        <v>0.13853375000000001</v>
      </c>
      <c r="H835" s="56"/>
      <c r="I835" s="57"/>
      <c r="J835" s="102">
        <v>0</v>
      </c>
    </row>
    <row r="836" spans="1:10" ht="25.5" hidden="1" x14ac:dyDescent="0.25">
      <c r="A836" s="219"/>
      <c r="B836" s="237"/>
      <c r="C836" s="36" t="s">
        <v>266</v>
      </c>
      <c r="D836" s="36" t="s">
        <v>153</v>
      </c>
      <c r="E836" s="37">
        <v>7.4899999999999994E-2</v>
      </c>
      <c r="F836" s="34">
        <v>46.055999999999997</v>
      </c>
      <c r="G836" s="34">
        <f t="shared" si="13"/>
        <v>3.4495943999999996</v>
      </c>
      <c r="H836" s="56"/>
      <c r="I836" s="57"/>
      <c r="J836" s="102">
        <v>0</v>
      </c>
    </row>
    <row r="837" spans="1:10" hidden="1" x14ac:dyDescent="0.25">
      <c r="A837" s="219"/>
      <c r="B837" s="237"/>
      <c r="C837" s="36" t="s">
        <v>27</v>
      </c>
      <c r="D837" s="36" t="s">
        <v>12</v>
      </c>
      <c r="E837" s="37">
        <v>0.14680000000000001</v>
      </c>
      <c r="F837" s="31">
        <v>16.4255</v>
      </c>
      <c r="G837" s="34">
        <f t="shared" si="13"/>
        <v>2.4112634000000002</v>
      </c>
      <c r="H837" s="56"/>
      <c r="I837" s="57"/>
      <c r="J837" s="102">
        <v>0</v>
      </c>
    </row>
    <row r="838" spans="1:10" ht="15.75" hidden="1" thickBot="1" x14ac:dyDescent="0.3">
      <c r="A838" s="220"/>
      <c r="B838" s="223"/>
      <c r="C838" s="36"/>
      <c r="D838" s="36"/>
      <c r="E838" s="37"/>
      <c r="F838" s="31" t="s">
        <v>522</v>
      </c>
      <c r="G838" s="34" t="str">
        <f t="shared" si="13"/>
        <v/>
      </c>
      <c r="H838" s="35"/>
      <c r="I838" s="31"/>
      <c r="J838" s="102">
        <v>0</v>
      </c>
    </row>
    <row r="839" spans="1:10" ht="15.75" hidden="1" thickBot="1" x14ac:dyDescent="0.3">
      <c r="A839" s="218" t="s">
        <v>284</v>
      </c>
      <c r="B839" s="221" t="e">
        <f>INDEX(#REF!,MATCH(Composições!A839,#REF!,0),2)</f>
        <v>#REF!</v>
      </c>
      <c r="C839" s="41"/>
      <c r="D839" s="26" t="s">
        <v>95</v>
      </c>
      <c r="E839" s="27"/>
      <c r="F839" s="42" t="s">
        <v>522</v>
      </c>
      <c r="G839" s="28" t="str">
        <f t="shared" si="13"/>
        <v/>
      </c>
      <c r="H839" s="29"/>
      <c r="I839" s="30"/>
      <c r="J839" s="102">
        <v>0</v>
      </c>
    </row>
    <row r="840" spans="1:10" hidden="1" x14ac:dyDescent="0.25">
      <c r="A840" s="219"/>
      <c r="B840" s="237"/>
      <c r="C840" s="32"/>
      <c r="D840" s="32"/>
      <c r="E840" s="33"/>
      <c r="F840" s="43" t="s">
        <v>522</v>
      </c>
      <c r="G840" s="31" t="str">
        <f t="shared" si="13"/>
        <v/>
      </c>
      <c r="H840" s="35"/>
      <c r="I840" s="31"/>
      <c r="J840" s="102">
        <v>0</v>
      </c>
    </row>
    <row r="841" spans="1:10" hidden="1" x14ac:dyDescent="0.25">
      <c r="A841" s="219"/>
      <c r="B841" s="237"/>
      <c r="C841" s="36" t="s">
        <v>23</v>
      </c>
      <c r="D841" s="36" t="s">
        <v>12</v>
      </c>
      <c r="E841" s="37">
        <v>0.1</v>
      </c>
      <c r="F841" s="31">
        <v>16.1785</v>
      </c>
      <c r="G841" s="34">
        <f t="shared" si="13"/>
        <v>1.61785</v>
      </c>
      <c r="H841" s="39">
        <f>SUM(G841:G843)</f>
        <v>8.3409999999999993</v>
      </c>
      <c r="I841" s="40"/>
      <c r="J841" s="102">
        <v>0</v>
      </c>
    </row>
    <row r="842" spans="1:10" hidden="1" x14ac:dyDescent="0.25">
      <c r="A842" s="219"/>
      <c r="B842" s="237"/>
      <c r="C842" s="36" t="s">
        <v>22</v>
      </c>
      <c r="D842" s="36" t="s">
        <v>12</v>
      </c>
      <c r="E842" s="37">
        <v>0.1</v>
      </c>
      <c r="F842" s="31">
        <v>21.479499999999998</v>
      </c>
      <c r="G842" s="34">
        <f t="shared" si="13"/>
        <v>2.1479499999999998</v>
      </c>
      <c r="H842" s="35"/>
      <c r="I842" s="31"/>
      <c r="J842" s="102">
        <v>0</v>
      </c>
    </row>
    <row r="843" spans="1:10" hidden="1" x14ac:dyDescent="0.25">
      <c r="A843" s="219"/>
      <c r="B843" s="237"/>
      <c r="C843" s="36" t="s">
        <v>2376</v>
      </c>
      <c r="D843" s="36" t="s">
        <v>42</v>
      </c>
      <c r="E843" s="37">
        <v>0.1</v>
      </c>
      <c r="F843" s="34">
        <v>45.751999999999995</v>
      </c>
      <c r="G843" s="31">
        <f t="shared" si="13"/>
        <v>4.5751999999999997</v>
      </c>
      <c r="H843" s="35"/>
      <c r="I843" s="31"/>
      <c r="J843" s="102">
        <v>0</v>
      </c>
    </row>
    <row r="844" spans="1:10" ht="15.75" hidden="1" thickBot="1" x14ac:dyDescent="0.3">
      <c r="A844" s="220"/>
      <c r="B844" s="223"/>
      <c r="C844" s="36"/>
      <c r="D844" s="36"/>
      <c r="E844" s="37"/>
      <c r="F844" s="31" t="s">
        <v>522</v>
      </c>
      <c r="G844" s="31" t="str">
        <f t="shared" si="13"/>
        <v/>
      </c>
      <c r="H844" s="35"/>
      <c r="I844" s="31"/>
      <c r="J844" s="102">
        <v>0</v>
      </c>
    </row>
    <row r="845" spans="1:10" ht="15.75" hidden="1" thickBot="1" x14ac:dyDescent="0.3">
      <c r="A845" s="218" t="s">
        <v>285</v>
      </c>
      <c r="B845" s="221" t="e">
        <f>INDEX(#REF!,MATCH(Composições!A845,#REF!,0),2)</f>
        <v>#REF!</v>
      </c>
      <c r="C845" s="41"/>
      <c r="D845" s="26" t="s">
        <v>93</v>
      </c>
      <c r="E845" s="27"/>
      <c r="F845" s="42" t="s">
        <v>522</v>
      </c>
      <c r="G845" s="28" t="str">
        <f t="shared" si="13"/>
        <v/>
      </c>
      <c r="H845" s="29"/>
      <c r="I845" s="30"/>
      <c r="J845" s="102">
        <v>0</v>
      </c>
    </row>
    <row r="846" spans="1:10" hidden="1" x14ac:dyDescent="0.25">
      <c r="A846" s="224"/>
      <c r="B846" s="237"/>
      <c r="C846" s="32"/>
      <c r="D846" s="32"/>
      <c r="E846" s="33"/>
      <c r="F846" s="43" t="s">
        <v>522</v>
      </c>
      <c r="G846" s="31" t="str">
        <f t="shared" si="13"/>
        <v/>
      </c>
      <c r="H846" s="35"/>
      <c r="I846" s="31"/>
      <c r="J846" s="102">
        <v>0</v>
      </c>
    </row>
    <row r="847" spans="1:10" hidden="1" x14ac:dyDescent="0.25">
      <c r="A847" s="224"/>
      <c r="B847" s="237"/>
      <c r="C847" s="36" t="s">
        <v>68</v>
      </c>
      <c r="D847" s="47" t="s">
        <v>12</v>
      </c>
      <c r="E847" s="37">
        <v>0.25</v>
      </c>
      <c r="F847" s="31">
        <v>19.9025</v>
      </c>
      <c r="G847" s="34">
        <f t="shared" si="13"/>
        <v>4.975625</v>
      </c>
      <c r="H847" s="39">
        <f>SUM(G847:G848)</f>
        <v>4.975625</v>
      </c>
      <c r="I847" s="40"/>
      <c r="J847" s="102">
        <v>0</v>
      </c>
    </row>
    <row r="848" spans="1:10" hidden="1" x14ac:dyDescent="0.25">
      <c r="A848" s="224"/>
      <c r="B848" s="237"/>
      <c r="C848" s="36" t="s">
        <v>286</v>
      </c>
      <c r="D848" s="47" t="s">
        <v>93</v>
      </c>
      <c r="E848" s="37">
        <v>1.05</v>
      </c>
      <c r="F848" s="34" t="s">
        <v>522</v>
      </c>
      <c r="G848" s="34" t="str">
        <f t="shared" si="13"/>
        <v/>
      </c>
      <c r="H848" s="35"/>
      <c r="I848" s="31"/>
      <c r="J848" s="102">
        <v>0</v>
      </c>
    </row>
    <row r="849" spans="1:10" ht="15.75" hidden="1" thickBot="1" x14ac:dyDescent="0.3">
      <c r="A849" s="225"/>
      <c r="B849" s="223"/>
      <c r="C849" s="36"/>
      <c r="D849" s="47"/>
      <c r="E849" s="37"/>
      <c r="F849" s="34" t="s">
        <v>522</v>
      </c>
      <c r="G849" s="34" t="str">
        <f t="shared" si="13"/>
        <v/>
      </c>
      <c r="H849" s="35"/>
      <c r="I849" s="31"/>
      <c r="J849" s="102">
        <v>0</v>
      </c>
    </row>
    <row r="850" spans="1:10" ht="15.75" hidden="1" thickBot="1" x14ac:dyDescent="0.3">
      <c r="A850" s="218" t="s">
        <v>287</v>
      </c>
      <c r="B850" s="221" t="e">
        <f>INDEX(#REF!,MATCH(Composições!A850,#REF!,0),2)</f>
        <v>#REF!</v>
      </c>
      <c r="C850" s="41"/>
      <c r="D850" s="26" t="s">
        <v>93</v>
      </c>
      <c r="E850" s="27"/>
      <c r="F850" s="42" t="s">
        <v>522</v>
      </c>
      <c r="G850" s="28" t="str">
        <f t="shared" ref="G850:G913" si="14">IF(ISNUMBER(F850),E850*F850,"")</f>
        <v/>
      </c>
      <c r="H850" s="29"/>
      <c r="I850" s="30"/>
      <c r="J850" s="102">
        <v>0</v>
      </c>
    </row>
    <row r="851" spans="1:10" hidden="1" x14ac:dyDescent="0.25">
      <c r="A851" s="224"/>
      <c r="B851" s="237"/>
      <c r="C851" s="32"/>
      <c r="D851" s="32"/>
      <c r="E851" s="33"/>
      <c r="F851" s="43" t="s">
        <v>522</v>
      </c>
      <c r="G851" s="31" t="str">
        <f t="shared" si="14"/>
        <v/>
      </c>
      <c r="H851" s="35"/>
      <c r="I851" s="31"/>
      <c r="J851" s="102">
        <v>0</v>
      </c>
    </row>
    <row r="852" spans="1:10" hidden="1" x14ac:dyDescent="0.25">
      <c r="A852" s="224"/>
      <c r="B852" s="237"/>
      <c r="C852" s="36" t="s">
        <v>68</v>
      </c>
      <c r="D852" s="47" t="s">
        <v>12</v>
      </c>
      <c r="E852" s="37">
        <v>0.5</v>
      </c>
      <c r="F852" s="31">
        <v>19.9025</v>
      </c>
      <c r="G852" s="34">
        <f t="shared" si="14"/>
        <v>9.9512499999999999</v>
      </c>
      <c r="H852" s="39">
        <f>SUM(G852:G854)</f>
        <v>17.290475000000001</v>
      </c>
      <c r="I852" s="40"/>
      <c r="J852" s="102">
        <v>0</v>
      </c>
    </row>
    <row r="853" spans="1:10" hidden="1" x14ac:dyDescent="0.25">
      <c r="A853" s="224"/>
      <c r="B853" s="237"/>
      <c r="C853" s="36" t="s">
        <v>23</v>
      </c>
      <c r="D853" s="47" t="s">
        <v>12</v>
      </c>
      <c r="E853" s="37">
        <f>E852/2</f>
        <v>0.25</v>
      </c>
      <c r="F853" s="34">
        <v>16.1785</v>
      </c>
      <c r="G853" s="31">
        <f t="shared" si="14"/>
        <v>4.0446249999999999</v>
      </c>
      <c r="H853" s="35"/>
      <c r="I853" s="31"/>
      <c r="J853" s="102">
        <v>0</v>
      </c>
    </row>
    <row r="854" spans="1:10" hidden="1" x14ac:dyDescent="0.25">
      <c r="A854" s="224"/>
      <c r="B854" s="237"/>
      <c r="C854" s="36" t="s">
        <v>288</v>
      </c>
      <c r="D854" s="36" t="s">
        <v>42</v>
      </c>
      <c r="E854" s="37">
        <v>0.6</v>
      </c>
      <c r="F854" s="34">
        <v>5.4909999999999997</v>
      </c>
      <c r="G854" s="31">
        <f t="shared" si="14"/>
        <v>3.2945999999999995</v>
      </c>
      <c r="H854" s="35"/>
      <c r="I854" s="31"/>
      <c r="J854" s="102">
        <v>0</v>
      </c>
    </row>
    <row r="855" spans="1:10" ht="15.75" hidden="1" thickBot="1" x14ac:dyDescent="0.3">
      <c r="A855" s="225"/>
      <c r="B855" s="223"/>
      <c r="C855" s="36"/>
      <c r="D855" s="36"/>
      <c r="E855" s="37"/>
      <c r="F855" s="31" t="s">
        <v>522</v>
      </c>
      <c r="G855" s="31" t="str">
        <f t="shared" si="14"/>
        <v/>
      </c>
      <c r="H855" s="35"/>
      <c r="I855" s="31"/>
      <c r="J855" s="102">
        <v>0</v>
      </c>
    </row>
    <row r="856" spans="1:10" ht="15.75" hidden="1" thickBot="1" x14ac:dyDescent="0.3">
      <c r="A856" s="218" t="s">
        <v>289</v>
      </c>
      <c r="B856" s="221" t="e">
        <f>INDEX(#REF!,MATCH(Composições!A856,#REF!,0),2)</f>
        <v>#REF!</v>
      </c>
      <c r="C856" s="41"/>
      <c r="D856" s="26" t="s">
        <v>95</v>
      </c>
      <c r="E856" s="27"/>
      <c r="F856" s="42" t="s">
        <v>522</v>
      </c>
      <c r="G856" s="28" t="str">
        <f t="shared" si="14"/>
        <v/>
      </c>
      <c r="H856" s="29"/>
      <c r="I856" s="30"/>
      <c r="J856" s="102">
        <v>0</v>
      </c>
    </row>
    <row r="857" spans="1:10" hidden="1" x14ac:dyDescent="0.25">
      <c r="A857" s="219"/>
      <c r="B857" s="237"/>
      <c r="C857" s="32"/>
      <c r="D857" s="32"/>
      <c r="E857" s="33"/>
      <c r="F857" s="43" t="s">
        <v>522</v>
      </c>
      <c r="G857" s="31" t="str">
        <f t="shared" si="14"/>
        <v/>
      </c>
      <c r="H857" s="35"/>
      <c r="I857" s="31"/>
      <c r="J857" s="102">
        <v>0</v>
      </c>
    </row>
    <row r="858" spans="1:10" hidden="1" x14ac:dyDescent="0.25">
      <c r="A858" s="219"/>
      <c r="B858" s="237"/>
      <c r="C858" s="36" t="s">
        <v>290</v>
      </c>
      <c r="D858" s="47" t="s">
        <v>95</v>
      </c>
      <c r="E858" s="37">
        <v>1</v>
      </c>
      <c r="F858" s="31">
        <v>0</v>
      </c>
      <c r="G858" s="34">
        <f t="shared" si="14"/>
        <v>0</v>
      </c>
      <c r="H858" s="39">
        <f>SUM(G858:G860)</f>
        <v>90.202500000000001</v>
      </c>
      <c r="I858" s="40"/>
      <c r="J858" s="102">
        <v>0</v>
      </c>
    </row>
    <row r="859" spans="1:10" hidden="1" x14ac:dyDescent="0.25">
      <c r="A859" s="219"/>
      <c r="B859" s="237"/>
      <c r="C859" s="36" t="s">
        <v>23</v>
      </c>
      <c r="D859" s="47" t="s">
        <v>12</v>
      </c>
      <c r="E859" s="37">
        <v>2.5</v>
      </c>
      <c r="F859" s="31">
        <v>16.1785</v>
      </c>
      <c r="G859" s="34">
        <f t="shared" si="14"/>
        <v>40.446249999999999</v>
      </c>
      <c r="H859" s="35"/>
      <c r="I859" s="31"/>
      <c r="J859" s="102">
        <v>0</v>
      </c>
    </row>
    <row r="860" spans="1:10" hidden="1" x14ac:dyDescent="0.25">
      <c r="A860" s="219"/>
      <c r="B860" s="237"/>
      <c r="C860" s="36" t="s">
        <v>68</v>
      </c>
      <c r="D860" s="47" t="s">
        <v>12</v>
      </c>
      <c r="E860" s="37">
        <v>2.5</v>
      </c>
      <c r="F860" s="31">
        <v>19.9025</v>
      </c>
      <c r="G860" s="34">
        <f t="shared" si="14"/>
        <v>49.756250000000001</v>
      </c>
      <c r="H860" s="35"/>
      <c r="I860" s="31"/>
      <c r="J860" s="102">
        <v>0</v>
      </c>
    </row>
    <row r="861" spans="1:10" ht="15.75" hidden="1" thickBot="1" x14ac:dyDescent="0.3">
      <c r="A861" s="220"/>
      <c r="B861" s="223"/>
      <c r="C861" s="36"/>
      <c r="D861" s="36"/>
      <c r="E861" s="37"/>
      <c r="F861" s="31" t="s">
        <v>522</v>
      </c>
      <c r="G861" s="31" t="str">
        <f t="shared" si="14"/>
        <v/>
      </c>
      <c r="H861" s="35"/>
      <c r="I861" s="31"/>
      <c r="J861" s="102">
        <v>0</v>
      </c>
    </row>
    <row r="862" spans="1:10" ht="15.75" hidden="1" thickBot="1" x14ac:dyDescent="0.3">
      <c r="A862" s="218" t="s">
        <v>291</v>
      </c>
      <c r="B862" s="221" t="e">
        <f>INDEX(#REF!,MATCH(Composições!A862,#REF!,0),2)</f>
        <v>#REF!</v>
      </c>
      <c r="C862" s="41"/>
      <c r="D862" s="26" t="s">
        <v>95</v>
      </c>
      <c r="E862" s="27"/>
      <c r="F862" s="42" t="s">
        <v>522</v>
      </c>
      <c r="G862" s="28" t="str">
        <f t="shared" si="14"/>
        <v/>
      </c>
      <c r="H862" s="29"/>
      <c r="I862" s="30"/>
      <c r="J862" s="102">
        <v>0</v>
      </c>
    </row>
    <row r="863" spans="1:10" hidden="1" x14ac:dyDescent="0.25">
      <c r="A863" s="219"/>
      <c r="B863" s="237"/>
      <c r="C863" s="32"/>
      <c r="D863" s="32"/>
      <c r="E863" s="33"/>
      <c r="F863" s="43" t="s">
        <v>522</v>
      </c>
      <c r="G863" s="31" t="str">
        <f t="shared" si="14"/>
        <v/>
      </c>
      <c r="H863" s="35"/>
      <c r="I863" s="31"/>
      <c r="J863" s="102">
        <v>0</v>
      </c>
    </row>
    <row r="864" spans="1:10" hidden="1" x14ac:dyDescent="0.25">
      <c r="A864" s="219"/>
      <c r="B864" s="237"/>
      <c r="C864" s="36" t="s">
        <v>68</v>
      </c>
      <c r="D864" s="47" t="s">
        <v>12</v>
      </c>
      <c r="E864" s="37">
        <v>1</v>
      </c>
      <c r="F864" s="31">
        <v>19.9025</v>
      </c>
      <c r="G864" s="34">
        <f t="shared" si="14"/>
        <v>19.9025</v>
      </c>
      <c r="H864" s="39">
        <f>SUM(G864:G865)</f>
        <v>30.884499999999999</v>
      </c>
      <c r="I864" s="40"/>
      <c r="J864" s="102">
        <v>0</v>
      </c>
    </row>
    <row r="865" spans="1:10" hidden="1" x14ac:dyDescent="0.25">
      <c r="A865" s="219"/>
      <c r="B865" s="237"/>
      <c r="C865" s="36" t="s">
        <v>288</v>
      </c>
      <c r="D865" s="47" t="s">
        <v>42</v>
      </c>
      <c r="E865" s="37">
        <v>2</v>
      </c>
      <c r="F865" s="34">
        <v>5.4909999999999997</v>
      </c>
      <c r="G865" s="34">
        <f t="shared" si="14"/>
        <v>10.981999999999999</v>
      </c>
      <c r="H865" s="35"/>
      <c r="I865" s="31"/>
      <c r="J865" s="102">
        <v>0</v>
      </c>
    </row>
    <row r="866" spans="1:10" hidden="1" x14ac:dyDescent="0.25">
      <c r="A866" s="219"/>
      <c r="B866" s="237"/>
      <c r="C866" s="36"/>
      <c r="D866" s="47"/>
      <c r="E866" s="37"/>
      <c r="F866" s="34" t="s">
        <v>522</v>
      </c>
      <c r="G866" s="34" t="str">
        <f t="shared" si="14"/>
        <v/>
      </c>
      <c r="H866" s="35"/>
      <c r="I866" s="31"/>
      <c r="J866" s="102">
        <v>0</v>
      </c>
    </row>
    <row r="867" spans="1:10" ht="15.75" hidden="1" thickBot="1" x14ac:dyDescent="0.3">
      <c r="A867" s="218" t="s">
        <v>292</v>
      </c>
      <c r="B867" s="221" t="e">
        <f>INDEX(#REF!,MATCH(Composições!A867,#REF!,0),2)</f>
        <v>#REF!</v>
      </c>
      <c r="C867" s="41"/>
      <c r="D867" s="26" t="s">
        <v>93</v>
      </c>
      <c r="E867" s="27"/>
      <c r="F867" s="42" t="s">
        <v>522</v>
      </c>
      <c r="G867" s="28" t="str">
        <f t="shared" si="14"/>
        <v/>
      </c>
      <c r="H867" s="29"/>
      <c r="I867" s="30"/>
      <c r="J867" s="102">
        <v>0</v>
      </c>
    </row>
    <row r="868" spans="1:10" hidden="1" x14ac:dyDescent="0.25">
      <c r="A868" s="224"/>
      <c r="B868" s="237"/>
      <c r="C868" s="32"/>
      <c r="D868" s="32"/>
      <c r="E868" s="33"/>
      <c r="F868" s="43" t="s">
        <v>522</v>
      </c>
      <c r="G868" s="31" t="str">
        <f t="shared" si="14"/>
        <v/>
      </c>
      <c r="H868" s="35"/>
      <c r="I868" s="31"/>
      <c r="J868" s="102">
        <v>0</v>
      </c>
    </row>
    <row r="869" spans="1:10" hidden="1" x14ac:dyDescent="0.25">
      <c r="A869" s="224"/>
      <c r="B869" s="237"/>
      <c r="C869" s="36" t="s">
        <v>68</v>
      </c>
      <c r="D869" s="47" t="s">
        <v>12</v>
      </c>
      <c r="E869" s="37">
        <v>0.3</v>
      </c>
      <c r="F869" s="31">
        <v>19.9025</v>
      </c>
      <c r="G869" s="31">
        <f t="shared" si="14"/>
        <v>5.9707499999999998</v>
      </c>
      <c r="H869" s="39">
        <f>SUM(G869:G871)</f>
        <v>18.689513399999999</v>
      </c>
      <c r="I869" s="40"/>
      <c r="J869" s="102">
        <v>0</v>
      </c>
    </row>
    <row r="870" spans="1:10" hidden="1" x14ac:dyDescent="0.25">
      <c r="A870" s="224"/>
      <c r="B870" s="237"/>
      <c r="C870" s="36" t="s">
        <v>23</v>
      </c>
      <c r="D870" s="47" t="s">
        <v>12</v>
      </c>
      <c r="E870" s="37">
        <v>0.3</v>
      </c>
      <c r="F870" s="34">
        <v>16.1785</v>
      </c>
      <c r="G870" s="31">
        <f t="shared" si="14"/>
        <v>4.8535499999999994</v>
      </c>
      <c r="H870" s="35"/>
      <c r="I870" s="31"/>
      <c r="J870" s="102">
        <v>0</v>
      </c>
    </row>
    <row r="871" spans="1:10" hidden="1" x14ac:dyDescent="0.25">
      <c r="A871" s="224"/>
      <c r="B871" s="237"/>
      <c r="C871" s="36" t="s">
        <v>293</v>
      </c>
      <c r="D871" s="47" t="s">
        <v>20</v>
      </c>
      <c r="E871" s="37">
        <f>ROUND(1/3,4)</f>
        <v>0.33329999999999999</v>
      </c>
      <c r="F871" s="34">
        <v>23.597999999999999</v>
      </c>
      <c r="G871" s="31">
        <f t="shared" si="14"/>
        <v>7.8652133999999991</v>
      </c>
      <c r="H871" s="35"/>
      <c r="I871" s="31"/>
      <c r="J871" s="102">
        <v>0</v>
      </c>
    </row>
    <row r="872" spans="1:10" hidden="1" x14ac:dyDescent="0.25">
      <c r="A872" s="224"/>
      <c r="B872" s="237"/>
      <c r="C872" s="36"/>
      <c r="D872" s="47"/>
      <c r="E872" s="37"/>
      <c r="F872" s="31" t="s">
        <v>522</v>
      </c>
      <c r="G872" s="31" t="str">
        <f t="shared" si="14"/>
        <v/>
      </c>
      <c r="H872" s="35"/>
      <c r="I872" s="31"/>
      <c r="J872" s="102">
        <v>0</v>
      </c>
    </row>
    <row r="873" spans="1:10" ht="25.5" hidden="1" x14ac:dyDescent="0.25">
      <c r="A873" s="224"/>
      <c r="B873" s="237"/>
      <c r="C873" s="58" t="s">
        <v>294</v>
      </c>
      <c r="D873" s="58"/>
      <c r="E873" s="59"/>
      <c r="F873" s="60" t="s">
        <v>522</v>
      </c>
      <c r="G873" s="58" t="str">
        <f t="shared" si="14"/>
        <v/>
      </c>
      <c r="H873" s="61"/>
      <c r="I873" s="58"/>
      <c r="J873" s="102">
        <v>0</v>
      </c>
    </row>
    <row r="874" spans="1:10" ht="15.75" hidden="1" thickBot="1" x14ac:dyDescent="0.3">
      <c r="A874" s="225"/>
      <c r="B874" s="223"/>
      <c r="C874" s="36"/>
      <c r="D874" s="36"/>
      <c r="E874" s="37"/>
      <c r="F874" s="31" t="s">
        <v>522</v>
      </c>
      <c r="G874" s="31" t="str">
        <f t="shared" si="14"/>
        <v/>
      </c>
      <c r="H874" s="35"/>
      <c r="I874" s="31"/>
      <c r="J874" s="102">
        <v>0</v>
      </c>
    </row>
    <row r="875" spans="1:10" ht="15.75" hidden="1" thickBot="1" x14ac:dyDescent="0.3">
      <c r="A875" s="218" t="s">
        <v>295</v>
      </c>
      <c r="B875" s="221" t="e">
        <f>INDEX(#REF!,MATCH(Composições!A875,#REF!,0),2)</f>
        <v>#REF!</v>
      </c>
      <c r="C875" s="41"/>
      <c r="D875" s="26" t="s">
        <v>95</v>
      </c>
      <c r="E875" s="27"/>
      <c r="F875" s="42" t="s">
        <v>522</v>
      </c>
      <c r="G875" s="28" t="str">
        <f t="shared" si="14"/>
        <v/>
      </c>
      <c r="H875" s="29"/>
      <c r="I875" s="30"/>
      <c r="J875" s="102">
        <v>0</v>
      </c>
    </row>
    <row r="876" spans="1:10" hidden="1" x14ac:dyDescent="0.25">
      <c r="A876" s="224"/>
      <c r="B876" s="237"/>
      <c r="C876" s="32"/>
      <c r="D876" s="32"/>
      <c r="E876" s="33"/>
      <c r="F876" s="43" t="s">
        <v>522</v>
      </c>
      <c r="G876" s="31" t="str">
        <f t="shared" si="14"/>
        <v/>
      </c>
      <c r="H876" s="35"/>
      <c r="I876" s="31"/>
      <c r="J876" s="102">
        <v>0</v>
      </c>
    </row>
    <row r="877" spans="1:10" hidden="1" x14ac:dyDescent="0.25">
      <c r="A877" s="224"/>
      <c r="B877" s="237"/>
      <c r="C877" s="36" t="s">
        <v>2433</v>
      </c>
      <c r="D877" s="47" t="s">
        <v>992</v>
      </c>
      <c r="E877" s="37">
        <v>1</v>
      </c>
      <c r="F877" s="31">
        <v>86.383499999999998</v>
      </c>
      <c r="G877" s="34">
        <f t="shared" si="14"/>
        <v>86.383499999999998</v>
      </c>
      <c r="H877" s="39">
        <f>SUM(G877:G881)</f>
        <v>123.5545395</v>
      </c>
      <c r="I877" s="40"/>
      <c r="J877" s="102">
        <v>0</v>
      </c>
    </row>
    <row r="878" spans="1:10" hidden="1" x14ac:dyDescent="0.25">
      <c r="A878" s="224"/>
      <c r="B878" s="237"/>
      <c r="C878" s="36" t="s">
        <v>1798</v>
      </c>
      <c r="D878" s="47" t="s">
        <v>898</v>
      </c>
      <c r="E878" s="37">
        <v>3.3000000000000002E-2</v>
      </c>
      <c r="F878" s="34">
        <v>24.880500000000001</v>
      </c>
      <c r="G878" s="34">
        <f t="shared" si="14"/>
        <v>0.82105650000000008</v>
      </c>
      <c r="H878" s="35"/>
      <c r="I878" s="31"/>
      <c r="J878" s="102">
        <v>0</v>
      </c>
    </row>
    <row r="879" spans="1:10" hidden="1" x14ac:dyDescent="0.25">
      <c r="A879" s="224"/>
      <c r="B879" s="237"/>
      <c r="C879" s="36" t="s">
        <v>1126</v>
      </c>
      <c r="D879" s="47" t="s">
        <v>279</v>
      </c>
      <c r="E879" s="37">
        <v>0.56499999999999995</v>
      </c>
      <c r="F879" s="34">
        <v>23.597999999999999</v>
      </c>
      <c r="G879" s="34">
        <f t="shared" si="14"/>
        <v>13.332869999999998</v>
      </c>
      <c r="H879" s="35"/>
      <c r="I879" s="31"/>
      <c r="J879" s="102">
        <v>0</v>
      </c>
    </row>
    <row r="880" spans="1:10" hidden="1" x14ac:dyDescent="0.25">
      <c r="A880" s="224"/>
      <c r="B880" s="237"/>
      <c r="C880" s="36" t="s">
        <v>704</v>
      </c>
      <c r="D880" s="47" t="s">
        <v>703</v>
      </c>
      <c r="E880" s="37">
        <v>0.628</v>
      </c>
      <c r="F880" s="34">
        <v>16.1785</v>
      </c>
      <c r="G880" s="34">
        <f t="shared" si="14"/>
        <v>10.160098</v>
      </c>
      <c r="H880" s="35"/>
      <c r="I880" s="31"/>
      <c r="J880" s="102">
        <v>0</v>
      </c>
    </row>
    <row r="881" spans="1:10" hidden="1" x14ac:dyDescent="0.25">
      <c r="A881" s="224"/>
      <c r="B881" s="237"/>
      <c r="C881" s="36" t="s">
        <v>1687</v>
      </c>
      <c r="D881" s="47" t="s">
        <v>703</v>
      </c>
      <c r="E881" s="37">
        <v>0.64600000000000002</v>
      </c>
      <c r="F881" s="34">
        <v>19.9025</v>
      </c>
      <c r="G881" s="34">
        <f t="shared" si="14"/>
        <v>12.857015000000001</v>
      </c>
      <c r="H881" s="35"/>
      <c r="I881" s="31"/>
      <c r="J881" s="102">
        <v>0</v>
      </c>
    </row>
    <row r="882" spans="1:10" ht="15.75" hidden="1" thickBot="1" x14ac:dyDescent="0.3">
      <c r="A882" s="225"/>
      <c r="B882" s="223"/>
      <c r="C882" s="36"/>
      <c r="D882" s="36"/>
      <c r="E882" s="37"/>
      <c r="F882" s="31" t="s">
        <v>522</v>
      </c>
      <c r="G882" s="31" t="str">
        <f t="shared" si="14"/>
        <v/>
      </c>
      <c r="H882" s="35"/>
      <c r="I882" s="31"/>
      <c r="J882" s="102">
        <v>0</v>
      </c>
    </row>
    <row r="883" spans="1:10" ht="15.75" hidden="1" thickBot="1" x14ac:dyDescent="0.3">
      <c r="A883" s="218" t="s">
        <v>296</v>
      </c>
      <c r="B883" s="221" t="e">
        <f>INDEX(#REF!,MATCH(Composições!A883,#REF!,0),2)</f>
        <v>#REF!</v>
      </c>
      <c r="C883" s="41"/>
      <c r="D883" s="26" t="s">
        <v>95</v>
      </c>
      <c r="E883" s="27"/>
      <c r="F883" s="42" t="s">
        <v>522</v>
      </c>
      <c r="G883" s="28" t="str">
        <f t="shared" si="14"/>
        <v/>
      </c>
      <c r="H883" s="29"/>
      <c r="I883" s="30"/>
      <c r="J883" s="102">
        <v>0</v>
      </c>
    </row>
    <row r="884" spans="1:10" hidden="1" x14ac:dyDescent="0.25">
      <c r="A884" s="224"/>
      <c r="B884" s="237"/>
      <c r="C884" s="32"/>
      <c r="D884" s="32"/>
      <c r="E884" s="33"/>
      <c r="F884" s="43" t="s">
        <v>522</v>
      </c>
      <c r="G884" s="31" t="str">
        <f t="shared" si="14"/>
        <v/>
      </c>
      <c r="H884" s="35"/>
      <c r="I884" s="31"/>
      <c r="J884" s="102">
        <v>0</v>
      </c>
    </row>
    <row r="885" spans="1:10" hidden="1" x14ac:dyDescent="0.25">
      <c r="A885" s="224"/>
      <c r="B885" s="237"/>
      <c r="C885" s="36" t="s">
        <v>297</v>
      </c>
      <c r="D885" s="47" t="s">
        <v>992</v>
      </c>
      <c r="E885" s="37">
        <v>1</v>
      </c>
      <c r="F885" s="31">
        <v>122.37899999999999</v>
      </c>
      <c r="G885" s="31">
        <f t="shared" si="14"/>
        <v>122.37899999999999</v>
      </c>
      <c r="H885" s="39">
        <f>SUM(G885:G889)</f>
        <v>145.36392700000002</v>
      </c>
      <c r="I885" s="40"/>
      <c r="J885" s="102">
        <v>0</v>
      </c>
    </row>
    <row r="886" spans="1:10" hidden="1" x14ac:dyDescent="0.25">
      <c r="A886" s="224"/>
      <c r="B886" s="237"/>
      <c r="C886" s="36" t="s">
        <v>1798</v>
      </c>
      <c r="D886" s="47" t="s">
        <v>898</v>
      </c>
      <c r="E886" s="37">
        <v>2.1000000000000001E-2</v>
      </c>
      <c r="F886" s="34">
        <v>24.880500000000001</v>
      </c>
      <c r="G886" s="31">
        <f t="shared" si="14"/>
        <v>0.52249050000000008</v>
      </c>
      <c r="H886" s="35"/>
      <c r="I886" s="31"/>
      <c r="J886" s="102">
        <v>0</v>
      </c>
    </row>
    <row r="887" spans="1:10" hidden="1" x14ac:dyDescent="0.25">
      <c r="A887" s="224"/>
      <c r="B887" s="237"/>
      <c r="C887" s="36" t="s">
        <v>1126</v>
      </c>
      <c r="D887" s="47" t="s">
        <v>279</v>
      </c>
      <c r="E887" s="37">
        <v>0.35699999999999998</v>
      </c>
      <c r="F887" s="34">
        <v>23.597999999999999</v>
      </c>
      <c r="G887" s="31">
        <f t="shared" si="14"/>
        <v>8.4244859999999999</v>
      </c>
      <c r="H887" s="35"/>
      <c r="I887" s="31"/>
      <c r="J887" s="102">
        <v>0</v>
      </c>
    </row>
    <row r="888" spans="1:10" hidden="1" x14ac:dyDescent="0.25">
      <c r="A888" s="224"/>
      <c r="B888" s="237"/>
      <c r="C888" s="36" t="s">
        <v>704</v>
      </c>
      <c r="D888" s="47" t="s">
        <v>703</v>
      </c>
      <c r="E888" s="37">
        <v>0.38300000000000001</v>
      </c>
      <c r="F888" s="34">
        <v>16.1785</v>
      </c>
      <c r="G888" s="31">
        <f t="shared" si="14"/>
        <v>6.1963654999999997</v>
      </c>
      <c r="H888" s="35"/>
      <c r="I888" s="31"/>
      <c r="J888" s="102">
        <v>0</v>
      </c>
    </row>
    <row r="889" spans="1:10" hidden="1" x14ac:dyDescent="0.25">
      <c r="A889" s="224"/>
      <c r="B889" s="237"/>
      <c r="C889" s="36" t="s">
        <v>1687</v>
      </c>
      <c r="D889" s="47" t="s">
        <v>703</v>
      </c>
      <c r="E889" s="37">
        <v>0.39400000000000002</v>
      </c>
      <c r="F889" s="34">
        <v>19.9025</v>
      </c>
      <c r="G889" s="31">
        <f t="shared" si="14"/>
        <v>7.8415850000000002</v>
      </c>
      <c r="H889" s="35"/>
      <c r="I889" s="31"/>
      <c r="J889" s="102">
        <v>0</v>
      </c>
    </row>
    <row r="890" spans="1:10" ht="15.75" hidden="1" thickBot="1" x14ac:dyDescent="0.3">
      <c r="A890" s="225"/>
      <c r="B890" s="223"/>
      <c r="C890" s="36"/>
      <c r="D890" s="36"/>
      <c r="E890" s="37"/>
      <c r="F890" s="31" t="s">
        <v>522</v>
      </c>
      <c r="G890" s="31" t="str">
        <f t="shared" si="14"/>
        <v/>
      </c>
      <c r="H890" s="35"/>
      <c r="I890" s="31"/>
      <c r="J890" s="102">
        <v>0</v>
      </c>
    </row>
    <row r="891" spans="1:10" ht="15.75" hidden="1" thickBot="1" x14ac:dyDescent="0.3">
      <c r="A891" s="218" t="s">
        <v>298</v>
      </c>
      <c r="B891" s="221" t="e">
        <f>INDEX(#REF!,MATCH(Composições!A891,#REF!,0),2)</f>
        <v>#REF!</v>
      </c>
      <c r="C891" s="41"/>
      <c r="D891" s="26" t="s">
        <v>95</v>
      </c>
      <c r="E891" s="27"/>
      <c r="F891" s="42" t="s">
        <v>522</v>
      </c>
      <c r="G891" s="28" t="str">
        <f t="shared" si="14"/>
        <v/>
      </c>
      <c r="H891" s="29"/>
      <c r="I891" s="30"/>
      <c r="J891" s="102">
        <v>0</v>
      </c>
    </row>
    <row r="892" spans="1:10" hidden="1" x14ac:dyDescent="0.25">
      <c r="A892" s="219"/>
      <c r="B892" s="237"/>
      <c r="C892" s="32"/>
      <c r="D892" s="32"/>
      <c r="E892" s="33"/>
      <c r="F892" s="43" t="s">
        <v>522</v>
      </c>
      <c r="G892" s="31" t="str">
        <f t="shared" si="14"/>
        <v/>
      </c>
      <c r="H892" s="35"/>
      <c r="I892" s="31"/>
      <c r="J892" s="102">
        <v>0</v>
      </c>
    </row>
    <row r="893" spans="1:10" hidden="1" x14ac:dyDescent="0.25">
      <c r="A893" s="219"/>
      <c r="B893" s="237"/>
      <c r="C893" s="36" t="s">
        <v>68</v>
      </c>
      <c r="D893" s="36" t="s">
        <v>12</v>
      </c>
      <c r="E893" s="37">
        <f>2.2/2</f>
        <v>1.1000000000000001</v>
      </c>
      <c r="F893" s="31">
        <v>19.9025</v>
      </c>
      <c r="G893" s="34">
        <f t="shared" si="14"/>
        <v>21.892750000000003</v>
      </c>
      <c r="H893" s="39">
        <f>SUM(G893:G894)</f>
        <v>39.689100000000003</v>
      </c>
      <c r="I893" s="40"/>
      <c r="J893" s="102">
        <v>0</v>
      </c>
    </row>
    <row r="894" spans="1:10" hidden="1" x14ac:dyDescent="0.25">
      <c r="A894" s="219"/>
      <c r="B894" s="237"/>
      <c r="C894" s="36" t="s">
        <v>23</v>
      </c>
      <c r="D894" s="47" t="s">
        <v>12</v>
      </c>
      <c r="E894" s="37">
        <f>2.2/2</f>
        <v>1.1000000000000001</v>
      </c>
      <c r="F894" s="31">
        <v>16.1785</v>
      </c>
      <c r="G894" s="34">
        <f t="shared" si="14"/>
        <v>17.79635</v>
      </c>
      <c r="H894" s="35"/>
      <c r="I894" s="31"/>
      <c r="J894" s="102">
        <v>0</v>
      </c>
    </row>
    <row r="895" spans="1:10" ht="15.75" hidden="1" thickBot="1" x14ac:dyDescent="0.3">
      <c r="A895" s="220"/>
      <c r="B895" s="223"/>
      <c r="C895" s="36"/>
      <c r="D895" s="36"/>
      <c r="E895" s="37"/>
      <c r="F895" s="31" t="s">
        <v>522</v>
      </c>
      <c r="G895" s="31" t="str">
        <f t="shared" si="14"/>
        <v/>
      </c>
      <c r="H895" s="35"/>
      <c r="I895" s="31"/>
      <c r="J895" s="102">
        <v>0</v>
      </c>
    </row>
    <row r="896" spans="1:10" ht="15.75" hidden="1" thickBot="1" x14ac:dyDescent="0.3">
      <c r="A896" s="218" t="s">
        <v>299</v>
      </c>
      <c r="B896" s="221" t="e">
        <f>INDEX(#REF!,MATCH(Composições!A896,#REF!,0),2)</f>
        <v>#REF!</v>
      </c>
      <c r="C896" s="41"/>
      <c r="D896" s="26" t="s">
        <v>20</v>
      </c>
      <c r="E896" s="27"/>
      <c r="F896" s="42" t="s">
        <v>522</v>
      </c>
      <c r="G896" s="28" t="str">
        <f t="shared" si="14"/>
        <v/>
      </c>
      <c r="H896" s="29"/>
      <c r="I896" s="30"/>
      <c r="J896" s="102">
        <v>0</v>
      </c>
    </row>
    <row r="897" spans="1:10" hidden="1" x14ac:dyDescent="0.25">
      <c r="A897" s="219"/>
      <c r="B897" s="237"/>
      <c r="C897" s="32"/>
      <c r="D897" s="32"/>
      <c r="E897" s="33"/>
      <c r="F897" s="43" t="s">
        <v>522</v>
      </c>
      <c r="G897" s="31" t="str">
        <f t="shared" si="14"/>
        <v/>
      </c>
      <c r="H897" s="35"/>
      <c r="I897" s="31"/>
      <c r="J897" s="102">
        <v>0</v>
      </c>
    </row>
    <row r="898" spans="1:10" hidden="1" x14ac:dyDescent="0.25">
      <c r="A898" s="219"/>
      <c r="B898" s="237"/>
      <c r="C898" s="36" t="s">
        <v>68</v>
      </c>
      <c r="D898" s="36" t="s">
        <v>12</v>
      </c>
      <c r="E898" s="37">
        <v>1.8180000000000001</v>
      </c>
      <c r="F898" s="31">
        <v>19.9025</v>
      </c>
      <c r="G898" s="34">
        <f t="shared" si="14"/>
        <v>36.182745000000004</v>
      </c>
      <c r="H898" s="39">
        <f>SUM(G898:G901)</f>
        <v>64.770154500000004</v>
      </c>
      <c r="I898" s="40"/>
      <c r="J898" s="102">
        <v>0</v>
      </c>
    </row>
    <row r="899" spans="1:10" hidden="1" x14ac:dyDescent="0.25">
      <c r="A899" s="219"/>
      <c r="B899" s="237"/>
      <c r="C899" s="36" t="s">
        <v>23</v>
      </c>
      <c r="D899" s="47" t="s">
        <v>12</v>
      </c>
      <c r="E899" s="37">
        <v>1.7669999999999999</v>
      </c>
      <c r="F899" s="31">
        <v>16.1785</v>
      </c>
      <c r="G899" s="34">
        <f t="shared" si="14"/>
        <v>28.587409499999996</v>
      </c>
      <c r="H899" s="45"/>
      <c r="I899" s="46"/>
      <c r="J899" s="102">
        <v>0</v>
      </c>
    </row>
    <row r="900" spans="1:10" ht="38.25" hidden="1" x14ac:dyDescent="0.25">
      <c r="A900" s="219"/>
      <c r="B900" s="237"/>
      <c r="C900" s="36" t="s">
        <v>2333</v>
      </c>
      <c r="D900" s="36" t="s">
        <v>20</v>
      </c>
      <c r="E900" s="37">
        <v>1</v>
      </c>
      <c r="F900" s="31" t="s">
        <v>522</v>
      </c>
      <c r="G900" s="31" t="str">
        <f t="shared" si="14"/>
        <v/>
      </c>
      <c r="H900" s="35"/>
      <c r="I900" s="31"/>
      <c r="J900" s="102">
        <v>0</v>
      </c>
    </row>
    <row r="901" spans="1:10" hidden="1" x14ac:dyDescent="0.25">
      <c r="A901" s="219"/>
      <c r="B901" s="237"/>
      <c r="C901" s="36" t="s">
        <v>2334</v>
      </c>
      <c r="D901" s="36" t="s">
        <v>20</v>
      </c>
      <c r="E901" s="37">
        <v>1</v>
      </c>
      <c r="F901" s="31" t="s">
        <v>522</v>
      </c>
      <c r="G901" s="31" t="str">
        <f t="shared" si="14"/>
        <v/>
      </c>
      <c r="H901" s="35"/>
      <c r="I901" s="31"/>
      <c r="J901" s="102">
        <v>0</v>
      </c>
    </row>
    <row r="902" spans="1:10" ht="15.75" hidden="1" thickBot="1" x14ac:dyDescent="0.3">
      <c r="A902" s="220"/>
      <c r="B902" s="223"/>
      <c r="C902" s="36"/>
      <c r="D902" s="36"/>
      <c r="E902" s="37"/>
      <c r="F902" s="31" t="s">
        <v>522</v>
      </c>
      <c r="G902" s="31" t="str">
        <f t="shared" si="14"/>
        <v/>
      </c>
      <c r="H902" s="35"/>
      <c r="I902" s="31"/>
      <c r="J902" s="102">
        <v>0</v>
      </c>
    </row>
    <row r="903" spans="1:10" ht="15.75" hidden="1" thickBot="1" x14ac:dyDescent="0.3">
      <c r="A903" s="218" t="s">
        <v>300</v>
      </c>
      <c r="B903" s="221" t="e">
        <f>INDEX(#REF!,MATCH(Composições!A903,#REF!,0),2)</f>
        <v>#REF!</v>
      </c>
      <c r="C903" s="41"/>
      <c r="D903" s="26" t="s">
        <v>93</v>
      </c>
      <c r="E903" s="27"/>
      <c r="F903" s="42" t="s">
        <v>522</v>
      </c>
      <c r="G903" s="28" t="str">
        <f t="shared" si="14"/>
        <v/>
      </c>
      <c r="H903" s="29"/>
      <c r="I903" s="30"/>
      <c r="J903" s="102">
        <v>0</v>
      </c>
    </row>
    <row r="904" spans="1:10" hidden="1" x14ac:dyDescent="0.25">
      <c r="A904" s="219"/>
      <c r="B904" s="237"/>
      <c r="C904" s="32"/>
      <c r="D904" s="32"/>
      <c r="E904" s="33"/>
      <c r="F904" s="43" t="s">
        <v>522</v>
      </c>
      <c r="G904" s="31" t="str">
        <f t="shared" si="14"/>
        <v/>
      </c>
      <c r="H904" s="35"/>
      <c r="I904" s="31"/>
      <c r="J904" s="102">
        <v>0</v>
      </c>
    </row>
    <row r="905" spans="1:10" hidden="1" x14ac:dyDescent="0.25">
      <c r="A905" s="219"/>
      <c r="B905" s="237"/>
      <c r="C905" s="36" t="s">
        <v>50</v>
      </c>
      <c r="D905" s="36" t="s">
        <v>12</v>
      </c>
      <c r="E905" s="37">
        <f>ROUND(1/3,4)</f>
        <v>0.33329999999999999</v>
      </c>
      <c r="F905" s="31">
        <v>17.042999999999999</v>
      </c>
      <c r="G905" s="34">
        <f t="shared" si="14"/>
        <v>5.6804318999999994</v>
      </c>
      <c r="H905" s="39">
        <f>SUM(G905:G905)</f>
        <v>5.6804318999999994</v>
      </c>
      <c r="I905" s="40"/>
      <c r="J905" s="102">
        <v>0</v>
      </c>
    </row>
    <row r="906" spans="1:10" ht="15.75" hidden="1" thickBot="1" x14ac:dyDescent="0.3">
      <c r="A906" s="220"/>
      <c r="B906" s="223"/>
      <c r="C906" s="36"/>
      <c r="D906" s="36"/>
      <c r="E906" s="37"/>
      <c r="F906" s="31" t="s">
        <v>522</v>
      </c>
      <c r="G906" s="31" t="str">
        <f t="shared" si="14"/>
        <v/>
      </c>
      <c r="H906" s="35"/>
      <c r="I906" s="31"/>
      <c r="J906" s="102">
        <v>0</v>
      </c>
    </row>
    <row r="907" spans="1:10" ht="15.75" hidden="1" thickBot="1" x14ac:dyDescent="0.3">
      <c r="A907" s="218" t="s">
        <v>301</v>
      </c>
      <c r="B907" s="221" t="e">
        <f>INDEX(#REF!,MATCH(Composições!A907,#REF!,0),2)</f>
        <v>#REF!</v>
      </c>
      <c r="C907" s="41"/>
      <c r="D907" s="26" t="s">
        <v>20</v>
      </c>
      <c r="E907" s="27"/>
      <c r="F907" s="42" t="s">
        <v>522</v>
      </c>
      <c r="G907" s="28" t="str">
        <f t="shared" si="14"/>
        <v/>
      </c>
      <c r="H907" s="29"/>
      <c r="I907" s="30"/>
      <c r="J907" s="102">
        <v>0</v>
      </c>
    </row>
    <row r="908" spans="1:10" hidden="1" x14ac:dyDescent="0.25">
      <c r="A908" s="219"/>
      <c r="B908" s="237"/>
      <c r="C908" s="32"/>
      <c r="D908" s="32"/>
      <c r="E908" s="33"/>
      <c r="F908" s="43" t="s">
        <v>522</v>
      </c>
      <c r="G908" s="31" t="str">
        <f t="shared" si="14"/>
        <v/>
      </c>
      <c r="H908" s="35"/>
      <c r="I908" s="31"/>
      <c r="J908" s="102">
        <v>0</v>
      </c>
    </row>
    <row r="909" spans="1:10" hidden="1" x14ac:dyDescent="0.25">
      <c r="A909" s="219"/>
      <c r="B909" s="237"/>
      <c r="C909" s="36" t="s">
        <v>39</v>
      </c>
      <c r="D909" s="47" t="s">
        <v>12</v>
      </c>
      <c r="E909" s="37">
        <v>0.2</v>
      </c>
      <c r="F909" s="31">
        <v>20.9</v>
      </c>
      <c r="G909" s="34">
        <f t="shared" si="14"/>
        <v>4.18</v>
      </c>
      <c r="H909" s="39">
        <f>SUM(G909:G911)</f>
        <v>15.029</v>
      </c>
      <c r="I909" s="40"/>
      <c r="J909" s="102">
        <v>0</v>
      </c>
    </row>
    <row r="910" spans="1:10" ht="25.5" hidden="1" x14ac:dyDescent="0.25">
      <c r="A910" s="219"/>
      <c r="B910" s="237"/>
      <c r="C910" s="36" t="s">
        <v>2377</v>
      </c>
      <c r="D910" s="47" t="s">
        <v>20</v>
      </c>
      <c r="E910" s="37">
        <v>1</v>
      </c>
      <c r="F910" s="34">
        <v>10.849</v>
      </c>
      <c r="G910" s="54">
        <f t="shared" si="14"/>
        <v>10.849</v>
      </c>
      <c r="H910" s="35"/>
      <c r="I910" s="31"/>
      <c r="J910" s="102">
        <v>0</v>
      </c>
    </row>
    <row r="911" spans="1:10" ht="25.5" hidden="1" x14ac:dyDescent="0.25">
      <c r="A911" s="219"/>
      <c r="B911" s="237"/>
      <c r="C911" s="36" t="s">
        <v>302</v>
      </c>
      <c r="D911" s="36" t="s">
        <v>20</v>
      </c>
      <c r="E911" s="37">
        <v>1</v>
      </c>
      <c r="F911" s="34" t="s">
        <v>522</v>
      </c>
      <c r="G911" s="31" t="str">
        <f t="shared" si="14"/>
        <v/>
      </c>
      <c r="H911" s="35"/>
      <c r="I911" s="31"/>
      <c r="J911" s="102">
        <v>0</v>
      </c>
    </row>
    <row r="912" spans="1:10" ht="15.75" hidden="1" thickBot="1" x14ac:dyDescent="0.3">
      <c r="A912" s="220"/>
      <c r="B912" s="223"/>
      <c r="C912" s="36"/>
      <c r="D912" s="36"/>
      <c r="E912" s="37"/>
      <c r="F912" s="31" t="s">
        <v>522</v>
      </c>
      <c r="G912" s="31" t="str">
        <f t="shared" si="14"/>
        <v/>
      </c>
      <c r="H912" s="35"/>
      <c r="I912" s="31"/>
      <c r="J912" s="102">
        <v>0</v>
      </c>
    </row>
    <row r="913" spans="1:10" ht="15.75" hidden="1" thickBot="1" x14ac:dyDescent="0.3">
      <c r="A913" s="218" t="s">
        <v>303</v>
      </c>
      <c r="B913" s="221" t="e">
        <f>INDEX(#REF!,MATCH(Composições!A913,#REF!,0),2)</f>
        <v>#REF!</v>
      </c>
      <c r="C913" s="41"/>
      <c r="D913" s="26" t="s">
        <v>93</v>
      </c>
      <c r="E913" s="27"/>
      <c r="F913" s="42" t="s">
        <v>522</v>
      </c>
      <c r="G913" s="28" t="str">
        <f t="shared" si="14"/>
        <v/>
      </c>
      <c r="H913" s="29"/>
      <c r="I913" s="30"/>
      <c r="J913" s="102">
        <v>0</v>
      </c>
    </row>
    <row r="914" spans="1:10" hidden="1" x14ac:dyDescent="0.25">
      <c r="A914" s="219"/>
      <c r="B914" s="237"/>
      <c r="C914" s="32"/>
      <c r="D914" s="32"/>
      <c r="E914" s="33"/>
      <c r="F914" s="43" t="s">
        <v>522</v>
      </c>
      <c r="G914" s="31" t="str">
        <f t="shared" ref="G914:G977" si="15">IF(ISNUMBER(F914),E914*F914,"")</f>
        <v/>
      </c>
      <c r="H914" s="35"/>
      <c r="I914" s="31"/>
      <c r="J914" s="102">
        <v>0</v>
      </c>
    </row>
    <row r="915" spans="1:10" hidden="1" x14ac:dyDescent="0.25">
      <c r="A915" s="219"/>
      <c r="B915" s="237"/>
      <c r="C915" s="36" t="s">
        <v>2378</v>
      </c>
      <c r="D915" s="47" t="s">
        <v>20</v>
      </c>
      <c r="E915" s="37">
        <v>4.2900000000000001E-2</v>
      </c>
      <c r="F915" s="34">
        <v>65.711500000000001</v>
      </c>
      <c r="G915" s="34">
        <f t="shared" si="15"/>
        <v>2.8190233500000001</v>
      </c>
      <c r="H915" s="39">
        <f>SUM(G915:G920)</f>
        <v>69.814697250000009</v>
      </c>
      <c r="I915" s="40"/>
      <c r="J915" s="102">
        <v>0</v>
      </c>
    </row>
    <row r="916" spans="1:10" ht="25.5" hidden="1" x14ac:dyDescent="0.25">
      <c r="A916" s="219"/>
      <c r="B916" s="237"/>
      <c r="C916" s="36" t="s">
        <v>2040</v>
      </c>
      <c r="D916" s="47" t="s">
        <v>93</v>
      </c>
      <c r="E916" s="37">
        <v>1.04</v>
      </c>
      <c r="F916" s="34">
        <v>42.978000000000002</v>
      </c>
      <c r="G916" s="34">
        <f t="shared" si="15"/>
        <v>44.697120000000005</v>
      </c>
      <c r="H916" s="45"/>
      <c r="I916" s="46"/>
      <c r="J916" s="102">
        <v>0</v>
      </c>
    </row>
    <row r="917" spans="1:10" ht="25.5" hidden="1" x14ac:dyDescent="0.25">
      <c r="A917" s="219"/>
      <c r="B917" s="237"/>
      <c r="C917" s="36" t="s">
        <v>2379</v>
      </c>
      <c r="D917" s="47" t="s">
        <v>20</v>
      </c>
      <c r="E917" s="37">
        <v>7.0099999999999996E-2</v>
      </c>
      <c r="F917" s="34">
        <v>74.451499999999996</v>
      </c>
      <c r="G917" s="34">
        <f t="shared" si="15"/>
        <v>5.2190501499999993</v>
      </c>
      <c r="H917" s="45"/>
      <c r="I917" s="46"/>
      <c r="J917" s="102">
        <v>0</v>
      </c>
    </row>
    <row r="918" spans="1:10" hidden="1" x14ac:dyDescent="0.25">
      <c r="A918" s="219"/>
      <c r="B918" s="237"/>
      <c r="C918" s="36" t="s">
        <v>304</v>
      </c>
      <c r="D918" s="47" t="s">
        <v>20</v>
      </c>
      <c r="E918" s="37">
        <v>0.14849999999999999</v>
      </c>
      <c r="F918" s="34">
        <v>2.4224999999999999</v>
      </c>
      <c r="G918" s="34">
        <f t="shared" si="15"/>
        <v>0.35974124999999996</v>
      </c>
      <c r="H918" s="45"/>
      <c r="I918" s="46"/>
      <c r="J918" s="102">
        <v>0</v>
      </c>
    </row>
    <row r="919" spans="1:10" ht="25.5" hidden="1" x14ac:dyDescent="0.25">
      <c r="A919" s="219"/>
      <c r="B919" s="237"/>
      <c r="C919" s="36" t="s">
        <v>107</v>
      </c>
      <c r="D919" s="47" t="s">
        <v>12</v>
      </c>
      <c r="E919" s="37">
        <v>0.44500000000000001</v>
      </c>
      <c r="F919" s="31">
        <v>16.672499999999999</v>
      </c>
      <c r="G919" s="34">
        <f t="shared" si="15"/>
        <v>7.4192624999999994</v>
      </c>
      <c r="H919" s="45"/>
      <c r="I919" s="46"/>
      <c r="J919" s="102">
        <v>0</v>
      </c>
    </row>
    <row r="920" spans="1:10" hidden="1" x14ac:dyDescent="0.25">
      <c r="A920" s="219"/>
      <c r="B920" s="237"/>
      <c r="C920" s="36" t="s">
        <v>39</v>
      </c>
      <c r="D920" s="47" t="s">
        <v>12</v>
      </c>
      <c r="E920" s="37">
        <v>0.44500000000000001</v>
      </c>
      <c r="F920" s="31">
        <v>20.9</v>
      </c>
      <c r="G920" s="34">
        <f t="shared" si="15"/>
        <v>9.3004999999999995</v>
      </c>
      <c r="H920" s="45"/>
      <c r="I920" s="46"/>
      <c r="J920" s="102">
        <v>0</v>
      </c>
    </row>
    <row r="921" spans="1:10" ht="15.75" hidden="1" thickBot="1" x14ac:dyDescent="0.3">
      <c r="A921" s="220"/>
      <c r="B921" s="223"/>
      <c r="C921" s="36"/>
      <c r="D921" s="36"/>
      <c r="E921" s="37"/>
      <c r="F921" s="31" t="s">
        <v>522</v>
      </c>
      <c r="G921" s="31" t="str">
        <f t="shared" si="15"/>
        <v/>
      </c>
      <c r="H921" s="35"/>
      <c r="I921" s="31"/>
      <c r="J921" s="102">
        <v>0</v>
      </c>
    </row>
    <row r="922" spans="1:10" ht="15.75" hidden="1" thickBot="1" x14ac:dyDescent="0.3">
      <c r="A922" s="218" t="s">
        <v>305</v>
      </c>
      <c r="B922" s="221" t="e">
        <f>INDEX(#REF!,MATCH(Composições!A922,#REF!,0),2)</f>
        <v>#REF!</v>
      </c>
      <c r="C922" s="41"/>
      <c r="D922" s="26" t="s">
        <v>93</v>
      </c>
      <c r="E922" s="27"/>
      <c r="F922" s="42" t="s">
        <v>522</v>
      </c>
      <c r="G922" s="28" t="str">
        <f t="shared" si="15"/>
        <v/>
      </c>
      <c r="H922" s="29"/>
      <c r="I922" s="30"/>
      <c r="J922" s="102">
        <v>0</v>
      </c>
    </row>
    <row r="923" spans="1:10" hidden="1" x14ac:dyDescent="0.25">
      <c r="A923" s="219"/>
      <c r="B923" s="237"/>
      <c r="C923" s="32"/>
      <c r="D923" s="32"/>
      <c r="E923" s="33"/>
      <c r="F923" s="43" t="s">
        <v>522</v>
      </c>
      <c r="G923" s="31" t="str">
        <f t="shared" si="15"/>
        <v/>
      </c>
      <c r="H923" s="35"/>
      <c r="I923" s="31"/>
      <c r="J923" s="102">
        <v>0</v>
      </c>
    </row>
    <row r="924" spans="1:10" ht="25.5" hidden="1" x14ac:dyDescent="0.25">
      <c r="A924" s="219"/>
      <c r="B924" s="237"/>
      <c r="C924" s="36" t="s">
        <v>2042</v>
      </c>
      <c r="D924" s="47" t="s">
        <v>93</v>
      </c>
      <c r="E924" s="37">
        <v>1.04</v>
      </c>
      <c r="F924" s="34">
        <v>15.01</v>
      </c>
      <c r="G924" s="34">
        <f t="shared" si="15"/>
        <v>15.6104</v>
      </c>
      <c r="H924" s="39">
        <f>SUM(G924:G927)</f>
        <v>21.899494999999998</v>
      </c>
      <c r="I924" s="40"/>
      <c r="J924" s="102">
        <v>0</v>
      </c>
    </row>
    <row r="925" spans="1:10" hidden="1" x14ac:dyDescent="0.25">
      <c r="A925" s="219"/>
      <c r="B925" s="237"/>
      <c r="C925" s="36" t="s">
        <v>304</v>
      </c>
      <c r="D925" s="47" t="s">
        <v>20</v>
      </c>
      <c r="E925" s="37">
        <v>3.6999999999999998E-2</v>
      </c>
      <c r="F925" s="34">
        <v>2.4224999999999999</v>
      </c>
      <c r="G925" s="34">
        <f t="shared" si="15"/>
        <v>8.963249999999999E-2</v>
      </c>
      <c r="H925" s="35"/>
      <c r="I925" s="31"/>
      <c r="J925" s="102">
        <v>0</v>
      </c>
    </row>
    <row r="926" spans="1:10" ht="25.5" hidden="1" x14ac:dyDescent="0.25">
      <c r="A926" s="219"/>
      <c r="B926" s="237"/>
      <c r="C926" s="36" t="s">
        <v>107</v>
      </c>
      <c r="D926" s="47" t="s">
        <v>12</v>
      </c>
      <c r="E926" s="37">
        <v>0.16500000000000001</v>
      </c>
      <c r="F926" s="31">
        <v>16.672499999999999</v>
      </c>
      <c r="G926" s="34">
        <f t="shared" si="15"/>
        <v>2.7509625</v>
      </c>
      <c r="H926" s="35"/>
      <c r="I926" s="31"/>
      <c r="J926" s="102">
        <v>0</v>
      </c>
    </row>
    <row r="927" spans="1:10" hidden="1" x14ac:dyDescent="0.25">
      <c r="A927" s="219"/>
      <c r="B927" s="237"/>
      <c r="C927" s="36" t="s">
        <v>39</v>
      </c>
      <c r="D927" s="47" t="s">
        <v>12</v>
      </c>
      <c r="E927" s="37">
        <v>0.16500000000000001</v>
      </c>
      <c r="F927" s="31">
        <v>20.9</v>
      </c>
      <c r="G927" s="34">
        <f t="shared" si="15"/>
        <v>3.4485000000000001</v>
      </c>
      <c r="H927" s="35"/>
      <c r="I927" s="31"/>
      <c r="J927" s="102">
        <v>0</v>
      </c>
    </row>
    <row r="928" spans="1:10" ht="15.75" hidden="1" thickBot="1" x14ac:dyDescent="0.3">
      <c r="A928" s="220"/>
      <c r="B928" s="223"/>
      <c r="C928" s="36"/>
      <c r="D928" s="36"/>
      <c r="E928" s="37"/>
      <c r="F928" s="31" t="s">
        <v>522</v>
      </c>
      <c r="G928" s="31" t="str">
        <f t="shared" si="15"/>
        <v/>
      </c>
      <c r="H928" s="35"/>
      <c r="I928" s="31"/>
      <c r="J928" s="102">
        <v>0</v>
      </c>
    </row>
    <row r="929" spans="1:10" ht="15.75" hidden="1" thickBot="1" x14ac:dyDescent="0.3">
      <c r="A929" s="218" t="s">
        <v>306</v>
      </c>
      <c r="B929" s="221" t="e">
        <f>INDEX(#REF!,MATCH(Composições!A929,#REF!,0),2)</f>
        <v>#REF!</v>
      </c>
      <c r="C929" s="41"/>
      <c r="D929" s="26" t="s">
        <v>93</v>
      </c>
      <c r="E929" s="27"/>
      <c r="F929" s="42" t="s">
        <v>522</v>
      </c>
      <c r="G929" s="28" t="str">
        <f t="shared" si="15"/>
        <v/>
      </c>
      <c r="H929" s="29"/>
      <c r="I929" s="30"/>
      <c r="J929" s="102">
        <v>0</v>
      </c>
    </row>
    <row r="930" spans="1:10" hidden="1" x14ac:dyDescent="0.25">
      <c r="A930" s="219"/>
      <c r="B930" s="237"/>
      <c r="C930" s="32"/>
      <c r="D930" s="32"/>
      <c r="E930" s="33"/>
      <c r="F930" s="43" t="s">
        <v>522</v>
      </c>
      <c r="G930" s="31" t="str">
        <f t="shared" si="15"/>
        <v/>
      </c>
      <c r="H930" s="35"/>
      <c r="I930" s="31"/>
      <c r="J930" s="102">
        <v>0</v>
      </c>
    </row>
    <row r="931" spans="1:10" hidden="1" x14ac:dyDescent="0.25">
      <c r="A931" s="219"/>
      <c r="B931" s="237"/>
      <c r="C931" s="36" t="s">
        <v>2378</v>
      </c>
      <c r="D931" s="47" t="s">
        <v>20</v>
      </c>
      <c r="E931" s="37">
        <v>1.2800000000000001E-2</v>
      </c>
      <c r="F931" s="34">
        <v>65.711500000000001</v>
      </c>
      <c r="G931" s="34">
        <f t="shared" si="15"/>
        <v>0.84110720000000005</v>
      </c>
      <c r="H931" s="39">
        <f>SUM(G931:G936)</f>
        <v>29.721478649999998</v>
      </c>
      <c r="I931" s="40"/>
      <c r="J931" s="102">
        <v>0</v>
      </c>
    </row>
    <row r="932" spans="1:10" ht="25.5" hidden="1" x14ac:dyDescent="0.25">
      <c r="A932" s="219"/>
      <c r="B932" s="237"/>
      <c r="C932" s="36" t="s">
        <v>2043</v>
      </c>
      <c r="D932" s="47" t="s">
        <v>93</v>
      </c>
      <c r="E932" s="37">
        <v>1.04</v>
      </c>
      <c r="F932" s="34">
        <v>18.715</v>
      </c>
      <c r="G932" s="34">
        <f t="shared" si="15"/>
        <v>19.4636</v>
      </c>
      <c r="H932" s="35"/>
      <c r="I932" s="31"/>
      <c r="J932" s="102">
        <v>0</v>
      </c>
    </row>
    <row r="933" spans="1:10" ht="25.5" hidden="1" x14ac:dyDescent="0.25">
      <c r="A933" s="219"/>
      <c r="B933" s="237"/>
      <c r="C933" s="36" t="s">
        <v>2379</v>
      </c>
      <c r="D933" s="47" t="s">
        <v>20</v>
      </c>
      <c r="E933" s="37">
        <v>1.9300000000000001E-2</v>
      </c>
      <c r="F933" s="34">
        <v>74.451499999999996</v>
      </c>
      <c r="G933" s="34">
        <f t="shared" si="15"/>
        <v>1.4369139500000001</v>
      </c>
      <c r="H933" s="35"/>
      <c r="I933" s="31"/>
      <c r="J933" s="102">
        <v>0</v>
      </c>
    </row>
    <row r="934" spans="1:10" hidden="1" x14ac:dyDescent="0.25">
      <c r="A934" s="219"/>
      <c r="B934" s="237"/>
      <c r="C934" s="36" t="s">
        <v>304</v>
      </c>
      <c r="D934" s="47" t="s">
        <v>20</v>
      </c>
      <c r="E934" s="37">
        <v>3.6999999999999998E-2</v>
      </c>
      <c r="F934" s="34">
        <v>2.4224999999999999</v>
      </c>
      <c r="G934" s="34">
        <f t="shared" si="15"/>
        <v>8.963249999999999E-2</v>
      </c>
      <c r="H934" s="35"/>
      <c r="I934" s="31"/>
      <c r="J934" s="102">
        <v>0</v>
      </c>
    </row>
    <row r="935" spans="1:10" ht="25.5" hidden="1" x14ac:dyDescent="0.25">
      <c r="A935" s="219"/>
      <c r="B935" s="237"/>
      <c r="C935" s="36" t="s">
        <v>107</v>
      </c>
      <c r="D935" s="47" t="s">
        <v>12</v>
      </c>
      <c r="E935" s="37">
        <v>0.21</v>
      </c>
      <c r="F935" s="31">
        <v>16.672499999999999</v>
      </c>
      <c r="G935" s="34">
        <f t="shared" si="15"/>
        <v>3.5012249999999998</v>
      </c>
      <c r="H935" s="35"/>
      <c r="I935" s="31"/>
      <c r="J935" s="102">
        <v>0</v>
      </c>
    </row>
    <row r="936" spans="1:10" hidden="1" x14ac:dyDescent="0.25">
      <c r="A936" s="219"/>
      <c r="B936" s="237"/>
      <c r="C936" s="36" t="s">
        <v>39</v>
      </c>
      <c r="D936" s="47" t="s">
        <v>12</v>
      </c>
      <c r="E936" s="37">
        <v>0.21</v>
      </c>
      <c r="F936" s="31">
        <v>20.9</v>
      </c>
      <c r="G936" s="34">
        <f t="shared" si="15"/>
        <v>4.3889999999999993</v>
      </c>
      <c r="H936" s="35"/>
      <c r="I936" s="31"/>
      <c r="J936" s="102">
        <v>0</v>
      </c>
    </row>
    <row r="937" spans="1:10" ht="15.75" hidden="1" thickBot="1" x14ac:dyDescent="0.3">
      <c r="A937" s="220"/>
      <c r="B937" s="223"/>
      <c r="C937" s="36"/>
      <c r="D937" s="36"/>
      <c r="E937" s="37"/>
      <c r="F937" s="31" t="s">
        <v>522</v>
      </c>
      <c r="G937" s="31" t="str">
        <f t="shared" si="15"/>
        <v/>
      </c>
      <c r="H937" s="35"/>
      <c r="I937" s="31"/>
      <c r="J937" s="102">
        <v>0</v>
      </c>
    </row>
    <row r="938" spans="1:10" ht="15.75" hidden="1" thickBot="1" x14ac:dyDescent="0.3">
      <c r="A938" s="218" t="s">
        <v>307</v>
      </c>
      <c r="B938" s="221" t="e">
        <f>INDEX(#REF!,MATCH(Composições!A938,#REF!,0),2)</f>
        <v>#REF!</v>
      </c>
      <c r="C938" s="41"/>
      <c r="D938" s="26" t="s">
        <v>93</v>
      </c>
      <c r="E938" s="27"/>
      <c r="F938" s="42" t="s">
        <v>522</v>
      </c>
      <c r="G938" s="28" t="str">
        <f t="shared" si="15"/>
        <v/>
      </c>
      <c r="H938" s="29"/>
      <c r="I938" s="30"/>
      <c r="J938" s="102">
        <v>0</v>
      </c>
    </row>
    <row r="939" spans="1:10" hidden="1" x14ac:dyDescent="0.25">
      <c r="A939" s="219"/>
      <c r="B939" s="237"/>
      <c r="C939" s="32"/>
      <c r="D939" s="32"/>
      <c r="E939" s="33"/>
      <c r="F939" s="43" t="s">
        <v>522</v>
      </c>
      <c r="G939" s="31" t="str">
        <f t="shared" si="15"/>
        <v/>
      </c>
      <c r="H939" s="35"/>
      <c r="I939" s="31"/>
      <c r="J939" s="102">
        <v>0</v>
      </c>
    </row>
    <row r="940" spans="1:10" hidden="1" x14ac:dyDescent="0.25">
      <c r="A940" s="219"/>
      <c r="B940" s="237"/>
      <c r="C940" s="36" t="s">
        <v>2378</v>
      </c>
      <c r="D940" s="47" t="s">
        <v>20</v>
      </c>
      <c r="E940" s="37">
        <v>2.93E-2</v>
      </c>
      <c r="F940" s="34">
        <v>65.711500000000001</v>
      </c>
      <c r="G940" s="34">
        <f t="shared" si="15"/>
        <v>1.92534695</v>
      </c>
      <c r="H940" s="39">
        <f>SUM(G940:G945)</f>
        <v>43.296953949999995</v>
      </c>
      <c r="I940" s="40"/>
      <c r="J940" s="102">
        <v>0</v>
      </c>
    </row>
    <row r="941" spans="1:10" ht="25.5" hidden="1" x14ac:dyDescent="0.25">
      <c r="A941" s="219"/>
      <c r="B941" s="237"/>
      <c r="C941" s="36" t="s">
        <v>2044</v>
      </c>
      <c r="D941" s="47" t="s">
        <v>93</v>
      </c>
      <c r="E941" s="37">
        <v>1.04</v>
      </c>
      <c r="F941" s="34">
        <v>24.529</v>
      </c>
      <c r="G941" s="34">
        <f t="shared" si="15"/>
        <v>25.510159999999999</v>
      </c>
      <c r="H941" s="45"/>
      <c r="I941" s="46"/>
      <c r="J941" s="102">
        <v>0</v>
      </c>
    </row>
    <row r="942" spans="1:10" ht="25.5" hidden="1" x14ac:dyDescent="0.25">
      <c r="A942" s="219"/>
      <c r="B942" s="237"/>
      <c r="C942" s="36" t="s">
        <v>2379</v>
      </c>
      <c r="D942" s="47" t="s">
        <v>20</v>
      </c>
      <c r="E942" s="37">
        <v>4.5499999999999999E-2</v>
      </c>
      <c r="F942" s="34">
        <v>74.451499999999996</v>
      </c>
      <c r="G942" s="34">
        <f t="shared" si="15"/>
        <v>3.3875432499999998</v>
      </c>
      <c r="H942" s="45"/>
      <c r="I942" s="46"/>
      <c r="J942" s="102">
        <v>0</v>
      </c>
    </row>
    <row r="943" spans="1:10" hidden="1" x14ac:dyDescent="0.25">
      <c r="A943" s="219"/>
      <c r="B943" s="237"/>
      <c r="C943" s="36" t="s">
        <v>304</v>
      </c>
      <c r="D943" s="47" t="s">
        <v>20</v>
      </c>
      <c r="E943" s="37">
        <v>0.1085</v>
      </c>
      <c r="F943" s="34">
        <v>2.4224999999999999</v>
      </c>
      <c r="G943" s="34">
        <f t="shared" si="15"/>
        <v>0.26284124999999997</v>
      </c>
      <c r="H943" s="45"/>
      <c r="I943" s="46"/>
      <c r="J943" s="102">
        <v>0</v>
      </c>
    </row>
    <row r="944" spans="1:10" ht="25.5" hidden="1" x14ac:dyDescent="0.25">
      <c r="A944" s="219"/>
      <c r="B944" s="237"/>
      <c r="C944" s="36" t="s">
        <v>107</v>
      </c>
      <c r="D944" s="47" t="s">
        <v>12</v>
      </c>
      <c r="E944" s="37">
        <v>0.32500000000000001</v>
      </c>
      <c r="F944" s="31">
        <v>16.672499999999999</v>
      </c>
      <c r="G944" s="34">
        <f t="shared" si="15"/>
        <v>5.4185625000000002</v>
      </c>
      <c r="H944" s="45"/>
      <c r="I944" s="46"/>
      <c r="J944" s="102">
        <v>0</v>
      </c>
    </row>
    <row r="945" spans="1:10" hidden="1" x14ac:dyDescent="0.25">
      <c r="A945" s="219"/>
      <c r="B945" s="237"/>
      <c r="C945" s="36" t="s">
        <v>39</v>
      </c>
      <c r="D945" s="47" t="s">
        <v>12</v>
      </c>
      <c r="E945" s="37">
        <v>0.32500000000000001</v>
      </c>
      <c r="F945" s="31">
        <v>20.9</v>
      </c>
      <c r="G945" s="34">
        <f t="shared" si="15"/>
        <v>6.7924999999999995</v>
      </c>
      <c r="H945" s="45"/>
      <c r="I945" s="46"/>
      <c r="J945" s="102">
        <v>0</v>
      </c>
    </row>
    <row r="946" spans="1:10" ht="15.75" hidden="1" thickBot="1" x14ac:dyDescent="0.3">
      <c r="A946" s="220"/>
      <c r="B946" s="223"/>
      <c r="C946" s="36"/>
      <c r="D946" s="36"/>
      <c r="E946" s="37"/>
      <c r="F946" s="31" t="s">
        <v>522</v>
      </c>
      <c r="G946" s="31" t="str">
        <f t="shared" si="15"/>
        <v/>
      </c>
      <c r="H946" s="35"/>
      <c r="I946" s="31"/>
      <c r="J946" s="102">
        <v>0</v>
      </c>
    </row>
    <row r="947" spans="1:10" ht="15.75" hidden="1" thickBot="1" x14ac:dyDescent="0.3">
      <c r="A947" s="218" t="s">
        <v>308</v>
      </c>
      <c r="B947" s="221" t="e">
        <f>INDEX(#REF!,MATCH(Composições!A947,#REF!,0),2)</f>
        <v>#REF!</v>
      </c>
      <c r="C947" s="41"/>
      <c r="D947" s="26" t="s">
        <v>93</v>
      </c>
      <c r="E947" s="27"/>
      <c r="F947" s="42" t="s">
        <v>522</v>
      </c>
      <c r="G947" s="28" t="str">
        <f t="shared" si="15"/>
        <v/>
      </c>
      <c r="H947" s="29"/>
      <c r="I947" s="30"/>
      <c r="J947" s="102">
        <v>0</v>
      </c>
    </row>
    <row r="948" spans="1:10" hidden="1" x14ac:dyDescent="0.25">
      <c r="A948" s="219"/>
      <c r="B948" s="237"/>
      <c r="C948" s="32"/>
      <c r="D948" s="32"/>
      <c r="E948" s="33"/>
      <c r="F948" s="43" t="s">
        <v>522</v>
      </c>
      <c r="G948" s="31" t="str">
        <f t="shared" si="15"/>
        <v/>
      </c>
      <c r="H948" s="35"/>
      <c r="I948" s="31"/>
      <c r="J948" s="102">
        <v>0</v>
      </c>
    </row>
    <row r="949" spans="1:10" hidden="1" x14ac:dyDescent="0.25">
      <c r="A949" s="219"/>
      <c r="B949" s="237"/>
      <c r="C949" s="36" t="s">
        <v>309</v>
      </c>
      <c r="D949" s="47" t="s">
        <v>93</v>
      </c>
      <c r="E949" s="37">
        <v>1.0609999999999999</v>
      </c>
      <c r="F949" s="34">
        <v>4.4554999999999998</v>
      </c>
      <c r="G949" s="34">
        <f t="shared" si="15"/>
        <v>4.7272854999999998</v>
      </c>
      <c r="H949" s="39">
        <f>SUM(G949:G951)</f>
        <v>5.3284454999999991</v>
      </c>
      <c r="I949" s="40"/>
      <c r="J949" s="102">
        <v>0</v>
      </c>
    </row>
    <row r="950" spans="1:10" ht="25.5" hidden="1" x14ac:dyDescent="0.25">
      <c r="A950" s="219"/>
      <c r="B950" s="237"/>
      <c r="C950" s="36" t="s">
        <v>107</v>
      </c>
      <c r="D950" s="36" t="s">
        <v>12</v>
      </c>
      <c r="E950" s="37">
        <v>1.6E-2</v>
      </c>
      <c r="F950" s="31">
        <v>16.672499999999999</v>
      </c>
      <c r="G950" s="34">
        <f t="shared" si="15"/>
        <v>0.26676</v>
      </c>
      <c r="H950" s="35"/>
      <c r="I950" s="31"/>
      <c r="J950" s="102">
        <v>0</v>
      </c>
    </row>
    <row r="951" spans="1:10" hidden="1" x14ac:dyDescent="0.25">
      <c r="A951" s="219"/>
      <c r="B951" s="237"/>
      <c r="C951" s="36" t="s">
        <v>39</v>
      </c>
      <c r="D951" s="47" t="s">
        <v>12</v>
      </c>
      <c r="E951" s="37">
        <v>1.6E-2</v>
      </c>
      <c r="F951" s="31">
        <v>20.9</v>
      </c>
      <c r="G951" s="34">
        <f t="shared" si="15"/>
        <v>0.33439999999999998</v>
      </c>
      <c r="H951" s="35"/>
      <c r="I951" s="31"/>
      <c r="J951" s="102">
        <v>0</v>
      </c>
    </row>
    <row r="952" spans="1:10" ht="15.75" hidden="1" thickBot="1" x14ac:dyDescent="0.3">
      <c r="A952" s="220"/>
      <c r="B952" s="223"/>
      <c r="C952" s="36"/>
      <c r="D952" s="36"/>
      <c r="E952" s="37"/>
      <c r="F952" s="31" t="s">
        <v>522</v>
      </c>
      <c r="G952" s="31" t="str">
        <f t="shared" si="15"/>
        <v/>
      </c>
      <c r="H952" s="35"/>
      <c r="I952" s="31"/>
      <c r="J952" s="102">
        <v>0</v>
      </c>
    </row>
    <row r="953" spans="1:10" ht="15.75" hidden="1" thickBot="1" x14ac:dyDescent="0.3">
      <c r="A953" s="218" t="s">
        <v>310</v>
      </c>
      <c r="B953" s="221" t="e">
        <f>INDEX(#REF!,MATCH(Composições!A953,#REF!,0),2)</f>
        <v>#REF!</v>
      </c>
      <c r="C953" s="41"/>
      <c r="D953" s="26" t="s">
        <v>93</v>
      </c>
      <c r="E953" s="27"/>
      <c r="F953" s="42" t="s">
        <v>522</v>
      </c>
      <c r="G953" s="28" t="str">
        <f t="shared" si="15"/>
        <v/>
      </c>
      <c r="H953" s="29"/>
      <c r="I953" s="30"/>
      <c r="J953" s="102">
        <v>0</v>
      </c>
    </row>
    <row r="954" spans="1:10" hidden="1" x14ac:dyDescent="0.25">
      <c r="A954" s="219"/>
      <c r="B954" s="237"/>
      <c r="C954" s="32"/>
      <c r="D954" s="32"/>
      <c r="E954" s="33"/>
      <c r="F954" s="43" t="s">
        <v>522</v>
      </c>
      <c r="G954" s="31" t="str">
        <f t="shared" si="15"/>
        <v/>
      </c>
      <c r="H954" s="35"/>
      <c r="I954" s="31"/>
      <c r="J954" s="102">
        <v>0</v>
      </c>
    </row>
    <row r="955" spans="1:10" hidden="1" x14ac:dyDescent="0.25">
      <c r="A955" s="219"/>
      <c r="B955" s="237"/>
      <c r="C955" s="36" t="s">
        <v>311</v>
      </c>
      <c r="D955" s="47" t="s">
        <v>93</v>
      </c>
      <c r="E955" s="37">
        <v>1.0609999999999999</v>
      </c>
      <c r="F955" s="34">
        <v>10.003499999999999</v>
      </c>
      <c r="G955" s="34">
        <f t="shared" si="15"/>
        <v>10.613713499999998</v>
      </c>
      <c r="H955" s="39">
        <f>SUM(G955:G957)</f>
        <v>11.365163499999996</v>
      </c>
      <c r="I955" s="40"/>
      <c r="J955" s="102">
        <v>0</v>
      </c>
    </row>
    <row r="956" spans="1:10" ht="25.5" hidden="1" x14ac:dyDescent="0.25">
      <c r="A956" s="219"/>
      <c r="B956" s="237"/>
      <c r="C956" s="36" t="s">
        <v>107</v>
      </c>
      <c r="D956" s="36" t="s">
        <v>12</v>
      </c>
      <c r="E956" s="37">
        <v>0.02</v>
      </c>
      <c r="F956" s="31">
        <v>16.672499999999999</v>
      </c>
      <c r="G956" s="34">
        <f t="shared" si="15"/>
        <v>0.33344999999999997</v>
      </c>
      <c r="H956" s="35"/>
      <c r="I956" s="31"/>
      <c r="J956" s="102">
        <v>0</v>
      </c>
    </row>
    <row r="957" spans="1:10" hidden="1" x14ac:dyDescent="0.25">
      <c r="A957" s="219"/>
      <c r="B957" s="237"/>
      <c r="C957" s="36" t="s">
        <v>39</v>
      </c>
      <c r="D957" s="47" t="s">
        <v>12</v>
      </c>
      <c r="E957" s="37">
        <v>0.02</v>
      </c>
      <c r="F957" s="31">
        <v>20.9</v>
      </c>
      <c r="G957" s="34">
        <f t="shared" si="15"/>
        <v>0.41799999999999998</v>
      </c>
      <c r="H957" s="35"/>
      <c r="I957" s="31"/>
      <c r="J957" s="102">
        <v>0</v>
      </c>
    </row>
    <row r="958" spans="1:10" ht="15.75" hidden="1" thickBot="1" x14ac:dyDescent="0.3">
      <c r="A958" s="220"/>
      <c r="B958" s="223"/>
      <c r="C958" s="36"/>
      <c r="D958" s="36"/>
      <c r="E958" s="37"/>
      <c r="F958" s="31" t="s">
        <v>522</v>
      </c>
      <c r="G958" s="31" t="str">
        <f t="shared" si="15"/>
        <v/>
      </c>
      <c r="H958" s="35"/>
      <c r="I958" s="31"/>
      <c r="J958" s="102">
        <v>0</v>
      </c>
    </row>
    <row r="959" spans="1:10" ht="15.75" hidden="1" thickBot="1" x14ac:dyDescent="0.3">
      <c r="A959" s="218" t="s">
        <v>312</v>
      </c>
      <c r="B959" s="221" t="e">
        <f>INDEX(#REF!,MATCH(Composições!A959,#REF!,0),2)</f>
        <v>#REF!</v>
      </c>
      <c r="C959" s="41"/>
      <c r="D959" s="26" t="s">
        <v>93</v>
      </c>
      <c r="E959" s="27"/>
      <c r="F959" s="42" t="s">
        <v>522</v>
      </c>
      <c r="G959" s="28" t="str">
        <f t="shared" si="15"/>
        <v/>
      </c>
      <c r="H959" s="29"/>
      <c r="I959" s="30"/>
      <c r="J959" s="102">
        <v>0</v>
      </c>
    </row>
    <row r="960" spans="1:10" hidden="1" x14ac:dyDescent="0.25">
      <c r="A960" s="219"/>
      <c r="B960" s="237"/>
      <c r="C960" s="32"/>
      <c r="D960" s="32"/>
      <c r="E960" s="33"/>
      <c r="F960" s="43" t="s">
        <v>522</v>
      </c>
      <c r="G960" s="31" t="str">
        <f t="shared" si="15"/>
        <v/>
      </c>
      <c r="H960" s="35"/>
      <c r="I960" s="31"/>
      <c r="J960" s="102">
        <v>0</v>
      </c>
    </row>
    <row r="961" spans="1:10" hidden="1" x14ac:dyDescent="0.25">
      <c r="A961" s="219"/>
      <c r="B961" s="237"/>
      <c r="C961" s="36" t="s">
        <v>313</v>
      </c>
      <c r="D961" s="47" t="s">
        <v>93</v>
      </c>
      <c r="E961" s="37">
        <v>1.0609999999999999</v>
      </c>
      <c r="F961" s="34">
        <v>14.563499999999999</v>
      </c>
      <c r="G961" s="34">
        <f t="shared" si="15"/>
        <v>15.451873499999998</v>
      </c>
      <c r="H961" s="39">
        <f>SUM(G961:G964)</f>
        <v>16.3729935</v>
      </c>
      <c r="I961" s="40"/>
      <c r="J961" s="102">
        <v>0</v>
      </c>
    </row>
    <row r="962" spans="1:10" hidden="1" x14ac:dyDescent="0.25">
      <c r="A962" s="219"/>
      <c r="B962" s="237"/>
      <c r="C962" s="36" t="s">
        <v>304</v>
      </c>
      <c r="D962" s="47" t="s">
        <v>20</v>
      </c>
      <c r="E962" s="37">
        <v>8.0000000000000002E-3</v>
      </c>
      <c r="F962" s="34">
        <v>2.4224999999999999</v>
      </c>
      <c r="G962" s="34">
        <f t="shared" si="15"/>
        <v>1.9379999999999998E-2</v>
      </c>
      <c r="H962" s="35"/>
      <c r="I962" s="31"/>
      <c r="J962" s="102">
        <v>0</v>
      </c>
    </row>
    <row r="963" spans="1:10" ht="25.5" hidden="1" x14ac:dyDescent="0.25">
      <c r="A963" s="219"/>
      <c r="B963" s="237"/>
      <c r="C963" s="36" t="s">
        <v>107</v>
      </c>
      <c r="D963" s="36" t="s">
        <v>12</v>
      </c>
      <c r="E963" s="37">
        <v>2.4E-2</v>
      </c>
      <c r="F963" s="31">
        <v>16.672499999999999</v>
      </c>
      <c r="G963" s="34">
        <f t="shared" si="15"/>
        <v>0.40014</v>
      </c>
      <c r="H963" s="35"/>
      <c r="I963" s="31"/>
      <c r="J963" s="102">
        <v>0</v>
      </c>
    </row>
    <row r="964" spans="1:10" hidden="1" x14ac:dyDescent="0.25">
      <c r="A964" s="219"/>
      <c r="B964" s="237"/>
      <c r="C964" s="36" t="s">
        <v>39</v>
      </c>
      <c r="D964" s="47" t="s">
        <v>12</v>
      </c>
      <c r="E964" s="37">
        <v>2.4E-2</v>
      </c>
      <c r="F964" s="31">
        <v>20.9</v>
      </c>
      <c r="G964" s="34">
        <f t="shared" si="15"/>
        <v>0.50159999999999993</v>
      </c>
      <c r="H964" s="35"/>
      <c r="I964" s="31"/>
      <c r="J964" s="102">
        <v>0</v>
      </c>
    </row>
    <row r="965" spans="1:10" ht="15.75" hidden="1" thickBot="1" x14ac:dyDescent="0.3">
      <c r="A965" s="220"/>
      <c r="B965" s="223"/>
      <c r="C965" s="36"/>
      <c r="D965" s="36"/>
      <c r="E965" s="37"/>
      <c r="F965" s="31" t="s">
        <v>522</v>
      </c>
      <c r="G965" s="31" t="str">
        <f t="shared" si="15"/>
        <v/>
      </c>
      <c r="H965" s="35"/>
      <c r="I965" s="31"/>
      <c r="J965" s="102">
        <v>0</v>
      </c>
    </row>
    <row r="966" spans="1:10" ht="15.75" hidden="1" thickBot="1" x14ac:dyDescent="0.3">
      <c r="A966" s="218" t="s">
        <v>314</v>
      </c>
      <c r="B966" s="221" t="e">
        <f>INDEX(#REF!,MATCH(Composições!A966,#REF!,0),2)</f>
        <v>#REF!</v>
      </c>
      <c r="C966" s="41"/>
      <c r="D966" s="26" t="s">
        <v>93</v>
      </c>
      <c r="E966" s="27"/>
      <c r="F966" s="42" t="s">
        <v>522</v>
      </c>
      <c r="G966" s="28" t="str">
        <f t="shared" si="15"/>
        <v/>
      </c>
      <c r="H966" s="29"/>
      <c r="I966" s="30"/>
      <c r="J966" s="102">
        <v>0</v>
      </c>
    </row>
    <row r="967" spans="1:10" hidden="1" x14ac:dyDescent="0.25">
      <c r="A967" s="219"/>
      <c r="B967" s="237"/>
      <c r="C967" s="32"/>
      <c r="D967" s="32"/>
      <c r="E967" s="33"/>
      <c r="F967" s="43" t="s">
        <v>522</v>
      </c>
      <c r="G967" s="31" t="str">
        <f t="shared" si="15"/>
        <v/>
      </c>
      <c r="H967" s="35"/>
      <c r="I967" s="31"/>
      <c r="J967" s="102">
        <v>0</v>
      </c>
    </row>
    <row r="968" spans="1:10" hidden="1" x14ac:dyDescent="0.25">
      <c r="A968" s="219"/>
      <c r="B968" s="237"/>
      <c r="C968" s="36" t="s">
        <v>315</v>
      </c>
      <c r="D968" s="47" t="s">
        <v>93</v>
      </c>
      <c r="E968" s="37">
        <v>1.0609999999999999</v>
      </c>
      <c r="F968" s="34">
        <v>16.681999999999999</v>
      </c>
      <c r="G968" s="34">
        <f t="shared" si="15"/>
        <v>17.699601999999999</v>
      </c>
      <c r="H968" s="39">
        <f>SUM(G968:G971)</f>
        <v>18.813429500000002</v>
      </c>
      <c r="I968" s="40"/>
      <c r="J968" s="102">
        <v>0</v>
      </c>
    </row>
    <row r="969" spans="1:10" hidden="1" x14ac:dyDescent="0.25">
      <c r="A969" s="219"/>
      <c r="B969" s="237"/>
      <c r="C969" s="36" t="s">
        <v>304</v>
      </c>
      <c r="D969" s="47" t="s">
        <v>20</v>
      </c>
      <c r="E969" s="37">
        <v>0.01</v>
      </c>
      <c r="F969" s="34">
        <v>2.4224999999999999</v>
      </c>
      <c r="G969" s="34">
        <f t="shared" si="15"/>
        <v>2.4225E-2</v>
      </c>
      <c r="H969" s="35"/>
      <c r="I969" s="31"/>
      <c r="J969" s="102">
        <v>0</v>
      </c>
    </row>
    <row r="970" spans="1:10" ht="25.5" hidden="1" x14ac:dyDescent="0.25">
      <c r="A970" s="219"/>
      <c r="B970" s="237"/>
      <c r="C970" s="36" t="s">
        <v>107</v>
      </c>
      <c r="D970" s="36" t="s">
        <v>12</v>
      </c>
      <c r="E970" s="37">
        <v>2.9000000000000001E-2</v>
      </c>
      <c r="F970" s="31">
        <v>16.672499999999999</v>
      </c>
      <c r="G970" s="34">
        <f t="shared" si="15"/>
        <v>0.4835025</v>
      </c>
      <c r="H970" s="35"/>
      <c r="I970" s="31"/>
      <c r="J970" s="102">
        <v>0</v>
      </c>
    </row>
    <row r="971" spans="1:10" hidden="1" x14ac:dyDescent="0.25">
      <c r="A971" s="219"/>
      <c r="B971" s="237"/>
      <c r="C971" s="36" t="s">
        <v>39</v>
      </c>
      <c r="D971" s="47" t="s">
        <v>12</v>
      </c>
      <c r="E971" s="37">
        <v>2.9000000000000001E-2</v>
      </c>
      <c r="F971" s="31">
        <v>20.9</v>
      </c>
      <c r="G971" s="34">
        <f t="shared" si="15"/>
        <v>0.60609999999999997</v>
      </c>
      <c r="H971" s="35"/>
      <c r="I971" s="31"/>
      <c r="J971" s="102">
        <v>0</v>
      </c>
    </row>
    <row r="972" spans="1:10" ht="15.75" hidden="1" thickBot="1" x14ac:dyDescent="0.3">
      <c r="A972" s="220"/>
      <c r="B972" s="223"/>
      <c r="C972" s="36"/>
      <c r="D972" s="36"/>
      <c r="E972" s="37"/>
      <c r="F972" s="31" t="s">
        <v>522</v>
      </c>
      <c r="G972" s="31" t="str">
        <f t="shared" si="15"/>
        <v/>
      </c>
      <c r="H972" s="35"/>
      <c r="I972" s="31"/>
      <c r="J972" s="102">
        <v>0</v>
      </c>
    </row>
    <row r="973" spans="1:10" ht="15.75" hidden="1" thickBot="1" x14ac:dyDescent="0.3">
      <c r="A973" s="218" t="s">
        <v>316</v>
      </c>
      <c r="B973" s="221" t="e">
        <f>INDEX(#REF!,MATCH(Composições!A973,#REF!,0),2)</f>
        <v>#REF!</v>
      </c>
      <c r="C973" s="41"/>
      <c r="D973" s="26" t="s">
        <v>20</v>
      </c>
      <c r="E973" s="27"/>
      <c r="F973" s="42" t="s">
        <v>522</v>
      </c>
      <c r="G973" s="28" t="str">
        <f t="shared" si="15"/>
        <v/>
      </c>
      <c r="H973" s="29"/>
      <c r="I973" s="30"/>
      <c r="J973" s="102">
        <v>0</v>
      </c>
    </row>
    <row r="974" spans="1:10" hidden="1" x14ac:dyDescent="0.25">
      <c r="A974" s="219"/>
      <c r="B974" s="237"/>
      <c r="C974" s="32"/>
      <c r="D974" s="32"/>
      <c r="E974" s="33"/>
      <c r="F974" s="43" t="s">
        <v>522</v>
      </c>
      <c r="G974" s="31" t="str">
        <f t="shared" si="15"/>
        <v/>
      </c>
      <c r="H974" s="35"/>
      <c r="I974" s="31"/>
      <c r="J974" s="102">
        <v>0</v>
      </c>
    </row>
    <row r="975" spans="1:10" ht="25.5" hidden="1" x14ac:dyDescent="0.25">
      <c r="A975" s="219"/>
      <c r="B975" s="237"/>
      <c r="C975" s="36" t="s">
        <v>317</v>
      </c>
      <c r="D975" s="47" t="s">
        <v>144</v>
      </c>
      <c r="E975" s="37">
        <v>1</v>
      </c>
      <c r="F975" s="34" t="s">
        <v>522</v>
      </c>
      <c r="G975" s="34" t="str">
        <f t="shared" si="15"/>
        <v/>
      </c>
      <c r="H975" s="39">
        <f>SUM(G975:G978)</f>
        <v>8.4487945999999994</v>
      </c>
      <c r="I975" s="40"/>
      <c r="J975" s="102">
        <v>0</v>
      </c>
    </row>
    <row r="976" spans="1:10" hidden="1" x14ac:dyDescent="0.25">
      <c r="A976" s="219"/>
      <c r="B976" s="237"/>
      <c r="C976" s="36" t="s">
        <v>318</v>
      </c>
      <c r="D976" s="47" t="s">
        <v>279</v>
      </c>
      <c r="E976" s="37">
        <v>1.06E-2</v>
      </c>
      <c r="F976" s="34">
        <v>12.995999999999999</v>
      </c>
      <c r="G976" s="34">
        <f t="shared" si="15"/>
        <v>0.13775759999999998</v>
      </c>
      <c r="H976" s="35"/>
      <c r="I976" s="31"/>
      <c r="J976" s="102">
        <v>0</v>
      </c>
    </row>
    <row r="977" spans="1:10" hidden="1" x14ac:dyDescent="0.25">
      <c r="A977" s="219"/>
      <c r="B977" s="237"/>
      <c r="C977" s="36" t="s">
        <v>39</v>
      </c>
      <c r="D977" s="47" t="s">
        <v>12</v>
      </c>
      <c r="E977" s="37">
        <v>0.22120000000000001</v>
      </c>
      <c r="F977" s="31">
        <v>20.9</v>
      </c>
      <c r="G977" s="34">
        <f t="shared" si="15"/>
        <v>4.6230799999999999</v>
      </c>
      <c r="H977" s="35"/>
      <c r="I977" s="31"/>
      <c r="J977" s="102">
        <v>0</v>
      </c>
    </row>
    <row r="978" spans="1:10" ht="25.5" hidden="1" x14ac:dyDescent="0.25">
      <c r="A978" s="219"/>
      <c r="B978" s="237"/>
      <c r="C978" s="36" t="s">
        <v>107</v>
      </c>
      <c r="D978" s="47" t="s">
        <v>12</v>
      </c>
      <c r="E978" s="37">
        <v>0.22120000000000001</v>
      </c>
      <c r="F978" s="31">
        <v>16.672499999999999</v>
      </c>
      <c r="G978" s="34">
        <f t="shared" ref="G978:G1041" si="16">IF(ISNUMBER(F978),E978*F978,"")</f>
        <v>3.6879569999999999</v>
      </c>
      <c r="H978" s="35"/>
      <c r="I978" s="31"/>
      <c r="J978" s="102">
        <v>0</v>
      </c>
    </row>
    <row r="979" spans="1:10" ht="15.75" hidden="1" thickBot="1" x14ac:dyDescent="0.3">
      <c r="A979" s="220"/>
      <c r="B979" s="223"/>
      <c r="C979" s="36"/>
      <c r="D979" s="36"/>
      <c r="E979" s="37"/>
      <c r="F979" s="31" t="s">
        <v>522</v>
      </c>
      <c r="G979" s="31" t="str">
        <f t="shared" si="16"/>
        <v/>
      </c>
      <c r="H979" s="35"/>
      <c r="I979" s="31"/>
      <c r="J979" s="102">
        <v>0</v>
      </c>
    </row>
    <row r="980" spans="1:10" ht="15.75" hidden="1" thickBot="1" x14ac:dyDescent="0.3">
      <c r="A980" s="218" t="s">
        <v>319</v>
      </c>
      <c r="B980" s="221" t="e">
        <f>INDEX(#REF!,MATCH(Composições!A980,#REF!,0),2)</f>
        <v>#REF!</v>
      </c>
      <c r="C980" s="41"/>
      <c r="D980" s="26" t="s">
        <v>20</v>
      </c>
      <c r="E980" s="27"/>
      <c r="F980" s="42" t="s">
        <v>522</v>
      </c>
      <c r="G980" s="28" t="str">
        <f t="shared" si="16"/>
        <v/>
      </c>
      <c r="H980" s="29"/>
      <c r="I980" s="30"/>
      <c r="J980" s="102">
        <v>0</v>
      </c>
    </row>
    <row r="981" spans="1:10" hidden="1" x14ac:dyDescent="0.25">
      <c r="A981" s="219"/>
      <c r="B981" s="237"/>
      <c r="C981" s="32"/>
      <c r="D981" s="32"/>
      <c r="E981" s="33"/>
      <c r="F981" s="43" t="s">
        <v>522</v>
      </c>
      <c r="G981" s="31" t="str">
        <f t="shared" si="16"/>
        <v/>
      </c>
      <c r="H981" s="35"/>
      <c r="I981" s="31"/>
      <c r="J981" s="102">
        <v>0</v>
      </c>
    </row>
    <row r="982" spans="1:10" ht="25.5" hidden="1" x14ac:dyDescent="0.25">
      <c r="A982" s="219"/>
      <c r="B982" s="237"/>
      <c r="C982" s="36" t="s">
        <v>107</v>
      </c>
      <c r="D982" s="47" t="s">
        <v>12</v>
      </c>
      <c r="E982" s="37">
        <v>0.38</v>
      </c>
      <c r="F982" s="31">
        <v>16.672499999999999</v>
      </c>
      <c r="G982" s="34">
        <f t="shared" si="16"/>
        <v>6.3355499999999996</v>
      </c>
      <c r="H982" s="39">
        <f>SUM(G982:G989)</f>
        <v>85.231996449999983</v>
      </c>
      <c r="I982" s="40"/>
      <c r="J982" s="102">
        <v>0</v>
      </c>
    </row>
    <row r="983" spans="1:10" hidden="1" x14ac:dyDescent="0.25">
      <c r="A983" s="219"/>
      <c r="B983" s="237"/>
      <c r="C983" s="36" t="s">
        <v>39</v>
      </c>
      <c r="D983" s="47" t="s">
        <v>12</v>
      </c>
      <c r="E983" s="37">
        <v>0.38</v>
      </c>
      <c r="F983" s="31">
        <v>20.9</v>
      </c>
      <c r="G983" s="34">
        <f t="shared" si="16"/>
        <v>7.9419999999999993</v>
      </c>
      <c r="H983" s="35"/>
      <c r="I983" s="31"/>
      <c r="J983" s="102">
        <v>0</v>
      </c>
    </row>
    <row r="984" spans="1:10" hidden="1" x14ac:dyDescent="0.25">
      <c r="A984" s="219"/>
      <c r="B984" s="237"/>
      <c r="C984" s="36" t="s">
        <v>2378</v>
      </c>
      <c r="D984" s="47" t="s">
        <v>20</v>
      </c>
      <c r="E984" s="37">
        <v>1.4800000000000001E-2</v>
      </c>
      <c r="F984" s="34">
        <v>65.711500000000001</v>
      </c>
      <c r="G984" s="34">
        <f t="shared" si="16"/>
        <v>0.97253020000000001</v>
      </c>
      <c r="H984" s="35"/>
      <c r="I984" s="31"/>
      <c r="J984" s="102">
        <v>0</v>
      </c>
    </row>
    <row r="985" spans="1:10" ht="25.5" hidden="1" x14ac:dyDescent="0.25">
      <c r="A985" s="219"/>
      <c r="B985" s="237"/>
      <c r="C985" s="36" t="s">
        <v>2499</v>
      </c>
      <c r="D985" s="47" t="s">
        <v>20</v>
      </c>
      <c r="E985" s="37">
        <v>1</v>
      </c>
      <c r="F985" s="34">
        <v>2.7645</v>
      </c>
      <c r="G985" s="34">
        <f t="shared" si="16"/>
        <v>2.7645</v>
      </c>
      <c r="H985" s="35"/>
      <c r="I985" s="31"/>
      <c r="J985" s="102">
        <v>0</v>
      </c>
    </row>
    <row r="986" spans="1:10" hidden="1" x14ac:dyDescent="0.25">
      <c r="A986" s="219"/>
      <c r="B986" s="237"/>
      <c r="C986" s="36" t="s">
        <v>304</v>
      </c>
      <c r="D986" s="47" t="s">
        <v>20</v>
      </c>
      <c r="E986" s="37">
        <v>5.7000000000000002E-2</v>
      </c>
      <c r="F986" s="34">
        <v>2.4224999999999999</v>
      </c>
      <c r="G986" s="34">
        <f t="shared" si="16"/>
        <v>0.1380825</v>
      </c>
      <c r="H986" s="35"/>
      <c r="I986" s="31"/>
      <c r="J986" s="102">
        <v>0</v>
      </c>
    </row>
    <row r="987" spans="1:10" ht="25.5" hidden="1" x14ac:dyDescent="0.25">
      <c r="A987" s="219"/>
      <c r="B987" s="237"/>
      <c r="C987" s="36" t="s">
        <v>2380</v>
      </c>
      <c r="D987" s="47" t="s">
        <v>20</v>
      </c>
      <c r="E987" s="37">
        <v>1</v>
      </c>
      <c r="F987" s="34">
        <v>64.590499999999992</v>
      </c>
      <c r="G987" s="34">
        <f t="shared" si="16"/>
        <v>64.590499999999992</v>
      </c>
      <c r="H987" s="35"/>
      <c r="I987" s="31"/>
      <c r="J987" s="102">
        <v>0</v>
      </c>
    </row>
    <row r="988" spans="1:10" ht="38.25" hidden="1" x14ac:dyDescent="0.25">
      <c r="A988" s="219"/>
      <c r="B988" s="237"/>
      <c r="C988" s="36" t="s">
        <v>2381</v>
      </c>
      <c r="D988" s="47" t="s">
        <v>20</v>
      </c>
      <c r="E988" s="37">
        <v>0.03</v>
      </c>
      <c r="F988" s="34">
        <v>27.122499999999999</v>
      </c>
      <c r="G988" s="34">
        <f t="shared" si="16"/>
        <v>0.81367499999999993</v>
      </c>
      <c r="H988" s="35"/>
      <c r="I988" s="31"/>
      <c r="J988" s="102">
        <v>0</v>
      </c>
    </row>
    <row r="989" spans="1:10" ht="25.5" hidden="1" x14ac:dyDescent="0.25">
      <c r="A989" s="219"/>
      <c r="B989" s="237"/>
      <c r="C989" s="36" t="s">
        <v>2379</v>
      </c>
      <c r="D989" s="47" t="s">
        <v>20</v>
      </c>
      <c r="E989" s="37">
        <v>2.2499999999999999E-2</v>
      </c>
      <c r="F989" s="34">
        <v>74.451499999999996</v>
      </c>
      <c r="G989" s="34">
        <f t="shared" si="16"/>
        <v>1.6751587499999998</v>
      </c>
      <c r="H989" s="35"/>
      <c r="I989" s="31"/>
      <c r="J989" s="102">
        <v>0</v>
      </c>
    </row>
    <row r="990" spans="1:10" ht="15.75" hidden="1" thickBot="1" x14ac:dyDescent="0.3">
      <c r="A990" s="220"/>
      <c r="B990" s="223"/>
      <c r="C990" s="36"/>
      <c r="D990" s="36"/>
      <c r="E990" s="37"/>
      <c r="F990" s="31" t="s">
        <v>522</v>
      </c>
      <c r="G990" s="31" t="str">
        <f t="shared" si="16"/>
        <v/>
      </c>
      <c r="H990" s="35"/>
      <c r="I990" s="31"/>
      <c r="J990" s="102">
        <v>0</v>
      </c>
    </row>
    <row r="991" spans="1:10" ht="15.75" hidden="1" thickBot="1" x14ac:dyDescent="0.3">
      <c r="A991" s="218" t="s">
        <v>320</v>
      </c>
      <c r="B991" s="221" t="e">
        <f>INDEX(#REF!,MATCH(Composições!A991,#REF!,0),2)</f>
        <v>#REF!</v>
      </c>
      <c r="C991" s="41"/>
      <c r="D991" s="26" t="s">
        <v>20</v>
      </c>
      <c r="E991" s="27"/>
      <c r="F991" s="42" t="s">
        <v>522</v>
      </c>
      <c r="G991" s="28" t="str">
        <f t="shared" si="16"/>
        <v/>
      </c>
      <c r="H991" s="29"/>
      <c r="I991" s="30"/>
      <c r="J991" s="102">
        <v>0</v>
      </c>
    </row>
    <row r="992" spans="1:10" hidden="1" x14ac:dyDescent="0.25">
      <c r="A992" s="219"/>
      <c r="B992" s="237"/>
      <c r="C992" s="32"/>
      <c r="D992" s="32"/>
      <c r="E992" s="33"/>
      <c r="F992" s="43" t="s">
        <v>522</v>
      </c>
      <c r="G992" s="31" t="str">
        <f t="shared" si="16"/>
        <v/>
      </c>
      <c r="H992" s="35"/>
      <c r="I992" s="31"/>
      <c r="J992" s="102">
        <v>0</v>
      </c>
    </row>
    <row r="993" spans="1:10" ht="25.5" hidden="1" x14ac:dyDescent="0.25">
      <c r="A993" s="219"/>
      <c r="B993" s="237"/>
      <c r="C993" s="36" t="s">
        <v>107</v>
      </c>
      <c r="D993" s="47" t="s">
        <v>12</v>
      </c>
      <c r="E993" s="37">
        <v>0.38</v>
      </c>
      <c r="F993" s="31">
        <v>16.672499999999999</v>
      </c>
      <c r="G993" s="31">
        <f t="shared" si="16"/>
        <v>6.3355499999999996</v>
      </c>
      <c r="H993" s="39">
        <f>SUM(G993:G1000)</f>
        <v>115.46099644999998</v>
      </c>
      <c r="I993" s="40"/>
      <c r="J993" s="102">
        <v>0</v>
      </c>
    </row>
    <row r="994" spans="1:10" hidden="1" x14ac:dyDescent="0.25">
      <c r="A994" s="219"/>
      <c r="B994" s="237"/>
      <c r="C994" s="36" t="s">
        <v>39</v>
      </c>
      <c r="D994" s="47" t="s">
        <v>12</v>
      </c>
      <c r="E994" s="37">
        <v>0.38</v>
      </c>
      <c r="F994" s="31">
        <v>20.9</v>
      </c>
      <c r="G994" s="31">
        <f t="shared" si="16"/>
        <v>7.9419999999999993</v>
      </c>
      <c r="H994" s="35"/>
      <c r="I994" s="31"/>
      <c r="J994" s="102">
        <v>0</v>
      </c>
    </row>
    <row r="995" spans="1:10" hidden="1" x14ac:dyDescent="0.25">
      <c r="A995" s="219"/>
      <c r="B995" s="237"/>
      <c r="C995" s="36" t="s">
        <v>2378</v>
      </c>
      <c r="D995" s="47" t="s">
        <v>20</v>
      </c>
      <c r="E995" s="37">
        <v>1.4800000000000001E-2</v>
      </c>
      <c r="F995" s="34">
        <v>65.711500000000001</v>
      </c>
      <c r="G995" s="31">
        <f t="shared" si="16"/>
        <v>0.97253020000000001</v>
      </c>
      <c r="H995" s="35"/>
      <c r="I995" s="31"/>
      <c r="J995" s="102">
        <v>0</v>
      </c>
    </row>
    <row r="996" spans="1:10" ht="25.5" hidden="1" x14ac:dyDescent="0.25">
      <c r="A996" s="219"/>
      <c r="B996" s="237"/>
      <c r="C996" s="36" t="s">
        <v>2499</v>
      </c>
      <c r="D996" s="47" t="s">
        <v>20</v>
      </c>
      <c r="E996" s="37">
        <v>1</v>
      </c>
      <c r="F996" s="34">
        <v>2.7645</v>
      </c>
      <c r="G996" s="31">
        <f t="shared" si="16"/>
        <v>2.7645</v>
      </c>
      <c r="H996" s="35"/>
      <c r="I996" s="31"/>
      <c r="J996" s="102">
        <v>0</v>
      </c>
    </row>
    <row r="997" spans="1:10" hidden="1" x14ac:dyDescent="0.25">
      <c r="A997" s="219"/>
      <c r="B997" s="237"/>
      <c r="C997" s="36" t="s">
        <v>304</v>
      </c>
      <c r="D997" s="47" t="s">
        <v>20</v>
      </c>
      <c r="E997" s="37">
        <v>5.7000000000000002E-2</v>
      </c>
      <c r="F997" s="34">
        <v>2.4224999999999999</v>
      </c>
      <c r="G997" s="31">
        <f t="shared" si="16"/>
        <v>0.1380825</v>
      </c>
      <c r="H997" s="35"/>
      <c r="I997" s="31"/>
      <c r="J997" s="102">
        <v>0</v>
      </c>
    </row>
    <row r="998" spans="1:10" ht="25.5" hidden="1" x14ac:dyDescent="0.25">
      <c r="A998" s="219"/>
      <c r="B998" s="237"/>
      <c r="C998" s="36" t="s">
        <v>2382</v>
      </c>
      <c r="D998" s="47" t="s">
        <v>20</v>
      </c>
      <c r="E998" s="37">
        <v>1</v>
      </c>
      <c r="F998" s="34">
        <v>94.819499999999991</v>
      </c>
      <c r="G998" s="31">
        <f t="shared" si="16"/>
        <v>94.819499999999991</v>
      </c>
      <c r="H998" s="35"/>
      <c r="I998" s="31"/>
      <c r="J998" s="102">
        <v>0</v>
      </c>
    </row>
    <row r="999" spans="1:10" ht="38.25" hidden="1" x14ac:dyDescent="0.25">
      <c r="A999" s="219"/>
      <c r="B999" s="237"/>
      <c r="C999" s="36" t="s">
        <v>2381</v>
      </c>
      <c r="D999" s="47" t="s">
        <v>20</v>
      </c>
      <c r="E999" s="37">
        <v>0.03</v>
      </c>
      <c r="F999" s="34">
        <v>27.122499999999999</v>
      </c>
      <c r="G999" s="31">
        <f t="shared" si="16"/>
        <v>0.81367499999999993</v>
      </c>
      <c r="H999" s="35"/>
      <c r="I999" s="31"/>
      <c r="J999" s="102">
        <v>0</v>
      </c>
    </row>
    <row r="1000" spans="1:10" ht="25.5" hidden="1" x14ac:dyDescent="0.25">
      <c r="A1000" s="219"/>
      <c r="B1000" s="237"/>
      <c r="C1000" s="36" t="s">
        <v>2379</v>
      </c>
      <c r="D1000" s="47" t="s">
        <v>20</v>
      </c>
      <c r="E1000" s="37">
        <v>2.2499999999999999E-2</v>
      </c>
      <c r="F1000" s="34">
        <v>74.451499999999996</v>
      </c>
      <c r="G1000" s="31">
        <f t="shared" si="16"/>
        <v>1.6751587499999998</v>
      </c>
      <c r="H1000" s="35"/>
      <c r="I1000" s="31"/>
      <c r="J1000" s="102">
        <v>0</v>
      </c>
    </row>
    <row r="1001" spans="1:10" ht="15.75" hidden="1" thickBot="1" x14ac:dyDescent="0.3">
      <c r="A1001" s="220"/>
      <c r="B1001" s="223"/>
      <c r="C1001" s="36"/>
      <c r="D1001" s="36"/>
      <c r="E1001" s="37"/>
      <c r="F1001" s="31" t="s">
        <v>522</v>
      </c>
      <c r="G1001" s="31" t="str">
        <f t="shared" si="16"/>
        <v/>
      </c>
      <c r="H1001" s="35"/>
      <c r="I1001" s="31"/>
      <c r="J1001" s="102">
        <v>0</v>
      </c>
    </row>
    <row r="1002" spans="1:10" ht="15.75" hidden="1" thickBot="1" x14ac:dyDescent="0.3">
      <c r="A1002" s="218" t="s">
        <v>321</v>
      </c>
      <c r="B1002" s="221" t="e">
        <f>INDEX(#REF!,MATCH(Composições!A1002,#REF!,0),2)</f>
        <v>#REF!</v>
      </c>
      <c r="C1002" s="41"/>
      <c r="D1002" s="26" t="s">
        <v>20</v>
      </c>
      <c r="E1002" s="27"/>
      <c r="F1002" s="42" t="s">
        <v>522</v>
      </c>
      <c r="G1002" s="28" t="str">
        <f t="shared" si="16"/>
        <v/>
      </c>
      <c r="H1002" s="29"/>
      <c r="I1002" s="30"/>
      <c r="J1002" s="102">
        <v>0</v>
      </c>
    </row>
    <row r="1003" spans="1:10" hidden="1" x14ac:dyDescent="0.25">
      <c r="A1003" s="219"/>
      <c r="B1003" s="237"/>
      <c r="C1003" s="32"/>
      <c r="D1003" s="32"/>
      <c r="E1003" s="33"/>
      <c r="F1003" s="43" t="s">
        <v>522</v>
      </c>
      <c r="G1003" s="31" t="str">
        <f t="shared" si="16"/>
        <v/>
      </c>
      <c r="H1003" s="35"/>
      <c r="I1003" s="31"/>
      <c r="J1003" s="102">
        <v>0</v>
      </c>
    </row>
    <row r="1004" spans="1:10" ht="25.5" hidden="1" x14ac:dyDescent="0.25">
      <c r="A1004" s="219"/>
      <c r="B1004" s="237"/>
      <c r="C1004" s="36" t="s">
        <v>322</v>
      </c>
      <c r="D1004" s="47" t="s">
        <v>144</v>
      </c>
      <c r="E1004" s="37">
        <v>1</v>
      </c>
      <c r="F1004" s="34" t="s">
        <v>522</v>
      </c>
      <c r="G1004" s="34" t="str">
        <f t="shared" si="16"/>
        <v/>
      </c>
      <c r="H1004" s="39">
        <f>SUM(G1004:G1005)</f>
        <v>2.4267749999999997</v>
      </c>
      <c r="I1004" s="40"/>
      <c r="J1004" s="102">
        <v>0</v>
      </c>
    </row>
    <row r="1005" spans="1:10" hidden="1" x14ac:dyDescent="0.25">
      <c r="A1005" s="219"/>
      <c r="B1005" s="237"/>
      <c r="C1005" s="36" t="s">
        <v>23</v>
      </c>
      <c r="D1005" s="47" t="s">
        <v>12</v>
      </c>
      <c r="E1005" s="37">
        <v>0.15</v>
      </c>
      <c r="F1005" s="31">
        <v>16.1785</v>
      </c>
      <c r="G1005" s="34">
        <f t="shared" si="16"/>
        <v>2.4267749999999997</v>
      </c>
      <c r="H1005" s="35"/>
      <c r="I1005" s="31"/>
      <c r="J1005" s="102">
        <v>0</v>
      </c>
    </row>
    <row r="1006" spans="1:10" ht="15.75" hidden="1" thickBot="1" x14ac:dyDescent="0.3">
      <c r="A1006" s="220"/>
      <c r="B1006" s="223"/>
      <c r="C1006" s="36"/>
      <c r="D1006" s="36"/>
      <c r="E1006" s="37"/>
      <c r="F1006" s="31" t="s">
        <v>522</v>
      </c>
      <c r="G1006" s="31" t="str">
        <f t="shared" si="16"/>
        <v/>
      </c>
      <c r="H1006" s="35"/>
      <c r="I1006" s="31"/>
      <c r="J1006" s="102">
        <v>0</v>
      </c>
    </row>
    <row r="1007" spans="1:10" ht="15.75" hidden="1" thickBot="1" x14ac:dyDescent="0.3">
      <c r="A1007" s="218" t="s">
        <v>323</v>
      </c>
      <c r="B1007" s="221" t="e">
        <f>INDEX(#REF!,MATCH(Composições!A1007,#REF!,0),2)</f>
        <v>#REF!</v>
      </c>
      <c r="C1007" s="41"/>
      <c r="D1007" s="26" t="s">
        <v>20</v>
      </c>
      <c r="E1007" s="27"/>
      <c r="F1007" s="42" t="s">
        <v>522</v>
      </c>
      <c r="G1007" s="28" t="str">
        <f t="shared" si="16"/>
        <v/>
      </c>
      <c r="H1007" s="29"/>
      <c r="I1007" s="30"/>
      <c r="J1007" s="102">
        <v>0</v>
      </c>
    </row>
    <row r="1008" spans="1:10" hidden="1" x14ac:dyDescent="0.25">
      <c r="A1008" s="219"/>
      <c r="B1008" s="237"/>
      <c r="C1008" s="32"/>
      <c r="D1008" s="32"/>
      <c r="E1008" s="33"/>
      <c r="F1008" s="43" t="s">
        <v>522</v>
      </c>
      <c r="G1008" s="31" t="str">
        <f t="shared" si="16"/>
        <v/>
      </c>
      <c r="H1008" s="35"/>
      <c r="I1008" s="31"/>
      <c r="J1008" s="102">
        <v>0</v>
      </c>
    </row>
    <row r="1009" spans="1:10" ht="25.5" hidden="1" x14ac:dyDescent="0.25">
      <c r="A1009" s="219"/>
      <c r="B1009" s="237"/>
      <c r="C1009" s="36" t="s">
        <v>324</v>
      </c>
      <c r="D1009" s="47" t="s">
        <v>144</v>
      </c>
      <c r="E1009" s="37">
        <v>1</v>
      </c>
      <c r="F1009" s="34" t="s">
        <v>522</v>
      </c>
      <c r="G1009" s="34" t="str">
        <f t="shared" si="16"/>
        <v/>
      </c>
      <c r="H1009" s="39">
        <f>SUM(G1009:G1010)</f>
        <v>2.4267749999999997</v>
      </c>
      <c r="I1009" s="40"/>
      <c r="J1009" s="102">
        <v>0</v>
      </c>
    </row>
    <row r="1010" spans="1:10" hidden="1" x14ac:dyDescent="0.25">
      <c r="A1010" s="219"/>
      <c r="B1010" s="237"/>
      <c r="C1010" s="36" t="s">
        <v>23</v>
      </c>
      <c r="D1010" s="47" t="s">
        <v>12</v>
      </c>
      <c r="E1010" s="37">
        <v>0.15</v>
      </c>
      <c r="F1010" s="31">
        <v>16.1785</v>
      </c>
      <c r="G1010" s="34">
        <f t="shared" si="16"/>
        <v>2.4267749999999997</v>
      </c>
      <c r="H1010" s="35"/>
      <c r="I1010" s="31"/>
      <c r="J1010" s="102">
        <v>0</v>
      </c>
    </row>
    <row r="1011" spans="1:10" ht="15.75" hidden="1" thickBot="1" x14ac:dyDescent="0.3">
      <c r="A1011" s="220"/>
      <c r="B1011" s="223"/>
      <c r="C1011" s="36"/>
      <c r="D1011" s="36"/>
      <c r="E1011" s="37"/>
      <c r="F1011" s="31" t="s">
        <v>522</v>
      </c>
      <c r="G1011" s="31" t="str">
        <f t="shared" si="16"/>
        <v/>
      </c>
      <c r="H1011" s="35"/>
      <c r="I1011" s="31"/>
      <c r="J1011" s="102">
        <v>0</v>
      </c>
    </row>
    <row r="1012" spans="1:10" ht="15.75" hidden="1" thickBot="1" x14ac:dyDescent="0.3">
      <c r="A1012" s="218" t="s">
        <v>325</v>
      </c>
      <c r="B1012" s="221" t="e">
        <f>INDEX(#REF!,MATCH(Composições!A1012,#REF!,0),2)</f>
        <v>#REF!</v>
      </c>
      <c r="C1012" s="41"/>
      <c r="D1012" s="26" t="s">
        <v>20</v>
      </c>
      <c r="E1012" s="27"/>
      <c r="F1012" s="42" t="s">
        <v>522</v>
      </c>
      <c r="G1012" s="28" t="str">
        <f t="shared" si="16"/>
        <v/>
      </c>
      <c r="H1012" s="29"/>
      <c r="I1012" s="30"/>
      <c r="J1012" s="102">
        <v>0</v>
      </c>
    </row>
    <row r="1013" spans="1:10" hidden="1" x14ac:dyDescent="0.25">
      <c r="A1013" s="219"/>
      <c r="B1013" s="237"/>
      <c r="C1013" s="32"/>
      <c r="D1013" s="32"/>
      <c r="E1013" s="33"/>
      <c r="F1013" s="43" t="s">
        <v>522</v>
      </c>
      <c r="G1013" s="31" t="str">
        <f t="shared" si="16"/>
        <v/>
      </c>
      <c r="H1013" s="35"/>
      <c r="I1013" s="31"/>
      <c r="J1013" s="102">
        <v>0</v>
      </c>
    </row>
    <row r="1014" spans="1:10" ht="25.5" hidden="1" x14ac:dyDescent="0.25">
      <c r="A1014" s="219"/>
      <c r="B1014" s="237"/>
      <c r="C1014" s="36" t="s">
        <v>107</v>
      </c>
      <c r="D1014" s="47" t="s">
        <v>12</v>
      </c>
      <c r="E1014" s="37">
        <v>7.0000000000000007E-2</v>
      </c>
      <c r="F1014" s="31">
        <v>16.672499999999999</v>
      </c>
      <c r="G1014" s="34">
        <f t="shared" si="16"/>
        <v>1.1670750000000001</v>
      </c>
      <c r="H1014" s="39">
        <f>SUM(G1014:G1019)</f>
        <v>12.434130099999999</v>
      </c>
      <c r="I1014" s="40"/>
      <c r="J1014" s="102">
        <v>0</v>
      </c>
    </row>
    <row r="1015" spans="1:10" hidden="1" x14ac:dyDescent="0.25">
      <c r="A1015" s="219"/>
      <c r="B1015" s="237"/>
      <c r="C1015" s="36" t="s">
        <v>39</v>
      </c>
      <c r="D1015" s="47" t="s">
        <v>12</v>
      </c>
      <c r="E1015" s="37">
        <v>7.0000000000000007E-2</v>
      </c>
      <c r="F1015" s="31">
        <v>20.9</v>
      </c>
      <c r="G1015" s="34">
        <f t="shared" si="16"/>
        <v>1.4630000000000001</v>
      </c>
      <c r="H1015" s="35"/>
      <c r="I1015" s="31"/>
      <c r="J1015" s="102">
        <v>0</v>
      </c>
    </row>
    <row r="1016" spans="1:10" hidden="1" x14ac:dyDescent="0.25">
      <c r="A1016" s="219"/>
      <c r="B1016" s="237"/>
      <c r="C1016" s="36" t="s">
        <v>2378</v>
      </c>
      <c r="D1016" s="47" t="s">
        <v>20</v>
      </c>
      <c r="E1016" s="37">
        <v>4.8999999999999998E-3</v>
      </c>
      <c r="F1016" s="34">
        <v>65.711500000000001</v>
      </c>
      <c r="G1016" s="34">
        <f t="shared" si="16"/>
        <v>0.32198634999999998</v>
      </c>
      <c r="H1016" s="35"/>
      <c r="I1016" s="31"/>
      <c r="J1016" s="102">
        <v>0</v>
      </c>
    </row>
    <row r="1017" spans="1:10" hidden="1" x14ac:dyDescent="0.25">
      <c r="A1017" s="219"/>
      <c r="B1017" s="237"/>
      <c r="C1017" s="36" t="s">
        <v>304</v>
      </c>
      <c r="D1017" s="47" t="s">
        <v>20</v>
      </c>
      <c r="E1017" s="37">
        <v>1.7000000000000001E-2</v>
      </c>
      <c r="F1017" s="34">
        <v>2.4224999999999999</v>
      </c>
      <c r="G1017" s="34">
        <f t="shared" si="16"/>
        <v>4.1182500000000004E-2</v>
      </c>
      <c r="H1017" s="35"/>
      <c r="I1017" s="31"/>
      <c r="J1017" s="102">
        <v>0</v>
      </c>
    </row>
    <row r="1018" spans="1:10" ht="25.5" hidden="1" x14ac:dyDescent="0.25">
      <c r="A1018" s="219"/>
      <c r="B1018" s="237"/>
      <c r="C1018" s="36" t="s">
        <v>2383</v>
      </c>
      <c r="D1018" s="47" t="s">
        <v>20</v>
      </c>
      <c r="E1018" s="37">
        <v>1</v>
      </c>
      <c r="F1018" s="34">
        <v>8.8824999999999985</v>
      </c>
      <c r="G1018" s="34">
        <f t="shared" si="16"/>
        <v>8.8824999999999985</v>
      </c>
      <c r="H1018" s="35"/>
      <c r="I1018" s="31"/>
      <c r="J1018" s="102">
        <v>0</v>
      </c>
    </row>
    <row r="1019" spans="1:10" ht="25.5" hidden="1" x14ac:dyDescent="0.25">
      <c r="A1019" s="219"/>
      <c r="B1019" s="237"/>
      <c r="C1019" s="36" t="s">
        <v>2379</v>
      </c>
      <c r="D1019" s="47" t="s">
        <v>20</v>
      </c>
      <c r="E1019" s="37">
        <v>7.4999999999999997E-3</v>
      </c>
      <c r="F1019" s="34">
        <v>74.451499999999996</v>
      </c>
      <c r="G1019" s="34">
        <f t="shared" si="16"/>
        <v>0.55838624999999997</v>
      </c>
      <c r="H1019" s="35"/>
      <c r="I1019" s="31"/>
      <c r="J1019" s="102">
        <v>0</v>
      </c>
    </row>
    <row r="1020" spans="1:10" ht="15.75" hidden="1" thickBot="1" x14ac:dyDescent="0.3">
      <c r="A1020" s="220"/>
      <c r="B1020" s="223"/>
      <c r="C1020" s="36"/>
      <c r="D1020" s="36"/>
      <c r="E1020" s="37"/>
      <c r="F1020" s="31" t="s">
        <v>522</v>
      </c>
      <c r="G1020" s="31" t="str">
        <f t="shared" si="16"/>
        <v/>
      </c>
      <c r="H1020" s="35"/>
      <c r="I1020" s="31"/>
      <c r="J1020" s="102">
        <v>0</v>
      </c>
    </row>
    <row r="1021" spans="1:10" ht="15.75" hidden="1" thickBot="1" x14ac:dyDescent="0.3">
      <c r="A1021" s="218" t="s">
        <v>326</v>
      </c>
      <c r="B1021" s="221" t="e">
        <f>INDEX(#REF!,MATCH(Composições!A1021,#REF!,0),2)</f>
        <v>#REF!</v>
      </c>
      <c r="C1021" s="41"/>
      <c r="D1021" s="26" t="s">
        <v>20</v>
      </c>
      <c r="E1021" s="27"/>
      <c r="F1021" s="42" t="s">
        <v>522</v>
      </c>
      <c r="G1021" s="28" t="str">
        <f t="shared" si="16"/>
        <v/>
      </c>
      <c r="H1021" s="29"/>
      <c r="I1021" s="30"/>
      <c r="J1021" s="102">
        <v>0</v>
      </c>
    </row>
    <row r="1022" spans="1:10" hidden="1" x14ac:dyDescent="0.25">
      <c r="A1022" s="219"/>
      <c r="B1022" s="237"/>
      <c r="C1022" s="32"/>
      <c r="D1022" s="32"/>
      <c r="E1022" s="33"/>
      <c r="F1022" s="43" t="s">
        <v>522</v>
      </c>
      <c r="G1022" s="31" t="str">
        <f t="shared" si="16"/>
        <v/>
      </c>
      <c r="H1022" s="35"/>
      <c r="I1022" s="31"/>
      <c r="J1022" s="102">
        <v>0</v>
      </c>
    </row>
    <row r="1023" spans="1:10" ht="25.5" hidden="1" x14ac:dyDescent="0.25">
      <c r="A1023" s="219"/>
      <c r="B1023" s="237"/>
      <c r="C1023" s="36" t="s">
        <v>327</v>
      </c>
      <c r="D1023" s="47" t="s">
        <v>144</v>
      </c>
      <c r="E1023" s="37">
        <v>1</v>
      </c>
      <c r="F1023" s="34" t="s">
        <v>522</v>
      </c>
      <c r="G1023" s="34" t="str">
        <f t="shared" si="16"/>
        <v/>
      </c>
      <c r="H1023" s="39">
        <f>SUM(G1023:G1024)</f>
        <v>1.61785</v>
      </c>
      <c r="I1023" s="40"/>
      <c r="J1023" s="102">
        <v>0</v>
      </c>
    </row>
    <row r="1024" spans="1:10" hidden="1" x14ac:dyDescent="0.25">
      <c r="A1024" s="219"/>
      <c r="B1024" s="237"/>
      <c r="C1024" s="36" t="s">
        <v>23</v>
      </c>
      <c r="D1024" s="47" t="s">
        <v>12</v>
      </c>
      <c r="E1024" s="37">
        <v>0.1</v>
      </c>
      <c r="F1024" s="31">
        <v>16.1785</v>
      </c>
      <c r="G1024" s="34">
        <f t="shared" si="16"/>
        <v>1.61785</v>
      </c>
      <c r="H1024" s="35"/>
      <c r="I1024" s="31"/>
      <c r="J1024" s="102">
        <v>0</v>
      </c>
    </row>
    <row r="1025" spans="1:10" ht="15.75" hidden="1" thickBot="1" x14ac:dyDescent="0.3">
      <c r="A1025" s="220"/>
      <c r="B1025" s="223"/>
      <c r="C1025" s="36"/>
      <c r="D1025" s="36"/>
      <c r="E1025" s="37"/>
      <c r="F1025" s="31" t="s">
        <v>522</v>
      </c>
      <c r="G1025" s="31" t="str">
        <f t="shared" si="16"/>
        <v/>
      </c>
      <c r="H1025" s="35"/>
      <c r="I1025" s="31"/>
      <c r="J1025" s="102">
        <v>0</v>
      </c>
    </row>
    <row r="1026" spans="1:10" ht="15.75" hidden="1" thickBot="1" x14ac:dyDescent="0.3">
      <c r="A1026" s="218" t="s">
        <v>328</v>
      </c>
      <c r="B1026" s="221" t="e">
        <f>INDEX(#REF!,MATCH(Composições!A1026,#REF!,0),2)</f>
        <v>#REF!</v>
      </c>
      <c r="C1026" s="41"/>
      <c r="D1026" s="26" t="s">
        <v>20</v>
      </c>
      <c r="E1026" s="27"/>
      <c r="F1026" s="42" t="s">
        <v>522</v>
      </c>
      <c r="G1026" s="28" t="str">
        <f t="shared" si="16"/>
        <v/>
      </c>
      <c r="H1026" s="29"/>
      <c r="I1026" s="30"/>
      <c r="J1026" s="102">
        <v>0</v>
      </c>
    </row>
    <row r="1027" spans="1:10" hidden="1" x14ac:dyDescent="0.25">
      <c r="A1027" s="219"/>
      <c r="B1027" s="237"/>
      <c r="C1027" s="32"/>
      <c r="D1027" s="32"/>
      <c r="E1027" s="33"/>
      <c r="F1027" s="43" t="s">
        <v>522</v>
      </c>
      <c r="G1027" s="31" t="str">
        <f t="shared" si="16"/>
        <v/>
      </c>
      <c r="H1027" s="35"/>
      <c r="I1027" s="31"/>
      <c r="J1027" s="102">
        <v>0</v>
      </c>
    </row>
    <row r="1028" spans="1:10" ht="25.5" hidden="1" x14ac:dyDescent="0.25">
      <c r="A1028" s="219"/>
      <c r="B1028" s="237"/>
      <c r="C1028" s="36" t="s">
        <v>2384</v>
      </c>
      <c r="D1028" s="47" t="s">
        <v>279</v>
      </c>
      <c r="E1028" s="37">
        <v>1</v>
      </c>
      <c r="F1028" s="34">
        <v>151.04999999999998</v>
      </c>
      <c r="G1028" s="34">
        <f t="shared" si="16"/>
        <v>151.04999999999998</v>
      </c>
      <c r="H1028" s="39">
        <f>SUM(G1028:G1034)</f>
        <v>227.32436759999996</v>
      </c>
      <c r="I1028" s="40"/>
      <c r="J1028" s="102">
        <v>0</v>
      </c>
    </row>
    <row r="1029" spans="1:10" ht="25.5" hidden="1" x14ac:dyDescent="0.25">
      <c r="A1029" s="219"/>
      <c r="B1029" s="237"/>
      <c r="C1029" s="36" t="s">
        <v>302</v>
      </c>
      <c r="D1029" s="36" t="s">
        <v>20</v>
      </c>
      <c r="E1029" s="37">
        <v>1</v>
      </c>
      <c r="F1029" s="34" t="s">
        <v>522</v>
      </c>
      <c r="G1029" s="34" t="str">
        <f t="shared" si="16"/>
        <v/>
      </c>
      <c r="H1029" s="35"/>
      <c r="I1029" s="31"/>
      <c r="J1029" s="102">
        <v>0</v>
      </c>
    </row>
    <row r="1030" spans="1:10" ht="25.5" hidden="1" x14ac:dyDescent="0.25">
      <c r="A1030" s="219"/>
      <c r="B1030" s="237"/>
      <c r="C1030" s="36" t="s">
        <v>329</v>
      </c>
      <c r="D1030" s="47" t="s">
        <v>279</v>
      </c>
      <c r="E1030" s="37">
        <v>2</v>
      </c>
      <c r="F1030" s="34">
        <v>22.106499999999997</v>
      </c>
      <c r="G1030" s="34">
        <f t="shared" si="16"/>
        <v>44.212999999999994</v>
      </c>
      <c r="H1030" s="35"/>
      <c r="I1030" s="31"/>
      <c r="J1030" s="102">
        <v>0</v>
      </c>
    </row>
    <row r="1031" spans="1:10" ht="25.5" hidden="1" x14ac:dyDescent="0.25">
      <c r="A1031" s="219"/>
      <c r="B1031" s="237"/>
      <c r="C1031" s="36" t="s">
        <v>2377</v>
      </c>
      <c r="D1031" s="47" t="s">
        <v>20</v>
      </c>
      <c r="E1031" s="37">
        <v>1</v>
      </c>
      <c r="F1031" s="34">
        <v>10.849</v>
      </c>
      <c r="G1031" s="54">
        <f t="shared" si="16"/>
        <v>10.849</v>
      </c>
      <c r="H1031" s="35"/>
      <c r="I1031" s="31"/>
      <c r="J1031" s="102">
        <v>0</v>
      </c>
    </row>
    <row r="1032" spans="1:10" hidden="1" x14ac:dyDescent="0.25">
      <c r="A1032" s="219"/>
      <c r="B1032" s="237"/>
      <c r="C1032" s="36" t="s">
        <v>1920</v>
      </c>
      <c r="D1032" s="47" t="s">
        <v>42</v>
      </c>
      <c r="E1032" s="37">
        <v>8.8099999999999998E-2</v>
      </c>
      <c r="F1032" s="34">
        <v>58.738499999999995</v>
      </c>
      <c r="G1032" s="34">
        <f t="shared" si="16"/>
        <v>5.1748618499999992</v>
      </c>
      <c r="H1032" s="35"/>
      <c r="I1032" s="31"/>
      <c r="J1032" s="102">
        <v>0</v>
      </c>
    </row>
    <row r="1033" spans="1:10" hidden="1" x14ac:dyDescent="0.25">
      <c r="A1033" s="219"/>
      <c r="B1033" s="237"/>
      <c r="C1033" s="36" t="s">
        <v>39</v>
      </c>
      <c r="D1033" s="47" t="s">
        <v>12</v>
      </c>
      <c r="E1033" s="37">
        <v>0.49680000000000002</v>
      </c>
      <c r="F1033" s="31">
        <v>20.9</v>
      </c>
      <c r="G1033" s="34">
        <f t="shared" si="16"/>
        <v>10.38312</v>
      </c>
      <c r="H1033" s="35"/>
      <c r="I1033" s="31"/>
      <c r="J1033" s="102">
        <v>0</v>
      </c>
    </row>
    <row r="1034" spans="1:10" hidden="1" x14ac:dyDescent="0.25">
      <c r="A1034" s="219"/>
      <c r="B1034" s="237"/>
      <c r="C1034" s="36" t="s">
        <v>23</v>
      </c>
      <c r="D1034" s="47" t="s">
        <v>12</v>
      </c>
      <c r="E1034" s="37">
        <v>0.34949999999999998</v>
      </c>
      <c r="F1034" s="31">
        <v>16.1785</v>
      </c>
      <c r="G1034" s="34">
        <f t="shared" si="16"/>
        <v>5.6543857499999994</v>
      </c>
      <c r="H1034" s="35"/>
      <c r="I1034" s="31"/>
      <c r="J1034" s="102">
        <v>0</v>
      </c>
    </row>
    <row r="1035" spans="1:10" ht="15.75" hidden="1" thickBot="1" x14ac:dyDescent="0.3">
      <c r="A1035" s="220"/>
      <c r="B1035" s="223"/>
      <c r="C1035" s="36"/>
      <c r="D1035" s="36"/>
      <c r="E1035" s="37"/>
      <c r="F1035" s="31" t="s">
        <v>522</v>
      </c>
      <c r="G1035" s="31" t="str">
        <f t="shared" si="16"/>
        <v/>
      </c>
      <c r="H1035" s="35"/>
      <c r="I1035" s="31"/>
      <c r="J1035" s="102">
        <v>0</v>
      </c>
    </row>
    <row r="1036" spans="1:10" ht="15.75" hidden="1" thickBot="1" x14ac:dyDescent="0.3">
      <c r="A1036" s="218" t="s">
        <v>330</v>
      </c>
      <c r="B1036" s="221" t="e">
        <f>INDEX(#REF!,MATCH(Composições!A1036,#REF!,0),2)</f>
        <v>#REF!</v>
      </c>
      <c r="C1036" s="41"/>
      <c r="D1036" s="26" t="s">
        <v>20</v>
      </c>
      <c r="E1036" s="27"/>
      <c r="F1036" s="42" t="s">
        <v>522</v>
      </c>
      <c r="G1036" s="28" t="str">
        <f t="shared" si="16"/>
        <v/>
      </c>
      <c r="H1036" s="29"/>
      <c r="I1036" s="30"/>
      <c r="J1036" s="102">
        <v>0</v>
      </c>
    </row>
    <row r="1037" spans="1:10" hidden="1" x14ac:dyDescent="0.25">
      <c r="A1037" s="219"/>
      <c r="B1037" s="237"/>
      <c r="C1037" s="32"/>
      <c r="D1037" s="32"/>
      <c r="E1037" s="33"/>
      <c r="F1037" s="43" t="s">
        <v>522</v>
      </c>
      <c r="G1037" s="31" t="str">
        <f t="shared" si="16"/>
        <v/>
      </c>
      <c r="H1037" s="35"/>
      <c r="I1037" s="31"/>
      <c r="J1037" s="102">
        <v>0</v>
      </c>
    </row>
    <row r="1038" spans="1:10" ht="25.5" hidden="1" x14ac:dyDescent="0.25">
      <c r="A1038" s="219"/>
      <c r="B1038" s="237"/>
      <c r="C1038" s="36" t="s">
        <v>331</v>
      </c>
      <c r="D1038" s="47" t="s">
        <v>144</v>
      </c>
      <c r="E1038" s="37">
        <v>1</v>
      </c>
      <c r="F1038" s="34" t="s">
        <v>522</v>
      </c>
      <c r="G1038" s="34" t="str">
        <f t="shared" si="16"/>
        <v/>
      </c>
      <c r="H1038" s="39">
        <f>SUM(G1038:G1043)</f>
        <v>76.274367600000005</v>
      </c>
      <c r="I1038" s="40"/>
      <c r="J1038" s="102">
        <v>0</v>
      </c>
    </row>
    <row r="1039" spans="1:10" ht="25.5" hidden="1" x14ac:dyDescent="0.25">
      <c r="A1039" s="219"/>
      <c r="B1039" s="237"/>
      <c r="C1039" s="36" t="s">
        <v>329</v>
      </c>
      <c r="D1039" s="47" t="s">
        <v>279</v>
      </c>
      <c r="E1039" s="37">
        <v>2</v>
      </c>
      <c r="F1039" s="34">
        <v>22.106499999999997</v>
      </c>
      <c r="G1039" s="34">
        <f t="shared" si="16"/>
        <v>44.212999999999994</v>
      </c>
      <c r="H1039" s="35"/>
      <c r="I1039" s="31"/>
      <c r="J1039" s="102">
        <v>0</v>
      </c>
    </row>
    <row r="1040" spans="1:10" ht="25.5" hidden="1" x14ac:dyDescent="0.25">
      <c r="A1040" s="219"/>
      <c r="B1040" s="237"/>
      <c r="C1040" s="36" t="s">
        <v>2377</v>
      </c>
      <c r="D1040" s="47" t="s">
        <v>20</v>
      </c>
      <c r="E1040" s="37">
        <v>1</v>
      </c>
      <c r="F1040" s="34">
        <v>10.849</v>
      </c>
      <c r="G1040" s="54">
        <f t="shared" si="16"/>
        <v>10.849</v>
      </c>
      <c r="H1040" s="35"/>
      <c r="I1040" s="31"/>
      <c r="J1040" s="102">
        <v>0</v>
      </c>
    </row>
    <row r="1041" spans="1:10" hidden="1" x14ac:dyDescent="0.25">
      <c r="A1041" s="219"/>
      <c r="B1041" s="237"/>
      <c r="C1041" s="36" t="s">
        <v>1920</v>
      </c>
      <c r="D1041" s="47" t="s">
        <v>42</v>
      </c>
      <c r="E1041" s="37">
        <v>8.8099999999999998E-2</v>
      </c>
      <c r="F1041" s="34">
        <v>58.738499999999995</v>
      </c>
      <c r="G1041" s="34">
        <f t="shared" si="16"/>
        <v>5.1748618499999992</v>
      </c>
      <c r="H1041" s="35"/>
      <c r="I1041" s="31"/>
      <c r="J1041" s="102">
        <v>0</v>
      </c>
    </row>
    <row r="1042" spans="1:10" hidden="1" x14ac:dyDescent="0.25">
      <c r="A1042" s="219"/>
      <c r="B1042" s="237"/>
      <c r="C1042" s="36" t="s">
        <v>39</v>
      </c>
      <c r="D1042" s="47" t="s">
        <v>12</v>
      </c>
      <c r="E1042" s="37">
        <v>0.49680000000000002</v>
      </c>
      <c r="F1042" s="31">
        <v>20.9</v>
      </c>
      <c r="G1042" s="34">
        <f t="shared" ref="G1042:G1105" si="17">IF(ISNUMBER(F1042),E1042*F1042,"")</f>
        <v>10.38312</v>
      </c>
      <c r="H1042" s="35"/>
      <c r="I1042" s="31"/>
      <c r="J1042" s="102">
        <v>0</v>
      </c>
    </row>
    <row r="1043" spans="1:10" hidden="1" x14ac:dyDescent="0.25">
      <c r="A1043" s="219"/>
      <c r="B1043" s="237"/>
      <c r="C1043" s="36" t="s">
        <v>23</v>
      </c>
      <c r="D1043" s="47" t="s">
        <v>12</v>
      </c>
      <c r="E1043" s="37">
        <v>0.34949999999999998</v>
      </c>
      <c r="F1043" s="31">
        <v>16.1785</v>
      </c>
      <c r="G1043" s="34">
        <f t="shared" si="17"/>
        <v>5.6543857499999994</v>
      </c>
      <c r="H1043" s="35"/>
      <c r="I1043" s="31"/>
      <c r="J1043" s="102">
        <v>0</v>
      </c>
    </row>
    <row r="1044" spans="1:10" ht="15.75" hidden="1" thickBot="1" x14ac:dyDescent="0.3">
      <c r="A1044" s="220"/>
      <c r="B1044" s="223"/>
      <c r="C1044" s="36"/>
      <c r="D1044" s="36"/>
      <c r="E1044" s="37"/>
      <c r="F1044" s="31" t="s">
        <v>522</v>
      </c>
      <c r="G1044" s="31" t="str">
        <f t="shared" si="17"/>
        <v/>
      </c>
      <c r="H1044" s="35"/>
      <c r="I1044" s="31"/>
      <c r="J1044" s="102">
        <v>0</v>
      </c>
    </row>
    <row r="1045" spans="1:10" ht="15.75" hidden="1" thickBot="1" x14ac:dyDescent="0.3">
      <c r="A1045" s="218" t="s">
        <v>332</v>
      </c>
      <c r="B1045" s="221" t="e">
        <f>INDEX(#REF!,MATCH(Composições!A1045,#REF!,0),2)</f>
        <v>#REF!</v>
      </c>
      <c r="C1045" s="41"/>
      <c r="D1045" s="26" t="s">
        <v>20</v>
      </c>
      <c r="E1045" s="27"/>
      <c r="F1045" s="42" t="s">
        <v>522</v>
      </c>
      <c r="G1045" s="28" t="str">
        <f t="shared" si="17"/>
        <v/>
      </c>
      <c r="H1045" s="29"/>
      <c r="I1045" s="30"/>
      <c r="J1045" s="102">
        <v>0</v>
      </c>
    </row>
    <row r="1046" spans="1:10" hidden="1" x14ac:dyDescent="0.25">
      <c r="A1046" s="219"/>
      <c r="B1046" s="237"/>
      <c r="C1046" s="32"/>
      <c r="D1046" s="32"/>
      <c r="E1046" s="33"/>
      <c r="F1046" s="43" t="s">
        <v>522</v>
      </c>
      <c r="G1046" s="31" t="str">
        <f t="shared" si="17"/>
        <v/>
      </c>
      <c r="H1046" s="35"/>
      <c r="I1046" s="31"/>
      <c r="J1046" s="102">
        <v>0</v>
      </c>
    </row>
    <row r="1047" spans="1:10" hidden="1" x14ac:dyDescent="0.25">
      <c r="A1047" s="219"/>
      <c r="B1047" s="237"/>
      <c r="C1047" s="36" t="s">
        <v>333</v>
      </c>
      <c r="D1047" s="47" t="s">
        <v>144</v>
      </c>
      <c r="E1047" s="37">
        <v>1</v>
      </c>
      <c r="F1047" s="34" t="s">
        <v>522</v>
      </c>
      <c r="G1047" s="34" t="str">
        <f t="shared" si="17"/>
        <v/>
      </c>
      <c r="H1047" s="39">
        <f>SUM(G1047:G1050)</f>
        <v>41.127491199999994</v>
      </c>
      <c r="I1047" s="40"/>
      <c r="J1047" s="102">
        <v>0</v>
      </c>
    </row>
    <row r="1048" spans="1:10" hidden="1" x14ac:dyDescent="0.25">
      <c r="A1048" s="219"/>
      <c r="B1048" s="237"/>
      <c r="C1048" s="36" t="s">
        <v>334</v>
      </c>
      <c r="D1048" s="47" t="s">
        <v>42</v>
      </c>
      <c r="E1048" s="37">
        <v>0.52710000000000001</v>
      </c>
      <c r="F1048" s="34">
        <v>35.501499999999993</v>
      </c>
      <c r="G1048" s="34">
        <f t="shared" si="17"/>
        <v>18.712840649999997</v>
      </c>
      <c r="H1048" s="35"/>
      <c r="I1048" s="31"/>
      <c r="J1048" s="102">
        <v>0</v>
      </c>
    </row>
    <row r="1049" spans="1:10" hidden="1" x14ac:dyDescent="0.25">
      <c r="A1049" s="219"/>
      <c r="B1049" s="237"/>
      <c r="C1049" s="36" t="s">
        <v>23</v>
      </c>
      <c r="D1049" s="47" t="s">
        <v>12</v>
      </c>
      <c r="E1049" s="37">
        <v>0.26650000000000001</v>
      </c>
      <c r="F1049" s="31">
        <v>16.1785</v>
      </c>
      <c r="G1049" s="34">
        <f t="shared" si="17"/>
        <v>4.3115702499999999</v>
      </c>
      <c r="H1049" s="35"/>
      <c r="I1049" s="31"/>
      <c r="J1049" s="102">
        <v>0</v>
      </c>
    </row>
    <row r="1050" spans="1:10" hidden="1" x14ac:dyDescent="0.25">
      <c r="A1050" s="219"/>
      <c r="B1050" s="237"/>
      <c r="C1050" s="36" t="s">
        <v>54</v>
      </c>
      <c r="D1050" s="47" t="s">
        <v>12</v>
      </c>
      <c r="E1050" s="37">
        <v>0.8458</v>
      </c>
      <c r="F1050" s="31">
        <v>21.403500000000001</v>
      </c>
      <c r="G1050" s="34">
        <f t="shared" si="17"/>
        <v>18.103080300000002</v>
      </c>
      <c r="H1050" s="35"/>
      <c r="I1050" s="31"/>
      <c r="J1050" s="102">
        <v>0</v>
      </c>
    </row>
    <row r="1051" spans="1:10" ht="15.75" hidden="1" thickBot="1" x14ac:dyDescent="0.3">
      <c r="A1051" s="220"/>
      <c r="B1051" s="223"/>
      <c r="C1051" s="36"/>
      <c r="D1051" s="36"/>
      <c r="E1051" s="37"/>
      <c r="F1051" s="31" t="s">
        <v>522</v>
      </c>
      <c r="G1051" s="31" t="str">
        <f t="shared" si="17"/>
        <v/>
      </c>
      <c r="H1051" s="35"/>
      <c r="I1051" s="31"/>
      <c r="J1051" s="102">
        <v>0</v>
      </c>
    </row>
    <row r="1052" spans="1:10" ht="15.75" hidden="1" thickBot="1" x14ac:dyDescent="0.3">
      <c r="A1052" s="218" t="s">
        <v>335</v>
      </c>
      <c r="B1052" s="221" t="e">
        <f>INDEX(#REF!,MATCH(Composições!A1052,#REF!,0),2)</f>
        <v>#REF!</v>
      </c>
      <c r="C1052" s="41"/>
      <c r="D1052" s="26" t="s">
        <v>20</v>
      </c>
      <c r="E1052" s="27"/>
      <c r="F1052" s="42" t="s">
        <v>522</v>
      </c>
      <c r="G1052" s="28" t="str">
        <f t="shared" si="17"/>
        <v/>
      </c>
      <c r="H1052" s="29"/>
      <c r="I1052" s="30"/>
      <c r="J1052" s="102">
        <v>0</v>
      </c>
    </row>
    <row r="1053" spans="1:10" hidden="1" x14ac:dyDescent="0.25">
      <c r="A1053" s="219"/>
      <c r="B1053" s="237"/>
      <c r="C1053" s="32"/>
      <c r="D1053" s="32"/>
      <c r="E1053" s="33"/>
      <c r="F1053" s="43" t="s">
        <v>522</v>
      </c>
      <c r="G1053" s="31" t="str">
        <f t="shared" si="17"/>
        <v/>
      </c>
      <c r="H1053" s="35"/>
      <c r="I1053" s="31"/>
      <c r="J1053" s="102">
        <v>0</v>
      </c>
    </row>
    <row r="1054" spans="1:10" ht="38.25" hidden="1" x14ac:dyDescent="0.25">
      <c r="A1054" s="219"/>
      <c r="B1054" s="237"/>
      <c r="C1054" s="36" t="s">
        <v>336</v>
      </c>
      <c r="D1054" s="47" t="s">
        <v>144</v>
      </c>
      <c r="E1054" s="37">
        <v>1</v>
      </c>
      <c r="F1054" s="34" t="s">
        <v>522</v>
      </c>
      <c r="G1054" s="34" t="str">
        <f t="shared" si="17"/>
        <v/>
      </c>
      <c r="H1054" s="39">
        <f>SUM(G1054:G1057)</f>
        <v>23.209423399999999</v>
      </c>
      <c r="I1054" s="40"/>
      <c r="J1054" s="102">
        <v>0</v>
      </c>
    </row>
    <row r="1055" spans="1:10" hidden="1" x14ac:dyDescent="0.25">
      <c r="A1055" s="219"/>
      <c r="B1055" s="237"/>
      <c r="C1055" s="36" t="s">
        <v>334</v>
      </c>
      <c r="D1055" s="47" t="s">
        <v>42</v>
      </c>
      <c r="E1055" s="37">
        <v>0.2974</v>
      </c>
      <c r="F1055" s="34">
        <v>35.501499999999993</v>
      </c>
      <c r="G1055" s="34">
        <f t="shared" si="17"/>
        <v>10.558146099999998</v>
      </c>
      <c r="H1055" s="35"/>
      <c r="I1055" s="31"/>
      <c r="J1055" s="102">
        <v>0</v>
      </c>
    </row>
    <row r="1056" spans="1:10" hidden="1" x14ac:dyDescent="0.25">
      <c r="A1056" s="219"/>
      <c r="B1056" s="237"/>
      <c r="C1056" s="36" t="s">
        <v>54</v>
      </c>
      <c r="D1056" s="47" t="s">
        <v>12</v>
      </c>
      <c r="E1056" s="37">
        <v>0.47739999999999999</v>
      </c>
      <c r="F1056" s="31">
        <v>21.403500000000001</v>
      </c>
      <c r="G1056" s="34">
        <f t="shared" si="17"/>
        <v>10.2180309</v>
      </c>
      <c r="H1056" s="35"/>
      <c r="I1056" s="31"/>
      <c r="J1056" s="102">
        <v>0</v>
      </c>
    </row>
    <row r="1057" spans="1:10" hidden="1" x14ac:dyDescent="0.25">
      <c r="A1057" s="219"/>
      <c r="B1057" s="237"/>
      <c r="C1057" s="36" t="s">
        <v>23</v>
      </c>
      <c r="D1057" s="47" t="s">
        <v>12</v>
      </c>
      <c r="E1057" s="37">
        <v>0.15040000000000001</v>
      </c>
      <c r="F1057" s="31">
        <v>16.1785</v>
      </c>
      <c r="G1057" s="34">
        <f t="shared" si="17"/>
        <v>2.4332464000000003</v>
      </c>
      <c r="H1057" s="35"/>
      <c r="I1057" s="31"/>
      <c r="J1057" s="102">
        <v>0</v>
      </c>
    </row>
    <row r="1058" spans="1:10" ht="15.75" hidden="1" thickBot="1" x14ac:dyDescent="0.3">
      <c r="A1058" s="220"/>
      <c r="B1058" s="223"/>
      <c r="C1058" s="36"/>
      <c r="D1058" s="36"/>
      <c r="E1058" s="37"/>
      <c r="F1058" s="31" t="s">
        <v>522</v>
      </c>
      <c r="G1058" s="31" t="str">
        <f t="shared" si="17"/>
        <v/>
      </c>
      <c r="H1058" s="35"/>
      <c r="I1058" s="31"/>
      <c r="J1058" s="102">
        <v>0</v>
      </c>
    </row>
    <row r="1059" spans="1:10" ht="15.75" hidden="1" thickBot="1" x14ac:dyDescent="0.3">
      <c r="A1059" s="218" t="s">
        <v>337</v>
      </c>
      <c r="B1059" s="221" t="e">
        <f>INDEX(#REF!,MATCH(Composições!A1059,#REF!,0),2)</f>
        <v>#REF!</v>
      </c>
      <c r="C1059" s="41"/>
      <c r="D1059" s="26" t="s">
        <v>20</v>
      </c>
      <c r="E1059" s="27"/>
      <c r="F1059" s="42" t="s">
        <v>522</v>
      </c>
      <c r="G1059" s="28" t="str">
        <f t="shared" si="17"/>
        <v/>
      </c>
      <c r="H1059" s="29"/>
      <c r="I1059" s="30"/>
      <c r="J1059" s="102">
        <v>0</v>
      </c>
    </row>
    <row r="1060" spans="1:10" hidden="1" x14ac:dyDescent="0.25">
      <c r="A1060" s="219"/>
      <c r="B1060" s="237"/>
      <c r="C1060" s="32"/>
      <c r="D1060" s="32"/>
      <c r="E1060" s="33"/>
      <c r="F1060" s="43" t="s">
        <v>522</v>
      </c>
      <c r="G1060" s="31" t="str">
        <f t="shared" si="17"/>
        <v/>
      </c>
      <c r="H1060" s="35"/>
      <c r="I1060" s="31"/>
      <c r="J1060" s="102">
        <v>0</v>
      </c>
    </row>
    <row r="1061" spans="1:10" hidden="1" x14ac:dyDescent="0.25">
      <c r="A1061" s="219"/>
      <c r="B1061" s="237"/>
      <c r="C1061" s="36" t="s">
        <v>338</v>
      </c>
      <c r="D1061" s="47" t="s">
        <v>144</v>
      </c>
      <c r="E1061" s="37">
        <v>1</v>
      </c>
      <c r="F1061" s="34" t="s">
        <v>522</v>
      </c>
      <c r="G1061" s="34" t="str">
        <f t="shared" si="17"/>
        <v/>
      </c>
      <c r="H1061" s="39">
        <f>SUM(G1061:G1064)</f>
        <v>41.127491199999994</v>
      </c>
      <c r="I1061" s="40"/>
      <c r="J1061" s="102">
        <v>0</v>
      </c>
    </row>
    <row r="1062" spans="1:10" hidden="1" x14ac:dyDescent="0.25">
      <c r="A1062" s="219"/>
      <c r="B1062" s="237"/>
      <c r="C1062" s="36" t="s">
        <v>334</v>
      </c>
      <c r="D1062" s="47" t="s">
        <v>42</v>
      </c>
      <c r="E1062" s="37">
        <v>0.52710000000000001</v>
      </c>
      <c r="F1062" s="34">
        <v>35.501499999999993</v>
      </c>
      <c r="G1062" s="34">
        <f t="shared" si="17"/>
        <v>18.712840649999997</v>
      </c>
      <c r="H1062" s="35"/>
      <c r="I1062" s="31"/>
      <c r="J1062" s="102">
        <v>0</v>
      </c>
    </row>
    <row r="1063" spans="1:10" hidden="1" x14ac:dyDescent="0.25">
      <c r="A1063" s="219"/>
      <c r="B1063" s="237"/>
      <c r="C1063" s="36" t="s">
        <v>23</v>
      </c>
      <c r="D1063" s="47" t="s">
        <v>12</v>
      </c>
      <c r="E1063" s="37">
        <v>0.26650000000000001</v>
      </c>
      <c r="F1063" s="31">
        <v>16.1785</v>
      </c>
      <c r="G1063" s="34">
        <f t="shared" si="17"/>
        <v>4.3115702499999999</v>
      </c>
      <c r="H1063" s="35"/>
      <c r="I1063" s="31"/>
      <c r="J1063" s="102">
        <v>0</v>
      </c>
    </row>
    <row r="1064" spans="1:10" hidden="1" x14ac:dyDescent="0.25">
      <c r="A1064" s="219"/>
      <c r="B1064" s="237"/>
      <c r="C1064" s="36" t="s">
        <v>54</v>
      </c>
      <c r="D1064" s="47" t="s">
        <v>12</v>
      </c>
      <c r="E1064" s="37">
        <v>0.8458</v>
      </c>
      <c r="F1064" s="31">
        <v>21.403500000000001</v>
      </c>
      <c r="G1064" s="34">
        <f t="shared" si="17"/>
        <v>18.103080300000002</v>
      </c>
      <c r="H1064" s="35"/>
      <c r="I1064" s="31"/>
      <c r="J1064" s="102">
        <v>0</v>
      </c>
    </row>
    <row r="1065" spans="1:10" ht="15.75" hidden="1" thickBot="1" x14ac:dyDescent="0.3">
      <c r="A1065" s="220"/>
      <c r="B1065" s="223"/>
      <c r="C1065" s="36"/>
      <c r="D1065" s="36"/>
      <c r="E1065" s="37"/>
      <c r="F1065" s="31" t="s">
        <v>522</v>
      </c>
      <c r="G1065" s="31" t="str">
        <f t="shared" si="17"/>
        <v/>
      </c>
      <c r="H1065" s="35"/>
      <c r="I1065" s="31"/>
      <c r="J1065" s="102">
        <v>0</v>
      </c>
    </row>
    <row r="1066" spans="1:10" ht="15.75" hidden="1" thickBot="1" x14ac:dyDescent="0.3">
      <c r="A1066" s="218" t="s">
        <v>339</v>
      </c>
      <c r="B1066" s="221" t="e">
        <f>INDEX(#REF!,MATCH(Composições!A1066,#REF!,0),2)</f>
        <v>#REF!</v>
      </c>
      <c r="C1066" s="41"/>
      <c r="D1066" s="26" t="s">
        <v>20</v>
      </c>
      <c r="E1066" s="27"/>
      <c r="F1066" s="42" t="s">
        <v>522</v>
      </c>
      <c r="G1066" s="28" t="str">
        <f t="shared" si="17"/>
        <v/>
      </c>
      <c r="H1066" s="29"/>
      <c r="I1066" s="30"/>
      <c r="J1066" s="102">
        <v>0</v>
      </c>
    </row>
    <row r="1067" spans="1:10" hidden="1" x14ac:dyDescent="0.25">
      <c r="A1067" s="219"/>
      <c r="B1067" s="237"/>
      <c r="C1067" s="32"/>
      <c r="D1067" s="32"/>
      <c r="E1067" s="33"/>
      <c r="F1067" s="43" t="s">
        <v>522</v>
      </c>
      <c r="G1067" s="31" t="str">
        <f t="shared" si="17"/>
        <v/>
      </c>
      <c r="H1067" s="35"/>
      <c r="I1067" s="31"/>
      <c r="J1067" s="102">
        <v>0</v>
      </c>
    </row>
    <row r="1068" spans="1:10" ht="25.5" hidden="1" x14ac:dyDescent="0.25">
      <c r="A1068" s="219"/>
      <c r="B1068" s="237"/>
      <c r="C1068" s="36" t="s">
        <v>340</v>
      </c>
      <c r="D1068" s="47" t="s">
        <v>279</v>
      </c>
      <c r="E1068" s="37">
        <v>2</v>
      </c>
      <c r="F1068" s="34">
        <v>16.387499999999999</v>
      </c>
      <c r="G1068" s="34">
        <f t="shared" si="17"/>
        <v>32.774999999999999</v>
      </c>
      <c r="H1068" s="39">
        <f>SUM(G1068:G1071)</f>
        <v>45.700215500000006</v>
      </c>
      <c r="I1068" s="40"/>
      <c r="J1068" s="102">
        <v>0</v>
      </c>
    </row>
    <row r="1069" spans="1:10" hidden="1" x14ac:dyDescent="0.25">
      <c r="A1069" s="219"/>
      <c r="B1069" s="237"/>
      <c r="C1069" s="36" t="s">
        <v>1920</v>
      </c>
      <c r="D1069" s="47" t="s">
        <v>42</v>
      </c>
      <c r="E1069" s="37">
        <v>3.04E-2</v>
      </c>
      <c r="F1069" s="34">
        <v>58.738499999999995</v>
      </c>
      <c r="G1069" s="34">
        <f t="shared" si="17"/>
        <v>1.7856503999999997</v>
      </c>
      <c r="H1069" s="35"/>
      <c r="I1069" s="31"/>
      <c r="J1069" s="102">
        <v>0</v>
      </c>
    </row>
    <row r="1070" spans="1:10" hidden="1" x14ac:dyDescent="0.25">
      <c r="A1070" s="219"/>
      <c r="B1070" s="237"/>
      <c r="C1070" s="36" t="s">
        <v>39</v>
      </c>
      <c r="D1070" s="47" t="s">
        <v>12</v>
      </c>
      <c r="E1070" s="37">
        <v>0.38700000000000001</v>
      </c>
      <c r="F1070" s="31">
        <v>20.9</v>
      </c>
      <c r="G1070" s="34">
        <f t="shared" si="17"/>
        <v>8.0883000000000003</v>
      </c>
      <c r="H1070" s="35"/>
      <c r="I1070" s="31"/>
      <c r="J1070" s="102">
        <v>0</v>
      </c>
    </row>
    <row r="1071" spans="1:10" hidden="1" x14ac:dyDescent="0.25">
      <c r="A1071" s="219"/>
      <c r="B1071" s="237"/>
      <c r="C1071" s="36" t="s">
        <v>23</v>
      </c>
      <c r="D1071" s="47" t="s">
        <v>12</v>
      </c>
      <c r="E1071" s="37">
        <v>0.18859999999999999</v>
      </c>
      <c r="F1071" s="31">
        <v>16.1785</v>
      </c>
      <c r="G1071" s="34">
        <f t="shared" si="17"/>
        <v>3.0512650999999997</v>
      </c>
      <c r="H1071" s="35"/>
      <c r="I1071" s="31"/>
      <c r="J1071" s="102">
        <v>0</v>
      </c>
    </row>
    <row r="1072" spans="1:10" hidden="1" x14ac:dyDescent="0.25">
      <c r="A1072" s="219"/>
      <c r="B1072" s="237"/>
      <c r="C1072" s="36"/>
      <c r="D1072" s="47"/>
      <c r="E1072" s="37"/>
      <c r="F1072" s="34" t="s">
        <v>522</v>
      </c>
      <c r="G1072" s="34" t="str">
        <f t="shared" si="17"/>
        <v/>
      </c>
      <c r="H1072" s="35"/>
      <c r="I1072" s="31"/>
      <c r="J1072" s="102">
        <v>0</v>
      </c>
    </row>
    <row r="1073" spans="1:10" ht="15.75" hidden="1" thickBot="1" x14ac:dyDescent="0.3">
      <c r="A1073" s="218" t="s">
        <v>341</v>
      </c>
      <c r="B1073" s="221" t="e">
        <f>INDEX(#REF!,MATCH(Composições!A1073,#REF!,0),2)</f>
        <v>#REF!</v>
      </c>
      <c r="C1073" s="41"/>
      <c r="D1073" s="26" t="s">
        <v>20</v>
      </c>
      <c r="E1073" s="27"/>
      <c r="F1073" s="42" t="s">
        <v>522</v>
      </c>
      <c r="G1073" s="28" t="str">
        <f t="shared" si="17"/>
        <v/>
      </c>
      <c r="H1073" s="29"/>
      <c r="I1073" s="30"/>
      <c r="J1073" s="102">
        <v>0</v>
      </c>
    </row>
    <row r="1074" spans="1:10" hidden="1" x14ac:dyDescent="0.25">
      <c r="A1074" s="219"/>
      <c r="B1074" s="237"/>
      <c r="C1074" s="32"/>
      <c r="D1074" s="32"/>
      <c r="E1074" s="33"/>
      <c r="F1074" s="43" t="s">
        <v>522</v>
      </c>
      <c r="G1074" s="31" t="str">
        <f t="shared" si="17"/>
        <v/>
      </c>
      <c r="H1074" s="35"/>
      <c r="I1074" s="31"/>
      <c r="J1074" s="102">
        <v>0</v>
      </c>
    </row>
    <row r="1075" spans="1:10" ht="25.5" hidden="1" x14ac:dyDescent="0.25">
      <c r="A1075" s="219"/>
      <c r="B1075" s="237"/>
      <c r="C1075" s="36" t="s">
        <v>340</v>
      </c>
      <c r="D1075" s="47" t="s">
        <v>279</v>
      </c>
      <c r="E1075" s="37">
        <v>2</v>
      </c>
      <c r="F1075" s="34">
        <v>16.387499999999999</v>
      </c>
      <c r="G1075" s="31">
        <f t="shared" si="17"/>
        <v>32.774999999999999</v>
      </c>
      <c r="H1075" s="39">
        <f>SUM(G1075:G1078)</f>
        <v>46.020075749999997</v>
      </c>
      <c r="I1075" s="40"/>
      <c r="J1075" s="102">
        <v>0</v>
      </c>
    </row>
    <row r="1076" spans="1:10" hidden="1" x14ac:dyDescent="0.25">
      <c r="A1076" s="219"/>
      <c r="B1076" s="237"/>
      <c r="C1076" s="36" t="s">
        <v>342</v>
      </c>
      <c r="D1076" s="47" t="s">
        <v>279</v>
      </c>
      <c r="E1076" s="37">
        <v>3.6499999999999998E-2</v>
      </c>
      <c r="F1076" s="34">
        <v>3.5244999999999997</v>
      </c>
      <c r="G1076" s="31">
        <f t="shared" si="17"/>
        <v>0.12864424999999999</v>
      </c>
      <c r="H1076" s="35"/>
      <c r="I1076" s="31"/>
      <c r="J1076" s="102">
        <v>0</v>
      </c>
    </row>
    <row r="1077" spans="1:10" hidden="1" x14ac:dyDescent="0.25">
      <c r="A1077" s="219"/>
      <c r="B1077" s="237"/>
      <c r="C1077" s="36" t="s">
        <v>23</v>
      </c>
      <c r="D1077" s="47" t="s">
        <v>12</v>
      </c>
      <c r="E1077" s="37">
        <f>ROUND(0.3179/2,4)</f>
        <v>0.159</v>
      </c>
      <c r="F1077" s="31">
        <v>16.1785</v>
      </c>
      <c r="G1077" s="34">
        <f t="shared" si="17"/>
        <v>2.5723815000000001</v>
      </c>
      <c r="H1077" s="35"/>
      <c r="I1077" s="31"/>
      <c r="J1077" s="102">
        <v>0</v>
      </c>
    </row>
    <row r="1078" spans="1:10" hidden="1" x14ac:dyDescent="0.25">
      <c r="A1078" s="219"/>
      <c r="B1078" s="237"/>
      <c r="C1078" s="36" t="s">
        <v>39</v>
      </c>
      <c r="D1078" s="47" t="s">
        <v>12</v>
      </c>
      <c r="E1078" s="37">
        <f>1.009/2</f>
        <v>0.50449999999999995</v>
      </c>
      <c r="F1078" s="31">
        <v>20.9</v>
      </c>
      <c r="G1078" s="34">
        <f t="shared" si="17"/>
        <v>10.544049999999999</v>
      </c>
      <c r="H1078" s="35"/>
      <c r="I1078" s="31"/>
      <c r="J1078" s="102">
        <v>0</v>
      </c>
    </row>
    <row r="1079" spans="1:10" hidden="1" x14ac:dyDescent="0.25">
      <c r="A1079" s="219"/>
      <c r="B1079" s="237"/>
      <c r="C1079" s="36"/>
      <c r="D1079" s="47"/>
      <c r="E1079" s="37"/>
      <c r="F1079" s="34" t="s">
        <v>522</v>
      </c>
      <c r="G1079" s="34" t="str">
        <f t="shared" si="17"/>
        <v/>
      </c>
      <c r="H1079" s="35"/>
      <c r="I1079" s="31"/>
      <c r="J1079" s="102">
        <v>0</v>
      </c>
    </row>
    <row r="1080" spans="1:10" ht="25.5" hidden="1" x14ac:dyDescent="0.25">
      <c r="A1080" s="219"/>
      <c r="B1080" s="237"/>
      <c r="C1080" s="52" t="s">
        <v>343</v>
      </c>
      <c r="D1080" s="47"/>
      <c r="E1080" s="37"/>
      <c r="F1080" s="34" t="s">
        <v>522</v>
      </c>
      <c r="G1080" s="34" t="str">
        <f t="shared" si="17"/>
        <v/>
      </c>
      <c r="H1080" s="35"/>
      <c r="I1080" s="31"/>
      <c r="J1080" s="102">
        <v>0</v>
      </c>
    </row>
    <row r="1081" spans="1:10" hidden="1" x14ac:dyDescent="0.25">
      <c r="A1081" s="219"/>
      <c r="B1081" s="237"/>
      <c r="C1081" s="36"/>
      <c r="D1081" s="36"/>
      <c r="E1081" s="37"/>
      <c r="F1081" s="34" t="s">
        <v>522</v>
      </c>
      <c r="G1081" s="34" t="str">
        <f t="shared" si="17"/>
        <v/>
      </c>
      <c r="H1081" s="35"/>
      <c r="I1081" s="31"/>
      <c r="J1081" s="102">
        <v>0</v>
      </c>
    </row>
    <row r="1082" spans="1:10" ht="15.75" hidden="1" thickBot="1" x14ac:dyDescent="0.3">
      <c r="A1082" s="218" t="s">
        <v>344</v>
      </c>
      <c r="B1082" s="221" t="e">
        <f>INDEX(#REF!,MATCH(Composições!A1082,#REF!,0),2)</f>
        <v>#REF!</v>
      </c>
      <c r="C1082" s="41"/>
      <c r="D1082" s="26" t="s">
        <v>20</v>
      </c>
      <c r="E1082" s="27"/>
      <c r="F1082" s="42" t="s">
        <v>522</v>
      </c>
      <c r="G1082" s="28" t="str">
        <f t="shared" si="17"/>
        <v/>
      </c>
      <c r="H1082" s="29"/>
      <c r="I1082" s="30"/>
      <c r="J1082" s="102">
        <v>0</v>
      </c>
    </row>
    <row r="1083" spans="1:10" hidden="1" x14ac:dyDescent="0.25">
      <c r="A1083" s="219"/>
      <c r="B1083" s="237"/>
      <c r="C1083" s="32"/>
      <c r="D1083" s="32"/>
      <c r="E1083" s="33"/>
      <c r="F1083" s="43" t="s">
        <v>522</v>
      </c>
      <c r="G1083" s="31" t="str">
        <f t="shared" si="17"/>
        <v/>
      </c>
      <c r="H1083" s="35"/>
      <c r="I1083" s="31"/>
      <c r="J1083" s="102">
        <v>0</v>
      </c>
    </row>
    <row r="1084" spans="1:10" ht="25.5" hidden="1" x14ac:dyDescent="0.25">
      <c r="A1084" s="219"/>
      <c r="B1084" s="237"/>
      <c r="C1084" s="36" t="s">
        <v>329</v>
      </c>
      <c r="D1084" s="47" t="s">
        <v>279</v>
      </c>
      <c r="E1084" s="37">
        <v>2</v>
      </c>
      <c r="F1084" s="34">
        <v>22.106499999999997</v>
      </c>
      <c r="G1084" s="34">
        <f t="shared" si="17"/>
        <v>44.212999999999994</v>
      </c>
      <c r="H1084" s="39">
        <f>SUM(G1084:G1088)</f>
        <v>76.274367600000005</v>
      </c>
      <c r="I1084" s="40"/>
      <c r="J1084" s="102">
        <v>0</v>
      </c>
    </row>
    <row r="1085" spans="1:10" ht="25.5" hidden="1" x14ac:dyDescent="0.25">
      <c r="A1085" s="219"/>
      <c r="B1085" s="237"/>
      <c r="C1085" s="36" t="s">
        <v>2377</v>
      </c>
      <c r="D1085" s="47" t="s">
        <v>20</v>
      </c>
      <c r="E1085" s="37">
        <v>1</v>
      </c>
      <c r="F1085" s="34">
        <v>10.849</v>
      </c>
      <c r="G1085" s="54">
        <f t="shared" si="17"/>
        <v>10.849</v>
      </c>
      <c r="H1085" s="35"/>
      <c r="I1085" s="31"/>
      <c r="J1085" s="102">
        <v>0</v>
      </c>
    </row>
    <row r="1086" spans="1:10" hidden="1" x14ac:dyDescent="0.25">
      <c r="A1086" s="219"/>
      <c r="B1086" s="237"/>
      <c r="C1086" s="36" t="s">
        <v>1920</v>
      </c>
      <c r="D1086" s="47" t="s">
        <v>42</v>
      </c>
      <c r="E1086" s="37">
        <v>8.8099999999999998E-2</v>
      </c>
      <c r="F1086" s="34">
        <v>58.738499999999995</v>
      </c>
      <c r="G1086" s="34">
        <f t="shared" si="17"/>
        <v>5.1748618499999992</v>
      </c>
      <c r="H1086" s="35"/>
      <c r="I1086" s="31"/>
      <c r="J1086" s="102">
        <v>0</v>
      </c>
    </row>
    <row r="1087" spans="1:10" hidden="1" x14ac:dyDescent="0.25">
      <c r="A1087" s="219"/>
      <c r="B1087" s="237"/>
      <c r="C1087" s="36" t="s">
        <v>39</v>
      </c>
      <c r="D1087" s="47" t="s">
        <v>12</v>
      </c>
      <c r="E1087" s="37">
        <v>0.49680000000000002</v>
      </c>
      <c r="F1087" s="31">
        <v>20.9</v>
      </c>
      <c r="G1087" s="34">
        <f t="shared" si="17"/>
        <v>10.38312</v>
      </c>
      <c r="H1087" s="35"/>
      <c r="I1087" s="31"/>
      <c r="J1087" s="102">
        <v>0</v>
      </c>
    </row>
    <row r="1088" spans="1:10" hidden="1" x14ac:dyDescent="0.25">
      <c r="A1088" s="219"/>
      <c r="B1088" s="237"/>
      <c r="C1088" s="36" t="s">
        <v>23</v>
      </c>
      <c r="D1088" s="47" t="s">
        <v>12</v>
      </c>
      <c r="E1088" s="37">
        <v>0.34949999999999998</v>
      </c>
      <c r="F1088" s="31">
        <v>16.1785</v>
      </c>
      <c r="G1088" s="34">
        <f t="shared" si="17"/>
        <v>5.6543857499999994</v>
      </c>
      <c r="H1088" s="35"/>
      <c r="I1088" s="31"/>
      <c r="J1088" s="102">
        <v>0</v>
      </c>
    </row>
    <row r="1089" spans="1:10" hidden="1" x14ac:dyDescent="0.25">
      <c r="A1089" s="219"/>
      <c r="B1089" s="237"/>
      <c r="C1089" s="36"/>
      <c r="D1089" s="36"/>
      <c r="E1089" s="37"/>
      <c r="F1089" s="31" t="s">
        <v>522</v>
      </c>
      <c r="G1089" s="34" t="str">
        <f t="shared" si="17"/>
        <v/>
      </c>
      <c r="H1089" s="35"/>
      <c r="I1089" s="31"/>
      <c r="J1089" s="102">
        <v>0</v>
      </c>
    </row>
    <row r="1090" spans="1:10" ht="15.75" hidden="1" thickBot="1" x14ac:dyDescent="0.3">
      <c r="A1090" s="218" t="s">
        <v>345</v>
      </c>
      <c r="B1090" s="221" t="e">
        <f>INDEX(#REF!,MATCH(Composições!A1090,#REF!,0),2)</f>
        <v>#REF!</v>
      </c>
      <c r="C1090" s="41"/>
      <c r="D1090" s="26" t="s">
        <v>20</v>
      </c>
      <c r="E1090" s="27"/>
      <c r="F1090" s="42" t="s">
        <v>522</v>
      </c>
      <c r="G1090" s="28" t="str">
        <f t="shared" si="17"/>
        <v/>
      </c>
      <c r="H1090" s="29"/>
      <c r="I1090" s="30"/>
      <c r="J1090" s="102">
        <v>0</v>
      </c>
    </row>
    <row r="1091" spans="1:10" hidden="1" x14ac:dyDescent="0.25">
      <c r="A1091" s="219"/>
      <c r="B1091" s="237"/>
      <c r="C1091" s="32"/>
      <c r="D1091" s="32"/>
      <c r="E1091" s="33"/>
      <c r="F1091" s="43" t="s">
        <v>522</v>
      </c>
      <c r="G1091" s="31" t="str">
        <f t="shared" si="17"/>
        <v/>
      </c>
      <c r="H1091" s="35"/>
      <c r="I1091" s="31"/>
      <c r="J1091" s="102">
        <v>0</v>
      </c>
    </row>
    <row r="1092" spans="1:10" ht="25.5" hidden="1" x14ac:dyDescent="0.25">
      <c r="A1092" s="219"/>
      <c r="B1092" s="237"/>
      <c r="C1092" s="36" t="s">
        <v>2385</v>
      </c>
      <c r="D1092" s="47" t="s">
        <v>279</v>
      </c>
      <c r="E1092" s="37">
        <v>1</v>
      </c>
      <c r="F1092" s="34">
        <v>68.381</v>
      </c>
      <c r="G1092" s="34">
        <f t="shared" si="17"/>
        <v>68.381</v>
      </c>
      <c r="H1092" s="39">
        <f>SUM(G1092:G1096)</f>
        <v>114.0812155</v>
      </c>
      <c r="I1092" s="40"/>
      <c r="J1092" s="102">
        <v>0</v>
      </c>
    </row>
    <row r="1093" spans="1:10" ht="25.5" hidden="1" x14ac:dyDescent="0.25">
      <c r="A1093" s="219"/>
      <c r="B1093" s="237"/>
      <c r="C1093" s="36" t="s">
        <v>340</v>
      </c>
      <c r="D1093" s="47" t="s">
        <v>279</v>
      </c>
      <c r="E1093" s="37">
        <v>2</v>
      </c>
      <c r="F1093" s="34">
        <v>16.387499999999999</v>
      </c>
      <c r="G1093" s="34">
        <f t="shared" si="17"/>
        <v>32.774999999999999</v>
      </c>
      <c r="H1093" s="35"/>
      <c r="I1093" s="31"/>
      <c r="J1093" s="102">
        <v>0</v>
      </c>
    </row>
    <row r="1094" spans="1:10" hidden="1" x14ac:dyDescent="0.25">
      <c r="A1094" s="219"/>
      <c r="B1094" s="237"/>
      <c r="C1094" s="36" t="s">
        <v>1920</v>
      </c>
      <c r="D1094" s="47" t="s">
        <v>42</v>
      </c>
      <c r="E1094" s="37">
        <v>3.04E-2</v>
      </c>
      <c r="F1094" s="34">
        <v>58.738499999999995</v>
      </c>
      <c r="G1094" s="34">
        <f t="shared" si="17"/>
        <v>1.7856503999999997</v>
      </c>
      <c r="H1094" s="35"/>
      <c r="I1094" s="31"/>
      <c r="J1094" s="102">
        <v>0</v>
      </c>
    </row>
    <row r="1095" spans="1:10" hidden="1" x14ac:dyDescent="0.25">
      <c r="A1095" s="219"/>
      <c r="B1095" s="237"/>
      <c r="C1095" s="36" t="s">
        <v>39</v>
      </c>
      <c r="D1095" s="47" t="s">
        <v>12</v>
      </c>
      <c r="E1095" s="37">
        <v>0.38700000000000001</v>
      </c>
      <c r="F1095" s="31">
        <v>20.9</v>
      </c>
      <c r="G1095" s="34">
        <f t="shared" si="17"/>
        <v>8.0883000000000003</v>
      </c>
      <c r="H1095" s="35"/>
      <c r="I1095" s="31"/>
      <c r="J1095" s="102">
        <v>0</v>
      </c>
    </row>
    <row r="1096" spans="1:10" hidden="1" x14ac:dyDescent="0.25">
      <c r="A1096" s="219"/>
      <c r="B1096" s="237"/>
      <c r="C1096" s="36" t="s">
        <v>23</v>
      </c>
      <c r="D1096" s="47" t="s">
        <v>12</v>
      </c>
      <c r="E1096" s="37">
        <v>0.18859999999999999</v>
      </c>
      <c r="F1096" s="31">
        <v>16.1785</v>
      </c>
      <c r="G1096" s="34">
        <f t="shared" si="17"/>
        <v>3.0512650999999997</v>
      </c>
      <c r="H1096" s="35"/>
      <c r="I1096" s="31"/>
      <c r="J1096" s="102">
        <v>0</v>
      </c>
    </row>
    <row r="1097" spans="1:10" ht="15.75" hidden="1" thickBot="1" x14ac:dyDescent="0.3">
      <c r="A1097" s="220"/>
      <c r="B1097" s="223"/>
      <c r="C1097" s="36"/>
      <c r="D1097" s="36"/>
      <c r="E1097" s="37"/>
      <c r="F1097" s="31" t="s">
        <v>522</v>
      </c>
      <c r="G1097" s="31" t="str">
        <f t="shared" si="17"/>
        <v/>
      </c>
      <c r="H1097" s="35"/>
      <c r="I1097" s="31"/>
      <c r="J1097" s="102">
        <v>0</v>
      </c>
    </row>
    <row r="1098" spans="1:10" ht="15.75" hidden="1" thickBot="1" x14ac:dyDescent="0.3">
      <c r="A1098" s="218" t="s">
        <v>346</v>
      </c>
      <c r="B1098" s="221" t="e">
        <f>INDEX(#REF!,MATCH(Composições!A1098,#REF!,0),2)</f>
        <v>#REF!</v>
      </c>
      <c r="C1098" s="41"/>
      <c r="D1098" s="26" t="s">
        <v>20</v>
      </c>
      <c r="E1098" s="27"/>
      <c r="F1098" s="42" t="s">
        <v>522</v>
      </c>
      <c r="G1098" s="28" t="str">
        <f t="shared" si="17"/>
        <v/>
      </c>
      <c r="H1098" s="29"/>
      <c r="I1098" s="30"/>
      <c r="J1098" s="102">
        <v>0</v>
      </c>
    </row>
    <row r="1099" spans="1:10" hidden="1" x14ac:dyDescent="0.25">
      <c r="A1099" s="219"/>
      <c r="B1099" s="237"/>
      <c r="C1099" s="32"/>
      <c r="D1099" s="32"/>
      <c r="E1099" s="33"/>
      <c r="F1099" s="43" t="s">
        <v>522</v>
      </c>
      <c r="G1099" s="31" t="str">
        <f t="shared" si="17"/>
        <v/>
      </c>
      <c r="H1099" s="35"/>
      <c r="I1099" s="31"/>
      <c r="J1099" s="102">
        <v>0</v>
      </c>
    </row>
    <row r="1100" spans="1:10" ht="25.5" hidden="1" x14ac:dyDescent="0.25">
      <c r="A1100" s="219"/>
      <c r="B1100" s="237"/>
      <c r="C1100" s="36" t="s">
        <v>2386</v>
      </c>
      <c r="D1100" s="47" t="s">
        <v>279</v>
      </c>
      <c r="E1100" s="37">
        <v>1</v>
      </c>
      <c r="F1100" s="34">
        <v>262.98849999999999</v>
      </c>
      <c r="G1100" s="34">
        <f t="shared" si="17"/>
        <v>262.98849999999999</v>
      </c>
      <c r="H1100" s="39">
        <f>SUM(G1100:G1104)</f>
        <v>309.00857574999998</v>
      </c>
      <c r="I1100" s="40"/>
      <c r="J1100" s="102">
        <v>0</v>
      </c>
    </row>
    <row r="1101" spans="1:10" ht="25.5" hidden="1" x14ac:dyDescent="0.25">
      <c r="A1101" s="219"/>
      <c r="B1101" s="237"/>
      <c r="C1101" s="36" t="s">
        <v>340</v>
      </c>
      <c r="D1101" s="47" t="s">
        <v>279</v>
      </c>
      <c r="E1101" s="37">
        <v>2</v>
      </c>
      <c r="F1101" s="34">
        <v>16.387499999999999</v>
      </c>
      <c r="G1101" s="31">
        <f t="shared" si="17"/>
        <v>32.774999999999999</v>
      </c>
      <c r="H1101" s="35"/>
      <c r="I1101" s="31"/>
      <c r="J1101" s="102">
        <v>0</v>
      </c>
    </row>
    <row r="1102" spans="1:10" hidden="1" x14ac:dyDescent="0.25">
      <c r="A1102" s="219"/>
      <c r="B1102" s="237"/>
      <c r="C1102" s="36" t="s">
        <v>342</v>
      </c>
      <c r="D1102" s="47" t="s">
        <v>279</v>
      </c>
      <c r="E1102" s="37">
        <v>3.6499999999999998E-2</v>
      </c>
      <c r="F1102" s="34">
        <v>3.5244999999999997</v>
      </c>
      <c r="G1102" s="31">
        <f t="shared" si="17"/>
        <v>0.12864424999999999</v>
      </c>
      <c r="H1102" s="35"/>
      <c r="I1102" s="31"/>
      <c r="J1102" s="102">
        <v>0</v>
      </c>
    </row>
    <row r="1103" spans="1:10" hidden="1" x14ac:dyDescent="0.25">
      <c r="A1103" s="219"/>
      <c r="B1103" s="237"/>
      <c r="C1103" s="36" t="s">
        <v>23</v>
      </c>
      <c r="D1103" s="47" t="s">
        <v>12</v>
      </c>
      <c r="E1103" s="37">
        <f>ROUND(0.3179/2,4)</f>
        <v>0.159</v>
      </c>
      <c r="F1103" s="31">
        <v>16.1785</v>
      </c>
      <c r="G1103" s="34">
        <f t="shared" si="17"/>
        <v>2.5723815000000001</v>
      </c>
      <c r="H1103" s="35"/>
      <c r="I1103" s="31"/>
      <c r="J1103" s="102">
        <v>0</v>
      </c>
    </row>
    <row r="1104" spans="1:10" hidden="1" x14ac:dyDescent="0.25">
      <c r="A1104" s="219"/>
      <c r="B1104" s="237"/>
      <c r="C1104" s="36" t="s">
        <v>39</v>
      </c>
      <c r="D1104" s="47" t="s">
        <v>12</v>
      </c>
      <c r="E1104" s="37">
        <f>1.009/2</f>
        <v>0.50449999999999995</v>
      </c>
      <c r="F1104" s="31">
        <v>20.9</v>
      </c>
      <c r="G1104" s="34">
        <f t="shared" si="17"/>
        <v>10.544049999999999</v>
      </c>
      <c r="H1104" s="35"/>
      <c r="I1104" s="31"/>
      <c r="J1104" s="102">
        <v>0</v>
      </c>
    </row>
    <row r="1105" spans="1:10" hidden="1" x14ac:dyDescent="0.25">
      <c r="A1105" s="219"/>
      <c r="B1105" s="237"/>
      <c r="C1105" s="36"/>
      <c r="D1105" s="47"/>
      <c r="E1105" s="37"/>
      <c r="F1105" s="34" t="s">
        <v>522</v>
      </c>
      <c r="G1105" s="34" t="str">
        <f t="shared" si="17"/>
        <v/>
      </c>
      <c r="H1105" s="35"/>
      <c r="I1105" s="31"/>
      <c r="J1105" s="102">
        <v>0</v>
      </c>
    </row>
    <row r="1106" spans="1:10" ht="25.5" hidden="1" x14ac:dyDescent="0.25">
      <c r="A1106" s="219"/>
      <c r="B1106" s="237"/>
      <c r="C1106" s="52" t="s">
        <v>343</v>
      </c>
      <c r="D1106" s="47"/>
      <c r="E1106" s="37"/>
      <c r="F1106" s="34" t="s">
        <v>522</v>
      </c>
      <c r="G1106" s="34" t="str">
        <f t="shared" ref="G1106:G1169" si="18">IF(ISNUMBER(F1106),E1106*F1106,"")</f>
        <v/>
      </c>
      <c r="H1106" s="35"/>
      <c r="I1106" s="31"/>
      <c r="J1106" s="102">
        <v>0</v>
      </c>
    </row>
    <row r="1107" spans="1:10" hidden="1" x14ac:dyDescent="0.25">
      <c r="A1107" s="219"/>
      <c r="B1107" s="237"/>
      <c r="C1107" s="36"/>
      <c r="D1107" s="47"/>
      <c r="E1107" s="37"/>
      <c r="F1107" s="34" t="s">
        <v>522</v>
      </c>
      <c r="G1107" s="34" t="str">
        <f t="shared" si="18"/>
        <v/>
      </c>
      <c r="H1107" s="35"/>
      <c r="I1107" s="31"/>
      <c r="J1107" s="102">
        <v>0</v>
      </c>
    </row>
    <row r="1108" spans="1:10" ht="15.75" hidden="1" thickBot="1" x14ac:dyDescent="0.3">
      <c r="A1108" s="218" t="s">
        <v>347</v>
      </c>
      <c r="B1108" s="221" t="e">
        <f>INDEX(#REF!,MATCH(Composições!A1108,#REF!,0),2)</f>
        <v>#REF!</v>
      </c>
      <c r="C1108" s="41"/>
      <c r="D1108" s="26" t="s">
        <v>20</v>
      </c>
      <c r="E1108" s="27"/>
      <c r="F1108" s="42" t="s">
        <v>522</v>
      </c>
      <c r="G1108" s="28" t="str">
        <f t="shared" si="18"/>
        <v/>
      </c>
      <c r="H1108" s="29"/>
      <c r="I1108" s="30"/>
      <c r="J1108" s="102">
        <v>0</v>
      </c>
    </row>
    <row r="1109" spans="1:10" hidden="1" x14ac:dyDescent="0.25">
      <c r="A1109" s="219"/>
      <c r="B1109" s="237"/>
      <c r="C1109" s="32"/>
      <c r="D1109" s="32"/>
      <c r="E1109" s="33"/>
      <c r="F1109" s="43" t="s">
        <v>522</v>
      </c>
      <c r="G1109" s="31" t="str">
        <f t="shared" si="18"/>
        <v/>
      </c>
      <c r="H1109" s="35"/>
      <c r="I1109" s="31"/>
      <c r="J1109" s="102">
        <v>0</v>
      </c>
    </row>
    <row r="1110" spans="1:10" ht="25.5" hidden="1" x14ac:dyDescent="0.25">
      <c r="A1110" s="219"/>
      <c r="B1110" s="237"/>
      <c r="C1110" s="36" t="s">
        <v>348</v>
      </c>
      <c r="D1110" s="47" t="s">
        <v>144</v>
      </c>
      <c r="E1110" s="37">
        <v>1</v>
      </c>
      <c r="F1110" s="34" t="s">
        <v>522</v>
      </c>
      <c r="G1110" s="34" t="str">
        <f t="shared" si="18"/>
        <v/>
      </c>
      <c r="H1110" s="39">
        <f>SUM(G1110:G1114)</f>
        <v>90.6082526</v>
      </c>
      <c r="I1110" s="40"/>
      <c r="J1110" s="102">
        <v>0</v>
      </c>
    </row>
    <row r="1111" spans="1:10" ht="25.5" hidden="1" x14ac:dyDescent="0.25">
      <c r="A1111" s="219"/>
      <c r="B1111" s="237"/>
      <c r="C1111" s="36" t="s">
        <v>340</v>
      </c>
      <c r="D1111" s="47" t="s">
        <v>279</v>
      </c>
      <c r="E1111" s="37">
        <v>4</v>
      </c>
      <c r="F1111" s="34">
        <v>16.387499999999999</v>
      </c>
      <c r="G1111" s="34">
        <f t="shared" si="18"/>
        <v>65.55</v>
      </c>
      <c r="H1111" s="35"/>
      <c r="I1111" s="31"/>
      <c r="J1111" s="102">
        <v>0</v>
      </c>
    </row>
    <row r="1112" spans="1:10" hidden="1" x14ac:dyDescent="0.25">
      <c r="A1112" s="219"/>
      <c r="B1112" s="237"/>
      <c r="C1112" s="36" t="s">
        <v>1920</v>
      </c>
      <c r="D1112" s="47" t="s">
        <v>42</v>
      </c>
      <c r="E1112" s="37">
        <v>3.9E-2</v>
      </c>
      <c r="F1112" s="34">
        <v>58.738499999999995</v>
      </c>
      <c r="G1112" s="34">
        <f t="shared" si="18"/>
        <v>2.2908014999999997</v>
      </c>
      <c r="H1112" s="35"/>
      <c r="I1112" s="31"/>
      <c r="J1112" s="102">
        <v>0</v>
      </c>
    </row>
    <row r="1113" spans="1:10" hidden="1" x14ac:dyDescent="0.25">
      <c r="A1113" s="219"/>
      <c r="B1113" s="237"/>
      <c r="C1113" s="36" t="s">
        <v>39</v>
      </c>
      <c r="D1113" s="47" t="s">
        <v>12</v>
      </c>
      <c r="E1113" s="37">
        <v>0.8226</v>
      </c>
      <c r="F1113" s="31">
        <v>20.9</v>
      </c>
      <c r="G1113" s="34">
        <f t="shared" si="18"/>
        <v>17.192339999999998</v>
      </c>
      <c r="H1113" s="35"/>
      <c r="I1113" s="31"/>
      <c r="J1113" s="102">
        <v>0</v>
      </c>
    </row>
    <row r="1114" spans="1:10" hidden="1" x14ac:dyDescent="0.25">
      <c r="A1114" s="219"/>
      <c r="B1114" s="237"/>
      <c r="C1114" s="36" t="s">
        <v>23</v>
      </c>
      <c r="D1114" s="47" t="s">
        <v>12</v>
      </c>
      <c r="E1114" s="37">
        <v>0.34460000000000002</v>
      </c>
      <c r="F1114" s="31">
        <v>16.1785</v>
      </c>
      <c r="G1114" s="34">
        <f t="shared" si="18"/>
        <v>5.5751111</v>
      </c>
      <c r="H1114" s="35"/>
      <c r="I1114" s="31"/>
      <c r="J1114" s="102">
        <v>0</v>
      </c>
    </row>
    <row r="1115" spans="1:10" ht="15.75" hidden="1" thickBot="1" x14ac:dyDescent="0.3">
      <c r="A1115" s="220"/>
      <c r="B1115" s="223"/>
      <c r="C1115" s="36"/>
      <c r="D1115" s="36"/>
      <c r="E1115" s="37"/>
      <c r="F1115" s="31" t="s">
        <v>522</v>
      </c>
      <c r="G1115" s="31" t="str">
        <f t="shared" si="18"/>
        <v/>
      </c>
      <c r="H1115" s="35"/>
      <c r="I1115" s="31"/>
      <c r="J1115" s="102">
        <v>0</v>
      </c>
    </row>
    <row r="1116" spans="1:10" ht="15.75" hidden="1" thickBot="1" x14ac:dyDescent="0.3">
      <c r="A1116" s="218" t="s">
        <v>349</v>
      </c>
      <c r="B1116" s="221" t="e">
        <f>INDEX(#REF!,MATCH(Composições!A1116,#REF!,0),2)</f>
        <v>#REF!</v>
      </c>
      <c r="C1116" s="41"/>
      <c r="D1116" s="26" t="s">
        <v>20</v>
      </c>
      <c r="E1116" s="27"/>
      <c r="F1116" s="42" t="s">
        <v>522</v>
      </c>
      <c r="G1116" s="28" t="str">
        <f t="shared" si="18"/>
        <v/>
      </c>
      <c r="H1116" s="29"/>
      <c r="I1116" s="30"/>
      <c r="J1116" s="102">
        <v>0</v>
      </c>
    </row>
    <row r="1117" spans="1:10" hidden="1" x14ac:dyDescent="0.25">
      <c r="A1117" s="219"/>
      <c r="B1117" s="237"/>
      <c r="C1117" s="32"/>
      <c r="D1117" s="32"/>
      <c r="E1117" s="33"/>
      <c r="F1117" s="43" t="s">
        <v>522</v>
      </c>
      <c r="G1117" s="31" t="str">
        <f t="shared" si="18"/>
        <v/>
      </c>
      <c r="H1117" s="35"/>
      <c r="I1117" s="31"/>
      <c r="J1117" s="102">
        <v>0</v>
      </c>
    </row>
    <row r="1118" spans="1:10" ht="25.5" hidden="1" x14ac:dyDescent="0.25">
      <c r="A1118" s="219"/>
      <c r="B1118" s="237"/>
      <c r="C1118" s="36" t="s">
        <v>350</v>
      </c>
      <c r="D1118" s="47" t="s">
        <v>144</v>
      </c>
      <c r="E1118" s="37">
        <v>1</v>
      </c>
      <c r="F1118" s="34" t="s">
        <v>522</v>
      </c>
      <c r="G1118" s="34" t="str">
        <f t="shared" si="18"/>
        <v/>
      </c>
      <c r="H1118" s="39">
        <f>SUM(G1118:G1119)</f>
        <v>1.6719999999999999</v>
      </c>
      <c r="I1118" s="40"/>
      <c r="J1118" s="102">
        <v>0</v>
      </c>
    </row>
    <row r="1119" spans="1:10" hidden="1" x14ac:dyDescent="0.25">
      <c r="A1119" s="219"/>
      <c r="B1119" s="237"/>
      <c r="C1119" s="36" t="s">
        <v>39</v>
      </c>
      <c r="D1119" s="47" t="s">
        <v>12</v>
      </c>
      <c r="E1119" s="37">
        <v>0.08</v>
      </c>
      <c r="F1119" s="31">
        <v>20.9</v>
      </c>
      <c r="G1119" s="34">
        <f t="shared" si="18"/>
        <v>1.6719999999999999</v>
      </c>
      <c r="H1119" s="35"/>
      <c r="I1119" s="31"/>
      <c r="J1119" s="102">
        <v>0</v>
      </c>
    </row>
    <row r="1120" spans="1:10" ht="15.75" hidden="1" thickBot="1" x14ac:dyDescent="0.3">
      <c r="A1120" s="220"/>
      <c r="B1120" s="223"/>
      <c r="C1120" s="52"/>
      <c r="D1120" s="36"/>
      <c r="E1120" s="37"/>
      <c r="F1120" s="31" t="s">
        <v>522</v>
      </c>
      <c r="G1120" s="31" t="str">
        <f t="shared" si="18"/>
        <v/>
      </c>
      <c r="H1120" s="35"/>
      <c r="I1120" s="31"/>
      <c r="J1120" s="102">
        <v>0</v>
      </c>
    </row>
    <row r="1121" spans="1:10" ht="15.75" hidden="1" thickBot="1" x14ac:dyDescent="0.3">
      <c r="A1121" s="218" t="s">
        <v>351</v>
      </c>
      <c r="B1121" s="221" t="e">
        <f>INDEX(#REF!,MATCH(Composições!A1121,#REF!,0),2)</f>
        <v>#REF!</v>
      </c>
      <c r="C1121" s="41"/>
      <c r="D1121" s="26" t="s">
        <v>20</v>
      </c>
      <c r="E1121" s="27"/>
      <c r="F1121" s="42" t="s">
        <v>522</v>
      </c>
      <c r="G1121" s="28" t="str">
        <f t="shared" si="18"/>
        <v/>
      </c>
      <c r="H1121" s="29"/>
      <c r="I1121" s="30"/>
      <c r="J1121" s="102">
        <v>0</v>
      </c>
    </row>
    <row r="1122" spans="1:10" hidden="1" x14ac:dyDescent="0.25">
      <c r="A1122" s="219"/>
      <c r="B1122" s="237"/>
      <c r="C1122" s="32"/>
      <c r="D1122" s="32"/>
      <c r="E1122" s="33"/>
      <c r="F1122" s="43" t="s">
        <v>522</v>
      </c>
      <c r="G1122" s="31" t="str">
        <f t="shared" si="18"/>
        <v/>
      </c>
      <c r="H1122" s="35"/>
      <c r="I1122" s="31"/>
      <c r="J1122" s="102">
        <v>0</v>
      </c>
    </row>
    <row r="1123" spans="1:10" ht="25.5" hidden="1" x14ac:dyDescent="0.25">
      <c r="A1123" s="219"/>
      <c r="B1123" s="237"/>
      <c r="C1123" s="36" t="s">
        <v>352</v>
      </c>
      <c r="D1123" s="47" t="s">
        <v>144</v>
      </c>
      <c r="E1123" s="37">
        <v>1</v>
      </c>
      <c r="F1123" s="34" t="s">
        <v>522</v>
      </c>
      <c r="G1123" s="34" t="str">
        <f t="shared" si="18"/>
        <v/>
      </c>
      <c r="H1123" s="39">
        <f>SUM(G1123:G1124)</f>
        <v>1.6719999999999999</v>
      </c>
      <c r="I1123" s="40"/>
      <c r="J1123" s="102">
        <v>0</v>
      </c>
    </row>
    <row r="1124" spans="1:10" hidden="1" x14ac:dyDescent="0.25">
      <c r="A1124" s="219"/>
      <c r="B1124" s="237"/>
      <c r="C1124" s="36" t="s">
        <v>39</v>
      </c>
      <c r="D1124" s="47" t="s">
        <v>12</v>
      </c>
      <c r="E1124" s="37">
        <v>0.08</v>
      </c>
      <c r="F1124" s="31">
        <v>20.9</v>
      </c>
      <c r="G1124" s="34">
        <f t="shared" si="18"/>
        <v>1.6719999999999999</v>
      </c>
      <c r="H1124" s="35"/>
      <c r="I1124" s="31"/>
      <c r="J1124" s="102">
        <v>0</v>
      </c>
    </row>
    <row r="1125" spans="1:10" ht="15.75" hidden="1" thickBot="1" x14ac:dyDescent="0.3">
      <c r="A1125" s="220"/>
      <c r="B1125" s="223"/>
      <c r="C1125" s="36"/>
      <c r="D1125" s="36"/>
      <c r="E1125" s="37"/>
      <c r="F1125" s="31" t="s">
        <v>522</v>
      </c>
      <c r="G1125" s="31" t="str">
        <f t="shared" si="18"/>
        <v/>
      </c>
      <c r="H1125" s="35"/>
      <c r="I1125" s="31"/>
      <c r="J1125" s="102">
        <v>0</v>
      </c>
    </row>
    <row r="1126" spans="1:10" ht="15.75" hidden="1" thickBot="1" x14ac:dyDescent="0.3">
      <c r="A1126" s="218" t="s">
        <v>353</v>
      </c>
      <c r="B1126" s="221" t="e">
        <f>INDEX(#REF!,MATCH(Composições!A1126,#REF!,0),2)</f>
        <v>#REF!</v>
      </c>
      <c r="C1126" s="41"/>
      <c r="D1126" s="26" t="s">
        <v>20</v>
      </c>
      <c r="E1126" s="27"/>
      <c r="F1126" s="42" t="s">
        <v>522</v>
      </c>
      <c r="G1126" s="28" t="str">
        <f t="shared" si="18"/>
        <v/>
      </c>
      <c r="H1126" s="29"/>
      <c r="I1126" s="30"/>
      <c r="J1126" s="102">
        <v>0</v>
      </c>
    </row>
    <row r="1127" spans="1:10" hidden="1" x14ac:dyDescent="0.25">
      <c r="A1127" s="219"/>
      <c r="B1127" s="237"/>
      <c r="C1127" s="32"/>
      <c r="D1127" s="32"/>
      <c r="E1127" s="33"/>
      <c r="F1127" s="43" t="s">
        <v>522</v>
      </c>
      <c r="G1127" s="31" t="str">
        <f t="shared" si="18"/>
        <v/>
      </c>
      <c r="H1127" s="35"/>
      <c r="I1127" s="31"/>
      <c r="J1127" s="102">
        <v>0</v>
      </c>
    </row>
    <row r="1128" spans="1:10" ht="25.5" hidden="1" x14ac:dyDescent="0.25">
      <c r="A1128" s="219"/>
      <c r="B1128" s="237"/>
      <c r="C1128" s="36" t="s">
        <v>354</v>
      </c>
      <c r="D1128" s="47" t="s">
        <v>144</v>
      </c>
      <c r="E1128" s="37">
        <v>1</v>
      </c>
      <c r="F1128" s="34" t="s">
        <v>522</v>
      </c>
      <c r="G1128" s="34" t="str">
        <f t="shared" si="18"/>
        <v/>
      </c>
      <c r="H1128" s="39">
        <f>SUM(G1128:G1130)</f>
        <v>18.786249999999999</v>
      </c>
      <c r="I1128" s="40"/>
      <c r="J1128" s="102">
        <v>0</v>
      </c>
    </row>
    <row r="1129" spans="1:10" hidden="1" x14ac:dyDescent="0.25">
      <c r="A1129" s="219"/>
      <c r="B1129" s="237"/>
      <c r="C1129" s="36" t="s">
        <v>39</v>
      </c>
      <c r="D1129" s="47" t="s">
        <v>12</v>
      </c>
      <c r="E1129" s="37">
        <v>0.5</v>
      </c>
      <c r="F1129" s="31">
        <v>20.9</v>
      </c>
      <c r="G1129" s="34">
        <f t="shared" si="18"/>
        <v>10.45</v>
      </c>
      <c r="H1129" s="35"/>
      <c r="I1129" s="31"/>
      <c r="J1129" s="102">
        <v>0</v>
      </c>
    </row>
    <row r="1130" spans="1:10" ht="25.5" hidden="1" x14ac:dyDescent="0.25">
      <c r="A1130" s="219"/>
      <c r="B1130" s="237"/>
      <c r="C1130" s="36" t="s">
        <v>107</v>
      </c>
      <c r="D1130" s="47" t="s">
        <v>12</v>
      </c>
      <c r="E1130" s="37">
        <v>0.5</v>
      </c>
      <c r="F1130" s="31">
        <v>16.672499999999999</v>
      </c>
      <c r="G1130" s="34">
        <f t="shared" si="18"/>
        <v>8.3362499999999997</v>
      </c>
      <c r="H1130" s="35"/>
      <c r="I1130" s="31"/>
      <c r="J1130" s="102">
        <v>0</v>
      </c>
    </row>
    <row r="1131" spans="1:10" ht="15.75" hidden="1" thickBot="1" x14ac:dyDescent="0.3">
      <c r="A1131" s="220"/>
      <c r="B1131" s="223"/>
      <c r="C1131" s="36"/>
      <c r="D1131" s="36"/>
      <c r="E1131" s="37"/>
      <c r="F1131" s="31" t="s">
        <v>522</v>
      </c>
      <c r="G1131" s="31" t="str">
        <f t="shared" si="18"/>
        <v/>
      </c>
      <c r="H1131" s="35"/>
      <c r="I1131" s="31"/>
      <c r="J1131" s="102">
        <v>0</v>
      </c>
    </row>
    <row r="1132" spans="1:10" ht="15.75" hidden="1" thickBot="1" x14ac:dyDescent="0.3">
      <c r="A1132" s="218" t="s">
        <v>355</v>
      </c>
      <c r="B1132" s="221" t="e">
        <f>INDEX(#REF!,MATCH(Composições!A1132,#REF!,0),2)</f>
        <v>#REF!</v>
      </c>
      <c r="C1132" s="41"/>
      <c r="D1132" s="26" t="s">
        <v>20</v>
      </c>
      <c r="E1132" s="27"/>
      <c r="F1132" s="42" t="s">
        <v>522</v>
      </c>
      <c r="G1132" s="28" t="str">
        <f t="shared" si="18"/>
        <v/>
      </c>
      <c r="H1132" s="29"/>
      <c r="I1132" s="30"/>
      <c r="J1132" s="102">
        <v>0</v>
      </c>
    </row>
    <row r="1133" spans="1:10" hidden="1" x14ac:dyDescent="0.25">
      <c r="A1133" s="219"/>
      <c r="B1133" s="237"/>
      <c r="C1133" s="32"/>
      <c r="D1133" s="32"/>
      <c r="E1133" s="33"/>
      <c r="F1133" s="43" t="s">
        <v>522</v>
      </c>
      <c r="G1133" s="31" t="str">
        <f t="shared" si="18"/>
        <v/>
      </c>
      <c r="H1133" s="35"/>
      <c r="I1133" s="31"/>
      <c r="J1133" s="102">
        <v>0</v>
      </c>
    </row>
    <row r="1134" spans="1:10" hidden="1" x14ac:dyDescent="0.25">
      <c r="A1134" s="219"/>
      <c r="B1134" s="237"/>
      <c r="C1134" s="36" t="s">
        <v>39</v>
      </c>
      <c r="D1134" s="47" t="s">
        <v>12</v>
      </c>
      <c r="E1134" s="37">
        <v>0.16209999999999999</v>
      </c>
      <c r="F1134" s="31">
        <v>20.9</v>
      </c>
      <c r="G1134" s="34">
        <f t="shared" si="18"/>
        <v>3.3878899999999996</v>
      </c>
      <c r="H1134" s="39">
        <f>SUM(G1134:G1135)</f>
        <v>3.7663557499999998</v>
      </c>
      <c r="I1134" s="40"/>
      <c r="J1134" s="102">
        <v>0</v>
      </c>
    </row>
    <row r="1135" spans="1:10" ht="25.5" hidden="1" x14ac:dyDescent="0.25">
      <c r="A1135" s="219"/>
      <c r="B1135" s="237"/>
      <c r="C1135" s="36" t="s">
        <v>107</v>
      </c>
      <c r="D1135" s="47" t="s">
        <v>12</v>
      </c>
      <c r="E1135" s="37">
        <v>2.2700000000000001E-2</v>
      </c>
      <c r="F1135" s="31">
        <v>16.672499999999999</v>
      </c>
      <c r="G1135" s="34">
        <f t="shared" si="18"/>
        <v>0.37846574999999999</v>
      </c>
      <c r="H1135" s="45"/>
      <c r="I1135" s="46"/>
      <c r="J1135" s="102">
        <v>0</v>
      </c>
    </row>
    <row r="1136" spans="1:10" ht="15.75" hidden="1" thickBot="1" x14ac:dyDescent="0.3">
      <c r="A1136" s="220"/>
      <c r="B1136" s="223"/>
      <c r="C1136" s="36"/>
      <c r="D1136" s="36"/>
      <c r="E1136" s="37"/>
      <c r="F1136" s="31" t="s">
        <v>522</v>
      </c>
      <c r="G1136" s="31" t="str">
        <f t="shared" si="18"/>
        <v/>
      </c>
      <c r="H1136" s="35"/>
      <c r="I1136" s="31"/>
      <c r="J1136" s="102">
        <v>0</v>
      </c>
    </row>
    <row r="1137" spans="1:10" ht="15.75" hidden="1" thickBot="1" x14ac:dyDescent="0.3">
      <c r="A1137" s="218" t="s">
        <v>356</v>
      </c>
      <c r="B1137" s="221" t="e">
        <f>INDEX(#REF!,MATCH(Composições!A1137,#REF!,0),2)</f>
        <v>#REF!</v>
      </c>
      <c r="C1137" s="41"/>
      <c r="D1137" s="26" t="s">
        <v>20</v>
      </c>
      <c r="E1137" s="27"/>
      <c r="F1137" s="42" t="s">
        <v>522</v>
      </c>
      <c r="G1137" s="28" t="str">
        <f t="shared" si="18"/>
        <v/>
      </c>
      <c r="H1137" s="29"/>
      <c r="I1137" s="30"/>
      <c r="J1137" s="102">
        <v>0</v>
      </c>
    </row>
    <row r="1138" spans="1:10" hidden="1" x14ac:dyDescent="0.25">
      <c r="A1138" s="219"/>
      <c r="B1138" s="237"/>
      <c r="C1138" s="32"/>
      <c r="D1138" s="32"/>
      <c r="E1138" s="33"/>
      <c r="F1138" s="43" t="s">
        <v>522</v>
      </c>
      <c r="G1138" s="31" t="str">
        <f t="shared" si="18"/>
        <v/>
      </c>
      <c r="H1138" s="35"/>
      <c r="I1138" s="31"/>
      <c r="J1138" s="102">
        <v>0</v>
      </c>
    </row>
    <row r="1139" spans="1:10" hidden="1" x14ac:dyDescent="0.25">
      <c r="A1139" s="219"/>
      <c r="B1139" s="237"/>
      <c r="C1139" s="36" t="s">
        <v>357</v>
      </c>
      <c r="D1139" s="47" t="s">
        <v>279</v>
      </c>
      <c r="E1139" s="37">
        <v>1</v>
      </c>
      <c r="F1139" s="34">
        <v>39.025999999999996</v>
      </c>
      <c r="G1139" s="34">
        <f t="shared" si="18"/>
        <v>39.025999999999996</v>
      </c>
      <c r="H1139" s="39">
        <f>SUM(G1139:G1142)</f>
        <v>43.031603749999995</v>
      </c>
      <c r="I1139" s="40"/>
      <c r="J1139" s="102">
        <v>0</v>
      </c>
    </row>
    <row r="1140" spans="1:10" hidden="1" x14ac:dyDescent="0.25">
      <c r="A1140" s="219"/>
      <c r="B1140" s="237"/>
      <c r="C1140" s="36" t="s">
        <v>342</v>
      </c>
      <c r="D1140" s="47" t="s">
        <v>279</v>
      </c>
      <c r="E1140" s="37">
        <v>1.7500000000000002E-2</v>
      </c>
      <c r="F1140" s="34">
        <v>3.5244999999999997</v>
      </c>
      <c r="G1140" s="34">
        <f t="shared" si="18"/>
        <v>6.1678750000000004E-2</v>
      </c>
      <c r="H1140" s="35"/>
      <c r="I1140" s="31"/>
      <c r="J1140" s="102">
        <v>0</v>
      </c>
    </row>
    <row r="1141" spans="1:10" hidden="1" x14ac:dyDescent="0.25">
      <c r="A1141" s="219"/>
      <c r="B1141" s="237"/>
      <c r="C1141" s="36" t="s">
        <v>39</v>
      </c>
      <c r="D1141" s="47" t="s">
        <v>12</v>
      </c>
      <c r="E1141" s="37">
        <v>0.15</v>
      </c>
      <c r="F1141" s="31">
        <v>20.9</v>
      </c>
      <c r="G1141" s="34">
        <f t="shared" si="18"/>
        <v>3.1349999999999998</v>
      </c>
      <c r="H1141" s="35"/>
      <c r="I1141" s="31"/>
      <c r="J1141" s="102">
        <v>0</v>
      </c>
    </row>
    <row r="1142" spans="1:10" hidden="1" x14ac:dyDescent="0.25">
      <c r="A1142" s="219"/>
      <c r="B1142" s="237"/>
      <c r="C1142" s="36" t="s">
        <v>23</v>
      </c>
      <c r="D1142" s="47" t="s">
        <v>12</v>
      </c>
      <c r="E1142" s="37">
        <v>0.05</v>
      </c>
      <c r="F1142" s="31">
        <v>16.1785</v>
      </c>
      <c r="G1142" s="34">
        <f t="shared" si="18"/>
        <v>0.80892500000000001</v>
      </c>
      <c r="H1142" s="35"/>
      <c r="I1142" s="31"/>
      <c r="J1142" s="102">
        <v>0</v>
      </c>
    </row>
    <row r="1143" spans="1:10" ht="15.75" hidden="1" thickBot="1" x14ac:dyDescent="0.3">
      <c r="A1143" s="220"/>
      <c r="B1143" s="223"/>
      <c r="C1143" s="36"/>
      <c r="D1143" s="36"/>
      <c r="E1143" s="37"/>
      <c r="F1143" s="31" t="s">
        <v>522</v>
      </c>
      <c r="G1143" s="31" t="str">
        <f t="shared" si="18"/>
        <v/>
      </c>
      <c r="H1143" s="35"/>
      <c r="I1143" s="31"/>
      <c r="J1143" s="102">
        <v>0</v>
      </c>
    </row>
    <row r="1144" spans="1:10" ht="15.75" hidden="1" thickBot="1" x14ac:dyDescent="0.3">
      <c r="A1144" s="218" t="s">
        <v>358</v>
      </c>
      <c r="B1144" s="221" t="e">
        <f>INDEX(#REF!,MATCH(Composições!A1144,#REF!,0),2)</f>
        <v>#REF!</v>
      </c>
      <c r="C1144" s="41"/>
      <c r="D1144" s="26" t="s">
        <v>20</v>
      </c>
      <c r="E1144" s="27"/>
      <c r="F1144" s="42" t="s">
        <v>522</v>
      </c>
      <c r="G1144" s="28" t="str">
        <f t="shared" si="18"/>
        <v/>
      </c>
      <c r="H1144" s="29"/>
      <c r="I1144" s="30"/>
      <c r="J1144" s="102">
        <v>0</v>
      </c>
    </row>
    <row r="1145" spans="1:10" hidden="1" x14ac:dyDescent="0.25">
      <c r="A1145" s="219"/>
      <c r="B1145" s="237"/>
      <c r="C1145" s="32"/>
      <c r="D1145" s="32"/>
      <c r="E1145" s="33"/>
      <c r="F1145" s="43" t="s">
        <v>522</v>
      </c>
      <c r="G1145" s="31" t="str">
        <f t="shared" si="18"/>
        <v/>
      </c>
      <c r="H1145" s="35"/>
      <c r="I1145" s="31"/>
      <c r="J1145" s="102">
        <v>0</v>
      </c>
    </row>
    <row r="1146" spans="1:10" ht="25.5" hidden="1" x14ac:dyDescent="0.25">
      <c r="A1146" s="219"/>
      <c r="B1146" s="237"/>
      <c r="C1146" s="36" t="s">
        <v>359</v>
      </c>
      <c r="D1146" s="47" t="s">
        <v>144</v>
      </c>
      <c r="E1146" s="37">
        <v>1</v>
      </c>
      <c r="F1146" s="34" t="s">
        <v>522</v>
      </c>
      <c r="G1146" s="34" t="str">
        <f t="shared" si="18"/>
        <v/>
      </c>
      <c r="H1146" s="39">
        <f>SUM(G1146:G1149)</f>
        <v>7.2256600999999989</v>
      </c>
      <c r="I1146" s="40"/>
      <c r="J1146" s="102">
        <v>0</v>
      </c>
    </row>
    <row r="1147" spans="1:10" hidden="1" x14ac:dyDescent="0.25">
      <c r="A1147" s="219"/>
      <c r="B1147" s="237"/>
      <c r="C1147" s="36" t="s">
        <v>342</v>
      </c>
      <c r="D1147" s="47" t="s">
        <v>279</v>
      </c>
      <c r="E1147" s="37">
        <v>3.32E-2</v>
      </c>
      <c r="F1147" s="34">
        <v>3.5244999999999997</v>
      </c>
      <c r="G1147" s="34">
        <f t="shared" si="18"/>
        <v>0.11701339999999999</v>
      </c>
      <c r="H1147" s="35"/>
      <c r="I1147" s="31"/>
      <c r="J1147" s="102">
        <v>0</v>
      </c>
    </row>
    <row r="1148" spans="1:10" hidden="1" x14ac:dyDescent="0.25">
      <c r="A1148" s="219"/>
      <c r="B1148" s="237"/>
      <c r="C1148" s="36" t="s">
        <v>23</v>
      </c>
      <c r="D1148" s="47" t="s">
        <v>12</v>
      </c>
      <c r="E1148" s="37">
        <v>8.6199999999999999E-2</v>
      </c>
      <c r="F1148" s="31">
        <v>16.1785</v>
      </c>
      <c r="G1148" s="34">
        <f t="shared" si="18"/>
        <v>1.3945866999999998</v>
      </c>
      <c r="H1148" s="35"/>
      <c r="I1148" s="31"/>
      <c r="J1148" s="102">
        <v>0</v>
      </c>
    </row>
    <row r="1149" spans="1:10" hidden="1" x14ac:dyDescent="0.25">
      <c r="A1149" s="219"/>
      <c r="B1149" s="237"/>
      <c r="C1149" s="36" t="s">
        <v>39</v>
      </c>
      <c r="D1149" s="47" t="s">
        <v>12</v>
      </c>
      <c r="E1149" s="37">
        <v>0.27339999999999998</v>
      </c>
      <c r="F1149" s="31">
        <v>20.9</v>
      </c>
      <c r="G1149" s="34">
        <f t="shared" si="18"/>
        <v>5.714059999999999</v>
      </c>
      <c r="H1149" s="35"/>
      <c r="I1149" s="31"/>
      <c r="J1149" s="102">
        <v>0</v>
      </c>
    </row>
    <row r="1150" spans="1:10" ht="15.75" hidden="1" thickBot="1" x14ac:dyDescent="0.3">
      <c r="A1150" s="220"/>
      <c r="B1150" s="223"/>
      <c r="C1150" s="36"/>
      <c r="D1150" s="36"/>
      <c r="E1150" s="37"/>
      <c r="F1150" s="31" t="s">
        <v>522</v>
      </c>
      <c r="G1150" s="31" t="str">
        <f t="shared" si="18"/>
        <v/>
      </c>
      <c r="H1150" s="35"/>
      <c r="I1150" s="31"/>
      <c r="J1150" s="102">
        <v>0</v>
      </c>
    </row>
    <row r="1151" spans="1:10" ht="15.75" hidden="1" thickBot="1" x14ac:dyDescent="0.3">
      <c r="A1151" s="218" t="s">
        <v>360</v>
      </c>
      <c r="B1151" s="221" t="e">
        <f>INDEX(#REF!,MATCH(Composições!A1151,#REF!,0),2)</f>
        <v>#REF!</v>
      </c>
      <c r="C1151" s="41"/>
      <c r="D1151" s="26" t="s">
        <v>20</v>
      </c>
      <c r="E1151" s="27"/>
      <c r="F1151" s="42" t="s">
        <v>522</v>
      </c>
      <c r="G1151" s="28" t="str">
        <f t="shared" si="18"/>
        <v/>
      </c>
      <c r="H1151" s="29"/>
      <c r="I1151" s="30"/>
      <c r="J1151" s="102">
        <v>0</v>
      </c>
    </row>
    <row r="1152" spans="1:10" hidden="1" x14ac:dyDescent="0.25">
      <c r="A1152" s="219"/>
      <c r="B1152" s="237"/>
      <c r="C1152" s="32"/>
      <c r="D1152" s="32"/>
      <c r="E1152" s="33"/>
      <c r="F1152" s="43" t="s">
        <v>522</v>
      </c>
      <c r="G1152" s="31" t="str">
        <f t="shared" si="18"/>
        <v/>
      </c>
      <c r="H1152" s="35"/>
      <c r="I1152" s="31"/>
      <c r="J1152" s="102">
        <v>0</v>
      </c>
    </row>
    <row r="1153" spans="1:10" hidden="1" x14ac:dyDescent="0.25">
      <c r="A1153" s="219"/>
      <c r="B1153" s="237"/>
      <c r="C1153" s="36" t="s">
        <v>361</v>
      </c>
      <c r="D1153" s="47" t="s">
        <v>279</v>
      </c>
      <c r="E1153" s="37">
        <v>1</v>
      </c>
      <c r="F1153" s="34">
        <v>155.47699999999998</v>
      </c>
      <c r="G1153" s="34">
        <f t="shared" si="18"/>
        <v>155.47699999999998</v>
      </c>
      <c r="H1153" s="39">
        <f>SUM(G1153:G1156)</f>
        <v>162.75228999999996</v>
      </c>
      <c r="I1153" s="40"/>
      <c r="J1153" s="102">
        <v>0</v>
      </c>
    </row>
    <row r="1154" spans="1:10" hidden="1" x14ac:dyDescent="0.25">
      <c r="A1154" s="219"/>
      <c r="B1154" s="237"/>
      <c r="C1154" s="36" t="s">
        <v>342</v>
      </c>
      <c r="D1154" s="47" t="s">
        <v>279</v>
      </c>
      <c r="E1154" s="37">
        <v>0.05</v>
      </c>
      <c r="F1154" s="34">
        <v>3.5244999999999997</v>
      </c>
      <c r="G1154" s="34">
        <f t="shared" si="18"/>
        <v>0.17622499999999999</v>
      </c>
      <c r="H1154" s="35"/>
      <c r="I1154" s="31"/>
      <c r="J1154" s="102">
        <v>0</v>
      </c>
    </row>
    <row r="1155" spans="1:10" hidden="1" x14ac:dyDescent="0.25">
      <c r="A1155" s="219"/>
      <c r="B1155" s="237"/>
      <c r="C1155" s="36" t="s">
        <v>39</v>
      </c>
      <c r="D1155" s="47" t="s">
        <v>12</v>
      </c>
      <c r="E1155" s="37">
        <v>0.27</v>
      </c>
      <c r="F1155" s="31">
        <v>20.9</v>
      </c>
      <c r="G1155" s="34">
        <f t="shared" si="18"/>
        <v>5.6429999999999998</v>
      </c>
      <c r="H1155" s="35"/>
      <c r="I1155" s="31"/>
      <c r="J1155" s="102">
        <v>0</v>
      </c>
    </row>
    <row r="1156" spans="1:10" hidden="1" x14ac:dyDescent="0.25">
      <c r="A1156" s="219"/>
      <c r="B1156" s="237"/>
      <c r="C1156" s="36" t="s">
        <v>23</v>
      </c>
      <c r="D1156" s="47" t="s">
        <v>12</v>
      </c>
      <c r="E1156" s="37">
        <v>0.09</v>
      </c>
      <c r="F1156" s="31">
        <v>16.1785</v>
      </c>
      <c r="G1156" s="34">
        <f t="shared" si="18"/>
        <v>1.4560649999999999</v>
      </c>
      <c r="H1156" s="35"/>
      <c r="I1156" s="31"/>
      <c r="J1156" s="102">
        <v>0</v>
      </c>
    </row>
    <row r="1157" spans="1:10" ht="15.75" hidden="1" thickBot="1" x14ac:dyDescent="0.3">
      <c r="A1157" s="220"/>
      <c r="B1157" s="223"/>
      <c r="C1157" s="36"/>
      <c r="D1157" s="36"/>
      <c r="E1157" s="37"/>
      <c r="F1157" s="31" t="s">
        <v>522</v>
      </c>
      <c r="G1157" s="31" t="str">
        <f t="shared" si="18"/>
        <v/>
      </c>
      <c r="H1157" s="35"/>
      <c r="I1157" s="31"/>
      <c r="J1157" s="102">
        <v>0</v>
      </c>
    </row>
    <row r="1158" spans="1:10" ht="15.75" hidden="1" thickBot="1" x14ac:dyDescent="0.3">
      <c r="A1158" s="218" t="s">
        <v>362</v>
      </c>
      <c r="B1158" s="221" t="e">
        <f>INDEX(#REF!,MATCH(Composições!A1158,#REF!,0),2)</f>
        <v>#REF!</v>
      </c>
      <c r="C1158" s="41"/>
      <c r="D1158" s="26" t="s">
        <v>20</v>
      </c>
      <c r="E1158" s="27"/>
      <c r="F1158" s="42" t="s">
        <v>522</v>
      </c>
      <c r="G1158" s="28" t="str">
        <f t="shared" si="18"/>
        <v/>
      </c>
      <c r="H1158" s="29"/>
      <c r="I1158" s="30"/>
      <c r="J1158" s="102">
        <v>0</v>
      </c>
    </row>
    <row r="1159" spans="1:10" hidden="1" x14ac:dyDescent="0.25">
      <c r="A1159" s="219"/>
      <c r="B1159" s="237"/>
      <c r="C1159" s="32"/>
      <c r="D1159" s="32"/>
      <c r="E1159" s="33"/>
      <c r="F1159" s="43" t="s">
        <v>522</v>
      </c>
      <c r="G1159" s="31" t="str">
        <f t="shared" si="18"/>
        <v/>
      </c>
      <c r="H1159" s="35"/>
      <c r="I1159" s="31"/>
      <c r="J1159" s="102">
        <v>0</v>
      </c>
    </row>
    <row r="1160" spans="1:10" hidden="1" x14ac:dyDescent="0.25">
      <c r="A1160" s="219"/>
      <c r="B1160" s="237"/>
      <c r="C1160" s="36" t="s">
        <v>342</v>
      </c>
      <c r="D1160" s="47" t="s">
        <v>279</v>
      </c>
      <c r="E1160" s="37">
        <v>3.32E-2</v>
      </c>
      <c r="F1160" s="34">
        <v>3.5244999999999997</v>
      </c>
      <c r="G1160" s="34">
        <f t="shared" si="18"/>
        <v>0.11701339999999999</v>
      </c>
      <c r="H1160" s="39">
        <f>SUM(G1160:G1163)</f>
        <v>171.8796601</v>
      </c>
      <c r="I1160" s="40"/>
      <c r="J1160" s="102">
        <v>0</v>
      </c>
    </row>
    <row r="1161" spans="1:10" hidden="1" x14ac:dyDescent="0.25">
      <c r="A1161" s="219"/>
      <c r="B1161" s="237"/>
      <c r="C1161" s="36" t="s">
        <v>23</v>
      </c>
      <c r="D1161" s="47" t="s">
        <v>12</v>
      </c>
      <c r="E1161" s="37">
        <v>8.6199999999999999E-2</v>
      </c>
      <c r="F1161" s="31">
        <v>16.1785</v>
      </c>
      <c r="G1161" s="34">
        <f t="shared" si="18"/>
        <v>1.3945866999999998</v>
      </c>
      <c r="H1161" s="45"/>
      <c r="I1161" s="46"/>
      <c r="J1161" s="102">
        <v>0</v>
      </c>
    </row>
    <row r="1162" spans="1:10" hidden="1" x14ac:dyDescent="0.25">
      <c r="A1162" s="219"/>
      <c r="B1162" s="237"/>
      <c r="C1162" s="36" t="s">
        <v>39</v>
      </c>
      <c r="D1162" s="47" t="s">
        <v>12</v>
      </c>
      <c r="E1162" s="37">
        <v>0.27339999999999998</v>
      </c>
      <c r="F1162" s="31">
        <v>20.9</v>
      </c>
      <c r="G1162" s="34">
        <f t="shared" si="18"/>
        <v>5.714059999999999</v>
      </c>
      <c r="H1162" s="35"/>
      <c r="I1162" s="31"/>
      <c r="J1162" s="102">
        <v>0</v>
      </c>
    </row>
    <row r="1163" spans="1:10" hidden="1" x14ac:dyDescent="0.25">
      <c r="A1163" s="219"/>
      <c r="B1163" s="237"/>
      <c r="C1163" s="36" t="s">
        <v>363</v>
      </c>
      <c r="D1163" s="36" t="s">
        <v>20</v>
      </c>
      <c r="E1163" s="37">
        <v>1</v>
      </c>
      <c r="F1163" s="34">
        <v>164.654</v>
      </c>
      <c r="G1163" s="31">
        <f t="shared" si="18"/>
        <v>164.654</v>
      </c>
      <c r="H1163" s="35"/>
      <c r="I1163" s="31"/>
      <c r="J1163" s="102">
        <v>0</v>
      </c>
    </row>
    <row r="1164" spans="1:10" ht="15.75" hidden="1" thickBot="1" x14ac:dyDescent="0.3">
      <c r="A1164" s="220"/>
      <c r="B1164" s="223"/>
      <c r="C1164" s="36"/>
      <c r="D1164" s="36"/>
      <c r="E1164" s="37"/>
      <c r="F1164" s="31" t="s">
        <v>522</v>
      </c>
      <c r="G1164" s="31" t="str">
        <f t="shared" si="18"/>
        <v/>
      </c>
      <c r="H1164" s="35"/>
      <c r="I1164" s="31"/>
      <c r="J1164" s="102">
        <v>0</v>
      </c>
    </row>
    <row r="1165" spans="1:10" ht="15.75" hidden="1" thickBot="1" x14ac:dyDescent="0.3">
      <c r="A1165" s="218" t="s">
        <v>364</v>
      </c>
      <c r="B1165" s="221" t="e">
        <f>INDEX(#REF!,MATCH(Composições!A1165,#REF!,0),2)</f>
        <v>#REF!</v>
      </c>
      <c r="C1165" s="41"/>
      <c r="D1165" s="26" t="s">
        <v>20</v>
      </c>
      <c r="E1165" s="27"/>
      <c r="F1165" s="42" t="s">
        <v>522</v>
      </c>
      <c r="G1165" s="28" t="str">
        <f t="shared" si="18"/>
        <v/>
      </c>
      <c r="H1165" s="29"/>
      <c r="I1165" s="30"/>
      <c r="J1165" s="102">
        <v>0</v>
      </c>
    </row>
    <row r="1166" spans="1:10" hidden="1" x14ac:dyDescent="0.25">
      <c r="A1166" s="219"/>
      <c r="B1166" s="237"/>
      <c r="C1166" s="32"/>
      <c r="D1166" s="32"/>
      <c r="E1166" s="33"/>
      <c r="F1166" s="43" t="s">
        <v>522</v>
      </c>
      <c r="G1166" s="31" t="str">
        <f t="shared" si="18"/>
        <v/>
      </c>
      <c r="H1166" s="35"/>
      <c r="I1166" s="31"/>
      <c r="J1166" s="102">
        <v>0</v>
      </c>
    </row>
    <row r="1167" spans="1:10" hidden="1" x14ac:dyDescent="0.25">
      <c r="A1167" s="219"/>
      <c r="B1167" s="237"/>
      <c r="C1167" s="36" t="s">
        <v>365</v>
      </c>
      <c r="D1167" s="47" t="s">
        <v>144</v>
      </c>
      <c r="E1167" s="37">
        <v>1</v>
      </c>
      <c r="F1167" s="34" t="s">
        <v>522</v>
      </c>
      <c r="G1167" s="34" t="str">
        <f t="shared" si="18"/>
        <v/>
      </c>
      <c r="H1167" s="39">
        <f>SUM(G1167:G1170)</f>
        <v>4.4074157499999993</v>
      </c>
      <c r="I1167" s="40"/>
      <c r="J1167" s="102">
        <v>0</v>
      </c>
    </row>
    <row r="1168" spans="1:10" hidden="1" x14ac:dyDescent="0.25">
      <c r="A1168" s="219"/>
      <c r="B1168" s="237"/>
      <c r="C1168" s="36" t="s">
        <v>342</v>
      </c>
      <c r="D1168" s="47" t="s">
        <v>279</v>
      </c>
      <c r="E1168" s="37">
        <v>2.1000000000000001E-2</v>
      </c>
      <c r="F1168" s="34">
        <v>3.5244999999999997</v>
      </c>
      <c r="G1168" s="34">
        <f t="shared" si="18"/>
        <v>7.4014499999999997E-2</v>
      </c>
      <c r="H1168" s="35"/>
      <c r="I1168" s="31"/>
      <c r="J1168" s="102">
        <v>0</v>
      </c>
    </row>
    <row r="1169" spans="1:10" hidden="1" x14ac:dyDescent="0.25">
      <c r="A1169" s="219"/>
      <c r="B1169" s="237"/>
      <c r="C1169" s="36" t="s">
        <v>39</v>
      </c>
      <c r="D1169" s="47" t="s">
        <v>12</v>
      </c>
      <c r="E1169" s="37">
        <v>0.16669999999999999</v>
      </c>
      <c r="F1169" s="31">
        <v>20.9</v>
      </c>
      <c r="G1169" s="34">
        <f t="shared" si="18"/>
        <v>3.4840299999999993</v>
      </c>
      <c r="H1169" s="35"/>
      <c r="I1169" s="31"/>
      <c r="J1169" s="102">
        <v>0</v>
      </c>
    </row>
    <row r="1170" spans="1:10" hidden="1" x14ac:dyDescent="0.25">
      <c r="A1170" s="219"/>
      <c r="B1170" s="237"/>
      <c r="C1170" s="36" t="s">
        <v>23</v>
      </c>
      <c r="D1170" s="47" t="s">
        <v>12</v>
      </c>
      <c r="E1170" s="37">
        <v>5.2499999999999998E-2</v>
      </c>
      <c r="F1170" s="31">
        <v>16.1785</v>
      </c>
      <c r="G1170" s="34">
        <f t="shared" ref="G1170:G1233" si="19">IF(ISNUMBER(F1170),E1170*F1170,"")</f>
        <v>0.84937124999999991</v>
      </c>
      <c r="H1170" s="35"/>
      <c r="I1170" s="31"/>
      <c r="J1170" s="102">
        <v>0</v>
      </c>
    </row>
    <row r="1171" spans="1:10" ht="15.75" hidden="1" thickBot="1" x14ac:dyDescent="0.3">
      <c r="A1171" s="220"/>
      <c r="B1171" s="223"/>
      <c r="C1171" s="36"/>
      <c r="D1171" s="36"/>
      <c r="E1171" s="37"/>
      <c r="F1171" s="31" t="s">
        <v>522</v>
      </c>
      <c r="G1171" s="31" t="str">
        <f t="shared" si="19"/>
        <v/>
      </c>
      <c r="H1171" s="35"/>
      <c r="I1171" s="31"/>
      <c r="J1171" s="102">
        <v>0</v>
      </c>
    </row>
    <row r="1172" spans="1:10" ht="15.75" hidden="1" thickBot="1" x14ac:dyDescent="0.3">
      <c r="A1172" s="218" t="s">
        <v>366</v>
      </c>
      <c r="B1172" s="221" t="e">
        <f>INDEX(#REF!,MATCH(Composições!A1172,#REF!,0),2)</f>
        <v>#REF!</v>
      </c>
      <c r="C1172" s="41"/>
      <c r="D1172" s="26" t="s">
        <v>20</v>
      </c>
      <c r="E1172" s="27"/>
      <c r="F1172" s="42" t="s">
        <v>522</v>
      </c>
      <c r="G1172" s="28" t="str">
        <f t="shared" si="19"/>
        <v/>
      </c>
      <c r="H1172" s="29"/>
      <c r="I1172" s="30"/>
      <c r="J1172" s="102">
        <v>0</v>
      </c>
    </row>
    <row r="1173" spans="1:10" hidden="1" x14ac:dyDescent="0.25">
      <c r="A1173" s="219"/>
      <c r="B1173" s="237"/>
      <c r="C1173" s="32"/>
      <c r="D1173" s="32"/>
      <c r="E1173" s="33"/>
      <c r="F1173" s="43" t="s">
        <v>522</v>
      </c>
      <c r="G1173" s="31" t="str">
        <f t="shared" si="19"/>
        <v/>
      </c>
      <c r="H1173" s="35"/>
      <c r="I1173" s="31"/>
      <c r="J1173" s="102">
        <v>0</v>
      </c>
    </row>
    <row r="1174" spans="1:10" ht="25.5" hidden="1" x14ac:dyDescent="0.25">
      <c r="A1174" s="219"/>
      <c r="B1174" s="237"/>
      <c r="C1174" s="36" t="s">
        <v>367</v>
      </c>
      <c r="D1174" s="47" t="s">
        <v>144</v>
      </c>
      <c r="E1174" s="37">
        <v>1</v>
      </c>
      <c r="F1174" s="34" t="s">
        <v>522</v>
      </c>
      <c r="G1174" s="34" t="str">
        <f t="shared" si="19"/>
        <v/>
      </c>
      <c r="H1174" s="39">
        <f>SUM(G1174:G1177)</f>
        <v>4.4074157499999993</v>
      </c>
      <c r="I1174" s="40"/>
      <c r="J1174" s="102">
        <v>0</v>
      </c>
    </row>
    <row r="1175" spans="1:10" hidden="1" x14ac:dyDescent="0.25">
      <c r="A1175" s="219"/>
      <c r="B1175" s="237"/>
      <c r="C1175" s="36" t="s">
        <v>342</v>
      </c>
      <c r="D1175" s="47" t="s">
        <v>279</v>
      </c>
      <c r="E1175" s="37">
        <v>2.1000000000000001E-2</v>
      </c>
      <c r="F1175" s="34">
        <v>3.5244999999999997</v>
      </c>
      <c r="G1175" s="34">
        <f t="shared" si="19"/>
        <v>7.4014499999999997E-2</v>
      </c>
      <c r="H1175" s="35"/>
      <c r="I1175" s="31"/>
      <c r="J1175" s="102">
        <v>0</v>
      </c>
    </row>
    <row r="1176" spans="1:10" hidden="1" x14ac:dyDescent="0.25">
      <c r="A1176" s="219"/>
      <c r="B1176" s="237"/>
      <c r="C1176" s="36" t="s">
        <v>39</v>
      </c>
      <c r="D1176" s="47" t="s">
        <v>12</v>
      </c>
      <c r="E1176" s="37">
        <v>0.16669999999999999</v>
      </c>
      <c r="F1176" s="31">
        <v>20.9</v>
      </c>
      <c r="G1176" s="34">
        <f t="shared" si="19"/>
        <v>3.4840299999999993</v>
      </c>
      <c r="H1176" s="35"/>
      <c r="I1176" s="31"/>
      <c r="J1176" s="102">
        <v>0</v>
      </c>
    </row>
    <row r="1177" spans="1:10" hidden="1" x14ac:dyDescent="0.25">
      <c r="A1177" s="219"/>
      <c r="B1177" s="237"/>
      <c r="C1177" s="36" t="s">
        <v>23</v>
      </c>
      <c r="D1177" s="47" t="s">
        <v>12</v>
      </c>
      <c r="E1177" s="37">
        <v>5.2499999999999998E-2</v>
      </c>
      <c r="F1177" s="31">
        <v>16.1785</v>
      </c>
      <c r="G1177" s="34">
        <f t="shared" si="19"/>
        <v>0.84937124999999991</v>
      </c>
      <c r="H1177" s="35"/>
      <c r="I1177" s="31"/>
      <c r="J1177" s="102">
        <v>0</v>
      </c>
    </row>
    <row r="1178" spans="1:10" ht="15.75" hidden="1" thickBot="1" x14ac:dyDescent="0.3">
      <c r="A1178" s="220"/>
      <c r="B1178" s="223"/>
      <c r="C1178" s="36"/>
      <c r="D1178" s="36"/>
      <c r="E1178" s="37"/>
      <c r="F1178" s="31" t="s">
        <v>522</v>
      </c>
      <c r="G1178" s="31" t="str">
        <f t="shared" si="19"/>
        <v/>
      </c>
      <c r="H1178" s="35"/>
      <c r="I1178" s="31"/>
      <c r="J1178" s="102">
        <v>0</v>
      </c>
    </row>
    <row r="1179" spans="1:10" ht="15.75" hidden="1" thickBot="1" x14ac:dyDescent="0.3">
      <c r="A1179" s="218" t="s">
        <v>368</v>
      </c>
      <c r="B1179" s="221" t="e">
        <f>INDEX(#REF!,MATCH(Composições!A1179,#REF!,0),2)</f>
        <v>#REF!</v>
      </c>
      <c r="C1179" s="41"/>
      <c r="D1179" s="26" t="s">
        <v>20</v>
      </c>
      <c r="E1179" s="27"/>
      <c r="F1179" s="42" t="s">
        <v>522</v>
      </c>
      <c r="G1179" s="28" t="str">
        <f t="shared" si="19"/>
        <v/>
      </c>
      <c r="H1179" s="29"/>
      <c r="I1179" s="30"/>
      <c r="J1179" s="102">
        <v>0</v>
      </c>
    </row>
    <row r="1180" spans="1:10" hidden="1" x14ac:dyDescent="0.25">
      <c r="A1180" s="219"/>
      <c r="B1180" s="237"/>
      <c r="C1180" s="32"/>
      <c r="D1180" s="32"/>
      <c r="E1180" s="33"/>
      <c r="F1180" s="43" t="s">
        <v>522</v>
      </c>
      <c r="G1180" s="31" t="str">
        <f t="shared" si="19"/>
        <v/>
      </c>
      <c r="H1180" s="35"/>
      <c r="I1180" s="31"/>
      <c r="J1180" s="102">
        <v>0</v>
      </c>
    </row>
    <row r="1181" spans="1:10" ht="25.5" hidden="1" x14ac:dyDescent="0.25">
      <c r="A1181" s="219"/>
      <c r="B1181" s="237"/>
      <c r="C1181" s="36" t="s">
        <v>369</v>
      </c>
      <c r="D1181" s="47" t="s">
        <v>144</v>
      </c>
      <c r="E1181" s="37">
        <v>1</v>
      </c>
      <c r="F1181" s="34" t="s">
        <v>522</v>
      </c>
      <c r="G1181" s="34" t="str">
        <f t="shared" si="19"/>
        <v/>
      </c>
      <c r="H1181" s="39">
        <f>SUM(G1181:G1184)</f>
        <v>2.57062305</v>
      </c>
      <c r="I1181" s="40"/>
      <c r="J1181" s="102">
        <v>0</v>
      </c>
    </row>
    <row r="1182" spans="1:10" hidden="1" x14ac:dyDescent="0.25">
      <c r="A1182" s="219"/>
      <c r="B1182" s="237"/>
      <c r="C1182" s="36" t="s">
        <v>342</v>
      </c>
      <c r="D1182" s="47" t="s">
        <v>279</v>
      </c>
      <c r="E1182" s="37">
        <v>2.1000000000000001E-2</v>
      </c>
      <c r="F1182" s="34">
        <v>3.5244999999999997</v>
      </c>
      <c r="G1182" s="34">
        <f t="shared" si="19"/>
        <v>7.4014499999999997E-2</v>
      </c>
      <c r="H1182" s="35"/>
      <c r="I1182" s="31"/>
      <c r="J1182" s="102">
        <v>0</v>
      </c>
    </row>
    <row r="1183" spans="1:10" hidden="1" x14ac:dyDescent="0.25">
      <c r="A1183" s="219"/>
      <c r="B1183" s="237"/>
      <c r="C1183" s="36" t="s">
        <v>39</v>
      </c>
      <c r="D1183" s="47" t="s">
        <v>12</v>
      </c>
      <c r="E1183" s="37">
        <v>9.6000000000000002E-2</v>
      </c>
      <c r="F1183" s="31">
        <v>20.9</v>
      </c>
      <c r="G1183" s="34">
        <f t="shared" si="19"/>
        <v>2.0063999999999997</v>
      </c>
      <c r="H1183" s="35"/>
      <c r="I1183" s="31"/>
      <c r="J1183" s="102">
        <v>0</v>
      </c>
    </row>
    <row r="1184" spans="1:10" hidden="1" x14ac:dyDescent="0.25">
      <c r="A1184" s="219"/>
      <c r="B1184" s="237"/>
      <c r="C1184" s="36" t="s">
        <v>23</v>
      </c>
      <c r="D1184" s="47" t="s">
        <v>12</v>
      </c>
      <c r="E1184" s="37">
        <v>3.0300000000000001E-2</v>
      </c>
      <c r="F1184" s="31">
        <v>16.1785</v>
      </c>
      <c r="G1184" s="34">
        <f t="shared" si="19"/>
        <v>0.49020855000000002</v>
      </c>
      <c r="H1184" s="35"/>
      <c r="I1184" s="31"/>
      <c r="J1184" s="102">
        <v>0</v>
      </c>
    </row>
    <row r="1185" spans="1:10" ht="15.75" hidden="1" thickBot="1" x14ac:dyDescent="0.3">
      <c r="A1185" s="220"/>
      <c r="B1185" s="223"/>
      <c r="C1185" s="36"/>
      <c r="D1185" s="36"/>
      <c r="E1185" s="37"/>
      <c r="F1185" s="31" t="s">
        <v>522</v>
      </c>
      <c r="G1185" s="31" t="str">
        <f t="shared" si="19"/>
        <v/>
      </c>
      <c r="H1185" s="35"/>
      <c r="I1185" s="31"/>
      <c r="J1185" s="102">
        <v>0</v>
      </c>
    </row>
    <row r="1186" spans="1:10" ht="15.75" hidden="1" thickBot="1" x14ac:dyDescent="0.3">
      <c r="A1186" s="218" t="s">
        <v>370</v>
      </c>
      <c r="B1186" s="221" t="e">
        <f>INDEX(#REF!,MATCH(Composições!A1186,#REF!,0),2)</f>
        <v>#REF!</v>
      </c>
      <c r="C1186" s="41"/>
      <c r="D1186" s="26" t="s">
        <v>20</v>
      </c>
      <c r="E1186" s="27"/>
      <c r="F1186" s="42" t="s">
        <v>522</v>
      </c>
      <c r="G1186" s="28" t="str">
        <f t="shared" si="19"/>
        <v/>
      </c>
      <c r="H1186" s="29"/>
      <c r="I1186" s="30"/>
      <c r="J1186" s="102">
        <v>0</v>
      </c>
    </row>
    <row r="1187" spans="1:10" hidden="1" x14ac:dyDescent="0.25">
      <c r="A1187" s="219"/>
      <c r="B1187" s="237"/>
      <c r="C1187" s="32"/>
      <c r="D1187" s="32"/>
      <c r="E1187" s="33"/>
      <c r="F1187" s="43" t="s">
        <v>522</v>
      </c>
      <c r="G1187" s="31" t="str">
        <f t="shared" si="19"/>
        <v/>
      </c>
      <c r="H1187" s="35"/>
      <c r="I1187" s="31"/>
      <c r="J1187" s="102">
        <v>0</v>
      </c>
    </row>
    <row r="1188" spans="1:10" ht="25.5" hidden="1" x14ac:dyDescent="0.25">
      <c r="A1188" s="219"/>
      <c r="B1188" s="237"/>
      <c r="C1188" s="36" t="s">
        <v>371</v>
      </c>
      <c r="D1188" s="47" t="s">
        <v>144</v>
      </c>
      <c r="E1188" s="37">
        <v>1</v>
      </c>
      <c r="F1188" s="34" t="s">
        <v>522</v>
      </c>
      <c r="G1188" s="34" t="str">
        <f t="shared" si="19"/>
        <v/>
      </c>
      <c r="H1188" s="39">
        <f>SUM(G1188:G1191)</f>
        <v>2.57062305</v>
      </c>
      <c r="I1188" s="40"/>
      <c r="J1188" s="102">
        <v>0</v>
      </c>
    </row>
    <row r="1189" spans="1:10" hidden="1" x14ac:dyDescent="0.25">
      <c r="A1189" s="219"/>
      <c r="B1189" s="237"/>
      <c r="C1189" s="36" t="s">
        <v>342</v>
      </c>
      <c r="D1189" s="47" t="s">
        <v>279</v>
      </c>
      <c r="E1189" s="37">
        <v>2.1000000000000001E-2</v>
      </c>
      <c r="F1189" s="34">
        <v>3.5244999999999997</v>
      </c>
      <c r="G1189" s="34">
        <f t="shared" si="19"/>
        <v>7.4014499999999997E-2</v>
      </c>
      <c r="H1189" s="35"/>
      <c r="I1189" s="31"/>
      <c r="J1189" s="102">
        <v>0</v>
      </c>
    </row>
    <row r="1190" spans="1:10" hidden="1" x14ac:dyDescent="0.25">
      <c r="A1190" s="219"/>
      <c r="B1190" s="237"/>
      <c r="C1190" s="36" t="s">
        <v>39</v>
      </c>
      <c r="D1190" s="47" t="s">
        <v>12</v>
      </c>
      <c r="E1190" s="37">
        <v>9.6000000000000002E-2</v>
      </c>
      <c r="F1190" s="31">
        <v>20.9</v>
      </c>
      <c r="G1190" s="34">
        <f t="shared" si="19"/>
        <v>2.0063999999999997</v>
      </c>
      <c r="H1190" s="35"/>
      <c r="I1190" s="31"/>
      <c r="J1190" s="102">
        <v>0</v>
      </c>
    </row>
    <row r="1191" spans="1:10" hidden="1" x14ac:dyDescent="0.25">
      <c r="A1191" s="219"/>
      <c r="B1191" s="237"/>
      <c r="C1191" s="36" t="s">
        <v>23</v>
      </c>
      <c r="D1191" s="47" t="s">
        <v>12</v>
      </c>
      <c r="E1191" s="37">
        <v>3.0300000000000001E-2</v>
      </c>
      <c r="F1191" s="31">
        <v>16.1785</v>
      </c>
      <c r="G1191" s="34">
        <f t="shared" si="19"/>
        <v>0.49020855000000002</v>
      </c>
      <c r="H1191" s="35"/>
      <c r="I1191" s="31"/>
      <c r="J1191" s="102">
        <v>0</v>
      </c>
    </row>
    <row r="1192" spans="1:10" ht="15.75" hidden="1" thickBot="1" x14ac:dyDescent="0.3">
      <c r="A1192" s="220"/>
      <c r="B1192" s="223"/>
      <c r="C1192" s="36"/>
      <c r="D1192" s="36"/>
      <c r="E1192" s="37"/>
      <c r="F1192" s="31" t="s">
        <v>522</v>
      </c>
      <c r="G1192" s="31" t="str">
        <f t="shared" si="19"/>
        <v/>
      </c>
      <c r="H1192" s="35"/>
      <c r="I1192" s="31"/>
      <c r="J1192" s="102">
        <v>0</v>
      </c>
    </row>
    <row r="1193" spans="1:10" ht="15.75" hidden="1" thickBot="1" x14ac:dyDescent="0.3">
      <c r="A1193" s="218" t="s">
        <v>372</v>
      </c>
      <c r="B1193" s="221" t="e">
        <f>INDEX(#REF!,MATCH(Composições!A1193,#REF!,0),2)</f>
        <v>#REF!</v>
      </c>
      <c r="C1193" s="41"/>
      <c r="D1193" s="26" t="s">
        <v>20</v>
      </c>
      <c r="E1193" s="27"/>
      <c r="F1193" s="42" t="s">
        <v>522</v>
      </c>
      <c r="G1193" s="28" t="str">
        <f t="shared" si="19"/>
        <v/>
      </c>
      <c r="H1193" s="29"/>
      <c r="I1193" s="30"/>
      <c r="J1193" s="102">
        <v>0</v>
      </c>
    </row>
    <row r="1194" spans="1:10" hidden="1" x14ac:dyDescent="0.25">
      <c r="A1194" s="219"/>
      <c r="B1194" s="237"/>
      <c r="C1194" s="32"/>
      <c r="D1194" s="32"/>
      <c r="E1194" s="33"/>
      <c r="F1194" s="43" t="s">
        <v>522</v>
      </c>
      <c r="G1194" s="31" t="str">
        <f t="shared" si="19"/>
        <v/>
      </c>
      <c r="H1194" s="35"/>
      <c r="I1194" s="31"/>
      <c r="J1194" s="102">
        <v>0</v>
      </c>
    </row>
    <row r="1195" spans="1:10" ht="25.5" hidden="1" x14ac:dyDescent="0.25">
      <c r="A1195" s="219"/>
      <c r="B1195" s="237"/>
      <c r="C1195" s="36" t="s">
        <v>373</v>
      </c>
      <c r="D1195" s="47" t="s">
        <v>144</v>
      </c>
      <c r="E1195" s="37">
        <v>1</v>
      </c>
      <c r="F1195" s="34" t="s">
        <v>522</v>
      </c>
      <c r="G1195" s="34" t="str">
        <f t="shared" si="19"/>
        <v/>
      </c>
      <c r="H1195" s="39">
        <f>SUM(G1195:G1198)</f>
        <v>2.57062305</v>
      </c>
      <c r="I1195" s="40"/>
      <c r="J1195" s="102">
        <v>0</v>
      </c>
    </row>
    <row r="1196" spans="1:10" hidden="1" x14ac:dyDescent="0.25">
      <c r="A1196" s="219"/>
      <c r="B1196" s="237"/>
      <c r="C1196" s="36" t="s">
        <v>342</v>
      </c>
      <c r="D1196" s="47" t="s">
        <v>279</v>
      </c>
      <c r="E1196" s="37">
        <v>2.1000000000000001E-2</v>
      </c>
      <c r="F1196" s="34">
        <v>3.5244999999999997</v>
      </c>
      <c r="G1196" s="34">
        <f t="shared" si="19"/>
        <v>7.4014499999999997E-2</v>
      </c>
      <c r="H1196" s="35"/>
      <c r="I1196" s="31"/>
      <c r="J1196" s="102">
        <v>0</v>
      </c>
    </row>
    <row r="1197" spans="1:10" hidden="1" x14ac:dyDescent="0.25">
      <c r="A1197" s="219"/>
      <c r="B1197" s="237"/>
      <c r="C1197" s="36" t="s">
        <v>39</v>
      </c>
      <c r="D1197" s="47" t="s">
        <v>12</v>
      </c>
      <c r="E1197" s="37">
        <v>9.6000000000000002E-2</v>
      </c>
      <c r="F1197" s="31">
        <v>20.9</v>
      </c>
      <c r="G1197" s="34">
        <f t="shared" si="19"/>
        <v>2.0063999999999997</v>
      </c>
      <c r="H1197" s="35"/>
      <c r="I1197" s="31"/>
      <c r="J1197" s="102">
        <v>0</v>
      </c>
    </row>
    <row r="1198" spans="1:10" hidden="1" x14ac:dyDescent="0.25">
      <c r="A1198" s="219"/>
      <c r="B1198" s="237"/>
      <c r="C1198" s="36" t="s">
        <v>23</v>
      </c>
      <c r="D1198" s="47" t="s">
        <v>12</v>
      </c>
      <c r="E1198" s="37">
        <v>3.0300000000000001E-2</v>
      </c>
      <c r="F1198" s="31">
        <v>16.1785</v>
      </c>
      <c r="G1198" s="34">
        <f t="shared" si="19"/>
        <v>0.49020855000000002</v>
      </c>
      <c r="H1198" s="35"/>
      <c r="I1198" s="31"/>
      <c r="J1198" s="102">
        <v>0</v>
      </c>
    </row>
    <row r="1199" spans="1:10" ht="15.75" hidden="1" thickBot="1" x14ac:dyDescent="0.3">
      <c r="A1199" s="220"/>
      <c r="B1199" s="223"/>
      <c r="C1199" s="36"/>
      <c r="D1199" s="36"/>
      <c r="E1199" s="37"/>
      <c r="F1199" s="31" t="s">
        <v>522</v>
      </c>
      <c r="G1199" s="31" t="str">
        <f t="shared" si="19"/>
        <v/>
      </c>
      <c r="H1199" s="35"/>
      <c r="I1199" s="31"/>
      <c r="J1199" s="102">
        <v>0</v>
      </c>
    </row>
    <row r="1200" spans="1:10" ht="15.75" hidden="1" thickBot="1" x14ac:dyDescent="0.3">
      <c r="A1200" s="218" t="s">
        <v>374</v>
      </c>
      <c r="B1200" s="221" t="e">
        <f>INDEX(#REF!,MATCH(Composições!A1200,#REF!,0),2)</f>
        <v>#REF!</v>
      </c>
      <c r="C1200" s="41"/>
      <c r="D1200" s="26" t="s">
        <v>20</v>
      </c>
      <c r="E1200" s="27"/>
      <c r="F1200" s="42" t="s">
        <v>522</v>
      </c>
      <c r="G1200" s="28" t="str">
        <f t="shared" si="19"/>
        <v/>
      </c>
      <c r="H1200" s="29"/>
      <c r="I1200" s="30"/>
      <c r="J1200" s="102">
        <v>0</v>
      </c>
    </row>
    <row r="1201" spans="1:10" hidden="1" x14ac:dyDescent="0.25">
      <c r="A1201" s="219"/>
      <c r="B1201" s="237"/>
      <c r="C1201" s="32"/>
      <c r="D1201" s="32"/>
      <c r="E1201" s="33"/>
      <c r="F1201" s="43" t="s">
        <v>522</v>
      </c>
      <c r="G1201" s="31" t="str">
        <f t="shared" si="19"/>
        <v/>
      </c>
      <c r="H1201" s="35"/>
      <c r="I1201" s="31"/>
      <c r="J1201" s="102">
        <v>0</v>
      </c>
    </row>
    <row r="1202" spans="1:10" ht="25.5" hidden="1" x14ac:dyDescent="0.25">
      <c r="A1202" s="219"/>
      <c r="B1202" s="237"/>
      <c r="C1202" s="36" t="s">
        <v>3312</v>
      </c>
      <c r="D1202" s="47" t="s">
        <v>279</v>
      </c>
      <c r="E1202" s="37">
        <v>1</v>
      </c>
      <c r="F1202" s="34">
        <v>122.03700000000001</v>
      </c>
      <c r="G1202" s="34">
        <f t="shared" si="19"/>
        <v>122.03700000000001</v>
      </c>
      <c r="H1202" s="39">
        <f>SUM(G1202:G1205)</f>
        <v>124.60762305000002</v>
      </c>
      <c r="I1202" s="40"/>
      <c r="J1202" s="102">
        <v>0</v>
      </c>
    </row>
    <row r="1203" spans="1:10" hidden="1" x14ac:dyDescent="0.25">
      <c r="A1203" s="219"/>
      <c r="B1203" s="237"/>
      <c r="C1203" s="36" t="s">
        <v>342</v>
      </c>
      <c r="D1203" s="47" t="s">
        <v>279</v>
      </c>
      <c r="E1203" s="37">
        <v>2.1000000000000001E-2</v>
      </c>
      <c r="F1203" s="34">
        <v>3.5244999999999997</v>
      </c>
      <c r="G1203" s="34">
        <f t="shared" si="19"/>
        <v>7.4014499999999997E-2</v>
      </c>
      <c r="H1203" s="35"/>
      <c r="I1203" s="31"/>
      <c r="J1203" s="102">
        <v>0</v>
      </c>
    </row>
    <row r="1204" spans="1:10" hidden="1" x14ac:dyDescent="0.25">
      <c r="A1204" s="219"/>
      <c r="B1204" s="237"/>
      <c r="C1204" s="36" t="s">
        <v>39</v>
      </c>
      <c r="D1204" s="47" t="s">
        <v>12</v>
      </c>
      <c r="E1204" s="37">
        <v>9.6000000000000002E-2</v>
      </c>
      <c r="F1204" s="31">
        <v>20.9</v>
      </c>
      <c r="G1204" s="34">
        <f t="shared" si="19"/>
        <v>2.0063999999999997</v>
      </c>
      <c r="H1204" s="35"/>
      <c r="I1204" s="31"/>
      <c r="J1204" s="102">
        <v>0</v>
      </c>
    </row>
    <row r="1205" spans="1:10" hidden="1" x14ac:dyDescent="0.25">
      <c r="A1205" s="219"/>
      <c r="B1205" s="237"/>
      <c r="C1205" s="36" t="s">
        <v>23</v>
      </c>
      <c r="D1205" s="47" t="s">
        <v>12</v>
      </c>
      <c r="E1205" s="37">
        <v>3.0300000000000001E-2</v>
      </c>
      <c r="F1205" s="31">
        <v>16.1785</v>
      </c>
      <c r="G1205" s="34">
        <f t="shared" si="19"/>
        <v>0.49020855000000002</v>
      </c>
      <c r="H1205" s="35"/>
      <c r="I1205" s="31"/>
      <c r="J1205" s="102">
        <v>0</v>
      </c>
    </row>
    <row r="1206" spans="1:10" ht="15.75" hidden="1" thickBot="1" x14ac:dyDescent="0.3">
      <c r="A1206" s="220"/>
      <c r="B1206" s="223"/>
      <c r="C1206" s="36"/>
      <c r="D1206" s="36"/>
      <c r="E1206" s="37"/>
      <c r="F1206" s="31" t="s">
        <v>522</v>
      </c>
      <c r="G1206" s="31" t="str">
        <f t="shared" si="19"/>
        <v/>
      </c>
      <c r="H1206" s="35"/>
      <c r="I1206" s="31"/>
      <c r="J1206" s="102">
        <v>0</v>
      </c>
    </row>
    <row r="1207" spans="1:10" ht="15.75" hidden="1" thickBot="1" x14ac:dyDescent="0.3">
      <c r="A1207" s="218" t="s">
        <v>375</v>
      </c>
      <c r="B1207" s="221" t="e">
        <f>INDEX(#REF!,MATCH(Composições!A1207,#REF!,0),2)</f>
        <v>#REF!</v>
      </c>
      <c r="C1207" s="41"/>
      <c r="D1207" s="26" t="s">
        <v>20</v>
      </c>
      <c r="E1207" s="27"/>
      <c r="F1207" s="42" t="s">
        <v>522</v>
      </c>
      <c r="G1207" s="28" t="str">
        <f t="shared" si="19"/>
        <v/>
      </c>
      <c r="H1207" s="29"/>
      <c r="I1207" s="30"/>
      <c r="J1207" s="102">
        <v>0</v>
      </c>
    </row>
    <row r="1208" spans="1:10" hidden="1" x14ac:dyDescent="0.25">
      <c r="A1208" s="219"/>
      <c r="B1208" s="237"/>
      <c r="C1208" s="32"/>
      <c r="D1208" s="32"/>
      <c r="E1208" s="33"/>
      <c r="F1208" s="43" t="s">
        <v>522</v>
      </c>
      <c r="G1208" s="31" t="str">
        <f t="shared" si="19"/>
        <v/>
      </c>
      <c r="H1208" s="35"/>
      <c r="I1208" s="31"/>
      <c r="J1208" s="102">
        <v>0</v>
      </c>
    </row>
    <row r="1209" spans="1:10" ht="25.5" hidden="1" x14ac:dyDescent="0.25">
      <c r="A1209" s="219"/>
      <c r="B1209" s="237"/>
      <c r="C1209" s="36" t="s">
        <v>376</v>
      </c>
      <c r="D1209" s="47" t="s">
        <v>144</v>
      </c>
      <c r="E1209" s="37">
        <v>1</v>
      </c>
      <c r="F1209" s="34" t="s">
        <v>522</v>
      </c>
      <c r="G1209" s="34" t="str">
        <f t="shared" si="19"/>
        <v/>
      </c>
      <c r="H1209" s="39">
        <f>SUM(G1209:G1212)</f>
        <v>3.1005254500000001</v>
      </c>
      <c r="I1209" s="40"/>
      <c r="J1209" s="102">
        <v>0</v>
      </c>
    </row>
    <row r="1210" spans="1:10" hidden="1" x14ac:dyDescent="0.25">
      <c r="A1210" s="219"/>
      <c r="B1210" s="237"/>
      <c r="C1210" s="36" t="s">
        <v>342</v>
      </c>
      <c r="D1210" s="47" t="s">
        <v>279</v>
      </c>
      <c r="E1210" s="37">
        <v>2.1000000000000001E-2</v>
      </c>
      <c r="F1210" s="34">
        <v>3.5244999999999997</v>
      </c>
      <c r="G1210" s="34">
        <f t="shared" si="19"/>
        <v>7.4014499999999997E-2</v>
      </c>
      <c r="H1210" s="35"/>
      <c r="I1210" s="31"/>
      <c r="J1210" s="102">
        <v>0</v>
      </c>
    </row>
    <row r="1211" spans="1:10" hidden="1" x14ac:dyDescent="0.25">
      <c r="A1211" s="219"/>
      <c r="B1211" s="237"/>
      <c r="C1211" s="36" t="s">
        <v>39</v>
      </c>
      <c r="D1211" s="47" t="s">
        <v>12</v>
      </c>
      <c r="E1211" s="37">
        <v>0.1164</v>
      </c>
      <c r="F1211" s="31">
        <v>20.9</v>
      </c>
      <c r="G1211" s="34">
        <f t="shared" si="19"/>
        <v>2.43276</v>
      </c>
      <c r="H1211" s="35"/>
      <c r="I1211" s="31"/>
      <c r="J1211" s="102">
        <v>0</v>
      </c>
    </row>
    <row r="1212" spans="1:10" hidden="1" x14ac:dyDescent="0.25">
      <c r="A1212" s="219"/>
      <c r="B1212" s="237"/>
      <c r="C1212" s="36" t="s">
        <v>23</v>
      </c>
      <c r="D1212" s="47" t="s">
        <v>12</v>
      </c>
      <c r="E1212" s="37">
        <v>3.6700000000000003E-2</v>
      </c>
      <c r="F1212" s="31">
        <v>16.1785</v>
      </c>
      <c r="G1212" s="34">
        <f t="shared" si="19"/>
        <v>0.59375095</v>
      </c>
      <c r="H1212" s="35"/>
      <c r="I1212" s="31"/>
      <c r="J1212" s="102">
        <v>0</v>
      </c>
    </row>
    <row r="1213" spans="1:10" ht="15.75" hidden="1" thickBot="1" x14ac:dyDescent="0.3">
      <c r="A1213" s="220"/>
      <c r="B1213" s="223"/>
      <c r="C1213" s="36"/>
      <c r="D1213" s="36"/>
      <c r="E1213" s="37"/>
      <c r="F1213" s="31" t="s">
        <v>522</v>
      </c>
      <c r="G1213" s="31" t="str">
        <f t="shared" si="19"/>
        <v/>
      </c>
      <c r="H1213" s="35"/>
      <c r="I1213" s="31"/>
      <c r="J1213" s="102">
        <v>0</v>
      </c>
    </row>
    <row r="1214" spans="1:10" ht="15.75" hidden="1" thickBot="1" x14ac:dyDescent="0.3">
      <c r="A1214" s="218" t="s">
        <v>377</v>
      </c>
      <c r="B1214" s="221" t="e">
        <f>INDEX(#REF!,MATCH(Composições!A1214,#REF!,0),2)</f>
        <v>#REF!</v>
      </c>
      <c r="C1214" s="41"/>
      <c r="D1214" s="26" t="s">
        <v>20</v>
      </c>
      <c r="E1214" s="27"/>
      <c r="F1214" s="42" t="s">
        <v>522</v>
      </c>
      <c r="G1214" s="28" t="str">
        <f t="shared" si="19"/>
        <v/>
      </c>
      <c r="H1214" s="29"/>
      <c r="I1214" s="30"/>
      <c r="J1214" s="102">
        <v>0</v>
      </c>
    </row>
    <row r="1215" spans="1:10" hidden="1" x14ac:dyDescent="0.25">
      <c r="A1215" s="219"/>
      <c r="B1215" s="237"/>
      <c r="C1215" s="32"/>
      <c r="D1215" s="32"/>
      <c r="E1215" s="33"/>
      <c r="F1215" s="43" t="s">
        <v>522</v>
      </c>
      <c r="G1215" s="31" t="str">
        <f t="shared" si="19"/>
        <v/>
      </c>
      <c r="H1215" s="35"/>
      <c r="I1215" s="31"/>
      <c r="J1215" s="102">
        <v>0</v>
      </c>
    </row>
    <row r="1216" spans="1:10" hidden="1" x14ac:dyDescent="0.25">
      <c r="A1216" s="219"/>
      <c r="B1216" s="237"/>
      <c r="C1216" s="36" t="s">
        <v>342</v>
      </c>
      <c r="D1216" s="47" t="s">
        <v>279</v>
      </c>
      <c r="E1216" s="37">
        <v>2.1000000000000001E-2</v>
      </c>
      <c r="F1216" s="34">
        <v>3.5244999999999997</v>
      </c>
      <c r="G1216" s="34">
        <f t="shared" si="19"/>
        <v>7.4014499999999997E-2</v>
      </c>
      <c r="H1216" s="39">
        <f>SUM(G1216:G1219)</f>
        <v>52.850450350000003</v>
      </c>
      <c r="I1216" s="40"/>
      <c r="J1216" s="102">
        <v>0</v>
      </c>
    </row>
    <row r="1217" spans="1:10" hidden="1" x14ac:dyDescent="0.25">
      <c r="A1217" s="219"/>
      <c r="B1217" s="237"/>
      <c r="C1217" s="36" t="s">
        <v>39</v>
      </c>
      <c r="D1217" s="47" t="s">
        <v>12</v>
      </c>
      <c r="E1217" s="37">
        <v>0.1525</v>
      </c>
      <c r="F1217" s="31">
        <v>20.9</v>
      </c>
      <c r="G1217" s="34">
        <f t="shared" si="19"/>
        <v>3.1872499999999997</v>
      </c>
      <c r="H1217" s="35"/>
      <c r="I1217" s="31"/>
      <c r="J1217" s="102">
        <v>0</v>
      </c>
    </row>
    <row r="1218" spans="1:10" hidden="1" x14ac:dyDescent="0.25">
      <c r="A1218" s="219"/>
      <c r="B1218" s="237"/>
      <c r="C1218" s="36" t="s">
        <v>23</v>
      </c>
      <c r="D1218" s="36" t="s">
        <v>12</v>
      </c>
      <c r="E1218" s="37">
        <v>4.8099999999999997E-2</v>
      </c>
      <c r="F1218" s="31">
        <v>16.1785</v>
      </c>
      <c r="G1218" s="34">
        <f t="shared" si="19"/>
        <v>0.77818584999999996</v>
      </c>
      <c r="H1218" s="35"/>
      <c r="I1218" s="31"/>
      <c r="J1218" s="102">
        <v>0</v>
      </c>
    </row>
    <row r="1219" spans="1:10" ht="38.25" hidden="1" x14ac:dyDescent="0.25">
      <c r="A1219" s="219"/>
      <c r="B1219" s="237"/>
      <c r="C1219" s="36" t="s">
        <v>3313</v>
      </c>
      <c r="D1219" s="36" t="s">
        <v>20</v>
      </c>
      <c r="E1219" s="37">
        <v>1</v>
      </c>
      <c r="F1219" s="34">
        <v>48.811</v>
      </c>
      <c r="G1219" s="31">
        <f t="shared" si="19"/>
        <v>48.811</v>
      </c>
      <c r="H1219" s="35"/>
      <c r="I1219" s="31"/>
      <c r="J1219" s="102">
        <v>0</v>
      </c>
    </row>
    <row r="1220" spans="1:10" ht="15.75" hidden="1" thickBot="1" x14ac:dyDescent="0.3">
      <c r="A1220" s="220"/>
      <c r="B1220" s="223"/>
      <c r="C1220" s="36"/>
      <c r="D1220" s="36"/>
      <c r="E1220" s="37"/>
      <c r="F1220" s="31" t="s">
        <v>522</v>
      </c>
      <c r="G1220" s="31" t="str">
        <f t="shared" si="19"/>
        <v/>
      </c>
      <c r="H1220" s="35"/>
      <c r="I1220" s="31"/>
      <c r="J1220" s="102">
        <v>0</v>
      </c>
    </row>
    <row r="1221" spans="1:10" ht="15.75" hidden="1" thickBot="1" x14ac:dyDescent="0.3">
      <c r="A1221" s="218" t="s">
        <v>378</v>
      </c>
      <c r="B1221" s="221" t="e">
        <f>INDEX(#REF!,MATCH(Composições!A1221,#REF!,0),2)</f>
        <v>#REF!</v>
      </c>
      <c r="C1221" s="41"/>
      <c r="D1221" s="26" t="s">
        <v>20</v>
      </c>
      <c r="E1221" s="27"/>
      <c r="F1221" s="42" t="s">
        <v>522</v>
      </c>
      <c r="G1221" s="28" t="str">
        <f t="shared" si="19"/>
        <v/>
      </c>
      <c r="H1221" s="29"/>
      <c r="I1221" s="30"/>
      <c r="J1221" s="102">
        <v>0</v>
      </c>
    </row>
    <row r="1222" spans="1:10" hidden="1" x14ac:dyDescent="0.25">
      <c r="A1222" s="219"/>
      <c r="B1222" s="237"/>
      <c r="C1222" s="32"/>
      <c r="D1222" s="32"/>
      <c r="E1222" s="33"/>
      <c r="F1222" s="43" t="s">
        <v>522</v>
      </c>
      <c r="G1222" s="31" t="str">
        <f t="shared" si="19"/>
        <v/>
      </c>
      <c r="H1222" s="35"/>
      <c r="I1222" s="31"/>
      <c r="J1222" s="102">
        <v>0</v>
      </c>
    </row>
    <row r="1223" spans="1:10" ht="25.5" hidden="1" x14ac:dyDescent="0.25">
      <c r="A1223" s="219"/>
      <c r="B1223" s="237"/>
      <c r="C1223" s="113" t="s">
        <v>2416</v>
      </c>
      <c r="D1223" s="47" t="s">
        <v>144</v>
      </c>
      <c r="E1223" s="37">
        <v>1</v>
      </c>
      <c r="F1223" s="34" t="s">
        <v>522</v>
      </c>
      <c r="G1223" s="34" t="str">
        <f t="shared" si="19"/>
        <v/>
      </c>
      <c r="H1223" s="39">
        <f>SUM(G1223:G1225)</f>
        <v>18.786249999999999</v>
      </c>
      <c r="I1223" s="40"/>
      <c r="J1223" s="102">
        <v>0</v>
      </c>
    </row>
    <row r="1224" spans="1:10" ht="25.5" hidden="1" x14ac:dyDescent="0.25">
      <c r="A1224" s="219"/>
      <c r="B1224" s="237"/>
      <c r="C1224" s="36" t="s">
        <v>107</v>
      </c>
      <c r="D1224" s="47" t="s">
        <v>12</v>
      </c>
      <c r="E1224" s="37">
        <v>0.5</v>
      </c>
      <c r="F1224" s="31">
        <v>16.672499999999999</v>
      </c>
      <c r="G1224" s="34">
        <f t="shared" si="19"/>
        <v>8.3362499999999997</v>
      </c>
      <c r="H1224" s="35"/>
      <c r="I1224" s="31"/>
      <c r="J1224" s="102">
        <v>0</v>
      </c>
    </row>
    <row r="1225" spans="1:10" hidden="1" x14ac:dyDescent="0.25">
      <c r="A1225" s="219"/>
      <c r="B1225" s="237"/>
      <c r="C1225" s="36" t="s">
        <v>39</v>
      </c>
      <c r="D1225" s="47" t="s">
        <v>12</v>
      </c>
      <c r="E1225" s="37">
        <v>0.5</v>
      </c>
      <c r="F1225" s="31">
        <v>20.9</v>
      </c>
      <c r="G1225" s="34">
        <f t="shared" si="19"/>
        <v>10.45</v>
      </c>
      <c r="H1225" s="35"/>
      <c r="I1225" s="31"/>
      <c r="J1225" s="102">
        <v>0</v>
      </c>
    </row>
    <row r="1226" spans="1:10" ht="15.75" hidden="1" thickBot="1" x14ac:dyDescent="0.3">
      <c r="A1226" s="220"/>
      <c r="B1226" s="223"/>
      <c r="C1226" s="36"/>
      <c r="D1226" s="36"/>
      <c r="E1226" s="37"/>
      <c r="F1226" s="31" t="s">
        <v>522</v>
      </c>
      <c r="G1226" s="31" t="str">
        <f t="shared" si="19"/>
        <v/>
      </c>
      <c r="H1226" s="35"/>
      <c r="I1226" s="31"/>
      <c r="J1226" s="102">
        <v>0</v>
      </c>
    </row>
    <row r="1227" spans="1:10" ht="15.75" hidden="1" thickBot="1" x14ac:dyDescent="0.3">
      <c r="A1227" s="218" t="s">
        <v>380</v>
      </c>
      <c r="B1227" s="221" t="e">
        <f>INDEX(#REF!,MATCH(Composições!A1227,#REF!,0),2)</f>
        <v>#REF!</v>
      </c>
      <c r="C1227" s="41"/>
      <c r="D1227" s="26" t="s">
        <v>20</v>
      </c>
      <c r="E1227" s="27"/>
      <c r="F1227" s="42" t="s">
        <v>522</v>
      </c>
      <c r="G1227" s="28" t="str">
        <f t="shared" si="19"/>
        <v/>
      </c>
      <c r="H1227" s="29"/>
      <c r="I1227" s="30"/>
      <c r="J1227" s="102">
        <v>0</v>
      </c>
    </row>
    <row r="1228" spans="1:10" hidden="1" x14ac:dyDescent="0.25">
      <c r="A1228" s="219"/>
      <c r="B1228" s="237"/>
      <c r="C1228" s="32"/>
      <c r="D1228" s="32"/>
      <c r="E1228" s="33"/>
      <c r="F1228" s="43" t="s">
        <v>522</v>
      </c>
      <c r="G1228" s="31" t="str">
        <f t="shared" si="19"/>
        <v/>
      </c>
      <c r="H1228" s="35"/>
      <c r="I1228" s="31"/>
      <c r="J1228" s="102">
        <v>0</v>
      </c>
    </row>
    <row r="1229" spans="1:10" hidden="1" x14ac:dyDescent="0.25">
      <c r="A1229" s="219"/>
      <c r="B1229" s="237"/>
      <c r="C1229" s="113" t="s">
        <v>2414</v>
      </c>
      <c r="D1229" s="47" t="s">
        <v>279</v>
      </c>
      <c r="E1229" s="37">
        <v>1</v>
      </c>
      <c r="F1229" s="34" t="s">
        <v>522</v>
      </c>
      <c r="G1229" s="34" t="str">
        <f t="shared" si="19"/>
        <v/>
      </c>
      <c r="H1229" s="39">
        <f>SUM(G1229:G1231)</f>
        <v>18.786249999999999</v>
      </c>
      <c r="I1229" s="40"/>
      <c r="J1229" s="102">
        <v>0</v>
      </c>
    </row>
    <row r="1230" spans="1:10" ht="25.5" hidden="1" x14ac:dyDescent="0.25">
      <c r="A1230" s="219"/>
      <c r="B1230" s="237"/>
      <c r="C1230" s="36" t="s">
        <v>107</v>
      </c>
      <c r="D1230" s="47" t="s">
        <v>12</v>
      </c>
      <c r="E1230" s="37">
        <v>0.5</v>
      </c>
      <c r="F1230" s="31">
        <v>16.672499999999999</v>
      </c>
      <c r="G1230" s="34">
        <f t="shared" si="19"/>
        <v>8.3362499999999997</v>
      </c>
      <c r="H1230" s="35"/>
      <c r="I1230" s="31"/>
      <c r="J1230" s="102">
        <v>0</v>
      </c>
    </row>
    <row r="1231" spans="1:10" hidden="1" x14ac:dyDescent="0.25">
      <c r="A1231" s="219"/>
      <c r="B1231" s="237"/>
      <c r="C1231" s="36" t="s">
        <v>39</v>
      </c>
      <c r="D1231" s="47" t="s">
        <v>12</v>
      </c>
      <c r="E1231" s="37">
        <v>0.5</v>
      </c>
      <c r="F1231" s="31">
        <v>20.9</v>
      </c>
      <c r="G1231" s="34">
        <f t="shared" si="19"/>
        <v>10.45</v>
      </c>
      <c r="H1231" s="35"/>
      <c r="I1231" s="31"/>
      <c r="J1231" s="102">
        <v>0</v>
      </c>
    </row>
    <row r="1232" spans="1:10" ht="15.75" hidden="1" thickBot="1" x14ac:dyDescent="0.3">
      <c r="A1232" s="220"/>
      <c r="B1232" s="223"/>
      <c r="C1232" s="36"/>
      <c r="D1232" s="36"/>
      <c r="E1232" s="37"/>
      <c r="F1232" s="31" t="s">
        <v>522</v>
      </c>
      <c r="G1232" s="31" t="str">
        <f t="shared" si="19"/>
        <v/>
      </c>
      <c r="H1232" s="35"/>
      <c r="I1232" s="31"/>
      <c r="J1232" s="102">
        <v>0</v>
      </c>
    </row>
    <row r="1233" spans="1:10" ht="15.75" hidden="1" thickBot="1" x14ac:dyDescent="0.3">
      <c r="A1233" s="218" t="s">
        <v>381</v>
      </c>
      <c r="B1233" s="221" t="e">
        <f>INDEX(#REF!,MATCH(Composições!A1233,#REF!,0),2)</f>
        <v>#REF!</v>
      </c>
      <c r="C1233" s="41"/>
      <c r="D1233" s="26" t="s">
        <v>20</v>
      </c>
      <c r="E1233" s="27"/>
      <c r="F1233" s="42" t="s">
        <v>522</v>
      </c>
      <c r="G1233" s="28" t="str">
        <f t="shared" si="19"/>
        <v/>
      </c>
      <c r="H1233" s="29"/>
      <c r="I1233" s="30"/>
      <c r="J1233" s="102">
        <v>0</v>
      </c>
    </row>
    <row r="1234" spans="1:10" hidden="1" x14ac:dyDescent="0.25">
      <c r="A1234" s="219"/>
      <c r="B1234" s="237"/>
      <c r="C1234" s="32"/>
      <c r="D1234" s="32"/>
      <c r="E1234" s="33"/>
      <c r="F1234" s="43" t="s">
        <v>522</v>
      </c>
      <c r="G1234" s="31" t="str">
        <f t="shared" ref="G1234:G1297" si="20">IF(ISNUMBER(F1234),E1234*F1234,"")</f>
        <v/>
      </c>
      <c r="H1234" s="35"/>
      <c r="I1234" s="31"/>
      <c r="J1234" s="102">
        <v>0</v>
      </c>
    </row>
    <row r="1235" spans="1:10" ht="25.5" hidden="1" x14ac:dyDescent="0.25">
      <c r="A1235" s="219"/>
      <c r="B1235" s="237"/>
      <c r="C1235" s="113" t="s">
        <v>2415</v>
      </c>
      <c r="D1235" s="47" t="s">
        <v>144</v>
      </c>
      <c r="E1235" s="37">
        <v>1</v>
      </c>
      <c r="F1235" s="34" t="s">
        <v>522</v>
      </c>
      <c r="G1235" s="34" t="str">
        <f t="shared" si="20"/>
        <v/>
      </c>
      <c r="H1235" s="39">
        <f>SUM(G1235:G1237)</f>
        <v>18.786249999999999</v>
      </c>
      <c r="I1235" s="40"/>
      <c r="J1235" s="102">
        <v>0</v>
      </c>
    </row>
    <row r="1236" spans="1:10" ht="25.5" hidden="1" x14ac:dyDescent="0.25">
      <c r="A1236" s="219"/>
      <c r="B1236" s="237"/>
      <c r="C1236" s="36" t="s">
        <v>107</v>
      </c>
      <c r="D1236" s="47" t="s">
        <v>12</v>
      </c>
      <c r="E1236" s="37">
        <v>0.5</v>
      </c>
      <c r="F1236" s="31">
        <v>16.672499999999999</v>
      </c>
      <c r="G1236" s="34">
        <f t="shared" si="20"/>
        <v>8.3362499999999997</v>
      </c>
      <c r="H1236" s="35"/>
      <c r="I1236" s="31"/>
      <c r="J1236" s="102">
        <v>0</v>
      </c>
    </row>
    <row r="1237" spans="1:10" hidden="1" x14ac:dyDescent="0.25">
      <c r="A1237" s="219"/>
      <c r="B1237" s="237"/>
      <c r="C1237" s="36" t="s">
        <v>39</v>
      </c>
      <c r="D1237" s="47" t="s">
        <v>12</v>
      </c>
      <c r="E1237" s="37">
        <v>0.5</v>
      </c>
      <c r="F1237" s="31">
        <v>20.9</v>
      </c>
      <c r="G1237" s="34">
        <f t="shared" si="20"/>
        <v>10.45</v>
      </c>
      <c r="H1237" s="35"/>
      <c r="I1237" s="31"/>
      <c r="J1237" s="102">
        <v>0</v>
      </c>
    </row>
    <row r="1238" spans="1:10" ht="15.75" hidden="1" thickBot="1" x14ac:dyDescent="0.3">
      <c r="A1238" s="220"/>
      <c r="B1238" s="223"/>
      <c r="C1238" s="36"/>
      <c r="D1238" s="36"/>
      <c r="E1238" s="37"/>
      <c r="F1238" s="31" t="s">
        <v>522</v>
      </c>
      <c r="G1238" s="31" t="str">
        <f t="shared" si="20"/>
        <v/>
      </c>
      <c r="H1238" s="35"/>
      <c r="I1238" s="31"/>
      <c r="J1238" s="102">
        <v>0</v>
      </c>
    </row>
    <row r="1239" spans="1:10" ht="15.75" hidden="1" thickBot="1" x14ac:dyDescent="0.3">
      <c r="A1239" s="218" t="s">
        <v>382</v>
      </c>
      <c r="B1239" s="221" t="e">
        <f>INDEX(#REF!,MATCH(Composições!A1239,#REF!,0),2)</f>
        <v>#REF!</v>
      </c>
      <c r="C1239" s="41"/>
      <c r="D1239" s="26" t="s">
        <v>20</v>
      </c>
      <c r="E1239" s="27"/>
      <c r="F1239" s="42" t="s">
        <v>522</v>
      </c>
      <c r="G1239" s="28" t="str">
        <f t="shared" si="20"/>
        <v/>
      </c>
      <c r="H1239" s="29"/>
      <c r="I1239" s="30"/>
      <c r="J1239" s="102">
        <v>0</v>
      </c>
    </row>
    <row r="1240" spans="1:10" hidden="1" x14ac:dyDescent="0.25">
      <c r="A1240" s="219"/>
      <c r="B1240" s="237"/>
      <c r="C1240" s="32"/>
      <c r="D1240" s="32"/>
      <c r="E1240" s="33"/>
      <c r="F1240" s="43" t="s">
        <v>522</v>
      </c>
      <c r="G1240" s="31" t="str">
        <f t="shared" si="20"/>
        <v/>
      </c>
      <c r="H1240" s="35"/>
      <c r="I1240" s="31"/>
      <c r="J1240" s="102">
        <v>0</v>
      </c>
    </row>
    <row r="1241" spans="1:10" hidden="1" x14ac:dyDescent="0.25">
      <c r="A1241" s="219"/>
      <c r="B1241" s="237"/>
      <c r="C1241" s="113" t="s">
        <v>2414</v>
      </c>
      <c r="D1241" s="47" t="s">
        <v>144</v>
      </c>
      <c r="E1241" s="37">
        <v>1</v>
      </c>
      <c r="F1241" s="34" t="s">
        <v>522</v>
      </c>
      <c r="G1241" s="34" t="str">
        <f t="shared" si="20"/>
        <v/>
      </c>
      <c r="H1241" s="39">
        <f>SUM(G1241:G1243)</f>
        <v>18.786249999999999</v>
      </c>
      <c r="I1241" s="40"/>
      <c r="J1241" s="102">
        <v>0</v>
      </c>
    </row>
    <row r="1242" spans="1:10" ht="25.5" hidden="1" x14ac:dyDescent="0.25">
      <c r="A1242" s="219"/>
      <c r="B1242" s="237"/>
      <c r="C1242" s="36" t="s">
        <v>107</v>
      </c>
      <c r="D1242" s="47" t="s">
        <v>12</v>
      </c>
      <c r="E1242" s="37">
        <v>0.5</v>
      </c>
      <c r="F1242" s="31">
        <v>16.672499999999999</v>
      </c>
      <c r="G1242" s="34">
        <f t="shared" si="20"/>
        <v>8.3362499999999997</v>
      </c>
      <c r="H1242" s="35"/>
      <c r="I1242" s="31"/>
      <c r="J1242" s="102">
        <v>0</v>
      </c>
    </row>
    <row r="1243" spans="1:10" hidden="1" x14ac:dyDescent="0.25">
      <c r="A1243" s="219"/>
      <c r="B1243" s="237"/>
      <c r="C1243" s="36" t="s">
        <v>39</v>
      </c>
      <c r="D1243" s="47" t="s">
        <v>12</v>
      </c>
      <c r="E1243" s="37">
        <v>0.5</v>
      </c>
      <c r="F1243" s="31">
        <v>20.9</v>
      </c>
      <c r="G1243" s="34">
        <f t="shared" si="20"/>
        <v>10.45</v>
      </c>
      <c r="H1243" s="35"/>
      <c r="I1243" s="31"/>
      <c r="J1243" s="102">
        <v>0</v>
      </c>
    </row>
    <row r="1244" spans="1:10" ht="15.75" hidden="1" thickBot="1" x14ac:dyDescent="0.3">
      <c r="A1244" s="220"/>
      <c r="B1244" s="223"/>
      <c r="C1244" s="36"/>
      <c r="D1244" s="36"/>
      <c r="E1244" s="37"/>
      <c r="F1244" s="31" t="s">
        <v>522</v>
      </c>
      <c r="G1244" s="31" t="str">
        <f t="shared" si="20"/>
        <v/>
      </c>
      <c r="H1244" s="35"/>
      <c r="I1244" s="31"/>
      <c r="J1244" s="102">
        <v>0</v>
      </c>
    </row>
    <row r="1245" spans="1:10" ht="15.75" hidden="1" thickBot="1" x14ac:dyDescent="0.3">
      <c r="A1245" s="218" t="s">
        <v>383</v>
      </c>
      <c r="B1245" s="221" t="e">
        <f>INDEX(#REF!,MATCH(Composições!A1245,#REF!,0),2)</f>
        <v>#REF!</v>
      </c>
      <c r="C1245" s="41"/>
      <c r="D1245" s="26" t="s">
        <v>20</v>
      </c>
      <c r="E1245" s="27"/>
      <c r="F1245" s="42" t="s">
        <v>522</v>
      </c>
      <c r="G1245" s="28" t="str">
        <f t="shared" si="20"/>
        <v/>
      </c>
      <c r="H1245" s="29"/>
      <c r="I1245" s="30"/>
      <c r="J1245" s="102">
        <v>0</v>
      </c>
    </row>
    <row r="1246" spans="1:10" hidden="1" x14ac:dyDescent="0.25">
      <c r="A1246" s="219"/>
      <c r="B1246" s="237"/>
      <c r="C1246" s="32"/>
      <c r="D1246" s="32"/>
      <c r="E1246" s="33"/>
      <c r="F1246" s="43" t="s">
        <v>522</v>
      </c>
      <c r="G1246" s="31" t="str">
        <f t="shared" si="20"/>
        <v/>
      </c>
      <c r="H1246" s="35"/>
      <c r="I1246" s="31"/>
      <c r="J1246" s="102">
        <v>0</v>
      </c>
    </row>
    <row r="1247" spans="1:10" hidden="1" x14ac:dyDescent="0.25">
      <c r="A1247" s="219"/>
      <c r="B1247" s="237"/>
      <c r="C1247" s="36" t="s">
        <v>384</v>
      </c>
      <c r="D1247" s="47" t="s">
        <v>279</v>
      </c>
      <c r="E1247" s="37">
        <v>1</v>
      </c>
      <c r="F1247" s="34">
        <v>38.864499999999992</v>
      </c>
      <c r="G1247" s="34">
        <f t="shared" si="20"/>
        <v>38.864499999999992</v>
      </c>
      <c r="H1247" s="39">
        <f>SUM(G1247:G1250)</f>
        <v>43.556857799999996</v>
      </c>
      <c r="I1247" s="40"/>
      <c r="J1247" s="102">
        <v>0</v>
      </c>
    </row>
    <row r="1248" spans="1:10" hidden="1" x14ac:dyDescent="0.25">
      <c r="A1248" s="219"/>
      <c r="B1248" s="237"/>
      <c r="C1248" s="36" t="s">
        <v>342</v>
      </c>
      <c r="D1248" s="47" t="s">
        <v>279</v>
      </c>
      <c r="E1248" s="37">
        <v>4.8000000000000001E-2</v>
      </c>
      <c r="F1248" s="34">
        <v>3.5244999999999997</v>
      </c>
      <c r="G1248" s="34">
        <f t="shared" si="20"/>
        <v>0.16917599999999999</v>
      </c>
      <c r="H1248" s="35"/>
      <c r="I1248" s="31"/>
      <c r="J1248" s="102">
        <v>0</v>
      </c>
    </row>
    <row r="1249" spans="1:10" hidden="1" x14ac:dyDescent="0.25">
      <c r="A1249" s="219"/>
      <c r="B1249" s="237"/>
      <c r="C1249" s="36" t="s">
        <v>39</v>
      </c>
      <c r="D1249" s="47" t="s">
        <v>12</v>
      </c>
      <c r="E1249" s="37">
        <v>0.17399999999999999</v>
      </c>
      <c r="F1249" s="31">
        <v>20.9</v>
      </c>
      <c r="G1249" s="34">
        <f t="shared" si="20"/>
        <v>3.6365999999999996</v>
      </c>
      <c r="H1249" s="35"/>
      <c r="I1249" s="31"/>
      <c r="J1249" s="102">
        <v>0</v>
      </c>
    </row>
    <row r="1250" spans="1:10" hidden="1" x14ac:dyDescent="0.25">
      <c r="A1250" s="219"/>
      <c r="B1250" s="237"/>
      <c r="C1250" s="36" t="s">
        <v>23</v>
      </c>
      <c r="D1250" s="47" t="s">
        <v>12</v>
      </c>
      <c r="E1250" s="37">
        <v>5.4800000000000001E-2</v>
      </c>
      <c r="F1250" s="31">
        <v>16.1785</v>
      </c>
      <c r="G1250" s="34">
        <f t="shared" si="20"/>
        <v>0.88658179999999998</v>
      </c>
      <c r="H1250" s="35"/>
      <c r="I1250" s="31"/>
      <c r="J1250" s="102">
        <v>0</v>
      </c>
    </row>
    <row r="1251" spans="1:10" ht="15.75" hidden="1" thickBot="1" x14ac:dyDescent="0.3">
      <c r="A1251" s="220"/>
      <c r="B1251" s="223"/>
      <c r="C1251" s="36"/>
      <c r="D1251" s="36"/>
      <c r="E1251" s="37"/>
      <c r="F1251" s="31" t="s">
        <v>522</v>
      </c>
      <c r="G1251" s="31" t="str">
        <f t="shared" si="20"/>
        <v/>
      </c>
      <c r="H1251" s="35"/>
      <c r="I1251" s="31"/>
      <c r="J1251" s="102">
        <v>0</v>
      </c>
    </row>
    <row r="1252" spans="1:10" ht="15.75" hidden="1" thickBot="1" x14ac:dyDescent="0.3">
      <c r="A1252" s="218" t="s">
        <v>385</v>
      </c>
      <c r="B1252" s="221" t="e">
        <f>INDEX(#REF!,MATCH(Composições!A1252,#REF!,0),2)</f>
        <v>#REF!</v>
      </c>
      <c r="C1252" s="41"/>
      <c r="D1252" s="26" t="s">
        <v>20</v>
      </c>
      <c r="E1252" s="27"/>
      <c r="F1252" s="42" t="s">
        <v>522</v>
      </c>
      <c r="G1252" s="28" t="str">
        <f t="shared" si="20"/>
        <v/>
      </c>
      <c r="H1252" s="29"/>
      <c r="I1252" s="30"/>
      <c r="J1252" s="102">
        <v>0</v>
      </c>
    </row>
    <row r="1253" spans="1:10" hidden="1" x14ac:dyDescent="0.25">
      <c r="A1253" s="219"/>
      <c r="B1253" s="237"/>
      <c r="C1253" s="32"/>
      <c r="D1253" s="32"/>
      <c r="E1253" s="33"/>
      <c r="F1253" s="43" t="s">
        <v>522</v>
      </c>
      <c r="G1253" s="31" t="str">
        <f t="shared" si="20"/>
        <v/>
      </c>
      <c r="H1253" s="35"/>
      <c r="I1253" s="31"/>
      <c r="J1253" s="102">
        <v>0</v>
      </c>
    </row>
    <row r="1254" spans="1:10" hidden="1" x14ac:dyDescent="0.25">
      <c r="A1254" s="219"/>
      <c r="B1254" s="237"/>
      <c r="C1254" s="36" t="s">
        <v>342</v>
      </c>
      <c r="D1254" s="47" t="s">
        <v>279</v>
      </c>
      <c r="E1254" s="37">
        <v>3.32E-2</v>
      </c>
      <c r="F1254" s="34">
        <v>3.5244999999999997</v>
      </c>
      <c r="G1254" s="34">
        <f t="shared" si="20"/>
        <v>0.11701339999999999</v>
      </c>
      <c r="H1254" s="39">
        <f>SUM(G1254:G1257)</f>
        <v>52.22561919999999</v>
      </c>
      <c r="I1254" s="40"/>
      <c r="J1254" s="102">
        <v>0</v>
      </c>
    </row>
    <row r="1255" spans="1:10" ht="25.5" hidden="1" x14ac:dyDescent="0.25">
      <c r="A1255" s="219"/>
      <c r="B1255" s="237"/>
      <c r="C1255" s="36" t="s">
        <v>2432</v>
      </c>
      <c r="D1255" s="36" t="s">
        <v>20</v>
      </c>
      <c r="E1255" s="37">
        <v>1</v>
      </c>
      <c r="F1255" s="34">
        <v>48.905999999999992</v>
      </c>
      <c r="G1255" s="34">
        <f t="shared" si="20"/>
        <v>48.905999999999992</v>
      </c>
      <c r="H1255" s="35"/>
      <c r="I1255" s="31"/>
      <c r="J1255" s="102">
        <v>0</v>
      </c>
    </row>
    <row r="1256" spans="1:10" hidden="1" x14ac:dyDescent="0.25">
      <c r="A1256" s="219"/>
      <c r="B1256" s="237"/>
      <c r="C1256" s="36" t="s">
        <v>39</v>
      </c>
      <c r="D1256" s="47" t="s">
        <v>12</v>
      </c>
      <c r="E1256" s="37">
        <v>0.1232</v>
      </c>
      <c r="F1256" s="31">
        <v>20.9</v>
      </c>
      <c r="G1256" s="34">
        <f t="shared" si="20"/>
        <v>2.5748799999999998</v>
      </c>
      <c r="H1256" s="35"/>
      <c r="I1256" s="31"/>
      <c r="J1256" s="102">
        <v>0</v>
      </c>
    </row>
    <row r="1257" spans="1:10" hidden="1" x14ac:dyDescent="0.25">
      <c r="A1257" s="219"/>
      <c r="B1257" s="237"/>
      <c r="C1257" s="36" t="s">
        <v>23</v>
      </c>
      <c r="D1257" s="36" t="s">
        <v>12</v>
      </c>
      <c r="E1257" s="37">
        <v>3.8800000000000001E-2</v>
      </c>
      <c r="F1257" s="31">
        <v>16.1785</v>
      </c>
      <c r="G1257" s="34">
        <f t="shared" si="20"/>
        <v>0.6277258</v>
      </c>
      <c r="H1257" s="35"/>
      <c r="I1257" s="31"/>
      <c r="J1257" s="102">
        <v>0</v>
      </c>
    </row>
    <row r="1258" spans="1:10" ht="15.75" hidden="1" thickBot="1" x14ac:dyDescent="0.3">
      <c r="A1258" s="220"/>
      <c r="B1258" s="223"/>
      <c r="C1258" s="36"/>
      <c r="D1258" s="36"/>
      <c r="E1258" s="37"/>
      <c r="F1258" s="31" t="s">
        <v>522</v>
      </c>
      <c r="G1258" s="31" t="str">
        <f t="shared" si="20"/>
        <v/>
      </c>
      <c r="H1258" s="35"/>
      <c r="I1258" s="31"/>
      <c r="J1258" s="102">
        <v>0</v>
      </c>
    </row>
    <row r="1259" spans="1:10" ht="15.75" hidden="1" thickBot="1" x14ac:dyDescent="0.3">
      <c r="A1259" s="218" t="s">
        <v>386</v>
      </c>
      <c r="B1259" s="221" t="e">
        <f>INDEX(#REF!,MATCH(Composições!A1259,#REF!,0),2)</f>
        <v>#REF!</v>
      </c>
      <c r="C1259" s="41"/>
      <c r="D1259" s="26" t="s">
        <v>20</v>
      </c>
      <c r="E1259" s="27"/>
      <c r="F1259" s="42" t="s">
        <v>522</v>
      </c>
      <c r="G1259" s="28" t="str">
        <f t="shared" si="20"/>
        <v/>
      </c>
      <c r="H1259" s="29"/>
      <c r="I1259" s="30"/>
      <c r="J1259" s="102">
        <v>0</v>
      </c>
    </row>
    <row r="1260" spans="1:10" hidden="1" x14ac:dyDescent="0.25">
      <c r="A1260" s="219"/>
      <c r="B1260" s="237"/>
      <c r="C1260" s="32"/>
      <c r="D1260" s="32"/>
      <c r="E1260" s="33"/>
      <c r="F1260" s="43" t="s">
        <v>522</v>
      </c>
      <c r="G1260" s="31" t="str">
        <f t="shared" si="20"/>
        <v/>
      </c>
      <c r="H1260" s="35"/>
      <c r="I1260" s="31"/>
      <c r="J1260" s="102">
        <v>0</v>
      </c>
    </row>
    <row r="1261" spans="1:10" ht="25.5" hidden="1" x14ac:dyDescent="0.25">
      <c r="A1261" s="219"/>
      <c r="B1261" s="237"/>
      <c r="C1261" s="36" t="s">
        <v>387</v>
      </c>
      <c r="D1261" s="47" t="s">
        <v>279</v>
      </c>
      <c r="E1261" s="37">
        <v>1</v>
      </c>
      <c r="F1261" s="34">
        <v>203.851</v>
      </c>
      <c r="G1261" s="31">
        <f t="shared" si="20"/>
        <v>203.851</v>
      </c>
      <c r="H1261" s="39">
        <f>SUM(G1261:G1264)</f>
        <v>238.85132845000001</v>
      </c>
      <c r="I1261" s="40"/>
      <c r="J1261" s="102">
        <v>0</v>
      </c>
    </row>
    <row r="1262" spans="1:10" hidden="1" x14ac:dyDescent="0.25">
      <c r="A1262" s="219"/>
      <c r="B1262" s="237"/>
      <c r="C1262" s="36" t="s">
        <v>379</v>
      </c>
      <c r="D1262" s="50" t="s">
        <v>279</v>
      </c>
      <c r="E1262" s="37">
        <v>1.9199999999999998E-2</v>
      </c>
      <c r="F1262" s="34">
        <v>12.995999999999999</v>
      </c>
      <c r="G1262" s="31">
        <f t="shared" si="20"/>
        <v>0.24952319999999995</v>
      </c>
      <c r="H1262" s="35"/>
      <c r="I1262" s="31"/>
      <c r="J1262" s="102">
        <v>0</v>
      </c>
    </row>
    <row r="1263" spans="1:10" ht="25.5" hidden="1" x14ac:dyDescent="0.25">
      <c r="A1263" s="219"/>
      <c r="B1263" s="237"/>
      <c r="C1263" s="36" t="s">
        <v>107</v>
      </c>
      <c r="D1263" s="47" t="s">
        <v>12</v>
      </c>
      <c r="E1263" s="37">
        <v>0.92490000000000006</v>
      </c>
      <c r="F1263" s="31">
        <v>16.672499999999999</v>
      </c>
      <c r="G1263" s="31">
        <f t="shared" si="20"/>
        <v>15.42039525</v>
      </c>
      <c r="H1263" s="35"/>
      <c r="I1263" s="31"/>
      <c r="J1263" s="102">
        <v>0</v>
      </c>
    </row>
    <row r="1264" spans="1:10" hidden="1" x14ac:dyDescent="0.25">
      <c r="A1264" s="219"/>
      <c r="B1264" s="237"/>
      <c r="C1264" s="36" t="s">
        <v>39</v>
      </c>
      <c r="D1264" s="47" t="s">
        <v>12</v>
      </c>
      <c r="E1264" s="37">
        <v>0.92490000000000006</v>
      </c>
      <c r="F1264" s="31">
        <v>20.9</v>
      </c>
      <c r="G1264" s="34">
        <f t="shared" si="20"/>
        <v>19.330410000000001</v>
      </c>
      <c r="H1264" s="35"/>
      <c r="I1264" s="31"/>
      <c r="J1264" s="102">
        <v>0</v>
      </c>
    </row>
    <row r="1265" spans="1:10" ht="15.75" hidden="1" thickBot="1" x14ac:dyDescent="0.3">
      <c r="A1265" s="220"/>
      <c r="B1265" s="223"/>
      <c r="C1265" s="36"/>
      <c r="D1265" s="36"/>
      <c r="E1265" s="37"/>
      <c r="F1265" s="31" t="s">
        <v>522</v>
      </c>
      <c r="G1265" s="31" t="str">
        <f t="shared" si="20"/>
        <v/>
      </c>
      <c r="H1265" s="35"/>
      <c r="I1265" s="31"/>
      <c r="J1265" s="102">
        <v>0</v>
      </c>
    </row>
    <row r="1266" spans="1:10" ht="15.75" hidden="1" thickBot="1" x14ac:dyDescent="0.3">
      <c r="A1266" s="218" t="s">
        <v>388</v>
      </c>
      <c r="B1266" s="221" t="e">
        <f>INDEX(#REF!,MATCH(Composições!A1266,#REF!,0),2)</f>
        <v>#REF!</v>
      </c>
      <c r="C1266" s="41"/>
      <c r="D1266" s="26" t="s">
        <v>20</v>
      </c>
      <c r="E1266" s="27"/>
      <c r="F1266" s="42" t="s">
        <v>522</v>
      </c>
      <c r="G1266" s="28" t="str">
        <f t="shared" si="20"/>
        <v/>
      </c>
      <c r="H1266" s="29"/>
      <c r="I1266" s="30"/>
      <c r="J1266" s="102">
        <v>0</v>
      </c>
    </row>
    <row r="1267" spans="1:10" hidden="1" x14ac:dyDescent="0.25">
      <c r="A1267" s="219"/>
      <c r="B1267" s="237"/>
      <c r="C1267" s="32"/>
      <c r="D1267" s="32"/>
      <c r="E1267" s="33"/>
      <c r="F1267" s="43" t="s">
        <v>522</v>
      </c>
      <c r="G1267" s="31" t="str">
        <f t="shared" si="20"/>
        <v/>
      </c>
      <c r="H1267" s="35"/>
      <c r="I1267" s="31"/>
      <c r="J1267" s="102">
        <v>0</v>
      </c>
    </row>
    <row r="1268" spans="1:10" hidden="1" x14ac:dyDescent="0.25">
      <c r="A1268" s="219"/>
      <c r="B1268" s="237"/>
      <c r="C1268" s="36" t="s">
        <v>30</v>
      </c>
      <c r="D1268" s="36" t="s">
        <v>12</v>
      </c>
      <c r="E1268" s="37">
        <v>0.28999999999999998</v>
      </c>
      <c r="F1268" s="31">
        <v>21.688499999999998</v>
      </c>
      <c r="G1268" s="31">
        <f t="shared" si="20"/>
        <v>6.2896649999999985</v>
      </c>
      <c r="H1268" s="39">
        <f>SUM(G1268:G1270)</f>
        <v>11.226624999999999</v>
      </c>
      <c r="I1268" s="40"/>
      <c r="J1268" s="102">
        <v>0</v>
      </c>
    </row>
    <row r="1269" spans="1:10" hidden="1" x14ac:dyDescent="0.25">
      <c r="A1269" s="219"/>
      <c r="B1269" s="237"/>
      <c r="C1269" s="36" t="s">
        <v>74</v>
      </c>
      <c r="D1269" s="47" t="s">
        <v>12</v>
      </c>
      <c r="E1269" s="37">
        <v>0.28999999999999998</v>
      </c>
      <c r="F1269" s="31">
        <v>17.024000000000001</v>
      </c>
      <c r="G1269" s="31">
        <f t="shared" si="20"/>
        <v>4.93696</v>
      </c>
      <c r="H1269" s="35"/>
      <c r="I1269" s="31"/>
      <c r="J1269" s="102">
        <v>0</v>
      </c>
    </row>
    <row r="1270" spans="1:10" ht="25.5" hidden="1" x14ac:dyDescent="0.25">
      <c r="A1270" s="219"/>
      <c r="B1270" s="237"/>
      <c r="C1270" s="36" t="s">
        <v>389</v>
      </c>
      <c r="D1270" s="36" t="s">
        <v>144</v>
      </c>
      <c r="E1270" s="37">
        <v>1</v>
      </c>
      <c r="F1270" s="34" t="s">
        <v>522</v>
      </c>
      <c r="G1270" s="31" t="str">
        <f t="shared" si="20"/>
        <v/>
      </c>
      <c r="H1270" s="35"/>
      <c r="I1270" s="31"/>
      <c r="J1270" s="102">
        <v>0</v>
      </c>
    </row>
    <row r="1271" spans="1:10" ht="15.75" hidden="1" thickBot="1" x14ac:dyDescent="0.3">
      <c r="A1271" s="220"/>
      <c r="B1271" s="223"/>
      <c r="C1271" s="36"/>
      <c r="D1271" s="36"/>
      <c r="E1271" s="37"/>
      <c r="F1271" s="31" t="s">
        <v>522</v>
      </c>
      <c r="G1271" s="31" t="str">
        <f t="shared" si="20"/>
        <v/>
      </c>
      <c r="H1271" s="35"/>
      <c r="I1271" s="31"/>
      <c r="J1271" s="102">
        <v>0</v>
      </c>
    </row>
    <row r="1272" spans="1:10" ht="15.75" hidden="1" thickBot="1" x14ac:dyDescent="0.3">
      <c r="A1272" s="218" t="s">
        <v>390</v>
      </c>
      <c r="B1272" s="221" t="e">
        <f>INDEX(#REF!,MATCH(Composições!A1272,#REF!,0),2)</f>
        <v>#REF!</v>
      </c>
      <c r="C1272" s="41"/>
      <c r="D1272" s="26" t="s">
        <v>20</v>
      </c>
      <c r="E1272" s="27"/>
      <c r="F1272" s="42" t="s">
        <v>522</v>
      </c>
      <c r="G1272" s="28" t="str">
        <f t="shared" si="20"/>
        <v/>
      </c>
      <c r="H1272" s="29"/>
      <c r="I1272" s="30"/>
      <c r="J1272" s="102">
        <v>0</v>
      </c>
    </row>
    <row r="1273" spans="1:10" hidden="1" x14ac:dyDescent="0.25">
      <c r="A1273" s="219"/>
      <c r="B1273" s="237"/>
      <c r="C1273" s="32"/>
      <c r="D1273" s="32"/>
      <c r="E1273" s="33"/>
      <c r="F1273" s="43" t="s">
        <v>522</v>
      </c>
      <c r="G1273" s="31" t="str">
        <f t="shared" si="20"/>
        <v/>
      </c>
      <c r="H1273" s="35"/>
      <c r="I1273" s="31"/>
      <c r="J1273" s="102">
        <v>0</v>
      </c>
    </row>
    <row r="1274" spans="1:10" ht="25.5" hidden="1" x14ac:dyDescent="0.25">
      <c r="A1274" s="219"/>
      <c r="B1274" s="237"/>
      <c r="C1274" s="36" t="s">
        <v>391</v>
      </c>
      <c r="D1274" s="47" t="s">
        <v>144</v>
      </c>
      <c r="E1274" s="37">
        <v>1</v>
      </c>
      <c r="F1274" s="34" t="s">
        <v>522</v>
      </c>
      <c r="G1274" s="34" t="str">
        <f t="shared" si="20"/>
        <v/>
      </c>
      <c r="H1274" s="39">
        <f>SUM(G1274:G1277)</f>
        <v>41.42</v>
      </c>
      <c r="I1274" s="40"/>
      <c r="J1274" s="102">
        <v>0</v>
      </c>
    </row>
    <row r="1275" spans="1:10" ht="25.5" hidden="1" x14ac:dyDescent="0.25">
      <c r="A1275" s="219"/>
      <c r="B1275" s="237"/>
      <c r="C1275" s="36" t="s">
        <v>392</v>
      </c>
      <c r="D1275" s="47" t="s">
        <v>279</v>
      </c>
      <c r="E1275" s="37">
        <v>6</v>
      </c>
      <c r="F1275" s="34">
        <v>0.627</v>
      </c>
      <c r="G1275" s="34">
        <f t="shared" si="20"/>
        <v>3.762</v>
      </c>
      <c r="H1275" s="35"/>
      <c r="I1275" s="31"/>
      <c r="J1275" s="102">
        <v>0</v>
      </c>
    </row>
    <row r="1276" spans="1:10" hidden="1" x14ac:dyDescent="0.25">
      <c r="A1276" s="219"/>
      <c r="B1276" s="237"/>
      <c r="C1276" s="36" t="s">
        <v>22</v>
      </c>
      <c r="D1276" s="36" t="s">
        <v>12</v>
      </c>
      <c r="E1276" s="37">
        <v>1</v>
      </c>
      <c r="F1276" s="31">
        <v>21.479499999999998</v>
      </c>
      <c r="G1276" s="34">
        <f t="shared" si="20"/>
        <v>21.479499999999998</v>
      </c>
      <c r="H1276" s="35"/>
      <c r="I1276" s="31"/>
      <c r="J1276" s="102">
        <v>0</v>
      </c>
    </row>
    <row r="1277" spans="1:10" hidden="1" x14ac:dyDescent="0.25">
      <c r="A1277" s="219"/>
      <c r="B1277" s="237"/>
      <c r="C1277" s="36" t="s">
        <v>23</v>
      </c>
      <c r="D1277" s="36" t="s">
        <v>12</v>
      </c>
      <c r="E1277" s="37">
        <v>1</v>
      </c>
      <c r="F1277" s="31">
        <v>16.1785</v>
      </c>
      <c r="G1277" s="34">
        <f t="shared" si="20"/>
        <v>16.1785</v>
      </c>
      <c r="H1277" s="35"/>
      <c r="I1277" s="31"/>
      <c r="J1277" s="102">
        <v>0</v>
      </c>
    </row>
    <row r="1278" spans="1:10" ht="15.75" hidden="1" thickBot="1" x14ac:dyDescent="0.3">
      <c r="A1278" s="220"/>
      <c r="B1278" s="223"/>
      <c r="C1278" s="36"/>
      <c r="D1278" s="36"/>
      <c r="E1278" s="37"/>
      <c r="F1278" s="31" t="s">
        <v>522</v>
      </c>
      <c r="G1278" s="31" t="str">
        <f t="shared" si="20"/>
        <v/>
      </c>
      <c r="H1278" s="35"/>
      <c r="I1278" s="31"/>
      <c r="J1278" s="102">
        <v>0</v>
      </c>
    </row>
    <row r="1279" spans="1:10" ht="15.75" hidden="1" thickBot="1" x14ac:dyDescent="0.3">
      <c r="A1279" s="218" t="s">
        <v>393</v>
      </c>
      <c r="B1279" s="221" t="e">
        <f>INDEX(#REF!,MATCH(Composições!A1279,#REF!,0),2)</f>
        <v>#REF!</v>
      </c>
      <c r="C1279" s="41"/>
      <c r="D1279" s="26" t="s">
        <v>20</v>
      </c>
      <c r="E1279" s="27"/>
      <c r="F1279" s="42" t="s">
        <v>522</v>
      </c>
      <c r="G1279" s="28" t="str">
        <f t="shared" si="20"/>
        <v/>
      </c>
      <c r="H1279" s="29"/>
      <c r="I1279" s="30"/>
      <c r="J1279" s="102">
        <v>0</v>
      </c>
    </row>
    <row r="1280" spans="1:10" hidden="1" x14ac:dyDescent="0.25">
      <c r="A1280" s="219"/>
      <c r="B1280" s="237"/>
      <c r="C1280" s="32"/>
      <c r="D1280" s="32"/>
      <c r="E1280" s="33"/>
      <c r="F1280" s="43" t="s">
        <v>522</v>
      </c>
      <c r="G1280" s="31" t="str">
        <f t="shared" si="20"/>
        <v/>
      </c>
      <c r="H1280" s="35"/>
      <c r="I1280" s="31"/>
      <c r="J1280" s="102">
        <v>0</v>
      </c>
    </row>
    <row r="1281" spans="1:10" ht="25.5" hidden="1" x14ac:dyDescent="0.25">
      <c r="A1281" s="219"/>
      <c r="B1281" s="237"/>
      <c r="C1281" s="36" t="s">
        <v>394</v>
      </c>
      <c r="D1281" s="47" t="s">
        <v>144</v>
      </c>
      <c r="E1281" s="37">
        <v>1</v>
      </c>
      <c r="F1281" s="34" t="s">
        <v>522</v>
      </c>
      <c r="G1281" s="34" t="str">
        <f t="shared" si="20"/>
        <v/>
      </c>
      <c r="H1281" s="39">
        <f>SUM(G1281:G1284)</f>
        <v>41.42</v>
      </c>
      <c r="I1281" s="40"/>
      <c r="J1281" s="102">
        <v>0</v>
      </c>
    </row>
    <row r="1282" spans="1:10" ht="25.5" hidden="1" x14ac:dyDescent="0.25">
      <c r="A1282" s="219"/>
      <c r="B1282" s="237"/>
      <c r="C1282" s="36" t="s">
        <v>392</v>
      </c>
      <c r="D1282" s="47" t="s">
        <v>279</v>
      </c>
      <c r="E1282" s="37">
        <v>6</v>
      </c>
      <c r="F1282" s="34">
        <v>0.627</v>
      </c>
      <c r="G1282" s="34">
        <f t="shared" si="20"/>
        <v>3.762</v>
      </c>
      <c r="H1282" s="35"/>
      <c r="I1282" s="31"/>
      <c r="J1282" s="102">
        <v>0</v>
      </c>
    </row>
    <row r="1283" spans="1:10" hidden="1" x14ac:dyDescent="0.25">
      <c r="A1283" s="219"/>
      <c r="B1283" s="237"/>
      <c r="C1283" s="36" t="s">
        <v>22</v>
      </c>
      <c r="D1283" s="36" t="s">
        <v>12</v>
      </c>
      <c r="E1283" s="37">
        <v>1</v>
      </c>
      <c r="F1283" s="31">
        <v>21.479499999999998</v>
      </c>
      <c r="G1283" s="34">
        <f t="shared" si="20"/>
        <v>21.479499999999998</v>
      </c>
      <c r="H1283" s="35"/>
      <c r="I1283" s="31"/>
      <c r="J1283" s="102">
        <v>0</v>
      </c>
    </row>
    <row r="1284" spans="1:10" hidden="1" x14ac:dyDescent="0.25">
      <c r="A1284" s="219"/>
      <c r="B1284" s="237"/>
      <c r="C1284" s="36" t="s">
        <v>23</v>
      </c>
      <c r="D1284" s="36" t="s">
        <v>12</v>
      </c>
      <c r="E1284" s="37">
        <v>1</v>
      </c>
      <c r="F1284" s="31">
        <v>16.1785</v>
      </c>
      <c r="G1284" s="34">
        <f t="shared" si="20"/>
        <v>16.1785</v>
      </c>
      <c r="H1284" s="35"/>
      <c r="I1284" s="31"/>
      <c r="J1284" s="102">
        <v>0</v>
      </c>
    </row>
    <row r="1285" spans="1:10" ht="15.75" hidden="1" thickBot="1" x14ac:dyDescent="0.3">
      <c r="A1285" s="220"/>
      <c r="B1285" s="223"/>
      <c r="C1285" s="36"/>
      <c r="D1285" s="36"/>
      <c r="E1285" s="37"/>
      <c r="F1285" s="31" t="s">
        <v>522</v>
      </c>
      <c r="G1285" s="31" t="str">
        <f t="shared" si="20"/>
        <v/>
      </c>
      <c r="H1285" s="35"/>
      <c r="I1285" s="31"/>
      <c r="J1285" s="102">
        <v>0</v>
      </c>
    </row>
    <row r="1286" spans="1:10" ht="15.75" hidden="1" thickBot="1" x14ac:dyDescent="0.3">
      <c r="A1286" s="218" t="s">
        <v>395</v>
      </c>
      <c r="B1286" s="221" t="e">
        <f>INDEX(#REF!,MATCH(Composições!A1286,#REF!,0),2)</f>
        <v>#REF!</v>
      </c>
      <c r="C1286" s="41"/>
      <c r="D1286" s="26" t="s">
        <v>20</v>
      </c>
      <c r="E1286" s="27"/>
      <c r="F1286" s="42" t="s">
        <v>522</v>
      </c>
      <c r="G1286" s="28" t="str">
        <f t="shared" si="20"/>
        <v/>
      </c>
      <c r="H1286" s="29"/>
      <c r="I1286" s="30"/>
      <c r="J1286" s="102">
        <v>0</v>
      </c>
    </row>
    <row r="1287" spans="1:10" hidden="1" x14ac:dyDescent="0.25">
      <c r="A1287" s="219"/>
      <c r="B1287" s="237"/>
      <c r="C1287" s="32"/>
      <c r="D1287" s="32"/>
      <c r="E1287" s="33"/>
      <c r="F1287" s="43" t="s">
        <v>522</v>
      </c>
      <c r="G1287" s="31" t="str">
        <f t="shared" si="20"/>
        <v/>
      </c>
      <c r="H1287" s="35"/>
      <c r="I1287" s="31"/>
      <c r="J1287" s="102">
        <v>0</v>
      </c>
    </row>
    <row r="1288" spans="1:10" ht="25.5" hidden="1" x14ac:dyDescent="0.25">
      <c r="A1288" s="219"/>
      <c r="B1288" s="237"/>
      <c r="C1288" s="36" t="s">
        <v>396</v>
      </c>
      <c r="D1288" s="47" t="s">
        <v>144</v>
      </c>
      <c r="E1288" s="37">
        <v>1</v>
      </c>
      <c r="F1288" s="34" t="s">
        <v>522</v>
      </c>
      <c r="G1288" s="34" t="str">
        <f t="shared" si="20"/>
        <v/>
      </c>
      <c r="H1288" s="39">
        <f>SUM(G1288:G1291)</f>
        <v>41.42</v>
      </c>
      <c r="I1288" s="40"/>
      <c r="J1288" s="102">
        <v>0</v>
      </c>
    </row>
    <row r="1289" spans="1:10" ht="25.5" hidden="1" x14ac:dyDescent="0.25">
      <c r="A1289" s="219"/>
      <c r="B1289" s="237"/>
      <c r="C1289" s="36" t="s">
        <v>392</v>
      </c>
      <c r="D1289" s="47" t="s">
        <v>279</v>
      </c>
      <c r="E1289" s="37">
        <v>6</v>
      </c>
      <c r="F1289" s="34">
        <v>0.627</v>
      </c>
      <c r="G1289" s="34">
        <f t="shared" si="20"/>
        <v>3.762</v>
      </c>
      <c r="H1289" s="35"/>
      <c r="I1289" s="31"/>
      <c r="J1289" s="102">
        <v>0</v>
      </c>
    </row>
    <row r="1290" spans="1:10" hidden="1" x14ac:dyDescent="0.25">
      <c r="A1290" s="219"/>
      <c r="B1290" s="237"/>
      <c r="C1290" s="36" t="s">
        <v>22</v>
      </c>
      <c r="D1290" s="36" t="s">
        <v>12</v>
      </c>
      <c r="E1290" s="37">
        <v>1</v>
      </c>
      <c r="F1290" s="31">
        <v>21.479499999999998</v>
      </c>
      <c r="G1290" s="34">
        <f t="shared" si="20"/>
        <v>21.479499999999998</v>
      </c>
      <c r="H1290" s="35"/>
      <c r="I1290" s="31"/>
      <c r="J1290" s="102">
        <v>0</v>
      </c>
    </row>
    <row r="1291" spans="1:10" hidden="1" x14ac:dyDescent="0.25">
      <c r="A1291" s="219"/>
      <c r="B1291" s="237"/>
      <c r="C1291" s="36" t="s">
        <v>23</v>
      </c>
      <c r="D1291" s="36" t="s">
        <v>12</v>
      </c>
      <c r="E1291" s="37">
        <v>1</v>
      </c>
      <c r="F1291" s="31">
        <v>16.1785</v>
      </c>
      <c r="G1291" s="34">
        <f t="shared" si="20"/>
        <v>16.1785</v>
      </c>
      <c r="H1291" s="35"/>
      <c r="I1291" s="31"/>
      <c r="J1291" s="102">
        <v>0</v>
      </c>
    </row>
    <row r="1292" spans="1:10" ht="15.75" hidden="1" thickBot="1" x14ac:dyDescent="0.3">
      <c r="A1292" s="220"/>
      <c r="B1292" s="223"/>
      <c r="C1292" s="36"/>
      <c r="D1292" s="36"/>
      <c r="E1292" s="37"/>
      <c r="F1292" s="31" t="s">
        <v>522</v>
      </c>
      <c r="G1292" s="31" t="str">
        <f t="shared" si="20"/>
        <v/>
      </c>
      <c r="H1292" s="35"/>
      <c r="I1292" s="31"/>
      <c r="J1292" s="102">
        <v>0</v>
      </c>
    </row>
    <row r="1293" spans="1:10" ht="15.75" hidden="1" thickBot="1" x14ac:dyDescent="0.3">
      <c r="A1293" s="218" t="s">
        <v>397</v>
      </c>
      <c r="B1293" s="221" t="e">
        <f>INDEX(#REF!,MATCH(Composições!A1293,#REF!,0),2)</f>
        <v>#REF!</v>
      </c>
      <c r="C1293" s="41"/>
      <c r="D1293" s="26" t="s">
        <v>20</v>
      </c>
      <c r="E1293" s="27"/>
      <c r="F1293" s="42" t="s">
        <v>522</v>
      </c>
      <c r="G1293" s="28" t="str">
        <f t="shared" si="20"/>
        <v/>
      </c>
      <c r="H1293" s="29"/>
      <c r="I1293" s="30"/>
      <c r="J1293" s="102">
        <v>0</v>
      </c>
    </row>
    <row r="1294" spans="1:10" hidden="1" x14ac:dyDescent="0.25">
      <c r="A1294" s="219"/>
      <c r="B1294" s="237"/>
      <c r="C1294" s="32"/>
      <c r="D1294" s="32"/>
      <c r="E1294" s="33"/>
      <c r="F1294" s="43" t="s">
        <v>522</v>
      </c>
      <c r="G1294" s="31" t="str">
        <f t="shared" si="20"/>
        <v/>
      </c>
      <c r="H1294" s="35"/>
      <c r="I1294" s="31"/>
      <c r="J1294" s="102">
        <v>0</v>
      </c>
    </row>
    <row r="1295" spans="1:10" hidden="1" x14ac:dyDescent="0.25">
      <c r="A1295" s="219"/>
      <c r="B1295" s="237"/>
      <c r="C1295" s="36" t="s">
        <v>22</v>
      </c>
      <c r="D1295" s="36" t="s">
        <v>12</v>
      </c>
      <c r="E1295" s="37">
        <v>1</v>
      </c>
      <c r="F1295" s="31">
        <v>21.479499999999998</v>
      </c>
      <c r="G1295" s="34">
        <f t="shared" si="20"/>
        <v>21.479499999999998</v>
      </c>
      <c r="H1295" s="39">
        <f>SUM(G1295:G1298)</f>
        <v>41.42</v>
      </c>
      <c r="I1295" s="40"/>
      <c r="J1295" s="102">
        <v>0</v>
      </c>
    </row>
    <row r="1296" spans="1:10" hidden="1" x14ac:dyDescent="0.25">
      <c r="A1296" s="219"/>
      <c r="B1296" s="237"/>
      <c r="C1296" s="36" t="s">
        <v>23</v>
      </c>
      <c r="D1296" s="36" t="s">
        <v>12</v>
      </c>
      <c r="E1296" s="37">
        <v>1</v>
      </c>
      <c r="F1296" s="31">
        <v>16.1785</v>
      </c>
      <c r="G1296" s="34">
        <f t="shared" si="20"/>
        <v>16.1785</v>
      </c>
      <c r="H1296" s="35"/>
      <c r="I1296" s="31"/>
      <c r="J1296" s="102">
        <v>0</v>
      </c>
    </row>
    <row r="1297" spans="1:10" ht="25.5" hidden="1" x14ac:dyDescent="0.25">
      <c r="A1297" s="219"/>
      <c r="B1297" s="237"/>
      <c r="C1297" s="36" t="s">
        <v>398</v>
      </c>
      <c r="D1297" s="36" t="s">
        <v>20</v>
      </c>
      <c r="E1297" s="37">
        <v>1</v>
      </c>
      <c r="F1297" s="34" t="s">
        <v>522</v>
      </c>
      <c r="G1297" s="31" t="str">
        <f t="shared" si="20"/>
        <v/>
      </c>
      <c r="H1297" s="35"/>
      <c r="I1297" s="31"/>
      <c r="J1297" s="102">
        <v>0</v>
      </c>
    </row>
    <row r="1298" spans="1:10" ht="25.5" hidden="1" x14ac:dyDescent="0.25">
      <c r="A1298" s="219"/>
      <c r="B1298" s="237"/>
      <c r="C1298" s="36" t="s">
        <v>392</v>
      </c>
      <c r="D1298" s="47" t="s">
        <v>279</v>
      </c>
      <c r="E1298" s="37">
        <v>6</v>
      </c>
      <c r="F1298" s="34">
        <v>0.627</v>
      </c>
      <c r="G1298" s="34">
        <f t="shared" ref="G1298:G1361" si="21">IF(ISNUMBER(F1298),E1298*F1298,"")</f>
        <v>3.762</v>
      </c>
      <c r="H1298" s="35"/>
      <c r="I1298" s="31"/>
      <c r="J1298" s="102">
        <v>0</v>
      </c>
    </row>
    <row r="1299" spans="1:10" ht="15.75" hidden="1" thickBot="1" x14ac:dyDescent="0.3">
      <c r="A1299" s="220"/>
      <c r="B1299" s="223"/>
      <c r="C1299" s="36"/>
      <c r="D1299" s="36"/>
      <c r="E1299" s="37"/>
      <c r="F1299" s="31" t="s">
        <v>522</v>
      </c>
      <c r="G1299" s="31" t="str">
        <f t="shared" si="21"/>
        <v/>
      </c>
      <c r="H1299" s="35"/>
      <c r="I1299" s="31"/>
      <c r="J1299" s="102">
        <v>0</v>
      </c>
    </row>
    <row r="1300" spans="1:10" ht="15.75" hidden="1" thickBot="1" x14ac:dyDescent="0.3">
      <c r="A1300" s="218" t="s">
        <v>399</v>
      </c>
      <c r="B1300" s="221" t="e">
        <f>INDEX(#REF!,MATCH(Composições!A1300,#REF!,0),2)</f>
        <v>#REF!</v>
      </c>
      <c r="C1300" s="41"/>
      <c r="D1300" s="26" t="s">
        <v>20</v>
      </c>
      <c r="E1300" s="27"/>
      <c r="F1300" s="42" t="s">
        <v>522</v>
      </c>
      <c r="G1300" s="28" t="str">
        <f t="shared" si="21"/>
        <v/>
      </c>
      <c r="H1300" s="29"/>
      <c r="I1300" s="30"/>
      <c r="J1300" s="102">
        <v>0</v>
      </c>
    </row>
    <row r="1301" spans="1:10" hidden="1" x14ac:dyDescent="0.25">
      <c r="A1301" s="219"/>
      <c r="B1301" s="237"/>
      <c r="C1301" s="32"/>
      <c r="D1301" s="32"/>
      <c r="E1301" s="33"/>
      <c r="F1301" s="43" t="s">
        <v>522</v>
      </c>
      <c r="G1301" s="31" t="str">
        <f t="shared" si="21"/>
        <v/>
      </c>
      <c r="H1301" s="35"/>
      <c r="I1301" s="31"/>
      <c r="J1301" s="102">
        <v>0</v>
      </c>
    </row>
    <row r="1302" spans="1:10" ht="25.5" hidden="1" x14ac:dyDescent="0.25">
      <c r="A1302" s="219"/>
      <c r="B1302" s="237"/>
      <c r="C1302" s="36" t="s">
        <v>400</v>
      </c>
      <c r="D1302" s="47" t="s">
        <v>144</v>
      </c>
      <c r="E1302" s="37">
        <v>1</v>
      </c>
      <c r="F1302" s="34" t="s">
        <v>522</v>
      </c>
      <c r="G1302" s="34" t="str">
        <f t="shared" si="21"/>
        <v/>
      </c>
      <c r="H1302" s="39">
        <f>SUM(G1302:G1306)</f>
        <v>45.700215500000006</v>
      </c>
      <c r="I1302" s="40"/>
      <c r="J1302" s="102">
        <v>0</v>
      </c>
    </row>
    <row r="1303" spans="1:10" ht="25.5" hidden="1" x14ac:dyDescent="0.25">
      <c r="A1303" s="219"/>
      <c r="B1303" s="237"/>
      <c r="C1303" s="36" t="s">
        <v>340</v>
      </c>
      <c r="D1303" s="47" t="s">
        <v>279</v>
      </c>
      <c r="E1303" s="37">
        <v>2</v>
      </c>
      <c r="F1303" s="34">
        <v>16.387499999999999</v>
      </c>
      <c r="G1303" s="34">
        <f t="shared" si="21"/>
        <v>32.774999999999999</v>
      </c>
      <c r="H1303" s="35"/>
      <c r="I1303" s="31"/>
      <c r="J1303" s="102">
        <v>0</v>
      </c>
    </row>
    <row r="1304" spans="1:10" hidden="1" x14ac:dyDescent="0.25">
      <c r="A1304" s="219"/>
      <c r="B1304" s="237"/>
      <c r="C1304" s="36" t="s">
        <v>1920</v>
      </c>
      <c r="D1304" s="47" t="s">
        <v>42</v>
      </c>
      <c r="E1304" s="37">
        <v>3.04E-2</v>
      </c>
      <c r="F1304" s="34">
        <v>58.738499999999995</v>
      </c>
      <c r="G1304" s="34">
        <f t="shared" si="21"/>
        <v>1.7856503999999997</v>
      </c>
      <c r="H1304" s="35"/>
      <c r="I1304" s="31"/>
      <c r="J1304" s="102">
        <v>0</v>
      </c>
    </row>
    <row r="1305" spans="1:10" hidden="1" x14ac:dyDescent="0.25">
      <c r="A1305" s="219"/>
      <c r="B1305" s="237"/>
      <c r="C1305" s="36" t="s">
        <v>39</v>
      </c>
      <c r="D1305" s="47" t="s">
        <v>12</v>
      </c>
      <c r="E1305" s="37">
        <v>0.38700000000000001</v>
      </c>
      <c r="F1305" s="31">
        <v>20.9</v>
      </c>
      <c r="G1305" s="34">
        <f t="shared" si="21"/>
        <v>8.0883000000000003</v>
      </c>
      <c r="H1305" s="35"/>
      <c r="I1305" s="31"/>
      <c r="J1305" s="102">
        <v>0</v>
      </c>
    </row>
    <row r="1306" spans="1:10" hidden="1" x14ac:dyDescent="0.25">
      <c r="A1306" s="219"/>
      <c r="B1306" s="237"/>
      <c r="C1306" s="36" t="s">
        <v>23</v>
      </c>
      <c r="D1306" s="47" t="s">
        <v>12</v>
      </c>
      <c r="E1306" s="37">
        <v>0.18859999999999999</v>
      </c>
      <c r="F1306" s="31">
        <v>16.1785</v>
      </c>
      <c r="G1306" s="34">
        <f t="shared" si="21"/>
        <v>3.0512650999999997</v>
      </c>
      <c r="H1306" s="35"/>
      <c r="I1306" s="31"/>
      <c r="J1306" s="102">
        <v>0</v>
      </c>
    </row>
    <row r="1307" spans="1:10" ht="15.75" hidden="1" thickBot="1" x14ac:dyDescent="0.3">
      <c r="A1307" s="220"/>
      <c r="B1307" s="223"/>
      <c r="C1307" s="36"/>
      <c r="D1307" s="36"/>
      <c r="E1307" s="37"/>
      <c r="F1307" s="31" t="s">
        <v>522</v>
      </c>
      <c r="G1307" s="31" t="str">
        <f t="shared" si="21"/>
        <v/>
      </c>
      <c r="H1307" s="35"/>
      <c r="I1307" s="31"/>
      <c r="J1307" s="102">
        <v>0</v>
      </c>
    </row>
    <row r="1308" spans="1:10" ht="15.75" hidden="1" thickBot="1" x14ac:dyDescent="0.3">
      <c r="A1308" s="218" t="s">
        <v>401</v>
      </c>
      <c r="B1308" s="221" t="e">
        <f>INDEX(#REF!,MATCH(Composições!A1308,#REF!,0),2)</f>
        <v>#REF!</v>
      </c>
      <c r="C1308" s="41"/>
      <c r="D1308" s="26" t="s">
        <v>20</v>
      </c>
      <c r="E1308" s="27"/>
      <c r="F1308" s="42" t="s">
        <v>522</v>
      </c>
      <c r="G1308" s="28" t="str">
        <f t="shared" si="21"/>
        <v/>
      </c>
      <c r="H1308" s="29"/>
      <c r="I1308" s="30"/>
      <c r="J1308" s="102">
        <v>0</v>
      </c>
    </row>
    <row r="1309" spans="1:10" hidden="1" x14ac:dyDescent="0.25">
      <c r="A1309" s="219"/>
      <c r="B1309" s="237"/>
      <c r="C1309" s="32"/>
      <c r="D1309" s="32"/>
      <c r="E1309" s="33"/>
      <c r="F1309" s="43" t="s">
        <v>522</v>
      </c>
      <c r="G1309" s="31" t="str">
        <f t="shared" si="21"/>
        <v/>
      </c>
      <c r="H1309" s="35"/>
      <c r="I1309" s="31"/>
      <c r="J1309" s="102">
        <v>0</v>
      </c>
    </row>
    <row r="1310" spans="1:10" hidden="1" x14ac:dyDescent="0.25">
      <c r="A1310" s="219"/>
      <c r="B1310" s="237"/>
      <c r="C1310" s="36" t="s">
        <v>39</v>
      </c>
      <c r="D1310" s="47" t="s">
        <v>12</v>
      </c>
      <c r="E1310" s="37">
        <v>1.4666999999999999</v>
      </c>
      <c r="F1310" s="31">
        <v>20.9</v>
      </c>
      <c r="G1310" s="34">
        <f t="shared" si="21"/>
        <v>30.654029999999995</v>
      </c>
      <c r="H1310" s="39">
        <f>SUM(G1310:G1315)</f>
        <v>144.60931255</v>
      </c>
      <c r="I1310" s="40"/>
      <c r="J1310" s="102">
        <v>0</v>
      </c>
    </row>
    <row r="1311" spans="1:10" hidden="1" x14ac:dyDescent="0.25">
      <c r="A1311" s="219"/>
      <c r="B1311" s="237"/>
      <c r="C1311" s="36" t="s">
        <v>23</v>
      </c>
      <c r="D1311" s="47" t="s">
        <v>12</v>
      </c>
      <c r="E1311" s="37">
        <v>0.65169999999999995</v>
      </c>
      <c r="F1311" s="31">
        <v>16.1785</v>
      </c>
      <c r="G1311" s="34">
        <f t="shared" si="21"/>
        <v>10.543528449999998</v>
      </c>
      <c r="H1311" s="35"/>
      <c r="I1311" s="31"/>
      <c r="J1311" s="102">
        <v>0</v>
      </c>
    </row>
    <row r="1312" spans="1:10" ht="25.5" hidden="1" x14ac:dyDescent="0.25">
      <c r="A1312" s="219"/>
      <c r="B1312" s="237"/>
      <c r="C1312" s="36" t="s">
        <v>400</v>
      </c>
      <c r="D1312" s="47" t="s">
        <v>144</v>
      </c>
      <c r="E1312" s="37">
        <v>1</v>
      </c>
      <c r="F1312" s="34" t="s">
        <v>522</v>
      </c>
      <c r="G1312" s="34" t="str">
        <f t="shared" si="21"/>
        <v/>
      </c>
      <c r="H1312" s="35"/>
      <c r="I1312" s="31"/>
      <c r="J1312" s="102">
        <v>0</v>
      </c>
    </row>
    <row r="1313" spans="1:10" ht="25.5" hidden="1" x14ac:dyDescent="0.25">
      <c r="A1313" s="219"/>
      <c r="B1313" s="237"/>
      <c r="C1313" s="36" t="s">
        <v>340</v>
      </c>
      <c r="D1313" s="47" t="s">
        <v>279</v>
      </c>
      <c r="E1313" s="37">
        <v>6</v>
      </c>
      <c r="F1313" s="34">
        <v>16.387499999999999</v>
      </c>
      <c r="G1313" s="34">
        <f t="shared" si="21"/>
        <v>98.324999999999989</v>
      </c>
      <c r="H1313" s="35"/>
      <c r="I1313" s="31"/>
      <c r="J1313" s="102">
        <v>0</v>
      </c>
    </row>
    <row r="1314" spans="1:10" hidden="1" x14ac:dyDescent="0.25">
      <c r="A1314" s="219"/>
      <c r="B1314" s="237"/>
      <c r="C1314" s="36" t="s">
        <v>1920</v>
      </c>
      <c r="D1314" s="47" t="s">
        <v>42</v>
      </c>
      <c r="E1314" s="37">
        <v>8.6599999999999996E-2</v>
      </c>
      <c r="F1314" s="34">
        <v>58.738499999999995</v>
      </c>
      <c r="G1314" s="34">
        <f t="shared" si="21"/>
        <v>5.0867540999999994</v>
      </c>
      <c r="H1314" s="35"/>
      <c r="I1314" s="31"/>
      <c r="J1314" s="102">
        <v>0</v>
      </c>
    </row>
    <row r="1315" spans="1:10" ht="25.5" hidden="1" x14ac:dyDescent="0.25">
      <c r="A1315" s="219"/>
      <c r="B1315" s="237"/>
      <c r="C1315" s="36" t="s">
        <v>402</v>
      </c>
      <c r="D1315" s="36" t="s">
        <v>20</v>
      </c>
      <c r="E1315" s="37">
        <v>1</v>
      </c>
      <c r="F1315" s="34" t="s">
        <v>522</v>
      </c>
      <c r="G1315" s="31" t="str">
        <f t="shared" si="21"/>
        <v/>
      </c>
      <c r="H1315" s="35"/>
      <c r="I1315" s="31"/>
      <c r="J1315" s="102">
        <v>0</v>
      </c>
    </row>
    <row r="1316" spans="1:10" hidden="1" x14ac:dyDescent="0.25">
      <c r="A1316" s="219"/>
      <c r="B1316" s="237"/>
      <c r="C1316" s="36"/>
      <c r="D1316" s="36"/>
      <c r="E1316" s="37"/>
      <c r="F1316" s="34" t="s">
        <v>522</v>
      </c>
      <c r="G1316" s="31" t="str">
        <f t="shared" si="21"/>
        <v/>
      </c>
      <c r="H1316" s="35"/>
      <c r="I1316" s="31"/>
      <c r="J1316" s="102">
        <v>0</v>
      </c>
    </row>
    <row r="1317" spans="1:10" ht="15.75" hidden="1" thickBot="1" x14ac:dyDescent="0.3">
      <c r="A1317" s="218" t="s">
        <v>403</v>
      </c>
      <c r="B1317" s="221" t="e">
        <f>INDEX(#REF!,MATCH(Composições!A1317,#REF!,0),2)</f>
        <v>#REF!</v>
      </c>
      <c r="C1317" s="41"/>
      <c r="D1317" s="26" t="s">
        <v>20</v>
      </c>
      <c r="E1317" s="27"/>
      <c r="F1317" s="42" t="s">
        <v>522</v>
      </c>
      <c r="G1317" s="28" t="str">
        <f t="shared" si="21"/>
        <v/>
      </c>
      <c r="H1317" s="29"/>
      <c r="I1317" s="30"/>
      <c r="J1317" s="102">
        <v>0</v>
      </c>
    </row>
    <row r="1318" spans="1:10" hidden="1" x14ac:dyDescent="0.25">
      <c r="A1318" s="219"/>
      <c r="B1318" s="237"/>
      <c r="C1318" s="32"/>
      <c r="D1318" s="32"/>
      <c r="E1318" s="33"/>
      <c r="F1318" s="43" t="s">
        <v>522</v>
      </c>
      <c r="G1318" s="31" t="str">
        <f t="shared" si="21"/>
        <v/>
      </c>
      <c r="H1318" s="35"/>
      <c r="I1318" s="31"/>
      <c r="J1318" s="102">
        <v>0</v>
      </c>
    </row>
    <row r="1319" spans="1:10" hidden="1" x14ac:dyDescent="0.25">
      <c r="A1319" s="219"/>
      <c r="B1319" s="237"/>
      <c r="C1319" s="36" t="s">
        <v>404</v>
      </c>
      <c r="D1319" s="47" t="s">
        <v>144</v>
      </c>
      <c r="E1319" s="37">
        <v>1</v>
      </c>
      <c r="F1319" s="34" t="s">
        <v>522</v>
      </c>
      <c r="G1319" s="34" t="str">
        <f t="shared" si="21"/>
        <v/>
      </c>
      <c r="H1319" s="39">
        <f>SUM(G1319:G1321)</f>
        <v>8.2199585999999982</v>
      </c>
      <c r="I1319" s="40"/>
      <c r="J1319" s="102">
        <v>0</v>
      </c>
    </row>
    <row r="1320" spans="1:10" hidden="1" x14ac:dyDescent="0.25">
      <c r="A1320" s="219"/>
      <c r="B1320" s="237"/>
      <c r="C1320" s="36" t="s">
        <v>39</v>
      </c>
      <c r="D1320" s="47" t="s">
        <v>12</v>
      </c>
      <c r="E1320" s="37">
        <v>0.31619999999999998</v>
      </c>
      <c r="F1320" s="31">
        <v>20.9</v>
      </c>
      <c r="G1320" s="34">
        <f t="shared" si="21"/>
        <v>6.608579999999999</v>
      </c>
      <c r="H1320" s="35"/>
      <c r="I1320" s="31"/>
      <c r="J1320" s="102">
        <v>0</v>
      </c>
    </row>
    <row r="1321" spans="1:10" hidden="1" x14ac:dyDescent="0.25">
      <c r="A1321" s="219"/>
      <c r="B1321" s="237"/>
      <c r="C1321" s="36" t="s">
        <v>23</v>
      </c>
      <c r="D1321" s="47" t="s">
        <v>12</v>
      </c>
      <c r="E1321" s="37">
        <v>9.9599999999999994E-2</v>
      </c>
      <c r="F1321" s="31">
        <v>16.1785</v>
      </c>
      <c r="G1321" s="34">
        <f t="shared" si="21"/>
        <v>1.6113785999999999</v>
      </c>
      <c r="H1321" s="35"/>
      <c r="I1321" s="31"/>
      <c r="J1321" s="102">
        <v>0</v>
      </c>
    </row>
    <row r="1322" spans="1:10" ht="15.75" hidden="1" thickBot="1" x14ac:dyDescent="0.3">
      <c r="A1322" s="220"/>
      <c r="B1322" s="223"/>
      <c r="C1322" s="36"/>
      <c r="D1322" s="36"/>
      <c r="E1322" s="37"/>
      <c r="F1322" s="31" t="s">
        <v>522</v>
      </c>
      <c r="G1322" s="31" t="str">
        <f t="shared" si="21"/>
        <v/>
      </c>
      <c r="H1322" s="35"/>
      <c r="I1322" s="31"/>
      <c r="J1322" s="102">
        <v>0</v>
      </c>
    </row>
    <row r="1323" spans="1:10" ht="15.75" hidden="1" thickBot="1" x14ac:dyDescent="0.3">
      <c r="A1323" s="218" t="s">
        <v>405</v>
      </c>
      <c r="B1323" s="221" t="e">
        <f>INDEX(#REF!,MATCH(Composições!A1323,#REF!,0),2)</f>
        <v>#REF!</v>
      </c>
      <c r="C1323" s="41"/>
      <c r="D1323" s="26" t="s">
        <v>20</v>
      </c>
      <c r="E1323" s="27"/>
      <c r="F1323" s="42" t="s">
        <v>522</v>
      </c>
      <c r="G1323" s="28" t="str">
        <f t="shared" si="21"/>
        <v/>
      </c>
      <c r="H1323" s="29"/>
      <c r="I1323" s="30"/>
      <c r="J1323" s="102">
        <v>0</v>
      </c>
    </row>
    <row r="1324" spans="1:10" hidden="1" x14ac:dyDescent="0.25">
      <c r="A1324" s="219"/>
      <c r="B1324" s="237"/>
      <c r="C1324" s="32"/>
      <c r="D1324" s="32"/>
      <c r="E1324" s="33"/>
      <c r="F1324" s="43" t="s">
        <v>522</v>
      </c>
      <c r="G1324" s="31" t="str">
        <f t="shared" si="21"/>
        <v/>
      </c>
      <c r="H1324" s="35"/>
      <c r="I1324" s="31"/>
      <c r="J1324" s="102">
        <v>0</v>
      </c>
    </row>
    <row r="1325" spans="1:10" hidden="1" x14ac:dyDescent="0.25">
      <c r="A1325" s="219"/>
      <c r="B1325" s="237"/>
      <c r="C1325" s="36" t="s">
        <v>406</v>
      </c>
      <c r="D1325" s="47" t="s">
        <v>144</v>
      </c>
      <c r="E1325" s="37">
        <v>1</v>
      </c>
      <c r="F1325" s="34" t="s">
        <v>522</v>
      </c>
      <c r="G1325" s="34" t="str">
        <f t="shared" si="21"/>
        <v/>
      </c>
      <c r="H1325" s="39">
        <f>SUM(G1325:G1327)</f>
        <v>8.2199585999999982</v>
      </c>
      <c r="I1325" s="40"/>
      <c r="J1325" s="102">
        <v>0</v>
      </c>
    </row>
    <row r="1326" spans="1:10" hidden="1" x14ac:dyDescent="0.25">
      <c r="A1326" s="219"/>
      <c r="B1326" s="237"/>
      <c r="C1326" s="36" t="s">
        <v>39</v>
      </c>
      <c r="D1326" s="47" t="s">
        <v>12</v>
      </c>
      <c r="E1326" s="37">
        <v>0.31619999999999998</v>
      </c>
      <c r="F1326" s="31">
        <v>20.9</v>
      </c>
      <c r="G1326" s="34">
        <f t="shared" si="21"/>
        <v>6.608579999999999</v>
      </c>
      <c r="H1326" s="35"/>
      <c r="I1326" s="31"/>
      <c r="J1326" s="102">
        <v>0</v>
      </c>
    </row>
    <row r="1327" spans="1:10" hidden="1" x14ac:dyDescent="0.25">
      <c r="A1327" s="219"/>
      <c r="B1327" s="237"/>
      <c r="C1327" s="36" t="s">
        <v>23</v>
      </c>
      <c r="D1327" s="47" t="s">
        <v>12</v>
      </c>
      <c r="E1327" s="37">
        <v>9.9599999999999994E-2</v>
      </c>
      <c r="F1327" s="31">
        <v>16.1785</v>
      </c>
      <c r="G1327" s="34">
        <f t="shared" si="21"/>
        <v>1.6113785999999999</v>
      </c>
      <c r="H1327" s="35"/>
      <c r="I1327" s="31"/>
      <c r="J1327" s="102">
        <v>0</v>
      </c>
    </row>
    <row r="1328" spans="1:10" ht="15.75" hidden="1" thickBot="1" x14ac:dyDescent="0.3">
      <c r="A1328" s="220"/>
      <c r="B1328" s="223"/>
      <c r="C1328" s="36"/>
      <c r="D1328" s="36"/>
      <c r="E1328" s="37"/>
      <c r="F1328" s="31" t="s">
        <v>522</v>
      </c>
      <c r="G1328" s="31" t="str">
        <f t="shared" si="21"/>
        <v/>
      </c>
      <c r="H1328" s="35"/>
      <c r="I1328" s="31"/>
      <c r="J1328" s="102">
        <v>0</v>
      </c>
    </row>
    <row r="1329" spans="1:10" ht="15.75" hidden="1" thickBot="1" x14ac:dyDescent="0.3">
      <c r="A1329" s="218" t="s">
        <v>407</v>
      </c>
      <c r="B1329" s="221" t="e">
        <f>INDEX(#REF!,MATCH(Composições!A1329,#REF!,0),2)</f>
        <v>#REF!</v>
      </c>
      <c r="C1329" s="41"/>
      <c r="D1329" s="26" t="s">
        <v>20</v>
      </c>
      <c r="E1329" s="27"/>
      <c r="F1329" s="42" t="s">
        <v>522</v>
      </c>
      <c r="G1329" s="28" t="str">
        <f t="shared" si="21"/>
        <v/>
      </c>
      <c r="H1329" s="29"/>
      <c r="I1329" s="30"/>
      <c r="J1329" s="102">
        <v>0</v>
      </c>
    </row>
    <row r="1330" spans="1:10" hidden="1" x14ac:dyDescent="0.25">
      <c r="A1330" s="219"/>
      <c r="B1330" s="237"/>
      <c r="C1330" s="32"/>
      <c r="D1330" s="32"/>
      <c r="E1330" s="33"/>
      <c r="F1330" s="43" t="s">
        <v>522</v>
      </c>
      <c r="G1330" s="31" t="str">
        <f t="shared" si="21"/>
        <v/>
      </c>
      <c r="H1330" s="35"/>
      <c r="I1330" s="31"/>
      <c r="J1330" s="102">
        <v>0</v>
      </c>
    </row>
    <row r="1331" spans="1:10" ht="25.5" hidden="1" x14ac:dyDescent="0.25">
      <c r="A1331" s="219"/>
      <c r="B1331" s="237"/>
      <c r="C1331" s="36" t="s">
        <v>408</v>
      </c>
      <c r="D1331" s="47" t="s">
        <v>144</v>
      </c>
      <c r="E1331" s="37">
        <v>1</v>
      </c>
      <c r="F1331" s="34" t="s">
        <v>522</v>
      </c>
      <c r="G1331" s="34" t="str">
        <f t="shared" si="21"/>
        <v/>
      </c>
      <c r="H1331" s="39">
        <f>SUM(G1331:G1333)</f>
        <v>8.2199585999999982</v>
      </c>
      <c r="I1331" s="40"/>
      <c r="J1331" s="102">
        <v>0</v>
      </c>
    </row>
    <row r="1332" spans="1:10" hidden="1" x14ac:dyDescent="0.25">
      <c r="A1332" s="219"/>
      <c r="B1332" s="237"/>
      <c r="C1332" s="36" t="s">
        <v>39</v>
      </c>
      <c r="D1332" s="47" t="s">
        <v>12</v>
      </c>
      <c r="E1332" s="37">
        <v>0.31619999999999998</v>
      </c>
      <c r="F1332" s="31">
        <v>20.9</v>
      </c>
      <c r="G1332" s="34">
        <f t="shared" si="21"/>
        <v>6.608579999999999</v>
      </c>
      <c r="H1332" s="35"/>
      <c r="I1332" s="31"/>
      <c r="J1332" s="102">
        <v>0</v>
      </c>
    </row>
    <row r="1333" spans="1:10" hidden="1" x14ac:dyDescent="0.25">
      <c r="A1333" s="219"/>
      <c r="B1333" s="237"/>
      <c r="C1333" s="36" t="s">
        <v>23</v>
      </c>
      <c r="D1333" s="47" t="s">
        <v>12</v>
      </c>
      <c r="E1333" s="37">
        <v>9.9599999999999994E-2</v>
      </c>
      <c r="F1333" s="31">
        <v>16.1785</v>
      </c>
      <c r="G1333" s="34">
        <f t="shared" si="21"/>
        <v>1.6113785999999999</v>
      </c>
      <c r="H1333" s="35"/>
      <c r="I1333" s="31"/>
      <c r="J1333" s="102">
        <v>0</v>
      </c>
    </row>
    <row r="1334" spans="1:10" ht="15.75" hidden="1" thickBot="1" x14ac:dyDescent="0.3">
      <c r="A1334" s="220"/>
      <c r="B1334" s="223"/>
      <c r="C1334" s="36"/>
      <c r="D1334" s="36"/>
      <c r="E1334" s="37"/>
      <c r="F1334" s="31" t="s">
        <v>522</v>
      </c>
      <c r="G1334" s="31" t="str">
        <f t="shared" si="21"/>
        <v/>
      </c>
      <c r="H1334" s="35"/>
      <c r="I1334" s="31"/>
      <c r="J1334" s="102">
        <v>0</v>
      </c>
    </row>
    <row r="1335" spans="1:10" ht="15.75" hidden="1" thickBot="1" x14ac:dyDescent="0.3">
      <c r="A1335" s="218" t="s">
        <v>409</v>
      </c>
      <c r="B1335" s="221" t="e">
        <f>INDEX(#REF!,MATCH(Composições!A1335,#REF!,0),2)</f>
        <v>#REF!</v>
      </c>
      <c r="C1335" s="41"/>
      <c r="D1335" s="26" t="s">
        <v>20</v>
      </c>
      <c r="E1335" s="27"/>
      <c r="F1335" s="42" t="s">
        <v>522</v>
      </c>
      <c r="G1335" s="28" t="str">
        <f t="shared" si="21"/>
        <v/>
      </c>
      <c r="H1335" s="29"/>
      <c r="I1335" s="30"/>
      <c r="J1335" s="102">
        <v>0</v>
      </c>
    </row>
    <row r="1336" spans="1:10" hidden="1" x14ac:dyDescent="0.25">
      <c r="A1336" s="219"/>
      <c r="B1336" s="237"/>
      <c r="C1336" s="32"/>
      <c r="D1336" s="32"/>
      <c r="E1336" s="33"/>
      <c r="F1336" s="43" t="s">
        <v>522</v>
      </c>
      <c r="G1336" s="31" t="str">
        <f t="shared" si="21"/>
        <v/>
      </c>
      <c r="H1336" s="35"/>
      <c r="I1336" s="31"/>
      <c r="J1336" s="102">
        <v>0</v>
      </c>
    </row>
    <row r="1337" spans="1:10" ht="25.5" hidden="1" x14ac:dyDescent="0.25">
      <c r="A1337" s="219"/>
      <c r="B1337" s="237"/>
      <c r="C1337" s="36" t="s">
        <v>410</v>
      </c>
      <c r="D1337" s="47" t="s">
        <v>144</v>
      </c>
      <c r="E1337" s="37">
        <v>1</v>
      </c>
      <c r="F1337" s="34" t="s">
        <v>522</v>
      </c>
      <c r="G1337" s="34" t="str">
        <f t="shared" si="21"/>
        <v/>
      </c>
      <c r="H1337" s="39">
        <f>SUM(G1337:G1339)</f>
        <v>16.437827199999997</v>
      </c>
      <c r="I1337" s="40"/>
      <c r="J1337" s="102">
        <v>0</v>
      </c>
    </row>
    <row r="1338" spans="1:10" hidden="1" x14ac:dyDescent="0.25">
      <c r="A1338" s="219"/>
      <c r="B1338" s="237"/>
      <c r="C1338" s="36" t="s">
        <v>39</v>
      </c>
      <c r="D1338" s="47" t="s">
        <v>12</v>
      </c>
      <c r="E1338" s="37">
        <v>0.63229999999999997</v>
      </c>
      <c r="F1338" s="31">
        <v>20.9</v>
      </c>
      <c r="G1338" s="34">
        <f t="shared" si="21"/>
        <v>13.215069999999999</v>
      </c>
      <c r="H1338" s="35"/>
      <c r="I1338" s="31"/>
      <c r="J1338" s="102">
        <v>0</v>
      </c>
    </row>
    <row r="1339" spans="1:10" hidden="1" x14ac:dyDescent="0.25">
      <c r="A1339" s="219"/>
      <c r="B1339" s="237"/>
      <c r="C1339" s="36" t="s">
        <v>23</v>
      </c>
      <c r="D1339" s="47" t="s">
        <v>12</v>
      </c>
      <c r="E1339" s="37">
        <v>0.19919999999999999</v>
      </c>
      <c r="F1339" s="31">
        <v>16.1785</v>
      </c>
      <c r="G1339" s="34">
        <f t="shared" si="21"/>
        <v>3.2227571999999998</v>
      </c>
      <c r="H1339" s="35"/>
      <c r="I1339" s="31"/>
      <c r="J1339" s="102">
        <v>0</v>
      </c>
    </row>
    <row r="1340" spans="1:10" ht="15.75" hidden="1" thickBot="1" x14ac:dyDescent="0.3">
      <c r="A1340" s="220"/>
      <c r="B1340" s="223"/>
      <c r="C1340" s="36"/>
      <c r="D1340" s="36"/>
      <c r="E1340" s="37"/>
      <c r="F1340" s="31" t="s">
        <v>522</v>
      </c>
      <c r="G1340" s="31" t="str">
        <f t="shared" si="21"/>
        <v/>
      </c>
      <c r="H1340" s="35"/>
      <c r="I1340" s="31"/>
      <c r="J1340" s="102">
        <v>0</v>
      </c>
    </row>
    <row r="1341" spans="1:10" ht="15.75" hidden="1" thickBot="1" x14ac:dyDescent="0.3">
      <c r="A1341" s="218" t="s">
        <v>411</v>
      </c>
      <c r="B1341" s="221" t="e">
        <f>INDEX(#REF!,MATCH(Composições!A1341,#REF!,0),2)</f>
        <v>#REF!</v>
      </c>
      <c r="C1341" s="41"/>
      <c r="D1341" s="26" t="s">
        <v>20</v>
      </c>
      <c r="E1341" s="27"/>
      <c r="F1341" s="42" t="s">
        <v>522</v>
      </c>
      <c r="G1341" s="28" t="str">
        <f t="shared" si="21"/>
        <v/>
      </c>
      <c r="H1341" s="29"/>
      <c r="I1341" s="30"/>
      <c r="J1341" s="102">
        <v>0</v>
      </c>
    </row>
    <row r="1342" spans="1:10" hidden="1" x14ac:dyDescent="0.25">
      <c r="A1342" s="219"/>
      <c r="B1342" s="237"/>
      <c r="C1342" s="32"/>
      <c r="D1342" s="32"/>
      <c r="E1342" s="33"/>
      <c r="F1342" s="43" t="s">
        <v>522</v>
      </c>
      <c r="G1342" s="31" t="str">
        <f t="shared" si="21"/>
        <v/>
      </c>
      <c r="H1342" s="35"/>
      <c r="I1342" s="31"/>
      <c r="J1342" s="102">
        <v>0</v>
      </c>
    </row>
    <row r="1343" spans="1:10" hidden="1" x14ac:dyDescent="0.25">
      <c r="A1343" s="219"/>
      <c r="B1343" s="237"/>
      <c r="C1343" s="36" t="s">
        <v>74</v>
      </c>
      <c r="D1343" s="36" t="s">
        <v>12</v>
      </c>
      <c r="E1343" s="37">
        <v>0.14499999999999999</v>
      </c>
      <c r="F1343" s="31">
        <v>17.024000000000001</v>
      </c>
      <c r="G1343" s="34">
        <f t="shared" si="21"/>
        <v>2.46848</v>
      </c>
      <c r="H1343" s="39">
        <f>SUM(G1343:G1346)</f>
        <v>9.4613206943128993</v>
      </c>
      <c r="I1343" s="40"/>
      <c r="J1343" s="102">
        <v>0</v>
      </c>
    </row>
    <row r="1344" spans="1:10" hidden="1" x14ac:dyDescent="0.25">
      <c r="A1344" s="219"/>
      <c r="B1344" s="237"/>
      <c r="C1344" s="36" t="s">
        <v>30</v>
      </c>
      <c r="D1344" s="36" t="s">
        <v>12</v>
      </c>
      <c r="E1344" s="37">
        <v>0.14499999999999999</v>
      </c>
      <c r="F1344" s="31">
        <v>21.688499999999998</v>
      </c>
      <c r="G1344" s="34">
        <f t="shared" si="21"/>
        <v>3.1448324999999993</v>
      </c>
      <c r="H1344" s="35"/>
      <c r="I1344" s="31"/>
      <c r="J1344" s="102">
        <v>0</v>
      </c>
    </row>
    <row r="1345" spans="1:10" ht="25.5" hidden="1" x14ac:dyDescent="0.25">
      <c r="A1345" s="219"/>
      <c r="B1345" s="237"/>
      <c r="C1345" s="36" t="s">
        <v>108</v>
      </c>
      <c r="D1345" s="36" t="s">
        <v>109</v>
      </c>
      <c r="E1345" s="37">
        <v>8.9999999999999998E-4</v>
      </c>
      <c r="F1345" s="34">
        <v>633.89799368099989</v>
      </c>
      <c r="G1345" s="34">
        <f t="shared" si="21"/>
        <v>0.5705081943128999</v>
      </c>
      <c r="H1345" s="35"/>
      <c r="I1345" s="31"/>
      <c r="J1345" s="102">
        <v>0</v>
      </c>
    </row>
    <row r="1346" spans="1:10" hidden="1" x14ac:dyDescent="0.25">
      <c r="A1346" s="219"/>
      <c r="B1346" s="237"/>
      <c r="C1346" s="36" t="s">
        <v>412</v>
      </c>
      <c r="D1346" s="36" t="s">
        <v>20</v>
      </c>
      <c r="E1346" s="37">
        <v>1</v>
      </c>
      <c r="F1346" s="34">
        <v>3.2774999999999999</v>
      </c>
      <c r="G1346" s="31">
        <f t="shared" si="21"/>
        <v>3.2774999999999999</v>
      </c>
      <c r="H1346" s="35"/>
      <c r="I1346" s="31"/>
      <c r="J1346" s="102">
        <v>0</v>
      </c>
    </row>
    <row r="1347" spans="1:10" ht="15.75" hidden="1" thickBot="1" x14ac:dyDescent="0.3">
      <c r="A1347" s="220"/>
      <c r="B1347" s="223"/>
      <c r="C1347" s="36"/>
      <c r="D1347" s="36"/>
      <c r="E1347" s="37"/>
      <c r="F1347" s="31" t="s">
        <v>522</v>
      </c>
      <c r="G1347" s="31" t="str">
        <f t="shared" si="21"/>
        <v/>
      </c>
      <c r="H1347" s="35"/>
      <c r="I1347" s="31"/>
      <c r="J1347" s="102">
        <v>0</v>
      </c>
    </row>
    <row r="1348" spans="1:10" ht="15.75" hidden="1" thickBot="1" x14ac:dyDescent="0.3">
      <c r="A1348" s="218" t="s">
        <v>413</v>
      </c>
      <c r="B1348" s="221" t="e">
        <f>INDEX(#REF!,MATCH(Composições!A1348,#REF!,0),2)</f>
        <v>#REF!</v>
      </c>
      <c r="C1348" s="41"/>
      <c r="D1348" s="26" t="s">
        <v>20</v>
      </c>
      <c r="E1348" s="27"/>
      <c r="F1348" s="42" t="s">
        <v>522</v>
      </c>
      <c r="G1348" s="28" t="str">
        <f t="shared" si="21"/>
        <v/>
      </c>
      <c r="H1348" s="29"/>
      <c r="I1348" s="30"/>
      <c r="J1348" s="102">
        <v>0</v>
      </c>
    </row>
    <row r="1349" spans="1:10" hidden="1" x14ac:dyDescent="0.25">
      <c r="A1349" s="219"/>
      <c r="B1349" s="237"/>
      <c r="C1349" s="32"/>
      <c r="D1349" s="32"/>
      <c r="E1349" s="33"/>
      <c r="F1349" s="43" t="s">
        <v>522</v>
      </c>
      <c r="G1349" s="31" t="str">
        <f t="shared" si="21"/>
        <v/>
      </c>
      <c r="H1349" s="35"/>
      <c r="I1349" s="31"/>
      <c r="J1349" s="102">
        <v>0</v>
      </c>
    </row>
    <row r="1350" spans="1:10" hidden="1" x14ac:dyDescent="0.25">
      <c r="A1350" s="219"/>
      <c r="B1350" s="237"/>
      <c r="C1350" s="36" t="s">
        <v>74</v>
      </c>
      <c r="D1350" s="36" t="s">
        <v>12</v>
      </c>
      <c r="E1350" s="37">
        <v>0.14499999999999999</v>
      </c>
      <c r="F1350" s="31">
        <v>17.024000000000001</v>
      </c>
      <c r="G1350" s="34">
        <f t="shared" si="21"/>
        <v>2.46848</v>
      </c>
      <c r="H1350" s="39">
        <f>SUM(G1350:G1352)</f>
        <v>5.6133124999999993</v>
      </c>
      <c r="I1350" s="40"/>
      <c r="J1350" s="102">
        <v>0</v>
      </c>
    </row>
    <row r="1351" spans="1:10" hidden="1" x14ac:dyDescent="0.25">
      <c r="A1351" s="219"/>
      <c r="B1351" s="237"/>
      <c r="C1351" s="36" t="s">
        <v>30</v>
      </c>
      <c r="D1351" s="36" t="s">
        <v>12</v>
      </c>
      <c r="E1351" s="37">
        <v>0.14499999999999999</v>
      </c>
      <c r="F1351" s="31">
        <v>21.688499999999998</v>
      </c>
      <c r="G1351" s="34">
        <f t="shared" si="21"/>
        <v>3.1448324999999993</v>
      </c>
      <c r="H1351" s="35"/>
      <c r="I1351" s="31"/>
      <c r="J1351" s="102">
        <v>0</v>
      </c>
    </row>
    <row r="1352" spans="1:10" hidden="1" x14ac:dyDescent="0.25">
      <c r="A1352" s="219"/>
      <c r="B1352" s="237"/>
      <c r="C1352" s="36" t="s">
        <v>414</v>
      </c>
      <c r="D1352" s="36" t="s">
        <v>20</v>
      </c>
      <c r="E1352" s="37">
        <v>1</v>
      </c>
      <c r="F1352" s="34" t="s">
        <v>522</v>
      </c>
      <c r="G1352" s="31" t="str">
        <f t="shared" si="21"/>
        <v/>
      </c>
      <c r="H1352" s="35"/>
      <c r="I1352" s="31"/>
      <c r="J1352" s="102">
        <v>0</v>
      </c>
    </row>
    <row r="1353" spans="1:10" ht="15.75" hidden="1" thickBot="1" x14ac:dyDescent="0.3">
      <c r="A1353" s="220"/>
      <c r="B1353" s="223"/>
      <c r="C1353" s="36"/>
      <c r="D1353" s="36"/>
      <c r="E1353" s="37"/>
      <c r="F1353" s="31" t="s">
        <v>522</v>
      </c>
      <c r="G1353" s="31" t="str">
        <f t="shared" si="21"/>
        <v/>
      </c>
      <c r="H1353" s="35"/>
      <c r="I1353" s="31"/>
      <c r="J1353" s="102">
        <v>0</v>
      </c>
    </row>
    <row r="1354" spans="1:10" ht="15.75" hidden="1" thickBot="1" x14ac:dyDescent="0.3">
      <c r="A1354" s="218" t="s">
        <v>415</v>
      </c>
      <c r="B1354" s="221" t="e">
        <f>INDEX(#REF!,MATCH(Composições!A1354,#REF!,0),2)</f>
        <v>#REF!</v>
      </c>
      <c r="C1354" s="41"/>
      <c r="D1354" s="26" t="s">
        <v>20</v>
      </c>
      <c r="E1354" s="27"/>
      <c r="F1354" s="42" t="s">
        <v>522</v>
      </c>
      <c r="G1354" s="28" t="str">
        <f t="shared" si="21"/>
        <v/>
      </c>
      <c r="H1354" s="29"/>
      <c r="I1354" s="30"/>
      <c r="J1354" s="102">
        <v>0</v>
      </c>
    </row>
    <row r="1355" spans="1:10" hidden="1" x14ac:dyDescent="0.25">
      <c r="A1355" s="219"/>
      <c r="B1355" s="237"/>
      <c r="C1355" s="32"/>
      <c r="D1355" s="32"/>
      <c r="E1355" s="33"/>
      <c r="F1355" s="43" t="s">
        <v>522</v>
      </c>
      <c r="G1355" s="31" t="str">
        <f t="shared" si="21"/>
        <v/>
      </c>
      <c r="H1355" s="35"/>
      <c r="I1355" s="31"/>
      <c r="J1355" s="102">
        <v>0</v>
      </c>
    </row>
    <row r="1356" spans="1:10" hidden="1" x14ac:dyDescent="0.25">
      <c r="A1356" s="219"/>
      <c r="B1356" s="237"/>
      <c r="C1356" s="36" t="s">
        <v>74</v>
      </c>
      <c r="D1356" s="36" t="s">
        <v>12</v>
      </c>
      <c r="E1356" s="37">
        <v>0.16600000000000001</v>
      </c>
      <c r="F1356" s="31">
        <v>17.024000000000001</v>
      </c>
      <c r="G1356" s="34">
        <f t="shared" si="21"/>
        <v>2.8259840000000005</v>
      </c>
      <c r="H1356" s="39">
        <f>SUM(G1356:G1359)</f>
        <v>13.703952592417201</v>
      </c>
      <c r="I1356" s="40"/>
      <c r="J1356" s="102">
        <v>0</v>
      </c>
    </row>
    <row r="1357" spans="1:10" hidden="1" x14ac:dyDescent="0.25">
      <c r="A1357" s="219"/>
      <c r="B1357" s="237"/>
      <c r="C1357" s="36" t="s">
        <v>30</v>
      </c>
      <c r="D1357" s="36" t="s">
        <v>12</v>
      </c>
      <c r="E1357" s="37">
        <v>0.16600000000000001</v>
      </c>
      <c r="F1357" s="31">
        <v>21.688499999999998</v>
      </c>
      <c r="G1357" s="34">
        <f t="shared" si="21"/>
        <v>3.6002909999999999</v>
      </c>
      <c r="H1357" s="35"/>
      <c r="I1357" s="31"/>
      <c r="J1357" s="102">
        <v>0</v>
      </c>
    </row>
    <row r="1358" spans="1:10" ht="25.5" hidden="1" x14ac:dyDescent="0.25">
      <c r="A1358" s="219"/>
      <c r="B1358" s="237"/>
      <c r="C1358" s="36" t="s">
        <v>108</v>
      </c>
      <c r="D1358" s="36" t="s">
        <v>109</v>
      </c>
      <c r="E1358" s="37">
        <v>1.1999999999999999E-3</v>
      </c>
      <c r="F1358" s="34">
        <v>633.89799368099989</v>
      </c>
      <c r="G1358" s="34">
        <f t="shared" si="21"/>
        <v>0.76067759241719979</v>
      </c>
      <c r="H1358" s="35"/>
      <c r="I1358" s="31"/>
      <c r="J1358" s="102">
        <v>0</v>
      </c>
    </row>
    <row r="1359" spans="1:10" hidden="1" x14ac:dyDescent="0.25">
      <c r="A1359" s="219"/>
      <c r="B1359" s="237"/>
      <c r="C1359" s="36" t="s">
        <v>416</v>
      </c>
      <c r="D1359" s="36" t="s">
        <v>20</v>
      </c>
      <c r="E1359" s="37">
        <v>1</v>
      </c>
      <c r="F1359" s="34">
        <v>6.5170000000000003</v>
      </c>
      <c r="G1359" s="31">
        <f t="shared" si="21"/>
        <v>6.5170000000000003</v>
      </c>
      <c r="H1359" s="35"/>
      <c r="I1359" s="31"/>
      <c r="J1359" s="102">
        <v>0</v>
      </c>
    </row>
    <row r="1360" spans="1:10" ht="15.75" hidden="1" thickBot="1" x14ac:dyDescent="0.3">
      <c r="A1360" s="220"/>
      <c r="B1360" s="223"/>
      <c r="C1360" s="36"/>
      <c r="D1360" s="36"/>
      <c r="E1360" s="37"/>
      <c r="F1360" s="31" t="s">
        <v>522</v>
      </c>
      <c r="G1360" s="31" t="str">
        <f t="shared" si="21"/>
        <v/>
      </c>
      <c r="H1360" s="35"/>
      <c r="I1360" s="31"/>
      <c r="J1360" s="102">
        <v>0</v>
      </c>
    </row>
    <row r="1361" spans="1:10" ht="15.75" hidden="1" thickBot="1" x14ac:dyDescent="0.3">
      <c r="A1361" s="218" t="s">
        <v>417</v>
      </c>
      <c r="B1361" s="221" t="e">
        <f>INDEX(#REF!,MATCH(Composições!A1361,#REF!,0),2)</f>
        <v>#REF!</v>
      </c>
      <c r="C1361" s="41"/>
      <c r="D1361" s="26" t="s">
        <v>20</v>
      </c>
      <c r="E1361" s="27"/>
      <c r="F1361" s="42" t="s">
        <v>522</v>
      </c>
      <c r="G1361" s="28" t="str">
        <f t="shared" si="21"/>
        <v/>
      </c>
      <c r="H1361" s="29"/>
      <c r="I1361" s="30"/>
      <c r="J1361" s="102">
        <v>0</v>
      </c>
    </row>
    <row r="1362" spans="1:10" hidden="1" x14ac:dyDescent="0.25">
      <c r="A1362" s="219"/>
      <c r="B1362" s="237"/>
      <c r="C1362" s="32"/>
      <c r="D1362" s="32"/>
      <c r="E1362" s="33"/>
      <c r="F1362" s="43" t="s">
        <v>522</v>
      </c>
      <c r="G1362" s="31" t="str">
        <f t="shared" ref="G1362:G1425" si="22">IF(ISNUMBER(F1362),E1362*F1362,"")</f>
        <v/>
      </c>
      <c r="H1362" s="35"/>
      <c r="I1362" s="31"/>
      <c r="J1362" s="102">
        <v>0</v>
      </c>
    </row>
    <row r="1363" spans="1:10" hidden="1" x14ac:dyDescent="0.25">
      <c r="A1363" s="219"/>
      <c r="B1363" s="237"/>
      <c r="C1363" s="36" t="s">
        <v>74</v>
      </c>
      <c r="D1363" s="36" t="s">
        <v>12</v>
      </c>
      <c r="E1363" s="37">
        <v>0.16600000000000001</v>
      </c>
      <c r="F1363" s="31">
        <v>17.024000000000001</v>
      </c>
      <c r="G1363" s="34">
        <f t="shared" si="22"/>
        <v>2.8259840000000005</v>
      </c>
      <c r="H1363" s="39">
        <f>SUM(G1363:G1365)</f>
        <v>6.4262750000000004</v>
      </c>
      <c r="I1363" s="40"/>
      <c r="J1363" s="102">
        <v>0</v>
      </c>
    </row>
    <row r="1364" spans="1:10" hidden="1" x14ac:dyDescent="0.25">
      <c r="A1364" s="219"/>
      <c r="B1364" s="237"/>
      <c r="C1364" s="36" t="s">
        <v>30</v>
      </c>
      <c r="D1364" s="36" t="s">
        <v>12</v>
      </c>
      <c r="E1364" s="37">
        <v>0.16600000000000001</v>
      </c>
      <c r="F1364" s="31">
        <v>21.688499999999998</v>
      </c>
      <c r="G1364" s="34">
        <f t="shared" si="22"/>
        <v>3.6002909999999999</v>
      </c>
      <c r="H1364" s="35"/>
      <c r="I1364" s="31"/>
      <c r="J1364" s="102">
        <v>0</v>
      </c>
    </row>
    <row r="1365" spans="1:10" hidden="1" x14ac:dyDescent="0.25">
      <c r="A1365" s="219"/>
      <c r="B1365" s="237"/>
      <c r="C1365" s="36" t="s">
        <v>418</v>
      </c>
      <c r="D1365" s="36" t="s">
        <v>20</v>
      </c>
      <c r="E1365" s="37">
        <v>1</v>
      </c>
      <c r="F1365" s="34" t="s">
        <v>522</v>
      </c>
      <c r="G1365" s="31" t="str">
        <f t="shared" si="22"/>
        <v/>
      </c>
      <c r="H1365" s="35"/>
      <c r="I1365" s="31"/>
      <c r="J1365" s="102">
        <v>0</v>
      </c>
    </row>
    <row r="1366" spans="1:10" ht="15.75" hidden="1" thickBot="1" x14ac:dyDescent="0.3">
      <c r="A1366" s="220"/>
      <c r="B1366" s="223"/>
      <c r="C1366" s="36"/>
      <c r="D1366" s="36"/>
      <c r="E1366" s="37"/>
      <c r="F1366" s="31" t="s">
        <v>522</v>
      </c>
      <c r="G1366" s="31" t="str">
        <f t="shared" si="22"/>
        <v/>
      </c>
      <c r="H1366" s="35"/>
      <c r="I1366" s="31"/>
      <c r="J1366" s="102">
        <v>0</v>
      </c>
    </row>
    <row r="1367" spans="1:10" ht="15.75" hidden="1" thickBot="1" x14ac:dyDescent="0.3">
      <c r="A1367" s="218" t="s">
        <v>419</v>
      </c>
      <c r="B1367" s="221" t="e">
        <f>INDEX(#REF!,MATCH(Composições!A1367,#REF!,0),2)</f>
        <v>#REF!</v>
      </c>
      <c r="C1367" s="41"/>
      <c r="D1367" s="26" t="s">
        <v>20</v>
      </c>
      <c r="E1367" s="27"/>
      <c r="F1367" s="42" t="s">
        <v>522</v>
      </c>
      <c r="G1367" s="28" t="str">
        <f t="shared" si="22"/>
        <v/>
      </c>
      <c r="H1367" s="29"/>
      <c r="I1367" s="30"/>
      <c r="J1367" s="102">
        <v>0</v>
      </c>
    </row>
    <row r="1368" spans="1:10" hidden="1" x14ac:dyDescent="0.25">
      <c r="A1368" s="219"/>
      <c r="B1368" s="237"/>
      <c r="C1368" s="32"/>
      <c r="D1368" s="32"/>
      <c r="E1368" s="33"/>
      <c r="F1368" s="43" t="s">
        <v>522</v>
      </c>
      <c r="G1368" s="31" t="str">
        <f t="shared" si="22"/>
        <v/>
      </c>
      <c r="H1368" s="35"/>
      <c r="I1368" s="31"/>
      <c r="J1368" s="102">
        <v>0</v>
      </c>
    </row>
    <row r="1369" spans="1:10" hidden="1" x14ac:dyDescent="0.25">
      <c r="A1369" s="219"/>
      <c r="B1369" s="237"/>
      <c r="C1369" s="36" t="s">
        <v>74</v>
      </c>
      <c r="D1369" s="36" t="s">
        <v>12</v>
      </c>
      <c r="E1369" s="37">
        <v>0.34599999999999997</v>
      </c>
      <c r="F1369" s="31">
        <v>17.024000000000001</v>
      </c>
      <c r="G1369" s="34">
        <f t="shared" si="22"/>
        <v>5.8903039999999995</v>
      </c>
      <c r="H1369" s="39">
        <f>SUM(G1369:G1371)</f>
        <v>13.394524999999998</v>
      </c>
      <c r="I1369" s="40"/>
      <c r="J1369" s="102">
        <v>0</v>
      </c>
    </row>
    <row r="1370" spans="1:10" hidden="1" x14ac:dyDescent="0.25">
      <c r="A1370" s="219"/>
      <c r="B1370" s="237"/>
      <c r="C1370" s="36" t="s">
        <v>30</v>
      </c>
      <c r="D1370" s="36" t="s">
        <v>12</v>
      </c>
      <c r="E1370" s="37">
        <v>0.34599999999999997</v>
      </c>
      <c r="F1370" s="31">
        <v>21.688499999999998</v>
      </c>
      <c r="G1370" s="34">
        <f t="shared" si="22"/>
        <v>7.5042209999999985</v>
      </c>
      <c r="H1370" s="35"/>
      <c r="I1370" s="31"/>
      <c r="J1370" s="102">
        <v>0</v>
      </c>
    </row>
    <row r="1371" spans="1:10" hidden="1" x14ac:dyDescent="0.25">
      <c r="A1371" s="219"/>
      <c r="B1371" s="237"/>
      <c r="C1371" s="36" t="s">
        <v>420</v>
      </c>
      <c r="D1371" s="36" t="s">
        <v>93</v>
      </c>
      <c r="E1371" s="37">
        <v>1</v>
      </c>
      <c r="F1371" s="34" t="s">
        <v>522</v>
      </c>
      <c r="G1371" s="34" t="str">
        <f t="shared" si="22"/>
        <v/>
      </c>
      <c r="H1371" s="35"/>
      <c r="I1371" s="31"/>
      <c r="J1371" s="102">
        <v>0</v>
      </c>
    </row>
    <row r="1372" spans="1:10" ht="15.75" hidden="1" thickBot="1" x14ac:dyDescent="0.3">
      <c r="A1372" s="220"/>
      <c r="B1372" s="223"/>
      <c r="C1372" s="36"/>
      <c r="D1372" s="36"/>
      <c r="E1372" s="37"/>
      <c r="F1372" s="31" t="s">
        <v>522</v>
      </c>
      <c r="G1372" s="31" t="str">
        <f t="shared" si="22"/>
        <v/>
      </c>
      <c r="H1372" s="35"/>
      <c r="I1372" s="31"/>
      <c r="J1372" s="102">
        <v>0</v>
      </c>
    </row>
    <row r="1373" spans="1:10" ht="15.75" hidden="1" thickBot="1" x14ac:dyDescent="0.3">
      <c r="A1373" s="218" t="s">
        <v>421</v>
      </c>
      <c r="B1373" s="221" t="e">
        <f>INDEX(#REF!,MATCH(Composições!A1373,#REF!,0),2)</f>
        <v>#REF!</v>
      </c>
      <c r="C1373" s="41"/>
      <c r="D1373" s="26" t="s">
        <v>20</v>
      </c>
      <c r="E1373" s="27"/>
      <c r="F1373" s="42" t="s">
        <v>522</v>
      </c>
      <c r="G1373" s="28" t="str">
        <f t="shared" si="22"/>
        <v/>
      </c>
      <c r="H1373" s="29"/>
      <c r="I1373" s="30"/>
      <c r="J1373" s="102">
        <v>0</v>
      </c>
    </row>
    <row r="1374" spans="1:10" hidden="1" x14ac:dyDescent="0.25">
      <c r="A1374" s="219"/>
      <c r="B1374" s="237"/>
      <c r="C1374" s="32"/>
      <c r="D1374" s="32"/>
      <c r="E1374" s="33"/>
      <c r="F1374" s="43" t="s">
        <v>522</v>
      </c>
      <c r="G1374" s="31" t="str">
        <f t="shared" si="22"/>
        <v/>
      </c>
      <c r="H1374" s="35"/>
      <c r="I1374" s="31"/>
      <c r="J1374" s="102">
        <v>0</v>
      </c>
    </row>
    <row r="1375" spans="1:10" hidden="1" x14ac:dyDescent="0.25">
      <c r="A1375" s="219"/>
      <c r="B1375" s="237"/>
      <c r="C1375" s="36" t="s">
        <v>74</v>
      </c>
      <c r="D1375" s="36" t="s">
        <v>12</v>
      </c>
      <c r="E1375" s="37">
        <v>0.34599999999999997</v>
      </c>
      <c r="F1375" s="31">
        <v>17.024000000000001</v>
      </c>
      <c r="G1375" s="34">
        <f t="shared" si="22"/>
        <v>5.8903039999999995</v>
      </c>
      <c r="H1375" s="39">
        <f>SUM(G1375:G1378)</f>
        <v>13.394524999999998</v>
      </c>
      <c r="I1375" s="40"/>
      <c r="J1375" s="102">
        <v>0</v>
      </c>
    </row>
    <row r="1376" spans="1:10" hidden="1" x14ac:dyDescent="0.25">
      <c r="A1376" s="219"/>
      <c r="B1376" s="237"/>
      <c r="C1376" s="36" t="s">
        <v>30</v>
      </c>
      <c r="D1376" s="36" t="s">
        <v>12</v>
      </c>
      <c r="E1376" s="37">
        <v>0.34599999999999997</v>
      </c>
      <c r="F1376" s="31">
        <v>21.688499999999998</v>
      </c>
      <c r="G1376" s="34">
        <f t="shared" si="22"/>
        <v>7.5042209999999985</v>
      </c>
      <c r="H1376" s="35"/>
      <c r="I1376" s="31"/>
      <c r="J1376" s="102">
        <v>0</v>
      </c>
    </row>
    <row r="1377" spans="1:10" hidden="1" x14ac:dyDescent="0.25">
      <c r="A1377" s="219"/>
      <c r="B1377" s="237"/>
      <c r="C1377" s="36" t="s">
        <v>422</v>
      </c>
      <c r="D1377" s="36" t="s">
        <v>93</v>
      </c>
      <c r="E1377" s="37">
        <v>1</v>
      </c>
      <c r="F1377" s="34" t="s">
        <v>522</v>
      </c>
      <c r="G1377" s="34" t="str">
        <f t="shared" si="22"/>
        <v/>
      </c>
      <c r="H1377" s="35"/>
      <c r="I1377" s="31"/>
      <c r="J1377" s="102">
        <v>0</v>
      </c>
    </row>
    <row r="1378" spans="1:10" hidden="1" x14ac:dyDescent="0.25">
      <c r="A1378" s="219"/>
      <c r="B1378" s="237"/>
      <c r="C1378" s="36" t="s">
        <v>2442</v>
      </c>
      <c r="D1378" s="36" t="s">
        <v>20</v>
      </c>
      <c r="E1378" s="37">
        <v>2</v>
      </c>
      <c r="F1378" s="34" t="s">
        <v>522</v>
      </c>
      <c r="G1378" s="34" t="str">
        <f t="shared" si="22"/>
        <v/>
      </c>
      <c r="H1378" s="35"/>
      <c r="I1378" s="31"/>
      <c r="J1378" s="102">
        <v>0</v>
      </c>
    </row>
    <row r="1379" spans="1:10" ht="15.75" hidden="1" thickBot="1" x14ac:dyDescent="0.3">
      <c r="A1379" s="220"/>
      <c r="B1379" s="223"/>
      <c r="C1379" s="36"/>
      <c r="D1379" s="36"/>
      <c r="E1379" s="37"/>
      <c r="F1379" s="31" t="s">
        <v>522</v>
      </c>
      <c r="G1379" s="31" t="str">
        <f t="shared" si="22"/>
        <v/>
      </c>
      <c r="H1379" s="35"/>
      <c r="I1379" s="31"/>
      <c r="J1379" s="102">
        <v>0</v>
      </c>
    </row>
    <row r="1380" spans="1:10" ht="15.75" hidden="1" thickBot="1" x14ac:dyDescent="0.3">
      <c r="A1380" s="218" t="s">
        <v>423</v>
      </c>
      <c r="B1380" s="221" t="e">
        <f>INDEX(#REF!,MATCH(Composições!A1380,#REF!,0),2)</f>
        <v>#REF!</v>
      </c>
      <c r="C1380" s="41"/>
      <c r="D1380" s="26" t="s">
        <v>20</v>
      </c>
      <c r="E1380" s="27"/>
      <c r="F1380" s="42" t="s">
        <v>522</v>
      </c>
      <c r="G1380" s="28" t="str">
        <f t="shared" si="22"/>
        <v/>
      </c>
      <c r="H1380" s="29"/>
      <c r="I1380" s="30"/>
      <c r="J1380" s="102">
        <v>0</v>
      </c>
    </row>
    <row r="1381" spans="1:10" hidden="1" x14ac:dyDescent="0.25">
      <c r="A1381" s="219"/>
      <c r="B1381" s="237"/>
      <c r="C1381" s="32"/>
      <c r="D1381" s="32"/>
      <c r="E1381" s="33"/>
      <c r="F1381" s="43" t="s">
        <v>522</v>
      </c>
      <c r="G1381" s="31" t="str">
        <f t="shared" si="22"/>
        <v/>
      </c>
      <c r="H1381" s="35"/>
      <c r="I1381" s="31"/>
      <c r="J1381" s="102">
        <v>0</v>
      </c>
    </row>
    <row r="1382" spans="1:10" hidden="1" x14ac:dyDescent="0.25">
      <c r="A1382" s="219"/>
      <c r="B1382" s="237"/>
      <c r="C1382" s="36" t="s">
        <v>30</v>
      </c>
      <c r="D1382" s="36" t="s">
        <v>12</v>
      </c>
      <c r="E1382" s="37">
        <v>0.34599999999999997</v>
      </c>
      <c r="F1382" s="31">
        <v>21.688499999999998</v>
      </c>
      <c r="G1382" s="34">
        <f t="shared" si="22"/>
        <v>7.5042209999999985</v>
      </c>
      <c r="H1382" s="39">
        <f>SUM(G1382:G1384)</f>
        <v>59.281481999999997</v>
      </c>
      <c r="I1382" s="40"/>
      <c r="J1382" s="102">
        <v>0</v>
      </c>
    </row>
    <row r="1383" spans="1:10" hidden="1" x14ac:dyDescent="0.25">
      <c r="A1383" s="219"/>
      <c r="B1383" s="237"/>
      <c r="C1383" s="36" t="s">
        <v>23</v>
      </c>
      <c r="D1383" s="36" t="s">
        <v>12</v>
      </c>
      <c r="E1383" s="37">
        <v>0.34599999999999997</v>
      </c>
      <c r="F1383" s="31">
        <v>16.1785</v>
      </c>
      <c r="G1383" s="34">
        <f t="shared" si="22"/>
        <v>5.5977609999999993</v>
      </c>
      <c r="H1383" s="35"/>
      <c r="I1383" s="31"/>
      <c r="J1383" s="102">
        <v>0</v>
      </c>
    </row>
    <row r="1384" spans="1:10" ht="25.5" hidden="1" x14ac:dyDescent="0.25">
      <c r="A1384" s="219"/>
      <c r="B1384" s="237"/>
      <c r="C1384" s="36" t="s">
        <v>424</v>
      </c>
      <c r="D1384" s="36" t="s">
        <v>20</v>
      </c>
      <c r="E1384" s="37">
        <v>1</v>
      </c>
      <c r="F1384" s="34">
        <v>46.179499999999997</v>
      </c>
      <c r="G1384" s="31">
        <f t="shared" si="22"/>
        <v>46.179499999999997</v>
      </c>
      <c r="H1384" s="35"/>
      <c r="I1384" s="31"/>
      <c r="J1384" s="102">
        <v>0</v>
      </c>
    </row>
    <row r="1385" spans="1:10" ht="15.75" hidden="1" thickBot="1" x14ac:dyDescent="0.3">
      <c r="A1385" s="220"/>
      <c r="B1385" s="223"/>
      <c r="C1385" s="36"/>
      <c r="D1385" s="36"/>
      <c r="E1385" s="37"/>
      <c r="F1385" s="31" t="s">
        <v>522</v>
      </c>
      <c r="G1385" s="31" t="str">
        <f t="shared" si="22"/>
        <v/>
      </c>
      <c r="H1385" s="35"/>
      <c r="I1385" s="31"/>
      <c r="J1385" s="102">
        <v>0</v>
      </c>
    </row>
    <row r="1386" spans="1:10" ht="15.75" hidden="1" thickBot="1" x14ac:dyDescent="0.3">
      <c r="A1386" s="218" t="s">
        <v>425</v>
      </c>
      <c r="B1386" s="221" t="e">
        <f>INDEX(#REF!,MATCH(Composições!A1386,#REF!,0),2)</f>
        <v>#REF!</v>
      </c>
      <c r="C1386" s="41"/>
      <c r="D1386" s="26" t="s">
        <v>20</v>
      </c>
      <c r="E1386" s="27"/>
      <c r="F1386" s="42" t="s">
        <v>522</v>
      </c>
      <c r="G1386" s="28" t="str">
        <f t="shared" si="22"/>
        <v/>
      </c>
      <c r="H1386" s="29"/>
      <c r="I1386" s="30"/>
      <c r="J1386" s="102">
        <v>0</v>
      </c>
    </row>
    <row r="1387" spans="1:10" hidden="1" x14ac:dyDescent="0.25">
      <c r="A1387" s="219"/>
      <c r="B1387" s="237"/>
      <c r="C1387" s="32"/>
      <c r="D1387" s="32"/>
      <c r="E1387" s="33"/>
      <c r="F1387" s="43" t="s">
        <v>522</v>
      </c>
      <c r="G1387" s="31" t="str">
        <f t="shared" si="22"/>
        <v/>
      </c>
      <c r="H1387" s="35"/>
      <c r="I1387" s="31"/>
      <c r="J1387" s="102">
        <v>0</v>
      </c>
    </row>
    <row r="1388" spans="1:10" hidden="1" x14ac:dyDescent="0.25">
      <c r="A1388" s="219"/>
      <c r="B1388" s="237"/>
      <c r="C1388" s="36" t="s">
        <v>30</v>
      </c>
      <c r="D1388" s="36" t="s">
        <v>12</v>
      </c>
      <c r="E1388" s="37">
        <v>0.34599999999999997</v>
      </c>
      <c r="F1388" s="31">
        <v>21.688499999999998</v>
      </c>
      <c r="G1388" s="31">
        <f t="shared" si="22"/>
        <v>7.5042209999999985</v>
      </c>
      <c r="H1388" s="39">
        <f>SUM(G1388:G1390)</f>
        <v>13.394524999999998</v>
      </c>
      <c r="I1388" s="40"/>
      <c r="J1388" s="102">
        <v>0</v>
      </c>
    </row>
    <row r="1389" spans="1:10" hidden="1" x14ac:dyDescent="0.25">
      <c r="A1389" s="219"/>
      <c r="B1389" s="237"/>
      <c r="C1389" s="36" t="s">
        <v>74</v>
      </c>
      <c r="D1389" s="36" t="s">
        <v>12</v>
      </c>
      <c r="E1389" s="37">
        <v>0.34599999999999997</v>
      </c>
      <c r="F1389" s="31">
        <v>17.024000000000001</v>
      </c>
      <c r="G1389" s="31">
        <f t="shared" si="22"/>
        <v>5.8903039999999995</v>
      </c>
      <c r="H1389" s="35"/>
      <c r="I1389" s="31"/>
      <c r="J1389" s="102">
        <v>0</v>
      </c>
    </row>
    <row r="1390" spans="1:10" ht="25.5" hidden="1" x14ac:dyDescent="0.25">
      <c r="A1390" s="219"/>
      <c r="B1390" s="237"/>
      <c r="C1390" s="36" t="s">
        <v>426</v>
      </c>
      <c r="D1390" s="47" t="s">
        <v>20</v>
      </c>
      <c r="E1390" s="37">
        <v>1</v>
      </c>
      <c r="F1390" s="34" t="s">
        <v>522</v>
      </c>
      <c r="G1390" s="31" t="str">
        <f t="shared" si="22"/>
        <v/>
      </c>
      <c r="H1390" s="35"/>
      <c r="I1390" s="31"/>
      <c r="J1390" s="102">
        <v>0</v>
      </c>
    </row>
    <row r="1391" spans="1:10" hidden="1" x14ac:dyDescent="0.25">
      <c r="A1391" s="219"/>
      <c r="B1391" s="237"/>
      <c r="C1391" s="36"/>
      <c r="D1391" s="47"/>
      <c r="E1391" s="37"/>
      <c r="F1391" s="34" t="s">
        <v>522</v>
      </c>
      <c r="G1391" s="31" t="str">
        <f t="shared" si="22"/>
        <v/>
      </c>
      <c r="H1391" s="35"/>
      <c r="I1391" s="31"/>
      <c r="J1391" s="102">
        <v>0</v>
      </c>
    </row>
    <row r="1392" spans="1:10" ht="15.75" hidden="1" thickBot="1" x14ac:dyDescent="0.3">
      <c r="A1392" s="218" t="s">
        <v>427</v>
      </c>
      <c r="B1392" s="221" t="e">
        <f>INDEX(#REF!,MATCH(Composições!A1392,#REF!,0),2)</f>
        <v>#REF!</v>
      </c>
      <c r="C1392" s="41"/>
      <c r="D1392" s="26" t="s">
        <v>93</v>
      </c>
      <c r="E1392" s="27"/>
      <c r="F1392" s="42" t="s">
        <v>522</v>
      </c>
      <c r="G1392" s="28" t="str">
        <f t="shared" si="22"/>
        <v/>
      </c>
      <c r="H1392" s="29"/>
      <c r="I1392" s="30"/>
      <c r="J1392" s="102">
        <v>0</v>
      </c>
    </row>
    <row r="1393" spans="1:10" hidden="1" x14ac:dyDescent="0.25">
      <c r="A1393" s="219"/>
      <c r="B1393" s="237"/>
      <c r="C1393" s="32"/>
      <c r="D1393" s="32"/>
      <c r="E1393" s="33"/>
      <c r="F1393" s="43" t="s">
        <v>522</v>
      </c>
      <c r="G1393" s="31" t="str">
        <f t="shared" si="22"/>
        <v/>
      </c>
      <c r="H1393" s="35"/>
      <c r="I1393" s="31"/>
      <c r="J1393" s="102">
        <v>0</v>
      </c>
    </row>
    <row r="1394" spans="1:10" ht="25.5" hidden="1" x14ac:dyDescent="0.25">
      <c r="A1394" s="219"/>
      <c r="B1394" s="237"/>
      <c r="C1394" s="36" t="s">
        <v>428</v>
      </c>
      <c r="D1394" s="36" t="s">
        <v>93</v>
      </c>
      <c r="E1394" s="37">
        <v>1.1499999999999999</v>
      </c>
      <c r="F1394" s="34" t="s">
        <v>522</v>
      </c>
      <c r="G1394" s="34" t="str">
        <f t="shared" si="22"/>
        <v/>
      </c>
      <c r="H1394" s="39">
        <f>SUM(G1394:G1396)</f>
        <v>6.9682499999999994</v>
      </c>
      <c r="I1394" s="40"/>
      <c r="J1394" s="102">
        <v>0</v>
      </c>
    </row>
    <row r="1395" spans="1:10" hidden="1" x14ac:dyDescent="0.25">
      <c r="A1395" s="219"/>
      <c r="B1395" s="237"/>
      <c r="C1395" s="36" t="s">
        <v>74</v>
      </c>
      <c r="D1395" s="47" t="s">
        <v>12</v>
      </c>
      <c r="E1395" s="37">
        <v>0.18</v>
      </c>
      <c r="F1395" s="31">
        <v>17.024000000000001</v>
      </c>
      <c r="G1395" s="34">
        <f t="shared" si="22"/>
        <v>3.0643199999999999</v>
      </c>
      <c r="H1395" s="35"/>
      <c r="I1395" s="31"/>
      <c r="J1395" s="102">
        <v>0</v>
      </c>
    </row>
    <row r="1396" spans="1:10" hidden="1" x14ac:dyDescent="0.25">
      <c r="A1396" s="219"/>
      <c r="B1396" s="237"/>
      <c r="C1396" s="36" t="s">
        <v>30</v>
      </c>
      <c r="D1396" s="36" t="s">
        <v>12</v>
      </c>
      <c r="E1396" s="37">
        <v>0.18</v>
      </c>
      <c r="F1396" s="31">
        <v>21.688499999999998</v>
      </c>
      <c r="G1396" s="34">
        <f t="shared" si="22"/>
        <v>3.9039299999999995</v>
      </c>
      <c r="H1396" s="35"/>
      <c r="I1396" s="31"/>
      <c r="J1396" s="102">
        <v>0</v>
      </c>
    </row>
    <row r="1397" spans="1:10" ht="15.75" hidden="1" thickBot="1" x14ac:dyDescent="0.3">
      <c r="A1397" s="220"/>
      <c r="B1397" s="223"/>
      <c r="C1397" s="36"/>
      <c r="D1397" s="36"/>
      <c r="E1397" s="37"/>
      <c r="F1397" s="31" t="s">
        <v>522</v>
      </c>
      <c r="G1397" s="31" t="str">
        <f t="shared" si="22"/>
        <v/>
      </c>
      <c r="H1397" s="35"/>
      <c r="I1397" s="31"/>
      <c r="J1397" s="102">
        <v>0</v>
      </c>
    </row>
    <row r="1398" spans="1:10" ht="15.75" hidden="1" thickBot="1" x14ac:dyDescent="0.3">
      <c r="A1398" s="218" t="s">
        <v>429</v>
      </c>
      <c r="B1398" s="221" t="e">
        <f>INDEX(#REF!,MATCH(Composições!A1398,#REF!,0),2)</f>
        <v>#REF!</v>
      </c>
      <c r="C1398" s="41"/>
      <c r="D1398" s="26" t="s">
        <v>20</v>
      </c>
      <c r="E1398" s="27"/>
      <c r="F1398" s="42" t="s">
        <v>522</v>
      </c>
      <c r="G1398" s="28" t="str">
        <f t="shared" si="22"/>
        <v/>
      </c>
      <c r="H1398" s="29"/>
      <c r="I1398" s="30"/>
      <c r="J1398" s="102">
        <v>0</v>
      </c>
    </row>
    <row r="1399" spans="1:10" hidden="1" x14ac:dyDescent="0.25">
      <c r="A1399" s="219"/>
      <c r="B1399" s="237"/>
      <c r="C1399" s="32"/>
      <c r="D1399" s="32"/>
      <c r="E1399" s="33"/>
      <c r="F1399" s="43" t="s">
        <v>522</v>
      </c>
      <c r="G1399" s="31" t="str">
        <f t="shared" si="22"/>
        <v/>
      </c>
      <c r="H1399" s="35"/>
      <c r="I1399" s="31"/>
      <c r="J1399" s="102">
        <v>0</v>
      </c>
    </row>
    <row r="1400" spans="1:10" hidden="1" x14ac:dyDescent="0.25">
      <c r="A1400" s="219"/>
      <c r="B1400" s="237"/>
      <c r="C1400" s="36" t="s">
        <v>74</v>
      </c>
      <c r="D1400" s="36" t="s">
        <v>12</v>
      </c>
      <c r="E1400" s="37">
        <v>0.53849999999999998</v>
      </c>
      <c r="F1400" s="31">
        <v>17.024000000000001</v>
      </c>
      <c r="G1400" s="34">
        <f t="shared" si="22"/>
        <v>9.1674240000000005</v>
      </c>
      <c r="H1400" s="39">
        <f>SUM(G1400:G1403)</f>
        <v>39.922681249999997</v>
      </c>
      <c r="I1400" s="40"/>
      <c r="J1400" s="102">
        <v>0</v>
      </c>
    </row>
    <row r="1401" spans="1:10" hidden="1" x14ac:dyDescent="0.25">
      <c r="A1401" s="219"/>
      <c r="B1401" s="237"/>
      <c r="C1401" s="36" t="s">
        <v>30</v>
      </c>
      <c r="D1401" s="36" t="s">
        <v>12</v>
      </c>
      <c r="E1401" s="37">
        <v>0.53849999999999998</v>
      </c>
      <c r="F1401" s="31">
        <v>21.688499999999998</v>
      </c>
      <c r="G1401" s="34">
        <f t="shared" si="22"/>
        <v>11.679257249999999</v>
      </c>
      <c r="H1401" s="35"/>
      <c r="I1401" s="31"/>
      <c r="J1401" s="102">
        <v>0</v>
      </c>
    </row>
    <row r="1402" spans="1:10" ht="25.5" hidden="1" x14ac:dyDescent="0.25">
      <c r="A1402" s="219"/>
      <c r="B1402" s="237"/>
      <c r="C1402" s="36" t="s">
        <v>430</v>
      </c>
      <c r="D1402" s="36" t="s">
        <v>20</v>
      </c>
      <c r="E1402" s="37">
        <v>2</v>
      </c>
      <c r="F1402" s="34">
        <v>0.29449999999999998</v>
      </c>
      <c r="G1402" s="34">
        <f t="shared" si="22"/>
        <v>0.58899999999999997</v>
      </c>
      <c r="H1402" s="35"/>
      <c r="I1402" s="31"/>
      <c r="J1402" s="102">
        <v>0</v>
      </c>
    </row>
    <row r="1403" spans="1:10" ht="25.5" hidden="1" x14ac:dyDescent="0.25">
      <c r="A1403" s="219"/>
      <c r="B1403" s="237"/>
      <c r="C1403" s="36" t="s">
        <v>431</v>
      </c>
      <c r="D1403" s="36" t="s">
        <v>20</v>
      </c>
      <c r="E1403" s="37">
        <v>1</v>
      </c>
      <c r="F1403" s="34">
        <v>18.486999999999998</v>
      </c>
      <c r="G1403" s="31">
        <f t="shared" si="22"/>
        <v>18.486999999999998</v>
      </c>
      <c r="H1403" s="35"/>
      <c r="I1403" s="31"/>
      <c r="J1403" s="102">
        <v>0</v>
      </c>
    </row>
    <row r="1404" spans="1:10" ht="15.75" hidden="1" thickBot="1" x14ac:dyDescent="0.3">
      <c r="A1404" s="220"/>
      <c r="B1404" s="223"/>
      <c r="C1404" s="36"/>
      <c r="D1404" s="36"/>
      <c r="E1404" s="37"/>
      <c r="F1404" s="31" t="s">
        <v>522</v>
      </c>
      <c r="G1404" s="31" t="str">
        <f t="shared" si="22"/>
        <v/>
      </c>
      <c r="H1404" s="35"/>
      <c r="I1404" s="31"/>
      <c r="J1404" s="102">
        <v>0</v>
      </c>
    </row>
    <row r="1405" spans="1:10" ht="15.75" hidden="1" thickBot="1" x14ac:dyDescent="0.3">
      <c r="A1405" s="218" t="s">
        <v>432</v>
      </c>
      <c r="B1405" s="221" t="e">
        <f>INDEX(#REF!,MATCH(Composições!A1405,#REF!,0),2)</f>
        <v>#REF!</v>
      </c>
      <c r="C1405" s="41"/>
      <c r="D1405" s="26" t="s">
        <v>93</v>
      </c>
      <c r="E1405" s="27"/>
      <c r="F1405" s="42" t="s">
        <v>522</v>
      </c>
      <c r="G1405" s="28" t="str">
        <f t="shared" si="22"/>
        <v/>
      </c>
      <c r="H1405" s="29"/>
      <c r="I1405" s="30"/>
      <c r="J1405" s="102">
        <v>0</v>
      </c>
    </row>
    <row r="1406" spans="1:10" hidden="1" x14ac:dyDescent="0.25">
      <c r="A1406" s="219"/>
      <c r="B1406" s="237"/>
      <c r="C1406" s="32"/>
      <c r="D1406" s="32"/>
      <c r="E1406" s="33"/>
      <c r="F1406" s="43" t="s">
        <v>522</v>
      </c>
      <c r="G1406" s="31" t="str">
        <f t="shared" si="22"/>
        <v/>
      </c>
      <c r="H1406" s="35"/>
      <c r="I1406" s="31"/>
      <c r="J1406" s="102">
        <v>0</v>
      </c>
    </row>
    <row r="1407" spans="1:10" hidden="1" x14ac:dyDescent="0.25">
      <c r="A1407" s="219"/>
      <c r="B1407" s="237"/>
      <c r="C1407" s="36" t="s">
        <v>30</v>
      </c>
      <c r="D1407" s="36" t="s">
        <v>12</v>
      </c>
      <c r="E1407" s="37">
        <v>0.45</v>
      </c>
      <c r="F1407" s="31">
        <v>21.688499999999998</v>
      </c>
      <c r="G1407" s="31">
        <f t="shared" si="22"/>
        <v>9.7598249999999993</v>
      </c>
      <c r="H1407" s="39">
        <f>SUM(G1407:G1418)</f>
        <v>18.599596850000001</v>
      </c>
      <c r="I1407" s="40"/>
      <c r="J1407" s="102">
        <v>0</v>
      </c>
    </row>
    <row r="1408" spans="1:10" hidden="1" x14ac:dyDescent="0.25">
      <c r="A1408" s="219"/>
      <c r="B1408" s="237"/>
      <c r="C1408" s="36" t="s">
        <v>74</v>
      </c>
      <c r="D1408" s="47" t="s">
        <v>12</v>
      </c>
      <c r="E1408" s="37">
        <v>0.45</v>
      </c>
      <c r="F1408" s="31">
        <v>17.024000000000001</v>
      </c>
      <c r="G1408" s="31">
        <f t="shared" si="22"/>
        <v>7.6608000000000009</v>
      </c>
      <c r="H1408" s="35"/>
      <c r="I1408" s="31"/>
      <c r="J1408" s="102">
        <v>0</v>
      </c>
    </row>
    <row r="1409" spans="1:10" ht="25.5" hidden="1" x14ac:dyDescent="0.25">
      <c r="A1409" s="219"/>
      <c r="B1409" s="237"/>
      <c r="C1409" s="36" t="s">
        <v>433</v>
      </c>
      <c r="D1409" s="36" t="s">
        <v>144</v>
      </c>
      <c r="E1409" s="37">
        <v>0.67</v>
      </c>
      <c r="F1409" s="31">
        <v>0</v>
      </c>
      <c r="G1409" s="31">
        <f t="shared" si="22"/>
        <v>0</v>
      </c>
      <c r="H1409" s="62"/>
      <c r="I1409" s="1"/>
      <c r="J1409" s="102">
        <v>0</v>
      </c>
    </row>
    <row r="1410" spans="1:10" ht="25.5" hidden="1" x14ac:dyDescent="0.25">
      <c r="A1410" s="219"/>
      <c r="B1410" s="237"/>
      <c r="C1410" s="36" t="s">
        <v>434</v>
      </c>
      <c r="D1410" s="36" t="s">
        <v>93</v>
      </c>
      <c r="E1410" s="37">
        <v>1.05</v>
      </c>
      <c r="F1410" s="34" t="s">
        <v>522</v>
      </c>
      <c r="G1410" s="31" t="str">
        <f t="shared" si="22"/>
        <v/>
      </c>
      <c r="H1410" s="35"/>
      <c r="I1410" s="31"/>
      <c r="J1410" s="102">
        <v>0</v>
      </c>
    </row>
    <row r="1411" spans="1:10" hidden="1" x14ac:dyDescent="0.25">
      <c r="A1411" s="219"/>
      <c r="B1411" s="237"/>
      <c r="C1411" s="36" t="s">
        <v>435</v>
      </c>
      <c r="D1411" s="36" t="s">
        <v>93</v>
      </c>
      <c r="E1411" s="37">
        <v>0.8</v>
      </c>
      <c r="F1411" s="31">
        <v>0</v>
      </c>
      <c r="G1411" s="31">
        <f t="shared" si="22"/>
        <v>0</v>
      </c>
      <c r="H1411" s="35"/>
      <c r="I1411" s="31"/>
      <c r="J1411" s="102">
        <v>0</v>
      </c>
    </row>
    <row r="1412" spans="1:10" hidden="1" x14ac:dyDescent="0.25">
      <c r="A1412" s="219"/>
      <c r="B1412" s="237"/>
      <c r="C1412" s="36" t="s">
        <v>436</v>
      </c>
      <c r="D1412" s="36" t="s">
        <v>279</v>
      </c>
      <c r="E1412" s="37">
        <v>4.0033000000000003</v>
      </c>
      <c r="F1412" s="34">
        <v>0.29449999999999998</v>
      </c>
      <c r="G1412" s="31">
        <f t="shared" si="22"/>
        <v>1.1789718499999999</v>
      </c>
      <c r="H1412" s="35"/>
      <c r="I1412" s="31"/>
      <c r="J1412" s="102">
        <v>0</v>
      </c>
    </row>
    <row r="1413" spans="1:10" hidden="1" x14ac:dyDescent="0.25">
      <c r="A1413" s="219"/>
      <c r="B1413" s="237"/>
      <c r="C1413" s="36" t="s">
        <v>437</v>
      </c>
      <c r="D1413" s="36" t="s">
        <v>144</v>
      </c>
      <c r="E1413" s="37">
        <v>4.0033000000000003</v>
      </c>
      <c r="F1413" s="31">
        <v>0</v>
      </c>
      <c r="G1413" s="31">
        <f t="shared" si="22"/>
        <v>0</v>
      </c>
      <c r="H1413" s="35"/>
      <c r="I1413" s="31"/>
      <c r="J1413" s="102">
        <v>0</v>
      </c>
    </row>
    <row r="1414" spans="1:10" hidden="1" x14ac:dyDescent="0.25">
      <c r="A1414" s="219"/>
      <c r="B1414" s="237"/>
      <c r="C1414" s="36" t="s">
        <v>438</v>
      </c>
      <c r="D1414" s="36" t="s">
        <v>144</v>
      </c>
      <c r="E1414" s="37">
        <v>0.67</v>
      </c>
      <c r="F1414" s="31">
        <v>0</v>
      </c>
      <c r="G1414" s="31">
        <f t="shared" si="22"/>
        <v>0</v>
      </c>
      <c r="H1414" s="35"/>
      <c r="I1414" s="31"/>
      <c r="J1414" s="102">
        <v>0</v>
      </c>
    </row>
    <row r="1415" spans="1:10" hidden="1" x14ac:dyDescent="0.25">
      <c r="A1415" s="219"/>
      <c r="B1415" s="237"/>
      <c r="C1415" s="36" t="s">
        <v>439</v>
      </c>
      <c r="D1415" s="36" t="s">
        <v>144</v>
      </c>
      <c r="E1415" s="37">
        <v>1.05</v>
      </c>
      <c r="F1415" s="31">
        <v>0</v>
      </c>
      <c r="G1415" s="31">
        <f t="shared" si="22"/>
        <v>0</v>
      </c>
      <c r="H1415" s="35"/>
      <c r="I1415" s="31"/>
      <c r="J1415" s="102">
        <v>0</v>
      </c>
    </row>
    <row r="1416" spans="1:10" hidden="1" x14ac:dyDescent="0.25">
      <c r="A1416" s="219"/>
      <c r="B1416" s="237"/>
      <c r="C1416" s="36" t="s">
        <v>440</v>
      </c>
      <c r="D1416" s="36" t="s">
        <v>20</v>
      </c>
      <c r="E1416" s="37">
        <v>2.67</v>
      </c>
      <c r="F1416" s="31">
        <v>0</v>
      </c>
      <c r="G1416" s="31">
        <f t="shared" si="22"/>
        <v>0</v>
      </c>
      <c r="H1416" s="35"/>
      <c r="I1416" s="31"/>
      <c r="J1416" s="102">
        <v>0</v>
      </c>
    </row>
    <row r="1417" spans="1:10" hidden="1" x14ac:dyDescent="0.25">
      <c r="A1417" s="219"/>
      <c r="B1417" s="237"/>
      <c r="C1417" s="36" t="s">
        <v>441</v>
      </c>
      <c r="D1417" s="36" t="s">
        <v>144</v>
      </c>
      <c r="E1417" s="37">
        <v>0.66669999999999996</v>
      </c>
      <c r="F1417" s="31">
        <v>0</v>
      </c>
      <c r="G1417" s="31">
        <f t="shared" si="22"/>
        <v>0</v>
      </c>
      <c r="H1417" s="35"/>
      <c r="I1417" s="31"/>
      <c r="J1417" s="102">
        <v>0</v>
      </c>
    </row>
    <row r="1418" spans="1:10" ht="25.5" hidden="1" x14ac:dyDescent="0.25">
      <c r="A1418" s="219"/>
      <c r="B1418" s="237"/>
      <c r="C1418" s="36" t="s">
        <v>442</v>
      </c>
      <c r="D1418" s="36" t="s">
        <v>93</v>
      </c>
      <c r="E1418" s="37">
        <v>1.05</v>
      </c>
      <c r="F1418" s="34" t="s">
        <v>522</v>
      </c>
      <c r="G1418" s="31" t="str">
        <f t="shared" si="22"/>
        <v/>
      </c>
      <c r="H1418" s="35"/>
      <c r="I1418" s="31"/>
      <c r="J1418" s="102">
        <v>0</v>
      </c>
    </row>
    <row r="1419" spans="1:10" ht="15.75" hidden="1" thickBot="1" x14ac:dyDescent="0.3">
      <c r="A1419" s="220"/>
      <c r="B1419" s="223"/>
      <c r="C1419" s="36"/>
      <c r="D1419" s="36"/>
      <c r="E1419" s="37"/>
      <c r="F1419" s="31" t="s">
        <v>522</v>
      </c>
      <c r="G1419" s="31" t="str">
        <f t="shared" si="22"/>
        <v/>
      </c>
      <c r="H1419" s="35"/>
      <c r="I1419" s="31"/>
      <c r="J1419" s="102">
        <v>0</v>
      </c>
    </row>
    <row r="1420" spans="1:10" ht="15.75" hidden="1" thickBot="1" x14ac:dyDescent="0.3">
      <c r="A1420" s="218" t="s">
        <v>443</v>
      </c>
      <c r="B1420" s="221" t="e">
        <f>INDEX(#REF!,MATCH(Composições!A1420,#REF!,0),2)</f>
        <v>#REF!</v>
      </c>
      <c r="C1420" s="41"/>
      <c r="D1420" s="26" t="s">
        <v>93</v>
      </c>
      <c r="E1420" s="27"/>
      <c r="F1420" s="42" t="s">
        <v>522</v>
      </c>
      <c r="G1420" s="28" t="str">
        <f t="shared" si="22"/>
        <v/>
      </c>
      <c r="H1420" s="29"/>
      <c r="I1420" s="30"/>
      <c r="J1420" s="102">
        <v>0</v>
      </c>
    </row>
    <row r="1421" spans="1:10" hidden="1" x14ac:dyDescent="0.25">
      <c r="A1421" s="219"/>
      <c r="B1421" s="237"/>
      <c r="C1421" s="32"/>
      <c r="D1421" s="32"/>
      <c r="E1421" s="33"/>
      <c r="F1421" s="43" t="s">
        <v>522</v>
      </c>
      <c r="G1421" s="31" t="str">
        <f t="shared" si="22"/>
        <v/>
      </c>
      <c r="H1421" s="35"/>
      <c r="I1421" s="31"/>
      <c r="J1421" s="102">
        <v>0</v>
      </c>
    </row>
    <row r="1422" spans="1:10" hidden="1" x14ac:dyDescent="0.25">
      <c r="A1422" s="219"/>
      <c r="B1422" s="237"/>
      <c r="C1422" s="36" t="s">
        <v>30</v>
      </c>
      <c r="D1422" s="36" t="s">
        <v>12</v>
      </c>
      <c r="E1422" s="37">
        <v>0.6</v>
      </c>
      <c r="F1422" s="31">
        <v>21.688499999999998</v>
      </c>
      <c r="G1422" s="31">
        <f t="shared" si="22"/>
        <v>13.013099999999998</v>
      </c>
      <c r="H1422" s="39">
        <f>SUM(G1422:G1433)</f>
        <v>24.79915815</v>
      </c>
      <c r="I1422" s="40"/>
      <c r="J1422" s="102">
        <v>0</v>
      </c>
    </row>
    <row r="1423" spans="1:10" hidden="1" x14ac:dyDescent="0.25">
      <c r="A1423" s="219"/>
      <c r="B1423" s="237"/>
      <c r="C1423" s="36" t="s">
        <v>74</v>
      </c>
      <c r="D1423" s="47" t="s">
        <v>12</v>
      </c>
      <c r="E1423" s="37">
        <v>0.6</v>
      </c>
      <c r="F1423" s="31">
        <v>17.024000000000001</v>
      </c>
      <c r="G1423" s="31">
        <f t="shared" si="22"/>
        <v>10.214399999999999</v>
      </c>
      <c r="H1423" s="35"/>
      <c r="I1423" s="31"/>
      <c r="J1423" s="102">
        <v>0</v>
      </c>
    </row>
    <row r="1424" spans="1:10" ht="25.5" hidden="1" x14ac:dyDescent="0.25">
      <c r="A1424" s="219"/>
      <c r="B1424" s="237"/>
      <c r="C1424" s="36" t="s">
        <v>433</v>
      </c>
      <c r="D1424" s="36" t="s">
        <v>144</v>
      </c>
      <c r="E1424" s="37">
        <v>1.3332999999999999</v>
      </c>
      <c r="F1424" s="31">
        <v>0</v>
      </c>
      <c r="G1424" s="31">
        <f t="shared" si="22"/>
        <v>0</v>
      </c>
      <c r="H1424" s="62"/>
      <c r="I1424" s="1"/>
      <c r="J1424" s="102">
        <v>0</v>
      </c>
    </row>
    <row r="1425" spans="1:10" ht="25.5" hidden="1" x14ac:dyDescent="0.25">
      <c r="A1425" s="219"/>
      <c r="B1425" s="237"/>
      <c r="C1425" s="36" t="s">
        <v>444</v>
      </c>
      <c r="D1425" s="36" t="s">
        <v>93</v>
      </c>
      <c r="E1425" s="37">
        <v>1.05</v>
      </c>
      <c r="F1425" s="34" t="s">
        <v>522</v>
      </c>
      <c r="G1425" s="31" t="str">
        <f t="shared" si="22"/>
        <v/>
      </c>
      <c r="H1425" s="35"/>
      <c r="I1425" s="31"/>
      <c r="J1425" s="102">
        <v>0</v>
      </c>
    </row>
    <row r="1426" spans="1:10" hidden="1" x14ac:dyDescent="0.25">
      <c r="A1426" s="219"/>
      <c r="B1426" s="237"/>
      <c r="C1426" s="36" t="s">
        <v>435</v>
      </c>
      <c r="D1426" s="36" t="s">
        <v>93</v>
      </c>
      <c r="E1426" s="37">
        <v>1.6</v>
      </c>
      <c r="F1426" s="31">
        <v>0</v>
      </c>
      <c r="G1426" s="31">
        <f t="shared" ref="G1426:G1489" si="23">IF(ISNUMBER(F1426),E1426*F1426,"")</f>
        <v>0</v>
      </c>
      <c r="H1426" s="35"/>
      <c r="I1426" s="31"/>
      <c r="J1426" s="102">
        <v>0</v>
      </c>
    </row>
    <row r="1427" spans="1:10" hidden="1" x14ac:dyDescent="0.25">
      <c r="A1427" s="219"/>
      <c r="B1427" s="237"/>
      <c r="C1427" s="36" t="s">
        <v>436</v>
      </c>
      <c r="D1427" s="36" t="s">
        <v>279</v>
      </c>
      <c r="E1427" s="37">
        <v>5.3367000000000004</v>
      </c>
      <c r="F1427" s="34">
        <v>0.29449999999999998</v>
      </c>
      <c r="G1427" s="31">
        <f t="shared" si="23"/>
        <v>1.57165815</v>
      </c>
      <c r="H1427" s="35"/>
      <c r="I1427" s="31"/>
      <c r="J1427" s="102">
        <v>0</v>
      </c>
    </row>
    <row r="1428" spans="1:10" hidden="1" x14ac:dyDescent="0.25">
      <c r="A1428" s="219"/>
      <c r="B1428" s="237"/>
      <c r="C1428" s="36" t="s">
        <v>437</v>
      </c>
      <c r="D1428" s="36" t="s">
        <v>144</v>
      </c>
      <c r="E1428" s="37">
        <v>5.34</v>
      </c>
      <c r="F1428" s="31">
        <v>0</v>
      </c>
      <c r="G1428" s="31">
        <f t="shared" si="23"/>
        <v>0</v>
      </c>
      <c r="H1428" s="35"/>
      <c r="I1428" s="31"/>
      <c r="J1428" s="102">
        <v>0</v>
      </c>
    </row>
    <row r="1429" spans="1:10" hidden="1" x14ac:dyDescent="0.25">
      <c r="A1429" s="219"/>
      <c r="B1429" s="237"/>
      <c r="C1429" s="36" t="s">
        <v>445</v>
      </c>
      <c r="D1429" s="36" t="s">
        <v>144</v>
      </c>
      <c r="E1429" s="37">
        <v>0.67</v>
      </c>
      <c r="F1429" s="31">
        <v>0</v>
      </c>
      <c r="G1429" s="31">
        <f t="shared" si="23"/>
        <v>0</v>
      </c>
      <c r="H1429" s="35"/>
      <c r="I1429" s="31"/>
      <c r="J1429" s="102">
        <v>0</v>
      </c>
    </row>
    <row r="1430" spans="1:10" hidden="1" x14ac:dyDescent="0.25">
      <c r="A1430" s="219"/>
      <c r="B1430" s="237"/>
      <c r="C1430" s="36" t="s">
        <v>439</v>
      </c>
      <c r="D1430" s="36" t="s">
        <v>144</v>
      </c>
      <c r="E1430" s="37">
        <v>1.3332999999999999</v>
      </c>
      <c r="F1430" s="31">
        <v>0</v>
      </c>
      <c r="G1430" s="31">
        <f t="shared" si="23"/>
        <v>0</v>
      </c>
      <c r="H1430" s="35"/>
      <c r="I1430" s="31"/>
      <c r="J1430" s="102">
        <v>0</v>
      </c>
    </row>
    <row r="1431" spans="1:10" hidden="1" x14ac:dyDescent="0.25">
      <c r="A1431" s="219"/>
      <c r="B1431" s="237"/>
      <c r="C1431" s="36" t="s">
        <v>440</v>
      </c>
      <c r="D1431" s="36" t="s">
        <v>20</v>
      </c>
      <c r="E1431" s="37">
        <v>2.67</v>
      </c>
      <c r="F1431" s="31">
        <v>0</v>
      </c>
      <c r="G1431" s="31">
        <f t="shared" si="23"/>
        <v>0</v>
      </c>
      <c r="H1431" s="35"/>
      <c r="I1431" s="31"/>
      <c r="J1431" s="102">
        <v>0</v>
      </c>
    </row>
    <row r="1432" spans="1:10" hidden="1" x14ac:dyDescent="0.25">
      <c r="A1432" s="219"/>
      <c r="B1432" s="237"/>
      <c r="C1432" s="36" t="s">
        <v>446</v>
      </c>
      <c r="D1432" s="36" t="s">
        <v>144</v>
      </c>
      <c r="E1432" s="37">
        <v>0.67</v>
      </c>
      <c r="F1432" s="31">
        <v>0</v>
      </c>
      <c r="G1432" s="31">
        <f t="shared" si="23"/>
        <v>0</v>
      </c>
      <c r="H1432" s="35"/>
      <c r="I1432" s="31"/>
      <c r="J1432" s="102">
        <v>0</v>
      </c>
    </row>
    <row r="1433" spans="1:10" ht="25.5" hidden="1" x14ac:dyDescent="0.25">
      <c r="A1433" s="219"/>
      <c r="B1433" s="237"/>
      <c r="C1433" s="36" t="s">
        <v>447</v>
      </c>
      <c r="D1433" s="36" t="s">
        <v>93</v>
      </c>
      <c r="E1433" s="37">
        <v>1.05</v>
      </c>
      <c r="F1433" s="34" t="s">
        <v>522</v>
      </c>
      <c r="G1433" s="31" t="str">
        <f t="shared" si="23"/>
        <v/>
      </c>
      <c r="H1433" s="35"/>
      <c r="I1433" s="31"/>
      <c r="J1433" s="102">
        <v>0</v>
      </c>
    </row>
    <row r="1434" spans="1:10" ht="15.75" hidden="1" thickBot="1" x14ac:dyDescent="0.3">
      <c r="A1434" s="220"/>
      <c r="B1434" s="223"/>
      <c r="C1434" s="36"/>
      <c r="D1434" s="36"/>
      <c r="E1434" s="37"/>
      <c r="F1434" s="31" t="s">
        <v>522</v>
      </c>
      <c r="G1434" s="31" t="str">
        <f t="shared" si="23"/>
        <v/>
      </c>
      <c r="H1434" s="35"/>
      <c r="I1434" s="31"/>
      <c r="J1434" s="102">
        <v>0</v>
      </c>
    </row>
    <row r="1435" spans="1:10" ht="15.75" hidden="1" thickBot="1" x14ac:dyDescent="0.3">
      <c r="A1435" s="218" t="s">
        <v>448</v>
      </c>
      <c r="B1435" s="221" t="e">
        <f>INDEX(#REF!,MATCH(Composições!A1435,#REF!,0),2)</f>
        <v>#REF!</v>
      </c>
      <c r="C1435" s="41"/>
      <c r="D1435" s="26" t="s">
        <v>93</v>
      </c>
      <c r="E1435" s="27"/>
      <c r="F1435" s="42" t="s">
        <v>522</v>
      </c>
      <c r="G1435" s="28" t="str">
        <f t="shared" si="23"/>
        <v/>
      </c>
      <c r="H1435" s="29"/>
      <c r="I1435" s="30"/>
      <c r="J1435" s="102">
        <v>0</v>
      </c>
    </row>
    <row r="1436" spans="1:10" hidden="1" x14ac:dyDescent="0.25">
      <c r="A1436" s="219"/>
      <c r="B1436" s="237"/>
      <c r="C1436" s="32"/>
      <c r="D1436" s="32"/>
      <c r="E1436" s="33"/>
      <c r="F1436" s="43" t="s">
        <v>522</v>
      </c>
      <c r="G1436" s="31" t="str">
        <f t="shared" si="23"/>
        <v/>
      </c>
      <c r="H1436" s="35"/>
      <c r="I1436" s="31"/>
      <c r="J1436" s="102">
        <v>0</v>
      </c>
    </row>
    <row r="1437" spans="1:10" hidden="1" x14ac:dyDescent="0.25">
      <c r="A1437" s="219"/>
      <c r="B1437" s="237"/>
      <c r="C1437" s="36" t="s">
        <v>30</v>
      </c>
      <c r="D1437" s="36" t="s">
        <v>12</v>
      </c>
      <c r="E1437" s="37">
        <v>0.5</v>
      </c>
      <c r="F1437" s="31">
        <v>21.688499999999998</v>
      </c>
      <c r="G1437" s="31">
        <f t="shared" si="23"/>
        <v>10.844249999999999</v>
      </c>
      <c r="H1437" s="39">
        <f>SUM(G1437:G1448)</f>
        <v>20.92790815</v>
      </c>
      <c r="I1437" s="40"/>
      <c r="J1437" s="102">
        <v>0</v>
      </c>
    </row>
    <row r="1438" spans="1:10" hidden="1" x14ac:dyDescent="0.25">
      <c r="A1438" s="219"/>
      <c r="B1438" s="237"/>
      <c r="C1438" s="36" t="s">
        <v>74</v>
      </c>
      <c r="D1438" s="47" t="s">
        <v>12</v>
      </c>
      <c r="E1438" s="37">
        <v>0.5</v>
      </c>
      <c r="F1438" s="31">
        <v>17.024000000000001</v>
      </c>
      <c r="G1438" s="31">
        <f t="shared" si="23"/>
        <v>8.5120000000000005</v>
      </c>
      <c r="H1438" s="35"/>
      <c r="I1438" s="31"/>
      <c r="J1438" s="102">
        <v>0</v>
      </c>
    </row>
    <row r="1439" spans="1:10" ht="25.5" hidden="1" x14ac:dyDescent="0.25">
      <c r="A1439" s="219"/>
      <c r="B1439" s="237"/>
      <c r="C1439" s="36" t="s">
        <v>433</v>
      </c>
      <c r="D1439" s="36" t="s">
        <v>144</v>
      </c>
      <c r="E1439" s="37">
        <v>1.3332999999999999</v>
      </c>
      <c r="F1439" s="31">
        <v>0</v>
      </c>
      <c r="G1439" s="31">
        <f t="shared" si="23"/>
        <v>0</v>
      </c>
      <c r="H1439" s="62"/>
      <c r="I1439" s="1"/>
      <c r="J1439" s="102">
        <v>0</v>
      </c>
    </row>
    <row r="1440" spans="1:10" ht="25.5" hidden="1" x14ac:dyDescent="0.25">
      <c r="A1440" s="219"/>
      <c r="B1440" s="237"/>
      <c r="C1440" s="36" t="s">
        <v>449</v>
      </c>
      <c r="D1440" s="36" t="s">
        <v>93</v>
      </c>
      <c r="E1440" s="37">
        <v>1.05</v>
      </c>
      <c r="F1440" s="34" t="s">
        <v>522</v>
      </c>
      <c r="G1440" s="31" t="str">
        <f t="shared" si="23"/>
        <v/>
      </c>
      <c r="H1440" s="35"/>
      <c r="I1440" s="31"/>
      <c r="J1440" s="102">
        <v>0</v>
      </c>
    </row>
    <row r="1441" spans="1:10" hidden="1" x14ac:dyDescent="0.25">
      <c r="A1441" s="219"/>
      <c r="B1441" s="237"/>
      <c r="C1441" s="36" t="s">
        <v>435</v>
      </c>
      <c r="D1441" s="36" t="s">
        <v>93</v>
      </c>
      <c r="E1441" s="37">
        <v>1.6</v>
      </c>
      <c r="F1441" s="31">
        <v>0</v>
      </c>
      <c r="G1441" s="31">
        <f t="shared" si="23"/>
        <v>0</v>
      </c>
      <c r="H1441" s="35"/>
      <c r="I1441" s="31"/>
      <c r="J1441" s="102">
        <v>0</v>
      </c>
    </row>
    <row r="1442" spans="1:10" hidden="1" x14ac:dyDescent="0.25">
      <c r="A1442" s="219"/>
      <c r="B1442" s="237"/>
      <c r="C1442" s="36" t="s">
        <v>436</v>
      </c>
      <c r="D1442" s="36" t="s">
        <v>279</v>
      </c>
      <c r="E1442" s="37">
        <v>5.3367000000000004</v>
      </c>
      <c r="F1442" s="34">
        <v>0.29449999999999998</v>
      </c>
      <c r="G1442" s="31">
        <f t="shared" si="23"/>
        <v>1.57165815</v>
      </c>
      <c r="H1442" s="35"/>
      <c r="I1442" s="31"/>
      <c r="J1442" s="102">
        <v>0</v>
      </c>
    </row>
    <row r="1443" spans="1:10" hidden="1" x14ac:dyDescent="0.25">
      <c r="A1443" s="219"/>
      <c r="B1443" s="237"/>
      <c r="C1443" s="36" t="s">
        <v>437</v>
      </c>
      <c r="D1443" s="36" t="s">
        <v>144</v>
      </c>
      <c r="E1443" s="37">
        <v>5.34</v>
      </c>
      <c r="F1443" s="31">
        <v>0</v>
      </c>
      <c r="G1443" s="31">
        <f t="shared" si="23"/>
        <v>0</v>
      </c>
      <c r="H1443" s="35"/>
      <c r="I1443" s="31"/>
      <c r="J1443" s="102">
        <v>0</v>
      </c>
    </row>
    <row r="1444" spans="1:10" hidden="1" x14ac:dyDescent="0.25">
      <c r="A1444" s="219"/>
      <c r="B1444" s="237"/>
      <c r="C1444" s="36" t="s">
        <v>450</v>
      </c>
      <c r="D1444" s="36" t="s">
        <v>144</v>
      </c>
      <c r="E1444" s="37">
        <v>0.67</v>
      </c>
      <c r="F1444" s="31">
        <v>0</v>
      </c>
      <c r="G1444" s="31">
        <f t="shared" si="23"/>
        <v>0</v>
      </c>
      <c r="H1444" s="35"/>
      <c r="I1444" s="31"/>
      <c r="J1444" s="102">
        <v>0</v>
      </c>
    </row>
    <row r="1445" spans="1:10" hidden="1" x14ac:dyDescent="0.25">
      <c r="A1445" s="219"/>
      <c r="B1445" s="237"/>
      <c r="C1445" s="36" t="s">
        <v>439</v>
      </c>
      <c r="D1445" s="36" t="s">
        <v>144</v>
      </c>
      <c r="E1445" s="37">
        <v>1.3332999999999999</v>
      </c>
      <c r="F1445" s="31">
        <v>0</v>
      </c>
      <c r="G1445" s="31">
        <f t="shared" si="23"/>
        <v>0</v>
      </c>
      <c r="H1445" s="35"/>
      <c r="I1445" s="31"/>
      <c r="J1445" s="102">
        <v>0</v>
      </c>
    </row>
    <row r="1446" spans="1:10" hidden="1" x14ac:dyDescent="0.25">
      <c r="A1446" s="219"/>
      <c r="B1446" s="237"/>
      <c r="C1446" s="36" t="s">
        <v>440</v>
      </c>
      <c r="D1446" s="36" t="s">
        <v>20</v>
      </c>
      <c r="E1446" s="37">
        <v>2.67</v>
      </c>
      <c r="F1446" s="31">
        <v>0</v>
      </c>
      <c r="G1446" s="31">
        <f t="shared" si="23"/>
        <v>0</v>
      </c>
      <c r="H1446" s="35"/>
      <c r="I1446" s="31"/>
      <c r="J1446" s="102">
        <v>0</v>
      </c>
    </row>
    <row r="1447" spans="1:10" hidden="1" x14ac:dyDescent="0.25">
      <c r="A1447" s="219"/>
      <c r="B1447" s="237"/>
      <c r="C1447" s="36" t="s">
        <v>441</v>
      </c>
      <c r="D1447" s="36" t="s">
        <v>144</v>
      </c>
      <c r="E1447" s="37">
        <v>0.67</v>
      </c>
      <c r="F1447" s="31">
        <v>0</v>
      </c>
      <c r="G1447" s="31">
        <f t="shared" si="23"/>
        <v>0</v>
      </c>
      <c r="H1447" s="35"/>
      <c r="I1447" s="31"/>
      <c r="J1447" s="102">
        <v>0</v>
      </c>
    </row>
    <row r="1448" spans="1:10" ht="25.5" hidden="1" x14ac:dyDescent="0.25">
      <c r="A1448" s="219"/>
      <c r="B1448" s="237"/>
      <c r="C1448" s="36" t="s">
        <v>447</v>
      </c>
      <c r="D1448" s="36" t="s">
        <v>93</v>
      </c>
      <c r="E1448" s="37">
        <v>1.05</v>
      </c>
      <c r="F1448" s="34" t="s">
        <v>522</v>
      </c>
      <c r="G1448" s="31" t="str">
        <f t="shared" si="23"/>
        <v/>
      </c>
      <c r="H1448" s="35"/>
      <c r="I1448" s="31"/>
      <c r="J1448" s="102">
        <v>0</v>
      </c>
    </row>
    <row r="1449" spans="1:10" ht="15.75" hidden="1" thickBot="1" x14ac:dyDescent="0.3">
      <c r="A1449" s="220"/>
      <c r="B1449" s="223"/>
      <c r="C1449" s="36"/>
      <c r="D1449" s="36"/>
      <c r="E1449" s="37"/>
      <c r="F1449" s="31" t="s">
        <v>522</v>
      </c>
      <c r="G1449" s="31" t="str">
        <f t="shared" si="23"/>
        <v/>
      </c>
      <c r="H1449" s="35"/>
      <c r="I1449" s="31"/>
      <c r="J1449" s="102">
        <v>0</v>
      </c>
    </row>
    <row r="1450" spans="1:10" ht="15.75" hidden="1" thickBot="1" x14ac:dyDescent="0.3">
      <c r="A1450" s="218" t="s">
        <v>451</v>
      </c>
      <c r="B1450" s="221" t="e">
        <f>INDEX(#REF!,MATCH(Composições!A1450,#REF!,0),2)</f>
        <v>#REF!</v>
      </c>
      <c r="C1450" s="41"/>
      <c r="D1450" s="26" t="s">
        <v>93</v>
      </c>
      <c r="E1450" s="27"/>
      <c r="F1450" s="42" t="s">
        <v>522</v>
      </c>
      <c r="G1450" s="28" t="str">
        <f t="shared" si="23"/>
        <v/>
      </c>
      <c r="H1450" s="29"/>
      <c r="I1450" s="30"/>
      <c r="J1450" s="102">
        <v>0</v>
      </c>
    </row>
    <row r="1451" spans="1:10" hidden="1" x14ac:dyDescent="0.25">
      <c r="A1451" s="219"/>
      <c r="B1451" s="237"/>
      <c r="C1451" s="32"/>
      <c r="D1451" s="32"/>
      <c r="E1451" s="33"/>
      <c r="F1451" s="43" t="s">
        <v>522</v>
      </c>
      <c r="G1451" s="31" t="str">
        <f t="shared" si="23"/>
        <v/>
      </c>
      <c r="H1451" s="35"/>
      <c r="I1451" s="31"/>
      <c r="J1451" s="102">
        <v>0</v>
      </c>
    </row>
    <row r="1452" spans="1:10" hidden="1" x14ac:dyDescent="0.25">
      <c r="A1452" s="219"/>
      <c r="B1452" s="237"/>
      <c r="C1452" s="36" t="s">
        <v>30</v>
      </c>
      <c r="D1452" s="36" t="s">
        <v>12</v>
      </c>
      <c r="E1452" s="37">
        <v>0.65</v>
      </c>
      <c r="F1452" s="31">
        <v>21.688499999999998</v>
      </c>
      <c r="G1452" s="31">
        <f t="shared" si="23"/>
        <v>14.097524999999999</v>
      </c>
      <c r="H1452" s="39">
        <f>SUM(G1452:G1463)</f>
        <v>26.734783150000002</v>
      </c>
      <c r="I1452" s="40"/>
      <c r="J1452" s="102">
        <v>0</v>
      </c>
    </row>
    <row r="1453" spans="1:10" hidden="1" x14ac:dyDescent="0.25">
      <c r="A1453" s="219"/>
      <c r="B1453" s="237"/>
      <c r="C1453" s="36" t="s">
        <v>74</v>
      </c>
      <c r="D1453" s="47" t="s">
        <v>12</v>
      </c>
      <c r="E1453" s="37">
        <v>0.65</v>
      </c>
      <c r="F1453" s="31">
        <v>17.024000000000001</v>
      </c>
      <c r="G1453" s="31">
        <f t="shared" si="23"/>
        <v>11.065600000000002</v>
      </c>
      <c r="H1453" s="35"/>
      <c r="I1453" s="31"/>
      <c r="J1453" s="102">
        <v>0</v>
      </c>
    </row>
    <row r="1454" spans="1:10" ht="25.5" hidden="1" x14ac:dyDescent="0.25">
      <c r="A1454" s="219"/>
      <c r="B1454" s="237"/>
      <c r="C1454" s="36" t="s">
        <v>433</v>
      </c>
      <c r="D1454" s="36" t="s">
        <v>144</v>
      </c>
      <c r="E1454" s="37">
        <v>1.3332999999999999</v>
      </c>
      <c r="F1454" s="31">
        <v>0</v>
      </c>
      <c r="G1454" s="31">
        <f t="shared" si="23"/>
        <v>0</v>
      </c>
      <c r="H1454" s="62"/>
      <c r="I1454" s="1"/>
      <c r="J1454" s="102">
        <v>0</v>
      </c>
    </row>
    <row r="1455" spans="1:10" ht="25.5" hidden="1" x14ac:dyDescent="0.25">
      <c r="A1455" s="219"/>
      <c r="B1455" s="237"/>
      <c r="C1455" s="36" t="s">
        <v>452</v>
      </c>
      <c r="D1455" s="36" t="s">
        <v>93</v>
      </c>
      <c r="E1455" s="37">
        <v>1.05</v>
      </c>
      <c r="F1455" s="34" t="s">
        <v>522</v>
      </c>
      <c r="G1455" s="31" t="str">
        <f t="shared" si="23"/>
        <v/>
      </c>
      <c r="H1455" s="35"/>
      <c r="I1455" s="31"/>
      <c r="J1455" s="102">
        <v>0</v>
      </c>
    </row>
    <row r="1456" spans="1:10" hidden="1" x14ac:dyDescent="0.25">
      <c r="A1456" s="219"/>
      <c r="B1456" s="237"/>
      <c r="C1456" s="36" t="s">
        <v>435</v>
      </c>
      <c r="D1456" s="36" t="s">
        <v>93</v>
      </c>
      <c r="E1456" s="37">
        <v>1.6</v>
      </c>
      <c r="F1456" s="31">
        <v>0</v>
      </c>
      <c r="G1456" s="31">
        <f t="shared" si="23"/>
        <v>0</v>
      </c>
      <c r="H1456" s="35"/>
      <c r="I1456" s="31"/>
      <c r="J1456" s="102">
        <v>0</v>
      </c>
    </row>
    <row r="1457" spans="1:10" hidden="1" x14ac:dyDescent="0.25">
      <c r="A1457" s="219"/>
      <c r="B1457" s="237"/>
      <c r="C1457" s="36" t="s">
        <v>436</v>
      </c>
      <c r="D1457" s="36" t="s">
        <v>279</v>
      </c>
      <c r="E1457" s="37">
        <v>5.3367000000000004</v>
      </c>
      <c r="F1457" s="34">
        <v>0.29449999999999998</v>
      </c>
      <c r="G1457" s="31">
        <f t="shared" si="23"/>
        <v>1.57165815</v>
      </c>
      <c r="H1457" s="35"/>
      <c r="I1457" s="31"/>
      <c r="J1457" s="102">
        <v>0</v>
      </c>
    </row>
    <row r="1458" spans="1:10" hidden="1" x14ac:dyDescent="0.25">
      <c r="A1458" s="219"/>
      <c r="B1458" s="237"/>
      <c r="C1458" s="36" t="s">
        <v>437</v>
      </c>
      <c r="D1458" s="36" t="s">
        <v>144</v>
      </c>
      <c r="E1458" s="37">
        <v>5.34</v>
      </c>
      <c r="F1458" s="31">
        <v>0</v>
      </c>
      <c r="G1458" s="31">
        <f t="shared" si="23"/>
        <v>0</v>
      </c>
      <c r="H1458" s="35"/>
      <c r="I1458" s="31"/>
      <c r="J1458" s="102">
        <v>0</v>
      </c>
    </row>
    <row r="1459" spans="1:10" hidden="1" x14ac:dyDescent="0.25">
      <c r="A1459" s="219"/>
      <c r="B1459" s="237"/>
      <c r="C1459" s="36" t="s">
        <v>453</v>
      </c>
      <c r="D1459" s="36" t="s">
        <v>144</v>
      </c>
      <c r="E1459" s="37">
        <v>0.67</v>
      </c>
      <c r="F1459" s="31">
        <v>0</v>
      </c>
      <c r="G1459" s="31">
        <f t="shared" si="23"/>
        <v>0</v>
      </c>
      <c r="H1459" s="35"/>
      <c r="I1459" s="31"/>
      <c r="J1459" s="102">
        <v>0</v>
      </c>
    </row>
    <row r="1460" spans="1:10" hidden="1" x14ac:dyDescent="0.25">
      <c r="A1460" s="219"/>
      <c r="B1460" s="237"/>
      <c r="C1460" s="36" t="s">
        <v>439</v>
      </c>
      <c r="D1460" s="36" t="s">
        <v>144</v>
      </c>
      <c r="E1460" s="37">
        <v>1.3332999999999999</v>
      </c>
      <c r="F1460" s="31">
        <v>0</v>
      </c>
      <c r="G1460" s="31">
        <f t="shared" si="23"/>
        <v>0</v>
      </c>
      <c r="H1460" s="35"/>
      <c r="I1460" s="31"/>
      <c r="J1460" s="102">
        <v>0</v>
      </c>
    </row>
    <row r="1461" spans="1:10" hidden="1" x14ac:dyDescent="0.25">
      <c r="A1461" s="219"/>
      <c r="B1461" s="237"/>
      <c r="C1461" s="36" t="s">
        <v>440</v>
      </c>
      <c r="D1461" s="36" t="s">
        <v>20</v>
      </c>
      <c r="E1461" s="37">
        <v>2.67</v>
      </c>
      <c r="F1461" s="31">
        <v>0</v>
      </c>
      <c r="G1461" s="31">
        <f t="shared" si="23"/>
        <v>0</v>
      </c>
      <c r="H1461" s="35"/>
      <c r="I1461" s="31"/>
      <c r="J1461" s="102">
        <v>0</v>
      </c>
    </row>
    <row r="1462" spans="1:10" hidden="1" x14ac:dyDescent="0.25">
      <c r="A1462" s="219"/>
      <c r="B1462" s="237"/>
      <c r="C1462" s="36" t="s">
        <v>446</v>
      </c>
      <c r="D1462" s="36" t="s">
        <v>144</v>
      </c>
      <c r="E1462" s="37">
        <v>0.67</v>
      </c>
      <c r="F1462" s="31">
        <v>0</v>
      </c>
      <c r="G1462" s="31">
        <f t="shared" si="23"/>
        <v>0</v>
      </c>
      <c r="H1462" s="35"/>
      <c r="I1462" s="31"/>
      <c r="J1462" s="102">
        <v>0</v>
      </c>
    </row>
    <row r="1463" spans="1:10" ht="25.5" hidden="1" x14ac:dyDescent="0.25">
      <c r="A1463" s="219"/>
      <c r="B1463" s="237"/>
      <c r="C1463" s="36" t="s">
        <v>454</v>
      </c>
      <c r="D1463" s="36" t="s">
        <v>93</v>
      </c>
      <c r="E1463" s="37">
        <v>1.05</v>
      </c>
      <c r="F1463" s="34" t="s">
        <v>522</v>
      </c>
      <c r="G1463" s="31" t="str">
        <f t="shared" si="23"/>
        <v/>
      </c>
      <c r="H1463" s="35"/>
      <c r="I1463" s="31"/>
      <c r="J1463" s="102">
        <v>0</v>
      </c>
    </row>
    <row r="1464" spans="1:10" ht="15.75" hidden="1" thickBot="1" x14ac:dyDescent="0.3">
      <c r="A1464" s="220"/>
      <c r="B1464" s="223"/>
      <c r="C1464" s="36"/>
      <c r="D1464" s="36"/>
      <c r="E1464" s="37"/>
      <c r="F1464" s="31" t="s">
        <v>522</v>
      </c>
      <c r="G1464" s="31" t="str">
        <f t="shared" si="23"/>
        <v/>
      </c>
      <c r="H1464" s="35"/>
      <c r="I1464" s="31"/>
      <c r="J1464" s="102">
        <v>0</v>
      </c>
    </row>
    <row r="1465" spans="1:10" ht="15.75" hidden="1" thickBot="1" x14ac:dyDescent="0.3">
      <c r="A1465" s="218" t="s">
        <v>455</v>
      </c>
      <c r="B1465" s="221" t="e">
        <f>INDEX(#REF!,MATCH(Composições!A1465,#REF!,0),2)</f>
        <v>#REF!</v>
      </c>
      <c r="C1465" s="41"/>
      <c r="D1465" s="26" t="s">
        <v>93</v>
      </c>
      <c r="E1465" s="27"/>
      <c r="F1465" s="42" t="s">
        <v>522</v>
      </c>
      <c r="G1465" s="28" t="str">
        <f t="shared" si="23"/>
        <v/>
      </c>
      <c r="H1465" s="29"/>
      <c r="I1465" s="30"/>
      <c r="J1465" s="102">
        <v>0</v>
      </c>
    </row>
    <row r="1466" spans="1:10" hidden="1" x14ac:dyDescent="0.25">
      <c r="A1466" s="219"/>
      <c r="B1466" s="237"/>
      <c r="C1466" s="32"/>
      <c r="D1466" s="32"/>
      <c r="E1466" s="33"/>
      <c r="F1466" s="43" t="s">
        <v>522</v>
      </c>
      <c r="G1466" s="31" t="str">
        <f t="shared" si="23"/>
        <v/>
      </c>
      <c r="H1466" s="35"/>
      <c r="I1466" s="31"/>
      <c r="J1466" s="102">
        <v>0</v>
      </c>
    </row>
    <row r="1467" spans="1:10" hidden="1" x14ac:dyDescent="0.25">
      <c r="A1467" s="219"/>
      <c r="B1467" s="237"/>
      <c r="C1467" s="36" t="s">
        <v>30</v>
      </c>
      <c r="D1467" s="36" t="s">
        <v>12</v>
      </c>
      <c r="E1467" s="37">
        <v>0.55000000000000004</v>
      </c>
      <c r="F1467" s="31">
        <v>21.688499999999998</v>
      </c>
      <c r="G1467" s="31">
        <f t="shared" si="23"/>
        <v>11.928675</v>
      </c>
      <c r="H1467" s="39">
        <f>SUM(G1467:G1478)</f>
        <v>23.500033150000004</v>
      </c>
      <c r="I1467" s="40"/>
      <c r="J1467" s="102">
        <v>0</v>
      </c>
    </row>
    <row r="1468" spans="1:10" hidden="1" x14ac:dyDescent="0.25">
      <c r="A1468" s="219"/>
      <c r="B1468" s="237"/>
      <c r="C1468" s="36" t="s">
        <v>74</v>
      </c>
      <c r="D1468" s="47" t="s">
        <v>12</v>
      </c>
      <c r="E1468" s="37">
        <v>0.55000000000000004</v>
      </c>
      <c r="F1468" s="31">
        <v>17.024000000000001</v>
      </c>
      <c r="G1468" s="31">
        <f t="shared" si="23"/>
        <v>9.3632000000000009</v>
      </c>
      <c r="H1468" s="35"/>
      <c r="I1468" s="31"/>
      <c r="J1468" s="102">
        <v>0</v>
      </c>
    </row>
    <row r="1469" spans="1:10" ht="25.5" hidden="1" x14ac:dyDescent="0.25">
      <c r="A1469" s="219"/>
      <c r="B1469" s="237"/>
      <c r="C1469" s="36" t="s">
        <v>433</v>
      </c>
      <c r="D1469" s="36" t="s">
        <v>144</v>
      </c>
      <c r="E1469" s="37">
        <v>1.3332999999999999</v>
      </c>
      <c r="F1469" s="31">
        <v>0</v>
      </c>
      <c r="G1469" s="31">
        <f t="shared" si="23"/>
        <v>0</v>
      </c>
      <c r="H1469" s="62"/>
      <c r="I1469" s="1"/>
      <c r="J1469" s="102">
        <v>0</v>
      </c>
    </row>
    <row r="1470" spans="1:10" ht="25.5" hidden="1" x14ac:dyDescent="0.25">
      <c r="A1470" s="219"/>
      <c r="B1470" s="237"/>
      <c r="C1470" s="36" t="s">
        <v>456</v>
      </c>
      <c r="D1470" s="36" t="s">
        <v>93</v>
      </c>
      <c r="E1470" s="37">
        <v>1.05</v>
      </c>
      <c r="F1470" s="34" t="s">
        <v>522</v>
      </c>
      <c r="G1470" s="31" t="str">
        <f t="shared" si="23"/>
        <v/>
      </c>
      <c r="H1470" s="35"/>
      <c r="I1470" s="31"/>
      <c r="J1470" s="102">
        <v>0</v>
      </c>
    </row>
    <row r="1471" spans="1:10" hidden="1" x14ac:dyDescent="0.25">
      <c r="A1471" s="219"/>
      <c r="B1471" s="237"/>
      <c r="C1471" s="36" t="s">
        <v>435</v>
      </c>
      <c r="D1471" s="36" t="s">
        <v>93</v>
      </c>
      <c r="E1471" s="37">
        <v>1.6</v>
      </c>
      <c r="F1471" s="31">
        <v>0</v>
      </c>
      <c r="G1471" s="31">
        <f t="shared" si="23"/>
        <v>0</v>
      </c>
      <c r="H1471" s="35"/>
      <c r="I1471" s="31"/>
      <c r="J1471" s="102">
        <v>0</v>
      </c>
    </row>
    <row r="1472" spans="1:10" hidden="1" x14ac:dyDescent="0.25">
      <c r="A1472" s="219"/>
      <c r="B1472" s="237"/>
      <c r="C1472" s="36" t="s">
        <v>436</v>
      </c>
      <c r="D1472" s="36" t="s">
        <v>279</v>
      </c>
      <c r="E1472" s="37">
        <v>5.3367000000000004</v>
      </c>
      <c r="F1472" s="34">
        <v>0.29449999999999998</v>
      </c>
      <c r="G1472" s="31">
        <f t="shared" si="23"/>
        <v>1.57165815</v>
      </c>
      <c r="H1472" s="35"/>
      <c r="I1472" s="31"/>
      <c r="J1472" s="102">
        <v>0</v>
      </c>
    </row>
    <row r="1473" spans="1:10" hidden="1" x14ac:dyDescent="0.25">
      <c r="A1473" s="219"/>
      <c r="B1473" s="237"/>
      <c r="C1473" s="36" t="s">
        <v>437</v>
      </c>
      <c r="D1473" s="36" t="s">
        <v>144</v>
      </c>
      <c r="E1473" s="37">
        <v>5.34</v>
      </c>
      <c r="F1473" s="31">
        <v>0</v>
      </c>
      <c r="G1473" s="31">
        <f t="shared" si="23"/>
        <v>0</v>
      </c>
      <c r="H1473" s="35"/>
      <c r="I1473" s="31"/>
      <c r="J1473" s="102">
        <v>0</v>
      </c>
    </row>
    <row r="1474" spans="1:10" hidden="1" x14ac:dyDescent="0.25">
      <c r="A1474" s="219"/>
      <c r="B1474" s="237"/>
      <c r="C1474" s="36" t="s">
        <v>457</v>
      </c>
      <c r="D1474" s="36" t="s">
        <v>144</v>
      </c>
      <c r="E1474" s="37">
        <v>0.67</v>
      </c>
      <c r="F1474" s="31">
        <v>0.95</v>
      </c>
      <c r="G1474" s="31">
        <f t="shared" si="23"/>
        <v>0.63649999999999995</v>
      </c>
      <c r="H1474" s="35"/>
      <c r="I1474" s="31"/>
      <c r="J1474" s="102">
        <v>0</v>
      </c>
    </row>
    <row r="1475" spans="1:10" hidden="1" x14ac:dyDescent="0.25">
      <c r="A1475" s="219"/>
      <c r="B1475" s="237"/>
      <c r="C1475" s="36" t="s">
        <v>439</v>
      </c>
      <c r="D1475" s="36" t="s">
        <v>144</v>
      </c>
      <c r="E1475" s="37">
        <v>1.3332999999999999</v>
      </c>
      <c r="F1475" s="31">
        <v>0</v>
      </c>
      <c r="G1475" s="31">
        <f t="shared" si="23"/>
        <v>0</v>
      </c>
      <c r="H1475" s="35"/>
      <c r="I1475" s="31"/>
      <c r="J1475" s="102">
        <v>0</v>
      </c>
    </row>
    <row r="1476" spans="1:10" hidden="1" x14ac:dyDescent="0.25">
      <c r="A1476" s="219"/>
      <c r="B1476" s="237"/>
      <c r="C1476" s="36" t="s">
        <v>440</v>
      </c>
      <c r="D1476" s="36" t="s">
        <v>20</v>
      </c>
      <c r="E1476" s="37">
        <v>2.67</v>
      </c>
      <c r="F1476" s="31">
        <v>0</v>
      </c>
      <c r="G1476" s="31">
        <f t="shared" si="23"/>
        <v>0</v>
      </c>
      <c r="H1476" s="35"/>
      <c r="I1476" s="31"/>
      <c r="J1476" s="102">
        <v>0</v>
      </c>
    </row>
    <row r="1477" spans="1:10" hidden="1" x14ac:dyDescent="0.25">
      <c r="A1477" s="219"/>
      <c r="B1477" s="237"/>
      <c r="C1477" s="36" t="s">
        <v>441</v>
      </c>
      <c r="D1477" s="36" t="s">
        <v>144</v>
      </c>
      <c r="E1477" s="37">
        <v>0.67</v>
      </c>
      <c r="F1477" s="31">
        <v>0</v>
      </c>
      <c r="G1477" s="31">
        <f t="shared" si="23"/>
        <v>0</v>
      </c>
      <c r="H1477" s="35"/>
      <c r="I1477" s="31"/>
      <c r="J1477" s="102">
        <v>0</v>
      </c>
    </row>
    <row r="1478" spans="1:10" ht="25.5" hidden="1" x14ac:dyDescent="0.25">
      <c r="A1478" s="219"/>
      <c r="B1478" s="237"/>
      <c r="C1478" s="36" t="s">
        <v>454</v>
      </c>
      <c r="D1478" s="36" t="s">
        <v>93</v>
      </c>
      <c r="E1478" s="37">
        <v>1.05</v>
      </c>
      <c r="F1478" s="34" t="s">
        <v>522</v>
      </c>
      <c r="G1478" s="31" t="str">
        <f t="shared" si="23"/>
        <v/>
      </c>
      <c r="H1478" s="35"/>
      <c r="I1478" s="31"/>
      <c r="J1478" s="102">
        <v>0</v>
      </c>
    </row>
    <row r="1479" spans="1:10" ht="15.75" hidden="1" thickBot="1" x14ac:dyDescent="0.3">
      <c r="A1479" s="220"/>
      <c r="B1479" s="223"/>
      <c r="C1479" s="36"/>
      <c r="D1479" s="36"/>
      <c r="E1479" s="37"/>
      <c r="F1479" s="31" t="s">
        <v>522</v>
      </c>
      <c r="G1479" s="31" t="str">
        <f t="shared" si="23"/>
        <v/>
      </c>
      <c r="H1479" s="35"/>
      <c r="I1479" s="31"/>
      <c r="J1479" s="102">
        <v>0</v>
      </c>
    </row>
    <row r="1480" spans="1:10" ht="15.75" hidden="1" thickBot="1" x14ac:dyDescent="0.3">
      <c r="A1480" s="218" t="s">
        <v>458</v>
      </c>
      <c r="B1480" s="221" t="e">
        <f>INDEX(#REF!,MATCH(Composições!A1480,#REF!,0),2)</f>
        <v>#REF!</v>
      </c>
      <c r="C1480" s="41"/>
      <c r="D1480" s="26" t="s">
        <v>93</v>
      </c>
      <c r="E1480" s="27"/>
      <c r="F1480" s="42" t="s">
        <v>522</v>
      </c>
      <c r="G1480" s="28" t="str">
        <f t="shared" si="23"/>
        <v/>
      </c>
      <c r="H1480" s="29"/>
      <c r="I1480" s="30"/>
      <c r="J1480" s="102">
        <v>0</v>
      </c>
    </row>
    <row r="1481" spans="1:10" hidden="1" x14ac:dyDescent="0.25">
      <c r="A1481" s="219"/>
      <c r="B1481" s="237"/>
      <c r="C1481" s="32"/>
      <c r="D1481" s="32"/>
      <c r="E1481" s="33"/>
      <c r="F1481" s="43" t="s">
        <v>522</v>
      </c>
      <c r="G1481" s="31" t="str">
        <f t="shared" si="23"/>
        <v/>
      </c>
      <c r="H1481" s="35"/>
      <c r="I1481" s="31"/>
      <c r="J1481" s="102">
        <v>0</v>
      </c>
    </row>
    <row r="1482" spans="1:10" hidden="1" x14ac:dyDescent="0.25">
      <c r="A1482" s="219"/>
      <c r="B1482" s="237"/>
      <c r="C1482" s="36" t="s">
        <v>30</v>
      </c>
      <c r="D1482" s="36" t="s">
        <v>12</v>
      </c>
      <c r="E1482" s="37">
        <v>0.55000000000000004</v>
      </c>
      <c r="F1482" s="31">
        <v>21.688499999999998</v>
      </c>
      <c r="G1482" s="31">
        <f t="shared" si="23"/>
        <v>11.928675</v>
      </c>
      <c r="H1482" s="39">
        <f>SUM(G1482:G1493)</f>
        <v>22.863533150000002</v>
      </c>
      <c r="I1482" s="40"/>
      <c r="J1482" s="102">
        <v>0</v>
      </c>
    </row>
    <row r="1483" spans="1:10" hidden="1" x14ac:dyDescent="0.25">
      <c r="A1483" s="219"/>
      <c r="B1483" s="237"/>
      <c r="C1483" s="36" t="s">
        <v>74</v>
      </c>
      <c r="D1483" s="47" t="s">
        <v>12</v>
      </c>
      <c r="E1483" s="37">
        <v>0.55000000000000004</v>
      </c>
      <c r="F1483" s="31">
        <v>17.024000000000001</v>
      </c>
      <c r="G1483" s="31">
        <f t="shared" si="23"/>
        <v>9.3632000000000009</v>
      </c>
      <c r="H1483" s="35"/>
      <c r="I1483" s="31"/>
      <c r="J1483" s="102">
        <v>0</v>
      </c>
    </row>
    <row r="1484" spans="1:10" ht="25.5" hidden="1" x14ac:dyDescent="0.25">
      <c r="A1484" s="219"/>
      <c r="B1484" s="237"/>
      <c r="C1484" s="36" t="s">
        <v>433</v>
      </c>
      <c r="D1484" s="36" t="s">
        <v>144</v>
      </c>
      <c r="E1484" s="37">
        <v>1.3332999999999999</v>
      </c>
      <c r="F1484" s="31">
        <v>0</v>
      </c>
      <c r="G1484" s="31">
        <f t="shared" si="23"/>
        <v>0</v>
      </c>
      <c r="H1484" s="62"/>
      <c r="I1484" s="1"/>
      <c r="J1484" s="102">
        <v>0</v>
      </c>
    </row>
    <row r="1485" spans="1:10" ht="25.5" hidden="1" x14ac:dyDescent="0.25">
      <c r="A1485" s="219"/>
      <c r="B1485" s="237"/>
      <c r="C1485" s="36" t="s">
        <v>459</v>
      </c>
      <c r="D1485" s="36" t="s">
        <v>93</v>
      </c>
      <c r="E1485" s="37">
        <v>1.05</v>
      </c>
      <c r="F1485" s="34" t="s">
        <v>522</v>
      </c>
      <c r="G1485" s="31" t="str">
        <f t="shared" si="23"/>
        <v/>
      </c>
      <c r="H1485" s="35"/>
      <c r="I1485" s="31"/>
      <c r="J1485" s="102">
        <v>0</v>
      </c>
    </row>
    <row r="1486" spans="1:10" hidden="1" x14ac:dyDescent="0.25">
      <c r="A1486" s="219"/>
      <c r="B1486" s="237"/>
      <c r="C1486" s="36" t="s">
        <v>435</v>
      </c>
      <c r="D1486" s="36" t="s">
        <v>93</v>
      </c>
      <c r="E1486" s="37">
        <v>1.6</v>
      </c>
      <c r="F1486" s="31">
        <v>0</v>
      </c>
      <c r="G1486" s="31">
        <f t="shared" si="23"/>
        <v>0</v>
      </c>
      <c r="H1486" s="35"/>
      <c r="I1486" s="31"/>
      <c r="J1486" s="102">
        <v>0</v>
      </c>
    </row>
    <row r="1487" spans="1:10" hidden="1" x14ac:dyDescent="0.25">
      <c r="A1487" s="219"/>
      <c r="B1487" s="237"/>
      <c r="C1487" s="36" t="s">
        <v>436</v>
      </c>
      <c r="D1487" s="36" t="s">
        <v>279</v>
      </c>
      <c r="E1487" s="37">
        <v>5.3367000000000004</v>
      </c>
      <c r="F1487" s="34">
        <v>0.29449999999999998</v>
      </c>
      <c r="G1487" s="31">
        <f t="shared" si="23"/>
        <v>1.57165815</v>
      </c>
      <c r="H1487" s="35"/>
      <c r="I1487" s="31"/>
      <c r="J1487" s="102">
        <v>0</v>
      </c>
    </row>
    <row r="1488" spans="1:10" hidden="1" x14ac:dyDescent="0.25">
      <c r="A1488" s="219"/>
      <c r="B1488" s="237"/>
      <c r="C1488" s="36" t="s">
        <v>437</v>
      </c>
      <c r="D1488" s="36" t="s">
        <v>144</v>
      </c>
      <c r="E1488" s="37">
        <v>5.34</v>
      </c>
      <c r="F1488" s="31">
        <v>0</v>
      </c>
      <c r="G1488" s="31">
        <f t="shared" si="23"/>
        <v>0</v>
      </c>
      <c r="H1488" s="35"/>
      <c r="I1488" s="31"/>
      <c r="J1488" s="102">
        <v>0</v>
      </c>
    </row>
    <row r="1489" spans="1:10" hidden="1" x14ac:dyDescent="0.25">
      <c r="A1489" s="219"/>
      <c r="B1489" s="237"/>
      <c r="C1489" s="36" t="s">
        <v>460</v>
      </c>
      <c r="D1489" s="36" t="s">
        <v>144</v>
      </c>
      <c r="E1489" s="37">
        <v>0.67</v>
      </c>
      <c r="F1489" s="31">
        <v>0</v>
      </c>
      <c r="G1489" s="31">
        <f t="shared" si="23"/>
        <v>0</v>
      </c>
      <c r="H1489" s="35"/>
      <c r="I1489" s="31"/>
      <c r="J1489" s="102">
        <v>0</v>
      </c>
    </row>
    <row r="1490" spans="1:10" hidden="1" x14ac:dyDescent="0.25">
      <c r="A1490" s="219"/>
      <c r="B1490" s="237"/>
      <c r="C1490" s="36" t="s">
        <v>439</v>
      </c>
      <c r="D1490" s="36" t="s">
        <v>144</v>
      </c>
      <c r="E1490" s="37">
        <v>1.3332999999999999</v>
      </c>
      <c r="F1490" s="31">
        <v>0</v>
      </c>
      <c r="G1490" s="31">
        <f t="shared" ref="G1490:G1553" si="24">IF(ISNUMBER(F1490),E1490*F1490,"")</f>
        <v>0</v>
      </c>
      <c r="H1490" s="35"/>
      <c r="I1490" s="31"/>
      <c r="J1490" s="102">
        <v>0</v>
      </c>
    </row>
    <row r="1491" spans="1:10" hidden="1" x14ac:dyDescent="0.25">
      <c r="A1491" s="219"/>
      <c r="B1491" s="237"/>
      <c r="C1491" s="36" t="s">
        <v>440</v>
      </c>
      <c r="D1491" s="36" t="s">
        <v>20</v>
      </c>
      <c r="E1491" s="37">
        <v>2.67</v>
      </c>
      <c r="F1491" s="31">
        <v>0</v>
      </c>
      <c r="G1491" s="31">
        <f t="shared" si="24"/>
        <v>0</v>
      </c>
      <c r="H1491" s="35"/>
      <c r="I1491" s="31"/>
      <c r="J1491" s="102">
        <v>0</v>
      </c>
    </row>
    <row r="1492" spans="1:10" hidden="1" x14ac:dyDescent="0.25">
      <c r="A1492" s="219"/>
      <c r="B1492" s="237"/>
      <c r="C1492" s="36" t="s">
        <v>441</v>
      </c>
      <c r="D1492" s="36" t="s">
        <v>144</v>
      </c>
      <c r="E1492" s="37">
        <v>0.67</v>
      </c>
      <c r="F1492" s="31">
        <v>0</v>
      </c>
      <c r="G1492" s="31">
        <f t="shared" si="24"/>
        <v>0</v>
      </c>
      <c r="H1492" s="35"/>
      <c r="I1492" s="31"/>
      <c r="J1492" s="102">
        <v>0</v>
      </c>
    </row>
    <row r="1493" spans="1:10" ht="25.5" hidden="1" x14ac:dyDescent="0.25">
      <c r="A1493" s="219"/>
      <c r="B1493" s="237"/>
      <c r="C1493" s="36" t="s">
        <v>461</v>
      </c>
      <c r="D1493" s="36" t="s">
        <v>93</v>
      </c>
      <c r="E1493" s="37">
        <v>1.05</v>
      </c>
      <c r="F1493" s="34" t="s">
        <v>522</v>
      </c>
      <c r="G1493" s="31" t="str">
        <f t="shared" si="24"/>
        <v/>
      </c>
      <c r="H1493" s="35"/>
      <c r="I1493" s="31"/>
      <c r="J1493" s="102">
        <v>0</v>
      </c>
    </row>
    <row r="1494" spans="1:10" ht="15.75" hidden="1" thickBot="1" x14ac:dyDescent="0.3">
      <c r="A1494" s="220"/>
      <c r="B1494" s="223"/>
      <c r="C1494" s="36"/>
      <c r="D1494" s="36"/>
      <c r="E1494" s="37"/>
      <c r="F1494" s="31" t="s">
        <v>522</v>
      </c>
      <c r="G1494" s="31" t="str">
        <f t="shared" si="24"/>
        <v/>
      </c>
      <c r="H1494" s="35"/>
      <c r="I1494" s="31"/>
      <c r="J1494" s="102">
        <v>0</v>
      </c>
    </row>
    <row r="1495" spans="1:10" ht="15.75" hidden="1" thickBot="1" x14ac:dyDescent="0.3">
      <c r="A1495" s="218" t="s">
        <v>462</v>
      </c>
      <c r="B1495" s="221" t="e">
        <f>INDEX(#REF!,MATCH(Composições!A1495,#REF!,0),2)</f>
        <v>#REF!</v>
      </c>
      <c r="C1495" s="41"/>
      <c r="D1495" s="26" t="s">
        <v>93</v>
      </c>
      <c r="E1495" s="27"/>
      <c r="F1495" s="42" t="s">
        <v>522</v>
      </c>
      <c r="G1495" s="28" t="str">
        <f t="shared" si="24"/>
        <v/>
      </c>
      <c r="H1495" s="29"/>
      <c r="I1495" s="30"/>
      <c r="J1495" s="102">
        <v>0</v>
      </c>
    </row>
    <row r="1496" spans="1:10" hidden="1" x14ac:dyDescent="0.25">
      <c r="A1496" s="224"/>
      <c r="B1496" s="237"/>
      <c r="C1496" s="32"/>
      <c r="D1496" s="32"/>
      <c r="E1496" s="33"/>
      <c r="F1496" s="43" t="s">
        <v>522</v>
      </c>
      <c r="G1496" s="31" t="str">
        <f t="shared" si="24"/>
        <v/>
      </c>
      <c r="H1496" s="35"/>
      <c r="I1496" s="31"/>
      <c r="J1496" s="102">
        <v>0</v>
      </c>
    </row>
    <row r="1497" spans="1:10" hidden="1" x14ac:dyDescent="0.25">
      <c r="A1497" s="224"/>
      <c r="B1497" s="237"/>
      <c r="C1497" s="36" t="s">
        <v>30</v>
      </c>
      <c r="D1497" s="36" t="s">
        <v>12</v>
      </c>
      <c r="E1497" s="37">
        <v>0.45</v>
      </c>
      <c r="F1497" s="31">
        <v>21.688499999999998</v>
      </c>
      <c r="G1497" s="31">
        <f t="shared" si="24"/>
        <v>9.7598249999999993</v>
      </c>
      <c r="H1497" s="39">
        <f>SUM(G1497:G1508)</f>
        <v>18.599596850000001</v>
      </c>
      <c r="I1497" s="40"/>
      <c r="J1497" s="102">
        <v>0</v>
      </c>
    </row>
    <row r="1498" spans="1:10" hidden="1" x14ac:dyDescent="0.25">
      <c r="A1498" s="224"/>
      <c r="B1498" s="237"/>
      <c r="C1498" s="36" t="s">
        <v>74</v>
      </c>
      <c r="D1498" s="47" t="s">
        <v>12</v>
      </c>
      <c r="E1498" s="37">
        <v>0.45</v>
      </c>
      <c r="F1498" s="31">
        <v>17.024000000000001</v>
      </c>
      <c r="G1498" s="31">
        <f t="shared" si="24"/>
        <v>7.6608000000000009</v>
      </c>
      <c r="H1498" s="35"/>
      <c r="I1498" s="31"/>
      <c r="J1498" s="102">
        <v>0</v>
      </c>
    </row>
    <row r="1499" spans="1:10" ht="25.5" hidden="1" x14ac:dyDescent="0.25">
      <c r="A1499" s="224"/>
      <c r="B1499" s="237"/>
      <c r="C1499" s="36" t="s">
        <v>433</v>
      </c>
      <c r="D1499" s="36" t="s">
        <v>144</v>
      </c>
      <c r="E1499" s="37">
        <v>0.67</v>
      </c>
      <c r="F1499" s="31">
        <v>0</v>
      </c>
      <c r="G1499" s="31">
        <f t="shared" si="24"/>
        <v>0</v>
      </c>
      <c r="H1499" s="62"/>
      <c r="I1499" s="1"/>
      <c r="J1499" s="102">
        <v>0</v>
      </c>
    </row>
    <row r="1500" spans="1:10" ht="25.5" hidden="1" x14ac:dyDescent="0.25">
      <c r="A1500" s="224"/>
      <c r="B1500" s="237"/>
      <c r="C1500" s="36" t="s">
        <v>463</v>
      </c>
      <c r="D1500" s="36" t="s">
        <v>93</v>
      </c>
      <c r="E1500" s="37">
        <v>1.05</v>
      </c>
      <c r="F1500" s="34" t="s">
        <v>522</v>
      </c>
      <c r="G1500" s="31" t="str">
        <f t="shared" si="24"/>
        <v/>
      </c>
      <c r="H1500" s="35"/>
      <c r="I1500" s="31"/>
      <c r="J1500" s="102">
        <v>0</v>
      </c>
    </row>
    <row r="1501" spans="1:10" hidden="1" x14ac:dyDescent="0.25">
      <c r="A1501" s="224"/>
      <c r="B1501" s="237"/>
      <c r="C1501" s="36" t="s">
        <v>435</v>
      </c>
      <c r="D1501" s="36" t="s">
        <v>93</v>
      </c>
      <c r="E1501" s="37">
        <v>0.8</v>
      </c>
      <c r="F1501" s="31">
        <v>0</v>
      </c>
      <c r="G1501" s="31">
        <f t="shared" si="24"/>
        <v>0</v>
      </c>
      <c r="H1501" s="35"/>
      <c r="I1501" s="31"/>
      <c r="J1501" s="102">
        <v>0</v>
      </c>
    </row>
    <row r="1502" spans="1:10" hidden="1" x14ac:dyDescent="0.25">
      <c r="A1502" s="224"/>
      <c r="B1502" s="237"/>
      <c r="C1502" s="36" t="s">
        <v>436</v>
      </c>
      <c r="D1502" s="36" t="s">
        <v>279</v>
      </c>
      <c r="E1502" s="37">
        <v>4.0033000000000003</v>
      </c>
      <c r="F1502" s="34">
        <v>0.29449999999999998</v>
      </c>
      <c r="G1502" s="31">
        <f t="shared" si="24"/>
        <v>1.1789718499999999</v>
      </c>
      <c r="H1502" s="35"/>
      <c r="I1502" s="31"/>
      <c r="J1502" s="102">
        <v>0</v>
      </c>
    </row>
    <row r="1503" spans="1:10" hidden="1" x14ac:dyDescent="0.25">
      <c r="A1503" s="224"/>
      <c r="B1503" s="237"/>
      <c r="C1503" s="36" t="s">
        <v>437</v>
      </c>
      <c r="D1503" s="36" t="s">
        <v>144</v>
      </c>
      <c r="E1503" s="37">
        <v>4.0033000000000003</v>
      </c>
      <c r="F1503" s="31">
        <v>0</v>
      </c>
      <c r="G1503" s="31">
        <f t="shared" si="24"/>
        <v>0</v>
      </c>
      <c r="H1503" s="35"/>
      <c r="I1503" s="31"/>
      <c r="J1503" s="102">
        <v>0</v>
      </c>
    </row>
    <row r="1504" spans="1:10" hidden="1" x14ac:dyDescent="0.25">
      <c r="A1504" s="224"/>
      <c r="B1504" s="237"/>
      <c r="C1504" s="36" t="s">
        <v>464</v>
      </c>
      <c r="D1504" s="36" t="s">
        <v>144</v>
      </c>
      <c r="E1504" s="37">
        <v>0.67</v>
      </c>
      <c r="F1504" s="31">
        <v>0</v>
      </c>
      <c r="G1504" s="31">
        <f t="shared" si="24"/>
        <v>0</v>
      </c>
      <c r="H1504" s="35"/>
      <c r="I1504" s="31"/>
      <c r="J1504" s="102">
        <v>0</v>
      </c>
    </row>
    <row r="1505" spans="1:10" hidden="1" x14ac:dyDescent="0.25">
      <c r="A1505" s="224"/>
      <c r="B1505" s="237"/>
      <c r="C1505" s="36" t="s">
        <v>439</v>
      </c>
      <c r="D1505" s="36" t="s">
        <v>144</v>
      </c>
      <c r="E1505" s="37">
        <v>1.05</v>
      </c>
      <c r="F1505" s="31">
        <v>0</v>
      </c>
      <c r="G1505" s="31">
        <f t="shared" si="24"/>
        <v>0</v>
      </c>
      <c r="H1505" s="35"/>
      <c r="I1505" s="31"/>
      <c r="J1505" s="102">
        <v>0</v>
      </c>
    </row>
    <row r="1506" spans="1:10" hidden="1" x14ac:dyDescent="0.25">
      <c r="A1506" s="224"/>
      <c r="B1506" s="237"/>
      <c r="C1506" s="36" t="s">
        <v>440</v>
      </c>
      <c r="D1506" s="36" t="s">
        <v>20</v>
      </c>
      <c r="E1506" s="37">
        <v>2.67</v>
      </c>
      <c r="F1506" s="31">
        <v>0</v>
      </c>
      <c r="G1506" s="31">
        <f t="shared" si="24"/>
        <v>0</v>
      </c>
      <c r="H1506" s="35"/>
      <c r="I1506" s="31"/>
      <c r="J1506" s="102">
        <v>0</v>
      </c>
    </row>
    <row r="1507" spans="1:10" hidden="1" x14ac:dyDescent="0.25">
      <c r="A1507" s="224"/>
      <c r="B1507" s="237"/>
      <c r="C1507" s="36" t="s">
        <v>441</v>
      </c>
      <c r="D1507" s="36" t="s">
        <v>144</v>
      </c>
      <c r="E1507" s="37">
        <v>0.66669999999999996</v>
      </c>
      <c r="F1507" s="31">
        <v>0</v>
      </c>
      <c r="G1507" s="31">
        <f t="shared" si="24"/>
        <v>0</v>
      </c>
      <c r="H1507" s="35"/>
      <c r="I1507" s="31"/>
      <c r="J1507" s="102">
        <v>0</v>
      </c>
    </row>
    <row r="1508" spans="1:10" ht="25.5" hidden="1" x14ac:dyDescent="0.25">
      <c r="A1508" s="224"/>
      <c r="B1508" s="237"/>
      <c r="C1508" s="36" t="s">
        <v>465</v>
      </c>
      <c r="D1508" s="36" t="s">
        <v>93</v>
      </c>
      <c r="E1508" s="37">
        <v>1.05</v>
      </c>
      <c r="F1508" s="34" t="s">
        <v>522</v>
      </c>
      <c r="G1508" s="31" t="str">
        <f t="shared" si="24"/>
        <v/>
      </c>
      <c r="H1508" s="35"/>
      <c r="I1508" s="31"/>
      <c r="J1508" s="102">
        <v>0</v>
      </c>
    </row>
    <row r="1509" spans="1:10" ht="15.75" hidden="1" thickBot="1" x14ac:dyDescent="0.3">
      <c r="A1509" s="225"/>
      <c r="B1509" s="223"/>
      <c r="C1509" s="36"/>
      <c r="D1509" s="36"/>
      <c r="E1509" s="37"/>
      <c r="F1509" s="31" t="s">
        <v>522</v>
      </c>
      <c r="G1509" s="31" t="str">
        <f t="shared" si="24"/>
        <v/>
      </c>
      <c r="H1509" s="35"/>
      <c r="I1509" s="31"/>
      <c r="J1509" s="102">
        <v>0</v>
      </c>
    </row>
    <row r="1510" spans="1:10" ht="15.75" hidden="1" thickBot="1" x14ac:dyDescent="0.3">
      <c r="A1510" s="218" t="s">
        <v>466</v>
      </c>
      <c r="B1510" s="221" t="e">
        <f>INDEX(#REF!,MATCH(Composições!A1510,#REF!,0),2)</f>
        <v>#REF!</v>
      </c>
      <c r="C1510" s="41"/>
      <c r="D1510" s="26" t="s">
        <v>93</v>
      </c>
      <c r="E1510" s="27"/>
      <c r="F1510" s="42" t="s">
        <v>522</v>
      </c>
      <c r="G1510" s="28" t="str">
        <f t="shared" si="24"/>
        <v/>
      </c>
      <c r="H1510" s="29"/>
      <c r="I1510" s="30"/>
      <c r="J1510" s="102">
        <v>0</v>
      </c>
    </row>
    <row r="1511" spans="1:10" hidden="1" x14ac:dyDescent="0.25">
      <c r="A1511" s="219"/>
      <c r="B1511" s="237"/>
      <c r="C1511" s="32"/>
      <c r="D1511" s="32"/>
      <c r="E1511" s="33"/>
      <c r="F1511" s="43" t="s">
        <v>522</v>
      </c>
      <c r="G1511" s="31" t="str">
        <f t="shared" si="24"/>
        <v/>
      </c>
      <c r="H1511" s="35"/>
      <c r="I1511" s="31"/>
      <c r="J1511" s="102">
        <v>0</v>
      </c>
    </row>
    <row r="1512" spans="1:10" hidden="1" x14ac:dyDescent="0.25">
      <c r="A1512" s="219"/>
      <c r="B1512" s="237"/>
      <c r="C1512" s="36" t="s">
        <v>467</v>
      </c>
      <c r="D1512" s="36" t="s">
        <v>93</v>
      </c>
      <c r="E1512" s="37">
        <v>1.05</v>
      </c>
      <c r="F1512" s="31">
        <v>0</v>
      </c>
      <c r="G1512" s="34">
        <f t="shared" si="24"/>
        <v>0</v>
      </c>
      <c r="H1512" s="39">
        <f>SUM(G1512:G1516)</f>
        <v>19.285216193875002</v>
      </c>
      <c r="I1512" s="40"/>
      <c r="J1512" s="102">
        <v>0</v>
      </c>
    </row>
    <row r="1513" spans="1:10" hidden="1" x14ac:dyDescent="0.25">
      <c r="A1513" s="219"/>
      <c r="B1513" s="237"/>
      <c r="C1513" s="36" t="s">
        <v>30</v>
      </c>
      <c r="D1513" s="36" t="s">
        <v>12</v>
      </c>
      <c r="E1513" s="37">
        <v>0.28210000000000002</v>
      </c>
      <c r="F1513" s="31">
        <v>21.688499999999998</v>
      </c>
      <c r="G1513" s="34">
        <f t="shared" si="24"/>
        <v>6.1183258499999997</v>
      </c>
      <c r="H1513" s="35"/>
      <c r="I1513" s="31"/>
      <c r="J1513" s="102">
        <v>0</v>
      </c>
    </row>
    <row r="1514" spans="1:10" hidden="1" x14ac:dyDescent="0.25">
      <c r="A1514" s="219"/>
      <c r="B1514" s="237"/>
      <c r="C1514" s="36" t="s">
        <v>74</v>
      </c>
      <c r="D1514" s="36" t="s">
        <v>12</v>
      </c>
      <c r="E1514" s="37">
        <v>0.28210000000000002</v>
      </c>
      <c r="F1514" s="31">
        <v>17.024000000000001</v>
      </c>
      <c r="G1514" s="34">
        <f t="shared" si="24"/>
        <v>4.8024704000000007</v>
      </c>
      <c r="H1514" s="35"/>
      <c r="I1514" s="31"/>
      <c r="J1514" s="102">
        <v>0</v>
      </c>
    </row>
    <row r="1515" spans="1:10" ht="38.25" hidden="1" x14ac:dyDescent="0.25">
      <c r="A1515" s="219"/>
      <c r="B1515" s="237"/>
      <c r="C1515" s="36" t="s">
        <v>468</v>
      </c>
      <c r="D1515" s="36" t="s">
        <v>93</v>
      </c>
      <c r="E1515" s="37">
        <v>2</v>
      </c>
      <c r="F1515" s="34">
        <v>1.3842924999999999</v>
      </c>
      <c r="G1515" s="34">
        <f t="shared" si="24"/>
        <v>2.7685849999999999</v>
      </c>
      <c r="H1515" s="35"/>
      <c r="I1515" s="31"/>
      <c r="J1515" s="102">
        <v>0</v>
      </c>
    </row>
    <row r="1516" spans="1:10" ht="25.5" hidden="1" x14ac:dyDescent="0.25">
      <c r="A1516" s="219"/>
      <c r="B1516" s="237"/>
      <c r="C1516" s="36" t="s">
        <v>469</v>
      </c>
      <c r="D1516" s="36" t="s">
        <v>279</v>
      </c>
      <c r="E1516" s="37">
        <v>0.33329999999999999</v>
      </c>
      <c r="F1516" s="34">
        <v>16.789183749999999</v>
      </c>
      <c r="G1516" s="34">
        <f t="shared" si="24"/>
        <v>5.5958349438749995</v>
      </c>
      <c r="H1516" s="35"/>
      <c r="I1516" s="31"/>
      <c r="J1516" s="102">
        <v>0</v>
      </c>
    </row>
    <row r="1517" spans="1:10" ht="15.75" hidden="1" thickBot="1" x14ac:dyDescent="0.3">
      <c r="A1517" s="220"/>
      <c r="B1517" s="223"/>
      <c r="C1517" s="36"/>
      <c r="D1517" s="36"/>
      <c r="E1517" s="37"/>
      <c r="F1517" s="31" t="s">
        <v>522</v>
      </c>
      <c r="G1517" s="31" t="str">
        <f t="shared" si="24"/>
        <v/>
      </c>
      <c r="H1517" s="35"/>
      <c r="I1517" s="31"/>
      <c r="J1517" s="102">
        <v>0</v>
      </c>
    </row>
    <row r="1518" spans="1:10" ht="15.75" hidden="1" thickBot="1" x14ac:dyDescent="0.3">
      <c r="A1518" s="218" t="s">
        <v>470</v>
      </c>
      <c r="B1518" s="221" t="e">
        <f>INDEX(#REF!,MATCH(Composições!A1518,#REF!,0),2)</f>
        <v>#REF!</v>
      </c>
      <c r="C1518" s="41"/>
      <c r="D1518" s="26" t="s">
        <v>93</v>
      </c>
      <c r="E1518" s="27"/>
      <c r="F1518" s="42" t="s">
        <v>522</v>
      </c>
      <c r="G1518" s="28" t="str">
        <f t="shared" si="24"/>
        <v/>
      </c>
      <c r="H1518" s="29"/>
      <c r="I1518" s="30"/>
      <c r="J1518" s="102">
        <v>0</v>
      </c>
    </row>
    <row r="1519" spans="1:10" hidden="1" x14ac:dyDescent="0.25">
      <c r="A1519" s="219"/>
      <c r="B1519" s="237"/>
      <c r="C1519" s="32"/>
      <c r="D1519" s="32"/>
      <c r="E1519" s="33"/>
      <c r="F1519" s="43" t="s">
        <v>522</v>
      </c>
      <c r="G1519" s="31" t="str">
        <f t="shared" si="24"/>
        <v/>
      </c>
      <c r="H1519" s="35"/>
      <c r="I1519" s="31"/>
      <c r="J1519" s="102">
        <v>0</v>
      </c>
    </row>
    <row r="1520" spans="1:10" hidden="1" x14ac:dyDescent="0.25">
      <c r="A1520" s="219"/>
      <c r="B1520" s="237"/>
      <c r="C1520" s="36" t="s">
        <v>471</v>
      </c>
      <c r="D1520" s="36" t="s">
        <v>93</v>
      </c>
      <c r="E1520" s="37">
        <v>1.05</v>
      </c>
      <c r="F1520" s="31">
        <v>0.95</v>
      </c>
      <c r="G1520" s="34">
        <f t="shared" si="24"/>
        <v>0.99749999999999994</v>
      </c>
      <c r="H1520" s="39">
        <f>SUM(G1520:G1524)</f>
        <v>17.828136615249999</v>
      </c>
      <c r="I1520" s="40"/>
      <c r="J1520" s="102">
        <v>0</v>
      </c>
    </row>
    <row r="1521" spans="1:10" hidden="1" x14ac:dyDescent="0.25">
      <c r="A1521" s="219"/>
      <c r="B1521" s="237"/>
      <c r="C1521" s="36" t="s">
        <v>30</v>
      </c>
      <c r="D1521" s="36" t="s">
        <v>12</v>
      </c>
      <c r="E1521" s="37">
        <v>0.247</v>
      </c>
      <c r="F1521" s="31">
        <v>21.688499999999998</v>
      </c>
      <c r="G1521" s="34">
        <f t="shared" si="24"/>
        <v>5.3570594999999992</v>
      </c>
      <c r="H1521" s="35"/>
      <c r="I1521" s="31"/>
      <c r="J1521" s="102">
        <v>0</v>
      </c>
    </row>
    <row r="1522" spans="1:10" hidden="1" x14ac:dyDescent="0.25">
      <c r="A1522" s="219"/>
      <c r="B1522" s="237"/>
      <c r="C1522" s="36" t="s">
        <v>74</v>
      </c>
      <c r="D1522" s="36" t="s">
        <v>12</v>
      </c>
      <c r="E1522" s="37">
        <v>0.247</v>
      </c>
      <c r="F1522" s="31">
        <v>17.024000000000001</v>
      </c>
      <c r="G1522" s="34">
        <f t="shared" si="24"/>
        <v>4.2049279999999998</v>
      </c>
      <c r="H1522" s="35"/>
      <c r="I1522" s="31"/>
      <c r="J1522" s="102">
        <v>0</v>
      </c>
    </row>
    <row r="1523" spans="1:10" ht="38.25" hidden="1" x14ac:dyDescent="0.25">
      <c r="A1523" s="219"/>
      <c r="B1523" s="237"/>
      <c r="C1523" s="36" t="s">
        <v>468</v>
      </c>
      <c r="D1523" s="36" t="s">
        <v>93</v>
      </c>
      <c r="E1523" s="37">
        <v>2</v>
      </c>
      <c r="F1523" s="34">
        <v>1.3842924999999999</v>
      </c>
      <c r="G1523" s="34">
        <f t="shared" si="24"/>
        <v>2.7685849999999999</v>
      </c>
      <c r="H1523" s="35"/>
      <c r="I1523" s="31"/>
      <c r="J1523" s="102">
        <v>0</v>
      </c>
    </row>
    <row r="1524" spans="1:10" ht="25.5" hidden="1" x14ac:dyDescent="0.25">
      <c r="A1524" s="219"/>
      <c r="B1524" s="237"/>
      <c r="C1524" s="36" t="s">
        <v>472</v>
      </c>
      <c r="D1524" s="36" t="s">
        <v>279</v>
      </c>
      <c r="E1524" s="37">
        <v>0.33329999999999999</v>
      </c>
      <c r="F1524" s="34">
        <v>13.501542500000001</v>
      </c>
      <c r="G1524" s="34">
        <f t="shared" si="24"/>
        <v>4.5000641152499998</v>
      </c>
      <c r="H1524" s="35"/>
      <c r="I1524" s="31"/>
      <c r="J1524" s="102">
        <v>0</v>
      </c>
    </row>
    <row r="1525" spans="1:10" ht="15.75" hidden="1" thickBot="1" x14ac:dyDescent="0.3">
      <c r="A1525" s="220"/>
      <c r="B1525" s="223"/>
      <c r="C1525" s="36"/>
      <c r="D1525" s="36"/>
      <c r="E1525" s="37"/>
      <c r="F1525" s="31" t="s">
        <v>522</v>
      </c>
      <c r="G1525" s="31" t="str">
        <f t="shared" si="24"/>
        <v/>
      </c>
      <c r="H1525" s="35"/>
      <c r="I1525" s="31"/>
      <c r="J1525" s="102">
        <v>0</v>
      </c>
    </row>
    <row r="1526" spans="1:10" ht="15.75" hidden="1" thickBot="1" x14ac:dyDescent="0.3">
      <c r="A1526" s="218" t="s">
        <v>473</v>
      </c>
      <c r="B1526" s="221" t="e">
        <f>INDEX(#REF!,MATCH(Composições!A1526,#REF!,0),2)</f>
        <v>#REF!</v>
      </c>
      <c r="C1526" s="41"/>
      <c r="D1526" s="26" t="s">
        <v>93</v>
      </c>
      <c r="E1526" s="27"/>
      <c r="F1526" s="42" t="s">
        <v>522</v>
      </c>
      <c r="G1526" s="28" t="str">
        <f t="shared" si="24"/>
        <v/>
      </c>
      <c r="H1526" s="29"/>
      <c r="I1526" s="30"/>
      <c r="J1526" s="102">
        <v>0</v>
      </c>
    </row>
    <row r="1527" spans="1:10" hidden="1" x14ac:dyDescent="0.25">
      <c r="A1527" s="219"/>
      <c r="B1527" s="237"/>
      <c r="C1527" s="32"/>
      <c r="D1527" s="32"/>
      <c r="E1527" s="33"/>
      <c r="F1527" s="43" t="s">
        <v>522</v>
      </c>
      <c r="G1527" s="31" t="str">
        <f t="shared" si="24"/>
        <v/>
      </c>
      <c r="H1527" s="35"/>
      <c r="I1527" s="31"/>
      <c r="J1527" s="102">
        <v>0</v>
      </c>
    </row>
    <row r="1528" spans="1:10" hidden="1" x14ac:dyDescent="0.25">
      <c r="A1528" s="219"/>
      <c r="B1528" s="237"/>
      <c r="C1528" s="36" t="s">
        <v>474</v>
      </c>
      <c r="D1528" s="36" t="s">
        <v>93</v>
      </c>
      <c r="E1528" s="37">
        <v>1.05</v>
      </c>
      <c r="F1528" s="31">
        <v>0</v>
      </c>
      <c r="G1528" s="34">
        <f t="shared" si="24"/>
        <v>0</v>
      </c>
      <c r="H1528" s="39">
        <f>SUM(G1528:G1532)</f>
        <v>14.613835291624998</v>
      </c>
      <c r="I1528" s="40"/>
      <c r="J1528" s="102">
        <v>0</v>
      </c>
    </row>
    <row r="1529" spans="1:10" hidden="1" x14ac:dyDescent="0.25">
      <c r="A1529" s="219"/>
      <c r="B1529" s="237"/>
      <c r="C1529" s="36" t="s">
        <v>30</v>
      </c>
      <c r="D1529" s="36" t="s">
        <v>12</v>
      </c>
      <c r="E1529" s="37">
        <v>0.21629999999999999</v>
      </c>
      <c r="F1529" s="31">
        <v>21.688499999999998</v>
      </c>
      <c r="G1529" s="34">
        <f t="shared" si="24"/>
        <v>4.6912225499999991</v>
      </c>
      <c r="H1529" s="35"/>
      <c r="I1529" s="31"/>
      <c r="J1529" s="102">
        <v>0</v>
      </c>
    </row>
    <row r="1530" spans="1:10" hidden="1" x14ac:dyDescent="0.25">
      <c r="A1530" s="219"/>
      <c r="B1530" s="237"/>
      <c r="C1530" s="36" t="s">
        <v>74</v>
      </c>
      <c r="D1530" s="36" t="s">
        <v>12</v>
      </c>
      <c r="E1530" s="37">
        <v>0.21629999999999999</v>
      </c>
      <c r="F1530" s="31">
        <v>17.024000000000001</v>
      </c>
      <c r="G1530" s="34">
        <f t="shared" si="24"/>
        <v>3.6822911999999999</v>
      </c>
      <c r="H1530" s="35"/>
      <c r="I1530" s="31"/>
      <c r="J1530" s="102">
        <v>0</v>
      </c>
    </row>
    <row r="1531" spans="1:10" ht="38.25" hidden="1" x14ac:dyDescent="0.25">
      <c r="A1531" s="219"/>
      <c r="B1531" s="237"/>
      <c r="C1531" s="36" t="s">
        <v>468</v>
      </c>
      <c r="D1531" s="36" t="s">
        <v>93</v>
      </c>
      <c r="E1531" s="37">
        <v>2</v>
      </c>
      <c r="F1531" s="34">
        <v>1.3842924999999999</v>
      </c>
      <c r="G1531" s="34">
        <f t="shared" si="24"/>
        <v>2.7685849999999999</v>
      </c>
      <c r="H1531" s="35"/>
      <c r="I1531" s="31"/>
      <c r="J1531" s="102">
        <v>0</v>
      </c>
    </row>
    <row r="1532" spans="1:10" ht="25.5" hidden="1" x14ac:dyDescent="0.25">
      <c r="A1532" s="219"/>
      <c r="B1532" s="237"/>
      <c r="C1532" s="36" t="s">
        <v>475</v>
      </c>
      <c r="D1532" s="36" t="s">
        <v>279</v>
      </c>
      <c r="E1532" s="37">
        <v>0.33329999999999999</v>
      </c>
      <c r="F1532" s="34">
        <v>10.41625125</v>
      </c>
      <c r="G1532" s="34">
        <f t="shared" si="24"/>
        <v>3.4717365416249999</v>
      </c>
      <c r="H1532" s="35"/>
      <c r="I1532" s="31"/>
      <c r="J1532" s="102">
        <v>0</v>
      </c>
    </row>
    <row r="1533" spans="1:10" ht="15.75" hidden="1" thickBot="1" x14ac:dyDescent="0.3">
      <c r="A1533" s="220"/>
      <c r="B1533" s="223"/>
      <c r="C1533" s="36"/>
      <c r="D1533" s="36"/>
      <c r="E1533" s="37"/>
      <c r="F1533" s="31" t="s">
        <v>522</v>
      </c>
      <c r="G1533" s="31" t="str">
        <f t="shared" si="24"/>
        <v/>
      </c>
      <c r="H1533" s="35"/>
      <c r="I1533" s="31"/>
      <c r="J1533" s="102">
        <v>0</v>
      </c>
    </row>
    <row r="1534" spans="1:10" ht="15.75" hidden="1" thickBot="1" x14ac:dyDescent="0.3">
      <c r="A1534" s="218" t="s">
        <v>476</v>
      </c>
      <c r="B1534" s="221" t="e">
        <f>INDEX(#REF!,MATCH(Composições!A1534,#REF!,0),2)</f>
        <v>#REF!</v>
      </c>
      <c r="C1534" s="41"/>
      <c r="D1534" s="26" t="s">
        <v>93</v>
      </c>
      <c r="E1534" s="27"/>
      <c r="F1534" s="42" t="s">
        <v>522</v>
      </c>
      <c r="G1534" s="28" t="str">
        <f t="shared" si="24"/>
        <v/>
      </c>
      <c r="H1534" s="29"/>
      <c r="I1534" s="30"/>
      <c r="J1534" s="102">
        <v>0</v>
      </c>
    </row>
    <row r="1535" spans="1:10" hidden="1" x14ac:dyDescent="0.25">
      <c r="A1535" s="219"/>
      <c r="B1535" s="237"/>
      <c r="C1535" s="32"/>
      <c r="D1535" s="32"/>
      <c r="E1535" s="33"/>
      <c r="F1535" s="43" t="s">
        <v>522</v>
      </c>
      <c r="G1535" s="31" t="str">
        <f t="shared" si="24"/>
        <v/>
      </c>
      <c r="H1535" s="35"/>
      <c r="I1535" s="31"/>
      <c r="J1535" s="102">
        <v>0</v>
      </c>
    </row>
    <row r="1536" spans="1:10" hidden="1" x14ac:dyDescent="0.25">
      <c r="A1536" s="219"/>
      <c r="B1536" s="237"/>
      <c r="C1536" s="36" t="s">
        <v>477</v>
      </c>
      <c r="D1536" s="36" t="s">
        <v>93</v>
      </c>
      <c r="E1536" s="37">
        <v>1.05</v>
      </c>
      <c r="F1536" s="31">
        <v>0.95</v>
      </c>
      <c r="G1536" s="34">
        <f t="shared" si="24"/>
        <v>0.99749999999999994</v>
      </c>
      <c r="H1536" s="39">
        <f>SUM(G1536:G1540)</f>
        <v>24.073314043875001</v>
      </c>
      <c r="I1536" s="40"/>
      <c r="J1536" s="102">
        <v>0</v>
      </c>
    </row>
    <row r="1537" spans="1:10" hidden="1" x14ac:dyDescent="0.25">
      <c r="A1537" s="219"/>
      <c r="B1537" s="237"/>
      <c r="C1537" s="36" t="s">
        <v>30</v>
      </c>
      <c r="D1537" s="36" t="s">
        <v>12</v>
      </c>
      <c r="E1537" s="37">
        <v>0.28210000000000002</v>
      </c>
      <c r="F1537" s="31">
        <v>21.688499999999998</v>
      </c>
      <c r="G1537" s="34">
        <f t="shared" si="24"/>
        <v>6.1183258499999997</v>
      </c>
      <c r="H1537" s="35"/>
      <c r="I1537" s="31"/>
      <c r="J1537" s="102">
        <v>0</v>
      </c>
    </row>
    <row r="1538" spans="1:10" hidden="1" x14ac:dyDescent="0.25">
      <c r="A1538" s="219"/>
      <c r="B1538" s="237"/>
      <c r="C1538" s="36" t="s">
        <v>74</v>
      </c>
      <c r="D1538" s="36" t="s">
        <v>12</v>
      </c>
      <c r="E1538" s="37">
        <v>0.28210000000000002</v>
      </c>
      <c r="F1538" s="31">
        <v>17.024000000000001</v>
      </c>
      <c r="G1538" s="34">
        <f t="shared" si="24"/>
        <v>4.8024704000000007</v>
      </c>
      <c r="H1538" s="35"/>
      <c r="I1538" s="31"/>
      <c r="J1538" s="102">
        <v>0</v>
      </c>
    </row>
    <row r="1539" spans="1:10" ht="51" hidden="1" x14ac:dyDescent="0.25">
      <c r="A1539" s="219"/>
      <c r="B1539" s="237"/>
      <c r="C1539" s="36" t="s">
        <v>478</v>
      </c>
      <c r="D1539" s="36" t="s">
        <v>479</v>
      </c>
      <c r="E1539" s="37">
        <v>2</v>
      </c>
      <c r="F1539" s="34">
        <v>2.8505510000000003</v>
      </c>
      <c r="G1539" s="34">
        <f t="shared" si="24"/>
        <v>5.7011020000000006</v>
      </c>
      <c r="H1539" s="35"/>
      <c r="I1539" s="31"/>
      <c r="J1539" s="102">
        <v>0</v>
      </c>
    </row>
    <row r="1540" spans="1:10" ht="25.5" hidden="1" x14ac:dyDescent="0.25">
      <c r="A1540" s="219"/>
      <c r="B1540" s="237"/>
      <c r="C1540" s="36" t="s">
        <v>480</v>
      </c>
      <c r="D1540" s="36" t="s">
        <v>279</v>
      </c>
      <c r="E1540" s="37">
        <v>0.33329999999999999</v>
      </c>
      <c r="F1540" s="34">
        <v>19.363683749999996</v>
      </c>
      <c r="G1540" s="31">
        <f t="shared" si="24"/>
        <v>6.4539157938749989</v>
      </c>
      <c r="H1540" s="35"/>
      <c r="I1540" s="31"/>
      <c r="J1540" s="102">
        <v>0</v>
      </c>
    </row>
    <row r="1541" spans="1:10" ht="15.75" hidden="1" thickBot="1" x14ac:dyDescent="0.3">
      <c r="A1541" s="220"/>
      <c r="B1541" s="223"/>
      <c r="C1541" s="36"/>
      <c r="D1541" s="36"/>
      <c r="E1541" s="37"/>
      <c r="F1541" s="31" t="s">
        <v>522</v>
      </c>
      <c r="G1541" s="31" t="str">
        <f t="shared" si="24"/>
        <v/>
      </c>
      <c r="H1541" s="35"/>
      <c r="I1541" s="31"/>
      <c r="J1541" s="102">
        <v>0</v>
      </c>
    </row>
    <row r="1542" spans="1:10" ht="15.75" hidden="1" thickBot="1" x14ac:dyDescent="0.3">
      <c r="A1542" s="218" t="s">
        <v>481</v>
      </c>
      <c r="B1542" s="221" t="e">
        <f>INDEX(#REF!,MATCH(Composições!A1542,#REF!,0),2)</f>
        <v>#REF!</v>
      </c>
      <c r="C1542" s="41"/>
      <c r="D1542" s="26" t="s">
        <v>93</v>
      </c>
      <c r="E1542" s="27"/>
      <c r="F1542" s="42" t="s">
        <v>522</v>
      </c>
      <c r="G1542" s="28" t="str">
        <f t="shared" si="24"/>
        <v/>
      </c>
      <c r="H1542" s="29"/>
      <c r="I1542" s="30"/>
      <c r="J1542" s="102">
        <v>0</v>
      </c>
    </row>
    <row r="1543" spans="1:10" hidden="1" x14ac:dyDescent="0.25">
      <c r="A1543" s="219"/>
      <c r="B1543" s="237"/>
      <c r="C1543" s="32"/>
      <c r="D1543" s="32"/>
      <c r="E1543" s="33"/>
      <c r="F1543" s="43" t="s">
        <v>522</v>
      </c>
      <c r="G1543" s="31" t="str">
        <f t="shared" si="24"/>
        <v/>
      </c>
      <c r="H1543" s="35"/>
      <c r="I1543" s="31"/>
      <c r="J1543" s="102">
        <v>0</v>
      </c>
    </row>
    <row r="1544" spans="1:10" hidden="1" x14ac:dyDescent="0.25">
      <c r="A1544" s="219"/>
      <c r="B1544" s="237"/>
      <c r="C1544" s="36" t="s">
        <v>482</v>
      </c>
      <c r="D1544" s="36" t="s">
        <v>93</v>
      </c>
      <c r="E1544" s="37">
        <v>1.05</v>
      </c>
      <c r="F1544" s="31">
        <v>0.95</v>
      </c>
      <c r="G1544" s="34">
        <f t="shared" si="24"/>
        <v>0.99749999999999994</v>
      </c>
      <c r="H1544" s="39">
        <f>SUM(G1544:G1548)</f>
        <v>14.377410990874999</v>
      </c>
      <c r="I1544" s="40"/>
      <c r="J1544" s="102">
        <v>0</v>
      </c>
    </row>
    <row r="1545" spans="1:10" hidden="1" x14ac:dyDescent="0.25">
      <c r="A1545" s="219"/>
      <c r="B1545" s="237"/>
      <c r="C1545" s="36" t="s">
        <v>30</v>
      </c>
      <c r="D1545" s="36" t="s">
        <v>12</v>
      </c>
      <c r="E1545" s="37">
        <v>0.19439999999999999</v>
      </c>
      <c r="F1545" s="31">
        <v>21.688499999999998</v>
      </c>
      <c r="G1545" s="34">
        <f t="shared" si="24"/>
        <v>4.216244399999999</v>
      </c>
      <c r="H1545" s="35"/>
      <c r="I1545" s="31"/>
      <c r="J1545" s="102">
        <v>0</v>
      </c>
    </row>
    <row r="1546" spans="1:10" hidden="1" x14ac:dyDescent="0.25">
      <c r="A1546" s="219"/>
      <c r="B1546" s="237"/>
      <c r="C1546" s="36" t="s">
        <v>74</v>
      </c>
      <c r="D1546" s="36" t="s">
        <v>12</v>
      </c>
      <c r="E1546" s="37">
        <v>0.19439999999999999</v>
      </c>
      <c r="F1546" s="31">
        <v>17.024000000000001</v>
      </c>
      <c r="G1546" s="34">
        <f t="shared" si="24"/>
        <v>3.3094655999999998</v>
      </c>
      <c r="H1546" s="35"/>
      <c r="I1546" s="31"/>
      <c r="J1546" s="102">
        <v>0</v>
      </c>
    </row>
    <row r="1547" spans="1:10" ht="38.25" hidden="1" x14ac:dyDescent="0.25">
      <c r="A1547" s="219"/>
      <c r="B1547" s="237"/>
      <c r="C1547" s="36" t="s">
        <v>468</v>
      </c>
      <c r="D1547" s="36" t="s">
        <v>93</v>
      </c>
      <c r="E1547" s="37">
        <v>2</v>
      </c>
      <c r="F1547" s="34">
        <v>1.3842924999999999</v>
      </c>
      <c r="G1547" s="34">
        <f t="shared" si="24"/>
        <v>2.7685849999999999</v>
      </c>
      <c r="H1547" s="35"/>
      <c r="I1547" s="31"/>
      <c r="J1547" s="102">
        <v>0</v>
      </c>
    </row>
    <row r="1548" spans="1:10" ht="25.5" hidden="1" x14ac:dyDescent="0.25">
      <c r="A1548" s="219"/>
      <c r="B1548" s="237"/>
      <c r="C1548" s="36" t="s">
        <v>483</v>
      </c>
      <c r="D1548" s="36" t="s">
        <v>279</v>
      </c>
      <c r="E1548" s="37">
        <v>0.33329999999999999</v>
      </c>
      <c r="F1548" s="34">
        <v>9.2577737500000001</v>
      </c>
      <c r="G1548" s="34">
        <f t="shared" si="24"/>
        <v>3.085615990875</v>
      </c>
      <c r="H1548" s="35"/>
      <c r="I1548" s="31"/>
      <c r="J1548" s="102">
        <v>0</v>
      </c>
    </row>
    <row r="1549" spans="1:10" ht="15.75" hidden="1" thickBot="1" x14ac:dyDescent="0.3">
      <c r="A1549" s="220"/>
      <c r="B1549" s="223"/>
      <c r="C1549" s="36"/>
      <c r="D1549" s="36"/>
      <c r="E1549" s="37"/>
      <c r="F1549" s="31" t="s">
        <v>522</v>
      </c>
      <c r="G1549" s="31" t="str">
        <f t="shared" si="24"/>
        <v/>
      </c>
      <c r="H1549" s="35"/>
      <c r="I1549" s="31"/>
      <c r="J1549" s="102">
        <v>0</v>
      </c>
    </row>
    <row r="1550" spans="1:10" ht="15.75" hidden="1" thickBot="1" x14ac:dyDescent="0.3">
      <c r="A1550" s="218" t="s">
        <v>484</v>
      </c>
      <c r="B1550" s="221" t="e">
        <f>INDEX(#REF!,MATCH(Composições!A1550,#REF!,0),2)</f>
        <v>#REF!</v>
      </c>
      <c r="C1550" s="41"/>
      <c r="D1550" s="26" t="s">
        <v>93</v>
      </c>
      <c r="E1550" s="27"/>
      <c r="F1550" s="42" t="s">
        <v>522</v>
      </c>
      <c r="G1550" s="28" t="str">
        <f t="shared" si="24"/>
        <v/>
      </c>
      <c r="H1550" s="29"/>
      <c r="I1550" s="30"/>
      <c r="J1550" s="102">
        <v>0</v>
      </c>
    </row>
    <row r="1551" spans="1:10" hidden="1" x14ac:dyDescent="0.25">
      <c r="A1551" s="219"/>
      <c r="B1551" s="237"/>
      <c r="C1551" s="32"/>
      <c r="D1551" s="32"/>
      <c r="E1551" s="33"/>
      <c r="F1551" s="43" t="s">
        <v>522</v>
      </c>
      <c r="G1551" s="31" t="str">
        <f t="shared" si="24"/>
        <v/>
      </c>
      <c r="H1551" s="35"/>
      <c r="I1551" s="31"/>
      <c r="J1551" s="102">
        <v>0</v>
      </c>
    </row>
    <row r="1552" spans="1:10" ht="25.5" hidden="1" x14ac:dyDescent="0.25">
      <c r="A1552" s="219"/>
      <c r="B1552" s="237"/>
      <c r="C1552" s="36" t="s">
        <v>485</v>
      </c>
      <c r="D1552" s="36" t="s">
        <v>93</v>
      </c>
      <c r="E1552" s="37">
        <v>1.1000000000000001</v>
      </c>
      <c r="F1552" s="34">
        <v>7.2389999999999999</v>
      </c>
      <c r="G1552" s="34">
        <f t="shared" si="24"/>
        <v>7.9629000000000003</v>
      </c>
      <c r="H1552" s="39">
        <f>SUM(G1552:G1555)</f>
        <v>14.167349999999999</v>
      </c>
      <c r="I1552" s="40"/>
      <c r="J1552" s="102">
        <v>0</v>
      </c>
    </row>
    <row r="1553" spans="1:10" hidden="1" x14ac:dyDescent="0.25">
      <c r="A1553" s="219"/>
      <c r="B1553" s="237"/>
      <c r="C1553" s="36" t="s">
        <v>30</v>
      </c>
      <c r="D1553" s="36" t="s">
        <v>12</v>
      </c>
      <c r="E1553" s="37">
        <v>0.09</v>
      </c>
      <c r="F1553" s="31">
        <v>21.688499999999998</v>
      </c>
      <c r="G1553" s="34">
        <f t="shared" si="24"/>
        <v>1.9519649999999997</v>
      </c>
      <c r="H1553" s="35"/>
      <c r="I1553" s="31"/>
      <c r="J1553" s="102">
        <v>0</v>
      </c>
    </row>
    <row r="1554" spans="1:10" hidden="1" x14ac:dyDescent="0.25">
      <c r="A1554" s="219"/>
      <c r="B1554" s="237"/>
      <c r="C1554" s="36" t="s">
        <v>74</v>
      </c>
      <c r="D1554" s="36" t="s">
        <v>12</v>
      </c>
      <c r="E1554" s="37">
        <v>0.09</v>
      </c>
      <c r="F1554" s="31">
        <v>17.024000000000001</v>
      </c>
      <c r="G1554" s="34">
        <f t="shared" ref="G1554:G1617" si="25">IF(ISNUMBER(F1554),E1554*F1554,"")</f>
        <v>1.53216</v>
      </c>
      <c r="H1554" s="35"/>
      <c r="I1554" s="31"/>
      <c r="J1554" s="102">
        <v>0</v>
      </c>
    </row>
    <row r="1555" spans="1:10" ht="38.25" hidden="1" x14ac:dyDescent="0.25">
      <c r="A1555" s="219"/>
      <c r="B1555" s="237"/>
      <c r="C1555" s="36" t="s">
        <v>486</v>
      </c>
      <c r="D1555" s="36" t="s">
        <v>93</v>
      </c>
      <c r="E1555" s="37">
        <v>1</v>
      </c>
      <c r="F1555" s="34">
        <v>2.7203249999999999</v>
      </c>
      <c r="G1555" s="31">
        <f t="shared" si="25"/>
        <v>2.7203249999999999</v>
      </c>
      <c r="H1555" s="35"/>
      <c r="I1555" s="31"/>
      <c r="J1555" s="102">
        <v>0</v>
      </c>
    </row>
    <row r="1556" spans="1:10" ht="15.75" hidden="1" thickBot="1" x14ac:dyDescent="0.3">
      <c r="A1556" s="220"/>
      <c r="B1556" s="223"/>
      <c r="C1556" s="36"/>
      <c r="D1556" s="36"/>
      <c r="E1556" s="37"/>
      <c r="F1556" s="31" t="s">
        <v>522</v>
      </c>
      <c r="G1556" s="31" t="str">
        <f t="shared" si="25"/>
        <v/>
      </c>
      <c r="H1556" s="35"/>
      <c r="I1556" s="31"/>
      <c r="J1556" s="102">
        <v>0</v>
      </c>
    </row>
    <row r="1557" spans="1:10" ht="15.75" hidden="1" thickBot="1" x14ac:dyDescent="0.3">
      <c r="A1557" s="218" t="s">
        <v>487</v>
      </c>
      <c r="B1557" s="221" t="e">
        <f>INDEX(#REF!,MATCH(Composições!A1557,#REF!,0),2)</f>
        <v>#REF!</v>
      </c>
      <c r="C1557" s="41"/>
      <c r="D1557" s="26" t="s">
        <v>93</v>
      </c>
      <c r="E1557" s="27"/>
      <c r="F1557" s="42" t="s">
        <v>522</v>
      </c>
      <c r="G1557" s="28" t="str">
        <f t="shared" si="25"/>
        <v/>
      </c>
      <c r="H1557" s="29"/>
      <c r="I1557" s="30"/>
      <c r="J1557" s="102">
        <v>0</v>
      </c>
    </row>
    <row r="1558" spans="1:10" hidden="1" x14ac:dyDescent="0.25">
      <c r="A1558" s="219"/>
      <c r="B1558" s="237"/>
      <c r="C1558" s="32"/>
      <c r="D1558" s="32"/>
      <c r="E1558" s="33"/>
      <c r="F1558" s="43" t="s">
        <v>522</v>
      </c>
      <c r="G1558" s="31" t="str">
        <f t="shared" si="25"/>
        <v/>
      </c>
      <c r="H1558" s="35"/>
      <c r="I1558" s="31"/>
      <c r="J1558" s="102">
        <v>0</v>
      </c>
    </row>
    <row r="1559" spans="1:10" hidden="1" x14ac:dyDescent="0.25">
      <c r="A1559" s="219"/>
      <c r="B1559" s="237"/>
      <c r="C1559" s="36" t="s">
        <v>30</v>
      </c>
      <c r="D1559" s="36" t="s">
        <v>12</v>
      </c>
      <c r="E1559" s="37">
        <v>7.0000000000000007E-2</v>
      </c>
      <c r="F1559" s="31">
        <v>21.688499999999998</v>
      </c>
      <c r="G1559" s="31">
        <f t="shared" si="25"/>
        <v>1.518195</v>
      </c>
      <c r="H1559" s="39">
        <f>SUM(G1559:G1562)</f>
        <v>9.5684000000000005</v>
      </c>
      <c r="I1559" s="40"/>
      <c r="J1559" s="102">
        <v>0</v>
      </c>
    </row>
    <row r="1560" spans="1:10" hidden="1" x14ac:dyDescent="0.25">
      <c r="A1560" s="219"/>
      <c r="B1560" s="237"/>
      <c r="C1560" s="36" t="s">
        <v>74</v>
      </c>
      <c r="D1560" s="36" t="s">
        <v>12</v>
      </c>
      <c r="E1560" s="37">
        <v>7.0000000000000007E-2</v>
      </c>
      <c r="F1560" s="31">
        <v>17.024000000000001</v>
      </c>
      <c r="G1560" s="31">
        <f t="shared" si="25"/>
        <v>1.1916800000000001</v>
      </c>
      <c r="H1560" s="35"/>
      <c r="I1560" s="31"/>
      <c r="J1560" s="102">
        <v>0</v>
      </c>
    </row>
    <row r="1561" spans="1:10" ht="25.5" hidden="1" x14ac:dyDescent="0.25">
      <c r="A1561" s="219"/>
      <c r="B1561" s="237"/>
      <c r="C1561" s="36" t="s">
        <v>488</v>
      </c>
      <c r="D1561" s="36" t="s">
        <v>93</v>
      </c>
      <c r="E1561" s="37">
        <v>1.1000000000000001</v>
      </c>
      <c r="F1561" s="34">
        <v>3.762</v>
      </c>
      <c r="G1561" s="31">
        <f t="shared" si="25"/>
        <v>4.1382000000000003</v>
      </c>
      <c r="H1561" s="35"/>
      <c r="I1561" s="31"/>
      <c r="J1561" s="102">
        <v>0</v>
      </c>
    </row>
    <row r="1562" spans="1:10" ht="38.25" hidden="1" x14ac:dyDescent="0.25">
      <c r="A1562" s="219"/>
      <c r="B1562" s="237"/>
      <c r="C1562" s="36" t="s">
        <v>486</v>
      </c>
      <c r="D1562" s="36" t="s">
        <v>93</v>
      </c>
      <c r="E1562" s="37">
        <v>1</v>
      </c>
      <c r="F1562" s="34">
        <v>2.7203249999999999</v>
      </c>
      <c r="G1562" s="31">
        <f t="shared" si="25"/>
        <v>2.7203249999999999</v>
      </c>
      <c r="H1562" s="35"/>
      <c r="I1562" s="31"/>
      <c r="J1562" s="102">
        <v>0</v>
      </c>
    </row>
    <row r="1563" spans="1:10" ht="15.75" hidden="1" thickBot="1" x14ac:dyDescent="0.3">
      <c r="A1563" s="220"/>
      <c r="B1563" s="223"/>
      <c r="C1563" s="36"/>
      <c r="D1563" s="36"/>
      <c r="E1563" s="37"/>
      <c r="F1563" s="31" t="s">
        <v>522</v>
      </c>
      <c r="G1563" s="31" t="str">
        <f t="shared" si="25"/>
        <v/>
      </c>
      <c r="H1563" s="35"/>
      <c r="I1563" s="31"/>
      <c r="J1563" s="102">
        <v>0</v>
      </c>
    </row>
    <row r="1564" spans="1:10" ht="15.75" hidden="1" thickBot="1" x14ac:dyDescent="0.3">
      <c r="A1564" s="218" t="s">
        <v>489</v>
      </c>
      <c r="B1564" s="221" t="e">
        <f>INDEX(#REF!,MATCH(Composições!A1564,#REF!,0),2)</f>
        <v>#REF!</v>
      </c>
      <c r="C1564" s="41"/>
      <c r="D1564" s="26" t="s">
        <v>93</v>
      </c>
      <c r="E1564" s="27"/>
      <c r="F1564" s="42" t="s">
        <v>522</v>
      </c>
      <c r="G1564" s="28" t="str">
        <f t="shared" si="25"/>
        <v/>
      </c>
      <c r="H1564" s="29"/>
      <c r="I1564" s="30"/>
      <c r="J1564" s="102">
        <v>0</v>
      </c>
    </row>
    <row r="1565" spans="1:10" hidden="1" x14ac:dyDescent="0.25">
      <c r="A1565" s="219"/>
      <c r="B1565" s="237"/>
      <c r="C1565" s="32"/>
      <c r="D1565" s="32"/>
      <c r="E1565" s="33"/>
      <c r="F1565" s="43" t="s">
        <v>522</v>
      </c>
      <c r="G1565" s="31" t="str">
        <f t="shared" si="25"/>
        <v/>
      </c>
      <c r="H1565" s="35"/>
      <c r="I1565" s="31"/>
      <c r="J1565" s="102">
        <v>0</v>
      </c>
    </row>
    <row r="1566" spans="1:10" ht="25.5" hidden="1" x14ac:dyDescent="0.25">
      <c r="A1566" s="219"/>
      <c r="B1566" s="237"/>
      <c r="C1566" s="36" t="s">
        <v>490</v>
      </c>
      <c r="D1566" s="36" t="s">
        <v>93</v>
      </c>
      <c r="E1566" s="37">
        <v>1.1000000000000001</v>
      </c>
      <c r="F1566" s="34">
        <v>17.2805</v>
      </c>
      <c r="G1566" s="31">
        <f t="shared" si="25"/>
        <v>19.008550000000003</v>
      </c>
      <c r="H1566" s="39">
        <f>SUM(G1566:G1569)</f>
        <v>23.200263500000002</v>
      </c>
      <c r="I1566" s="40"/>
      <c r="J1566" s="102">
        <v>0</v>
      </c>
    </row>
    <row r="1567" spans="1:10" ht="25.5" hidden="1" x14ac:dyDescent="0.25">
      <c r="A1567" s="219"/>
      <c r="B1567" s="237"/>
      <c r="C1567" s="36" t="s">
        <v>1897</v>
      </c>
      <c r="D1567" s="36" t="s">
        <v>42</v>
      </c>
      <c r="E1567" s="37">
        <v>2E-3</v>
      </c>
      <c r="F1567" s="34">
        <v>24.738</v>
      </c>
      <c r="G1567" s="31">
        <f t="shared" si="25"/>
        <v>4.9475999999999999E-2</v>
      </c>
      <c r="H1567" s="35"/>
      <c r="I1567" s="31"/>
      <c r="J1567" s="102">
        <v>0</v>
      </c>
    </row>
    <row r="1568" spans="1:10" hidden="1" x14ac:dyDescent="0.25">
      <c r="A1568" s="219"/>
      <c r="B1568" s="237"/>
      <c r="C1568" s="36" t="s">
        <v>74</v>
      </c>
      <c r="D1568" s="47" t="s">
        <v>12</v>
      </c>
      <c r="E1568" s="37">
        <v>0.107</v>
      </c>
      <c r="F1568" s="31">
        <v>17.024000000000001</v>
      </c>
      <c r="G1568" s="31">
        <f t="shared" si="25"/>
        <v>1.8215680000000001</v>
      </c>
      <c r="H1568" s="35"/>
      <c r="I1568" s="31"/>
      <c r="J1568" s="102">
        <v>0</v>
      </c>
    </row>
    <row r="1569" spans="1:10" hidden="1" x14ac:dyDescent="0.25">
      <c r="A1569" s="219"/>
      <c r="B1569" s="237"/>
      <c r="C1569" s="36" t="s">
        <v>30</v>
      </c>
      <c r="D1569" s="36" t="s">
        <v>12</v>
      </c>
      <c r="E1569" s="37">
        <v>0.107</v>
      </c>
      <c r="F1569" s="31">
        <v>21.688499999999998</v>
      </c>
      <c r="G1569" s="31">
        <f t="shared" si="25"/>
        <v>2.3206694999999997</v>
      </c>
      <c r="H1569" s="35"/>
      <c r="I1569" s="31"/>
      <c r="J1569" s="102">
        <v>0</v>
      </c>
    </row>
    <row r="1570" spans="1:10" ht="15.75" hidden="1" thickBot="1" x14ac:dyDescent="0.3">
      <c r="A1570" s="220"/>
      <c r="B1570" s="223"/>
      <c r="C1570" s="36"/>
      <c r="D1570" s="36"/>
      <c r="E1570" s="37"/>
      <c r="F1570" s="31" t="s">
        <v>522</v>
      </c>
      <c r="G1570" s="31" t="str">
        <f t="shared" si="25"/>
        <v/>
      </c>
      <c r="H1570" s="35"/>
      <c r="I1570" s="31"/>
      <c r="J1570" s="102">
        <v>0</v>
      </c>
    </row>
    <row r="1571" spans="1:10" ht="15.75" hidden="1" thickBot="1" x14ac:dyDescent="0.3">
      <c r="A1571" s="218" t="s">
        <v>491</v>
      </c>
      <c r="B1571" s="221" t="e">
        <f>INDEX(#REF!,MATCH(Composições!A1571,#REF!,0),2)</f>
        <v>#REF!</v>
      </c>
      <c r="C1571" s="41"/>
      <c r="D1571" s="26" t="s">
        <v>93</v>
      </c>
      <c r="E1571" s="27"/>
      <c r="F1571" s="42" t="s">
        <v>522</v>
      </c>
      <c r="G1571" s="28" t="str">
        <f t="shared" si="25"/>
        <v/>
      </c>
      <c r="H1571" s="29"/>
      <c r="I1571" s="30"/>
      <c r="J1571" s="102">
        <v>0</v>
      </c>
    </row>
    <row r="1572" spans="1:10" hidden="1" x14ac:dyDescent="0.25">
      <c r="A1572" s="219"/>
      <c r="B1572" s="237"/>
      <c r="C1572" s="32"/>
      <c r="D1572" s="32"/>
      <c r="E1572" s="33"/>
      <c r="F1572" s="43" t="s">
        <v>522</v>
      </c>
      <c r="G1572" s="31" t="str">
        <f t="shared" si="25"/>
        <v/>
      </c>
      <c r="H1572" s="35"/>
      <c r="I1572" s="31"/>
      <c r="J1572" s="102">
        <v>0</v>
      </c>
    </row>
    <row r="1573" spans="1:10" ht="25.5" hidden="1" x14ac:dyDescent="0.25">
      <c r="A1573" s="219"/>
      <c r="B1573" s="237"/>
      <c r="C1573" s="36" t="s">
        <v>492</v>
      </c>
      <c r="D1573" s="36" t="s">
        <v>93</v>
      </c>
      <c r="E1573" s="37">
        <v>1.1000000000000001</v>
      </c>
      <c r="F1573" s="34">
        <v>13.176499999999999</v>
      </c>
      <c r="G1573" s="34">
        <f t="shared" si="25"/>
        <v>14.494149999999999</v>
      </c>
      <c r="H1573" s="39">
        <f>SUM(G1573:G1576)</f>
        <v>17.9066659</v>
      </c>
      <c r="I1573" s="40"/>
      <c r="J1573" s="102">
        <v>0</v>
      </c>
    </row>
    <row r="1574" spans="1:10" ht="25.5" hidden="1" x14ac:dyDescent="0.25">
      <c r="A1574" s="219"/>
      <c r="B1574" s="237"/>
      <c r="C1574" s="36" t="s">
        <v>1897</v>
      </c>
      <c r="D1574" s="36" t="s">
        <v>42</v>
      </c>
      <c r="E1574" s="37">
        <v>1.8E-3</v>
      </c>
      <c r="F1574" s="34">
        <v>24.738</v>
      </c>
      <c r="G1574" s="34">
        <f t="shared" si="25"/>
        <v>4.4528399999999996E-2</v>
      </c>
      <c r="H1574" s="35"/>
      <c r="I1574" s="31"/>
      <c r="J1574" s="102">
        <v>0</v>
      </c>
    </row>
    <row r="1575" spans="1:10" hidden="1" x14ac:dyDescent="0.25">
      <c r="A1575" s="219"/>
      <c r="B1575" s="237"/>
      <c r="C1575" s="36" t="s">
        <v>74</v>
      </c>
      <c r="D1575" s="47" t="s">
        <v>12</v>
      </c>
      <c r="E1575" s="37">
        <v>8.6999999999999994E-2</v>
      </c>
      <c r="F1575" s="31">
        <v>17.024000000000001</v>
      </c>
      <c r="G1575" s="34">
        <f t="shared" si="25"/>
        <v>1.481088</v>
      </c>
      <c r="H1575" s="35"/>
      <c r="I1575" s="31"/>
      <c r="J1575" s="102">
        <v>0</v>
      </c>
    </row>
    <row r="1576" spans="1:10" hidden="1" x14ac:dyDescent="0.25">
      <c r="A1576" s="219"/>
      <c r="B1576" s="237"/>
      <c r="C1576" s="36" t="s">
        <v>30</v>
      </c>
      <c r="D1576" s="36" t="s">
        <v>12</v>
      </c>
      <c r="E1576" s="37">
        <v>8.6999999999999994E-2</v>
      </c>
      <c r="F1576" s="31">
        <v>21.688499999999998</v>
      </c>
      <c r="G1576" s="34">
        <f t="shared" si="25"/>
        <v>1.8868994999999997</v>
      </c>
      <c r="H1576" s="35"/>
      <c r="I1576" s="31"/>
      <c r="J1576" s="102">
        <v>0</v>
      </c>
    </row>
    <row r="1577" spans="1:10" ht="15.75" hidden="1" thickBot="1" x14ac:dyDescent="0.3">
      <c r="A1577" s="220"/>
      <c r="B1577" s="223"/>
      <c r="C1577" s="36"/>
      <c r="D1577" s="36"/>
      <c r="E1577" s="37"/>
      <c r="F1577" s="31" t="s">
        <v>522</v>
      </c>
      <c r="G1577" s="31" t="str">
        <f t="shared" si="25"/>
        <v/>
      </c>
      <c r="H1577" s="35"/>
      <c r="I1577" s="31"/>
      <c r="J1577" s="102">
        <v>0</v>
      </c>
    </row>
    <row r="1578" spans="1:10" ht="15.75" hidden="1" thickBot="1" x14ac:dyDescent="0.3">
      <c r="A1578" s="218" t="s">
        <v>493</v>
      </c>
      <c r="B1578" s="221" t="e">
        <f>INDEX(#REF!,MATCH(Composições!A1578,#REF!,0),2)</f>
        <v>#REF!</v>
      </c>
      <c r="C1578" s="41"/>
      <c r="D1578" s="26" t="s">
        <v>93</v>
      </c>
      <c r="E1578" s="27"/>
      <c r="F1578" s="42" t="s">
        <v>522</v>
      </c>
      <c r="G1578" s="28" t="str">
        <f t="shared" si="25"/>
        <v/>
      </c>
      <c r="H1578" s="29"/>
      <c r="I1578" s="30"/>
      <c r="J1578" s="102">
        <v>0</v>
      </c>
    </row>
    <row r="1579" spans="1:10" hidden="1" x14ac:dyDescent="0.25">
      <c r="A1579" s="219"/>
      <c r="B1579" s="237"/>
      <c r="C1579" s="32"/>
      <c r="D1579" s="32"/>
      <c r="E1579" s="33"/>
      <c r="F1579" s="43" t="s">
        <v>522</v>
      </c>
      <c r="G1579" s="31" t="str">
        <f t="shared" si="25"/>
        <v/>
      </c>
      <c r="H1579" s="35"/>
      <c r="I1579" s="31"/>
      <c r="J1579" s="102">
        <v>0</v>
      </c>
    </row>
    <row r="1580" spans="1:10" hidden="1" x14ac:dyDescent="0.25">
      <c r="A1580" s="219"/>
      <c r="B1580" s="237"/>
      <c r="C1580" s="36" t="s">
        <v>494</v>
      </c>
      <c r="D1580" s="36" t="s">
        <v>93</v>
      </c>
      <c r="E1580" s="37">
        <v>1.05</v>
      </c>
      <c r="F1580" s="34" t="s">
        <v>522</v>
      </c>
      <c r="G1580" s="34" t="str">
        <f t="shared" si="25"/>
        <v/>
      </c>
      <c r="H1580" s="39">
        <f>SUM(G1580:G1591)</f>
        <v>18.204966850000002</v>
      </c>
      <c r="I1580" s="40"/>
      <c r="J1580" s="102">
        <v>0</v>
      </c>
    </row>
    <row r="1581" spans="1:10" hidden="1" x14ac:dyDescent="0.25">
      <c r="A1581" s="219"/>
      <c r="B1581" s="237"/>
      <c r="C1581" s="36" t="s">
        <v>74</v>
      </c>
      <c r="D1581" s="36" t="s">
        <v>12</v>
      </c>
      <c r="E1581" s="37">
        <v>0.45</v>
      </c>
      <c r="F1581" s="31">
        <v>17.024000000000001</v>
      </c>
      <c r="G1581" s="34">
        <f t="shared" si="25"/>
        <v>7.6608000000000009</v>
      </c>
      <c r="H1581" s="35"/>
      <c r="I1581" s="31"/>
      <c r="J1581" s="102">
        <v>0</v>
      </c>
    </row>
    <row r="1582" spans="1:10" hidden="1" x14ac:dyDescent="0.25">
      <c r="A1582" s="219"/>
      <c r="B1582" s="237"/>
      <c r="C1582" s="36" t="s">
        <v>30</v>
      </c>
      <c r="D1582" s="36" t="s">
        <v>12</v>
      </c>
      <c r="E1582" s="37">
        <v>0.45</v>
      </c>
      <c r="F1582" s="31">
        <v>21.688499999999998</v>
      </c>
      <c r="G1582" s="34">
        <f t="shared" si="25"/>
        <v>9.7598249999999993</v>
      </c>
      <c r="H1582" s="35"/>
      <c r="I1582" s="31"/>
      <c r="J1582" s="102">
        <v>0</v>
      </c>
    </row>
    <row r="1583" spans="1:10" ht="25.5" hidden="1" x14ac:dyDescent="0.25">
      <c r="A1583" s="219"/>
      <c r="B1583" s="237"/>
      <c r="C1583" s="36" t="s">
        <v>433</v>
      </c>
      <c r="D1583" s="36" t="s">
        <v>144</v>
      </c>
      <c r="E1583" s="37">
        <v>0.67</v>
      </c>
      <c r="F1583" s="31">
        <v>0</v>
      </c>
      <c r="G1583" s="34">
        <f t="shared" si="25"/>
        <v>0</v>
      </c>
      <c r="H1583" s="35"/>
      <c r="I1583" s="31"/>
      <c r="J1583" s="102">
        <v>0</v>
      </c>
    </row>
    <row r="1584" spans="1:10" hidden="1" x14ac:dyDescent="0.25">
      <c r="A1584" s="219"/>
      <c r="B1584" s="237"/>
      <c r="C1584" s="36" t="s">
        <v>495</v>
      </c>
      <c r="D1584" s="36" t="s">
        <v>144</v>
      </c>
      <c r="E1584" s="37">
        <v>0.67</v>
      </c>
      <c r="F1584" s="31">
        <v>0</v>
      </c>
      <c r="G1584" s="34">
        <f t="shared" si="25"/>
        <v>0</v>
      </c>
      <c r="H1584" s="35"/>
      <c r="I1584" s="31"/>
      <c r="J1584" s="102">
        <v>0</v>
      </c>
    </row>
    <row r="1585" spans="1:10" hidden="1" x14ac:dyDescent="0.25">
      <c r="A1585" s="219"/>
      <c r="B1585" s="237"/>
      <c r="C1585" s="36" t="s">
        <v>435</v>
      </c>
      <c r="D1585" s="36" t="s">
        <v>93</v>
      </c>
      <c r="E1585" s="37">
        <v>0.8</v>
      </c>
      <c r="F1585" s="31">
        <v>0</v>
      </c>
      <c r="G1585" s="34">
        <f t="shared" si="25"/>
        <v>0</v>
      </c>
      <c r="H1585" s="35"/>
      <c r="I1585" s="31"/>
      <c r="J1585" s="102">
        <v>0</v>
      </c>
    </row>
    <row r="1586" spans="1:10" hidden="1" x14ac:dyDescent="0.25">
      <c r="A1586" s="219"/>
      <c r="B1586" s="237"/>
      <c r="C1586" s="36" t="s">
        <v>436</v>
      </c>
      <c r="D1586" s="36" t="s">
        <v>279</v>
      </c>
      <c r="E1586" s="37">
        <v>2.6633</v>
      </c>
      <c r="F1586" s="34">
        <v>0.29449999999999998</v>
      </c>
      <c r="G1586" s="34">
        <f t="shared" si="25"/>
        <v>0.78434185000000001</v>
      </c>
      <c r="H1586" s="35"/>
      <c r="I1586" s="31"/>
      <c r="J1586" s="102">
        <v>0</v>
      </c>
    </row>
    <row r="1587" spans="1:10" hidden="1" x14ac:dyDescent="0.25">
      <c r="A1587" s="219"/>
      <c r="B1587" s="237"/>
      <c r="C1587" s="36" t="s">
        <v>437</v>
      </c>
      <c r="D1587" s="36" t="s">
        <v>144</v>
      </c>
      <c r="E1587" s="37">
        <v>2.6633</v>
      </c>
      <c r="F1587" s="31">
        <v>0</v>
      </c>
      <c r="G1587" s="34">
        <f t="shared" si="25"/>
        <v>0</v>
      </c>
      <c r="H1587" s="35"/>
      <c r="I1587" s="31"/>
      <c r="J1587" s="102">
        <v>0</v>
      </c>
    </row>
    <row r="1588" spans="1:10" hidden="1" x14ac:dyDescent="0.25">
      <c r="A1588" s="219"/>
      <c r="B1588" s="237"/>
      <c r="C1588" s="36" t="s">
        <v>439</v>
      </c>
      <c r="D1588" s="36" t="s">
        <v>144</v>
      </c>
      <c r="E1588" s="37">
        <v>0.67</v>
      </c>
      <c r="F1588" s="31">
        <v>0</v>
      </c>
      <c r="G1588" s="34">
        <f t="shared" si="25"/>
        <v>0</v>
      </c>
      <c r="H1588" s="35"/>
      <c r="I1588" s="31"/>
      <c r="J1588" s="102">
        <v>0</v>
      </c>
    </row>
    <row r="1589" spans="1:10" hidden="1" x14ac:dyDescent="0.25">
      <c r="A1589" s="219"/>
      <c r="B1589" s="237"/>
      <c r="C1589" s="36" t="s">
        <v>440</v>
      </c>
      <c r="D1589" s="36" t="s">
        <v>20</v>
      </c>
      <c r="E1589" s="37">
        <v>1.33</v>
      </c>
      <c r="F1589" s="31">
        <v>0</v>
      </c>
      <c r="G1589" s="34">
        <f t="shared" si="25"/>
        <v>0</v>
      </c>
      <c r="H1589" s="35"/>
      <c r="I1589" s="31"/>
      <c r="J1589" s="102">
        <v>0</v>
      </c>
    </row>
    <row r="1590" spans="1:10" hidden="1" x14ac:dyDescent="0.25">
      <c r="A1590" s="219"/>
      <c r="B1590" s="237"/>
      <c r="C1590" s="36" t="s">
        <v>496</v>
      </c>
      <c r="D1590" s="36" t="s">
        <v>144</v>
      </c>
      <c r="E1590" s="37">
        <v>0.33329999999999999</v>
      </c>
      <c r="F1590" s="31">
        <v>0</v>
      </c>
      <c r="G1590" s="34">
        <f t="shared" si="25"/>
        <v>0</v>
      </c>
      <c r="H1590" s="35"/>
      <c r="I1590" s="31"/>
      <c r="J1590" s="102">
        <v>0</v>
      </c>
    </row>
    <row r="1591" spans="1:10" hidden="1" x14ac:dyDescent="0.25">
      <c r="A1591" s="219"/>
      <c r="B1591" s="237"/>
      <c r="C1591" s="36" t="s">
        <v>497</v>
      </c>
      <c r="D1591" s="36" t="s">
        <v>93</v>
      </c>
      <c r="E1591" s="37">
        <v>1.05</v>
      </c>
      <c r="F1591" s="31">
        <v>0</v>
      </c>
      <c r="G1591" s="34">
        <f t="shared" si="25"/>
        <v>0</v>
      </c>
      <c r="H1591" s="35"/>
      <c r="I1591" s="31"/>
      <c r="J1591" s="102">
        <v>0</v>
      </c>
    </row>
    <row r="1592" spans="1:10" ht="15.75" hidden="1" thickBot="1" x14ac:dyDescent="0.3">
      <c r="A1592" s="220"/>
      <c r="B1592" s="223"/>
      <c r="C1592" s="36"/>
      <c r="D1592" s="36"/>
      <c r="E1592" s="37"/>
      <c r="F1592" s="31" t="s">
        <v>522</v>
      </c>
      <c r="G1592" s="31" t="str">
        <f t="shared" si="25"/>
        <v/>
      </c>
      <c r="H1592" s="35"/>
      <c r="I1592" s="31"/>
      <c r="J1592" s="102">
        <v>0</v>
      </c>
    </row>
    <row r="1593" spans="1:10" ht="15.75" hidden="1" thickBot="1" x14ac:dyDescent="0.3">
      <c r="A1593" s="218" t="s">
        <v>498</v>
      </c>
      <c r="B1593" s="221" t="e">
        <f>INDEX(#REF!,MATCH(Composições!A1593,#REF!,0),2)</f>
        <v>#REF!</v>
      </c>
      <c r="C1593" s="41"/>
      <c r="D1593" s="26" t="s">
        <v>20</v>
      </c>
      <c r="E1593" s="27"/>
      <c r="F1593" s="42" t="s">
        <v>522</v>
      </c>
      <c r="G1593" s="28" t="str">
        <f t="shared" si="25"/>
        <v/>
      </c>
      <c r="H1593" s="29"/>
      <c r="I1593" s="30"/>
      <c r="J1593" s="102">
        <v>0</v>
      </c>
    </row>
    <row r="1594" spans="1:10" hidden="1" x14ac:dyDescent="0.25">
      <c r="A1594" s="219"/>
      <c r="B1594" s="237"/>
      <c r="C1594" s="32"/>
      <c r="D1594" s="32"/>
      <c r="E1594" s="33"/>
      <c r="F1594" s="43" t="s">
        <v>522</v>
      </c>
      <c r="G1594" s="31" t="str">
        <f t="shared" si="25"/>
        <v/>
      </c>
      <c r="H1594" s="35"/>
      <c r="I1594" s="31"/>
      <c r="J1594" s="102">
        <v>0</v>
      </c>
    </row>
    <row r="1595" spans="1:10" ht="25.5" hidden="1" x14ac:dyDescent="0.25">
      <c r="A1595" s="219"/>
      <c r="B1595" s="237"/>
      <c r="C1595" s="36" t="s">
        <v>499</v>
      </c>
      <c r="D1595" s="36" t="s">
        <v>20</v>
      </c>
      <c r="E1595" s="37">
        <v>1</v>
      </c>
      <c r="F1595" s="34">
        <v>3.762</v>
      </c>
      <c r="G1595" s="34">
        <f t="shared" si="25"/>
        <v>3.762</v>
      </c>
      <c r="H1595" s="39">
        <f>SUM(G1595:G1597)</f>
        <v>7.6180880000000002</v>
      </c>
      <c r="I1595" s="40"/>
      <c r="J1595" s="102">
        <v>0</v>
      </c>
    </row>
    <row r="1596" spans="1:10" ht="25.5" hidden="1" x14ac:dyDescent="0.25">
      <c r="A1596" s="219"/>
      <c r="B1596" s="237"/>
      <c r="C1596" s="36" t="s">
        <v>500</v>
      </c>
      <c r="D1596" s="36" t="s">
        <v>20</v>
      </c>
      <c r="E1596" s="37">
        <v>1</v>
      </c>
      <c r="F1596" s="34">
        <v>1.9474999999999998</v>
      </c>
      <c r="G1596" s="34">
        <f t="shared" si="25"/>
        <v>1.9474999999999998</v>
      </c>
      <c r="H1596" s="35"/>
      <c r="I1596" s="31"/>
      <c r="J1596" s="102">
        <v>0</v>
      </c>
    </row>
    <row r="1597" spans="1:10" hidden="1" x14ac:dyDescent="0.25">
      <c r="A1597" s="219"/>
      <c r="B1597" s="237"/>
      <c r="C1597" s="36" t="s">
        <v>30</v>
      </c>
      <c r="D1597" s="36" t="s">
        <v>12</v>
      </c>
      <c r="E1597" s="37">
        <v>8.7999999999999995E-2</v>
      </c>
      <c r="F1597" s="31">
        <v>21.688499999999998</v>
      </c>
      <c r="G1597" s="34">
        <f t="shared" si="25"/>
        <v>1.9085879999999997</v>
      </c>
      <c r="H1597" s="35"/>
      <c r="I1597" s="31"/>
      <c r="J1597" s="102">
        <v>0</v>
      </c>
    </row>
    <row r="1598" spans="1:10" ht="15.75" hidden="1" thickBot="1" x14ac:dyDescent="0.3">
      <c r="A1598" s="220"/>
      <c r="B1598" s="223"/>
      <c r="C1598" s="36"/>
      <c r="D1598" s="36"/>
      <c r="E1598" s="37"/>
      <c r="F1598" s="31" t="s">
        <v>522</v>
      </c>
      <c r="G1598" s="31" t="str">
        <f t="shared" si="25"/>
        <v/>
      </c>
      <c r="H1598" s="35"/>
      <c r="I1598" s="31"/>
      <c r="J1598" s="102">
        <v>0</v>
      </c>
    </row>
    <row r="1599" spans="1:10" ht="15.75" hidden="1" thickBot="1" x14ac:dyDescent="0.3">
      <c r="A1599" s="218" t="s">
        <v>501</v>
      </c>
      <c r="B1599" s="221" t="e">
        <f>INDEX(#REF!,MATCH(Composições!A1599,#REF!,0),2)</f>
        <v>#REF!</v>
      </c>
      <c r="C1599" s="41"/>
      <c r="D1599" s="26" t="s">
        <v>20</v>
      </c>
      <c r="E1599" s="27"/>
      <c r="F1599" s="42" t="s">
        <v>522</v>
      </c>
      <c r="G1599" s="28" t="str">
        <f t="shared" si="25"/>
        <v/>
      </c>
      <c r="H1599" s="29"/>
      <c r="I1599" s="30"/>
      <c r="J1599" s="102">
        <v>0</v>
      </c>
    </row>
    <row r="1600" spans="1:10" hidden="1" x14ac:dyDescent="0.25">
      <c r="A1600" s="219"/>
      <c r="B1600" s="237"/>
      <c r="C1600" s="32"/>
      <c r="D1600" s="32"/>
      <c r="E1600" s="33"/>
      <c r="F1600" s="43" t="s">
        <v>522</v>
      </c>
      <c r="G1600" s="31" t="str">
        <f t="shared" si="25"/>
        <v/>
      </c>
      <c r="H1600" s="35"/>
      <c r="I1600" s="31"/>
      <c r="J1600" s="102">
        <v>0</v>
      </c>
    </row>
    <row r="1601" spans="1:10" ht="25.5" hidden="1" x14ac:dyDescent="0.25">
      <c r="A1601" s="219"/>
      <c r="B1601" s="237"/>
      <c r="C1601" s="36" t="s">
        <v>502</v>
      </c>
      <c r="D1601" s="36" t="s">
        <v>20</v>
      </c>
      <c r="E1601" s="37">
        <v>1</v>
      </c>
      <c r="F1601" s="34">
        <v>7.637999999999999</v>
      </c>
      <c r="G1601" s="31">
        <f t="shared" si="25"/>
        <v>7.637999999999999</v>
      </c>
      <c r="H1601" s="39">
        <f>SUM(G1601:G1603)</f>
        <v>13.085603999999998</v>
      </c>
      <c r="I1601" s="40"/>
      <c r="J1601" s="102">
        <v>0</v>
      </c>
    </row>
    <row r="1602" spans="1:10" ht="25.5" hidden="1" x14ac:dyDescent="0.25">
      <c r="A1602" s="219"/>
      <c r="B1602" s="237"/>
      <c r="C1602" s="36" t="s">
        <v>503</v>
      </c>
      <c r="D1602" s="47" t="s">
        <v>20</v>
      </c>
      <c r="E1602" s="37">
        <v>1</v>
      </c>
      <c r="F1602" s="34">
        <v>3.1919999999999997</v>
      </c>
      <c r="G1602" s="34">
        <f t="shared" si="25"/>
        <v>3.1919999999999997</v>
      </c>
      <c r="H1602" s="35"/>
      <c r="I1602" s="31"/>
      <c r="J1602" s="102">
        <v>0</v>
      </c>
    </row>
    <row r="1603" spans="1:10" hidden="1" x14ac:dyDescent="0.25">
      <c r="A1603" s="219"/>
      <c r="B1603" s="237"/>
      <c r="C1603" s="36" t="s">
        <v>30</v>
      </c>
      <c r="D1603" s="36" t="s">
        <v>12</v>
      </c>
      <c r="E1603" s="37">
        <v>0.104</v>
      </c>
      <c r="F1603" s="31">
        <v>21.688499999999998</v>
      </c>
      <c r="G1603" s="34">
        <f t="shared" si="25"/>
        <v>2.2556039999999995</v>
      </c>
      <c r="H1603" s="35"/>
      <c r="I1603" s="31"/>
      <c r="J1603" s="102">
        <v>0</v>
      </c>
    </row>
    <row r="1604" spans="1:10" ht="15.75" hidden="1" thickBot="1" x14ac:dyDescent="0.3">
      <c r="A1604" s="220"/>
      <c r="B1604" s="223"/>
      <c r="C1604" s="36"/>
      <c r="D1604" s="36"/>
      <c r="E1604" s="37"/>
      <c r="F1604" s="31" t="s">
        <v>522</v>
      </c>
      <c r="G1604" s="31" t="str">
        <f t="shared" si="25"/>
        <v/>
      </c>
      <c r="H1604" s="35"/>
      <c r="I1604" s="31"/>
      <c r="J1604" s="102">
        <v>0</v>
      </c>
    </row>
    <row r="1605" spans="1:10" ht="15.75" hidden="1" thickBot="1" x14ac:dyDescent="0.3">
      <c r="A1605" s="218" t="s">
        <v>504</v>
      </c>
      <c r="B1605" s="221" t="e">
        <f>INDEX(#REF!,MATCH(Composições!A1605,#REF!,0),2)</f>
        <v>#REF!</v>
      </c>
      <c r="C1605" s="41"/>
      <c r="D1605" s="26" t="s">
        <v>20</v>
      </c>
      <c r="E1605" s="27"/>
      <c r="F1605" s="42" t="s">
        <v>522</v>
      </c>
      <c r="G1605" s="28" t="str">
        <f t="shared" si="25"/>
        <v/>
      </c>
      <c r="H1605" s="29"/>
      <c r="I1605" s="30"/>
      <c r="J1605" s="102">
        <v>0</v>
      </c>
    </row>
    <row r="1606" spans="1:10" hidden="1" x14ac:dyDescent="0.25">
      <c r="A1606" s="219"/>
      <c r="B1606" s="237"/>
      <c r="C1606" s="32"/>
      <c r="D1606" s="32"/>
      <c r="E1606" s="33"/>
      <c r="F1606" s="43" t="s">
        <v>522</v>
      </c>
      <c r="G1606" s="31" t="str">
        <f t="shared" si="25"/>
        <v/>
      </c>
      <c r="H1606" s="35"/>
      <c r="I1606" s="31"/>
      <c r="J1606" s="102">
        <v>0</v>
      </c>
    </row>
    <row r="1607" spans="1:10" hidden="1" x14ac:dyDescent="0.25">
      <c r="A1607" s="219"/>
      <c r="B1607" s="237"/>
      <c r="C1607" s="36" t="s">
        <v>505</v>
      </c>
      <c r="D1607" s="36" t="s">
        <v>20</v>
      </c>
      <c r="E1607" s="37">
        <v>1</v>
      </c>
      <c r="F1607" s="34" t="s">
        <v>522</v>
      </c>
      <c r="G1607" s="31" t="str">
        <f t="shared" si="25"/>
        <v/>
      </c>
      <c r="H1607" s="39">
        <f>SUM(G1607:G1609)</f>
        <v>5.4476039999999992</v>
      </c>
      <c r="I1607" s="40"/>
      <c r="J1607" s="102">
        <v>0</v>
      </c>
    </row>
    <row r="1608" spans="1:10" ht="25.5" hidden="1" x14ac:dyDescent="0.25">
      <c r="A1608" s="219"/>
      <c r="B1608" s="237"/>
      <c r="C1608" s="36" t="s">
        <v>503</v>
      </c>
      <c r="D1608" s="47" t="s">
        <v>20</v>
      </c>
      <c r="E1608" s="37">
        <v>1</v>
      </c>
      <c r="F1608" s="34">
        <v>3.1919999999999997</v>
      </c>
      <c r="G1608" s="34">
        <f t="shared" si="25"/>
        <v>3.1919999999999997</v>
      </c>
      <c r="H1608" s="35"/>
      <c r="I1608" s="31"/>
      <c r="J1608" s="102">
        <v>0</v>
      </c>
    </row>
    <row r="1609" spans="1:10" hidden="1" x14ac:dyDescent="0.25">
      <c r="A1609" s="219"/>
      <c r="B1609" s="237"/>
      <c r="C1609" s="36" t="s">
        <v>30</v>
      </c>
      <c r="D1609" s="36" t="s">
        <v>12</v>
      </c>
      <c r="E1609" s="37">
        <v>0.104</v>
      </c>
      <c r="F1609" s="31">
        <v>21.688499999999998</v>
      </c>
      <c r="G1609" s="34">
        <f t="shared" si="25"/>
        <v>2.2556039999999995</v>
      </c>
      <c r="H1609" s="35"/>
      <c r="I1609" s="31"/>
      <c r="J1609" s="102">
        <v>0</v>
      </c>
    </row>
    <row r="1610" spans="1:10" ht="15.75" hidden="1" thickBot="1" x14ac:dyDescent="0.3">
      <c r="A1610" s="220"/>
      <c r="B1610" s="223"/>
      <c r="C1610" s="36"/>
      <c r="D1610" s="36"/>
      <c r="E1610" s="37"/>
      <c r="F1610" s="31" t="s">
        <v>522</v>
      </c>
      <c r="G1610" s="31" t="str">
        <f t="shared" si="25"/>
        <v/>
      </c>
      <c r="H1610" s="35"/>
      <c r="I1610" s="31"/>
      <c r="J1610" s="102">
        <v>0</v>
      </c>
    </row>
    <row r="1611" spans="1:10" ht="15.75" hidden="1" thickBot="1" x14ac:dyDescent="0.3">
      <c r="A1611" s="218" t="s">
        <v>506</v>
      </c>
      <c r="B1611" s="221" t="e">
        <f>INDEX(#REF!,MATCH(Composições!A1611,#REF!,0),2)</f>
        <v>#REF!</v>
      </c>
      <c r="C1611" s="41"/>
      <c r="D1611" s="26" t="s">
        <v>20</v>
      </c>
      <c r="E1611" s="27"/>
      <c r="F1611" s="42" t="s">
        <v>522</v>
      </c>
      <c r="G1611" s="28" t="str">
        <f t="shared" si="25"/>
        <v/>
      </c>
      <c r="H1611" s="29"/>
      <c r="I1611" s="30"/>
      <c r="J1611" s="102">
        <v>0</v>
      </c>
    </row>
    <row r="1612" spans="1:10" hidden="1" x14ac:dyDescent="0.25">
      <c r="A1612" s="219"/>
      <c r="B1612" s="237"/>
      <c r="C1612" s="32"/>
      <c r="D1612" s="32"/>
      <c r="E1612" s="33"/>
      <c r="F1612" s="43" t="s">
        <v>522</v>
      </c>
      <c r="G1612" s="31" t="str">
        <f t="shared" si="25"/>
        <v/>
      </c>
      <c r="H1612" s="35"/>
      <c r="I1612" s="31"/>
      <c r="J1612" s="102">
        <v>0</v>
      </c>
    </row>
    <row r="1613" spans="1:10" hidden="1" x14ac:dyDescent="0.25">
      <c r="A1613" s="219"/>
      <c r="B1613" s="237"/>
      <c r="C1613" s="36" t="s">
        <v>30</v>
      </c>
      <c r="D1613" s="36" t="s">
        <v>12</v>
      </c>
      <c r="E1613" s="37">
        <f>0.3/2</f>
        <v>0.15</v>
      </c>
      <c r="F1613" s="31">
        <v>21.688499999999998</v>
      </c>
      <c r="G1613" s="34">
        <f t="shared" si="25"/>
        <v>3.2532749999999995</v>
      </c>
      <c r="H1613" s="39">
        <f>SUM(G1613:G1616)</f>
        <v>5.8068749999999998</v>
      </c>
      <c r="I1613" s="40"/>
      <c r="J1613" s="102">
        <v>0</v>
      </c>
    </row>
    <row r="1614" spans="1:10" hidden="1" x14ac:dyDescent="0.25">
      <c r="A1614" s="219"/>
      <c r="B1614" s="237"/>
      <c r="C1614" s="36" t="s">
        <v>74</v>
      </c>
      <c r="D1614" s="36" t="s">
        <v>12</v>
      </c>
      <c r="E1614" s="37">
        <f>0.3/2</f>
        <v>0.15</v>
      </c>
      <c r="F1614" s="31">
        <v>17.024000000000001</v>
      </c>
      <c r="G1614" s="34">
        <f t="shared" si="25"/>
        <v>2.5535999999999999</v>
      </c>
      <c r="H1614" s="35"/>
      <c r="I1614" s="31"/>
      <c r="J1614" s="102">
        <v>0</v>
      </c>
    </row>
    <row r="1615" spans="1:10" ht="25.5" hidden="1" x14ac:dyDescent="0.25">
      <c r="A1615" s="219"/>
      <c r="B1615" s="237"/>
      <c r="C1615" s="36" t="s">
        <v>507</v>
      </c>
      <c r="D1615" s="36" t="s">
        <v>20</v>
      </c>
      <c r="E1615" s="37">
        <v>1</v>
      </c>
      <c r="F1615" s="34" t="s">
        <v>522</v>
      </c>
      <c r="G1615" s="34" t="str">
        <f t="shared" si="25"/>
        <v/>
      </c>
      <c r="H1615" s="35"/>
      <c r="I1615" s="31"/>
      <c r="J1615" s="102">
        <v>0</v>
      </c>
    </row>
    <row r="1616" spans="1:10" ht="25.5" hidden="1" x14ac:dyDescent="0.25">
      <c r="A1616" s="219"/>
      <c r="B1616" s="237"/>
      <c r="C1616" s="36" t="s">
        <v>508</v>
      </c>
      <c r="D1616" s="36" t="s">
        <v>20</v>
      </c>
      <c r="E1616" s="37">
        <v>1</v>
      </c>
      <c r="F1616" s="34" t="s">
        <v>522</v>
      </c>
      <c r="G1616" s="31" t="str">
        <f t="shared" si="25"/>
        <v/>
      </c>
      <c r="H1616" s="35"/>
      <c r="I1616" s="31"/>
      <c r="J1616" s="102">
        <v>0</v>
      </c>
    </row>
    <row r="1617" spans="1:10" ht="15.75" hidden="1" thickBot="1" x14ac:dyDescent="0.3">
      <c r="A1617" s="220"/>
      <c r="B1617" s="223"/>
      <c r="C1617" s="36"/>
      <c r="D1617" s="36"/>
      <c r="E1617" s="37"/>
      <c r="F1617" s="31" t="s">
        <v>522</v>
      </c>
      <c r="G1617" s="31" t="str">
        <f t="shared" si="25"/>
        <v/>
      </c>
      <c r="H1617" s="35"/>
      <c r="I1617" s="31"/>
      <c r="J1617" s="102">
        <v>0</v>
      </c>
    </row>
    <row r="1618" spans="1:10" ht="15.75" hidden="1" thickBot="1" x14ac:dyDescent="0.3">
      <c r="A1618" s="218" t="s">
        <v>509</v>
      </c>
      <c r="B1618" s="221" t="e">
        <f>INDEX(#REF!,MATCH(Composições!A1618,#REF!,0),2)</f>
        <v>#REF!</v>
      </c>
      <c r="C1618" s="41"/>
      <c r="D1618" s="26" t="s">
        <v>20</v>
      </c>
      <c r="E1618" s="27"/>
      <c r="F1618" s="42" t="s">
        <v>522</v>
      </c>
      <c r="G1618" s="28" t="str">
        <f t="shared" ref="G1618:G1681" si="26">IF(ISNUMBER(F1618),E1618*F1618,"")</f>
        <v/>
      </c>
      <c r="H1618" s="29"/>
      <c r="I1618" s="30"/>
      <c r="J1618" s="102">
        <v>0</v>
      </c>
    </row>
    <row r="1619" spans="1:10" hidden="1" x14ac:dyDescent="0.25">
      <c r="A1619" s="219"/>
      <c r="B1619" s="237"/>
      <c r="C1619" s="32"/>
      <c r="D1619" s="32"/>
      <c r="E1619" s="33"/>
      <c r="F1619" s="43" t="s">
        <v>522</v>
      </c>
      <c r="G1619" s="31" t="str">
        <f t="shared" si="26"/>
        <v/>
      </c>
      <c r="H1619" s="35"/>
      <c r="I1619" s="31"/>
      <c r="J1619" s="102">
        <v>0</v>
      </c>
    </row>
    <row r="1620" spans="1:10" hidden="1" x14ac:dyDescent="0.25">
      <c r="A1620" s="219"/>
      <c r="B1620" s="237"/>
      <c r="C1620" s="36" t="s">
        <v>30</v>
      </c>
      <c r="D1620" s="36" t="s">
        <v>12</v>
      </c>
      <c r="E1620" s="37">
        <v>0.1</v>
      </c>
      <c r="F1620" s="31">
        <v>21.688499999999998</v>
      </c>
      <c r="G1620" s="34">
        <f t="shared" si="26"/>
        <v>2.1688499999999999</v>
      </c>
      <c r="H1620" s="39">
        <f>SUM(G1620:G1621)</f>
        <v>2.1688499999999999</v>
      </c>
      <c r="I1620" s="40"/>
      <c r="J1620" s="102">
        <v>0</v>
      </c>
    </row>
    <row r="1621" spans="1:10" hidden="1" x14ac:dyDescent="0.25">
      <c r="A1621" s="219"/>
      <c r="B1621" s="237"/>
      <c r="C1621" s="36" t="s">
        <v>510</v>
      </c>
      <c r="D1621" s="36" t="s">
        <v>20</v>
      </c>
      <c r="E1621" s="37">
        <v>1</v>
      </c>
      <c r="F1621" s="34" t="s">
        <v>522</v>
      </c>
      <c r="G1621" s="31" t="str">
        <f t="shared" si="26"/>
        <v/>
      </c>
      <c r="H1621" s="35"/>
      <c r="I1621" s="31"/>
      <c r="J1621" s="102">
        <v>0</v>
      </c>
    </row>
    <row r="1622" spans="1:10" ht="15.75" hidden="1" thickBot="1" x14ac:dyDescent="0.3">
      <c r="A1622" s="220"/>
      <c r="B1622" s="223"/>
      <c r="C1622" s="36"/>
      <c r="D1622" s="36"/>
      <c r="E1622" s="37"/>
      <c r="F1622" s="31" t="s">
        <v>522</v>
      </c>
      <c r="G1622" s="31" t="str">
        <f t="shared" si="26"/>
        <v/>
      </c>
      <c r="H1622" s="35"/>
      <c r="I1622" s="31"/>
      <c r="J1622" s="102">
        <v>0</v>
      </c>
    </row>
    <row r="1623" spans="1:10" ht="15.75" hidden="1" thickBot="1" x14ac:dyDescent="0.3">
      <c r="A1623" s="218" t="s">
        <v>511</v>
      </c>
      <c r="B1623" s="221" t="e">
        <f>INDEX(#REF!,MATCH(Composições!A1623,#REF!,0),2)</f>
        <v>#REF!</v>
      </c>
      <c r="C1623" s="41"/>
      <c r="D1623" s="26" t="s">
        <v>20</v>
      </c>
      <c r="E1623" s="27"/>
      <c r="F1623" s="42" t="s">
        <v>522</v>
      </c>
      <c r="G1623" s="28" t="str">
        <f t="shared" si="26"/>
        <v/>
      </c>
      <c r="H1623" s="29"/>
      <c r="I1623" s="30"/>
      <c r="J1623" s="102">
        <v>0</v>
      </c>
    </row>
    <row r="1624" spans="1:10" hidden="1" x14ac:dyDescent="0.25">
      <c r="A1624" s="219"/>
      <c r="B1624" s="237"/>
      <c r="C1624" s="32"/>
      <c r="D1624" s="32"/>
      <c r="E1624" s="33"/>
      <c r="F1624" s="43" t="s">
        <v>522</v>
      </c>
      <c r="G1624" s="31" t="str">
        <f t="shared" si="26"/>
        <v/>
      </c>
      <c r="H1624" s="35"/>
      <c r="I1624" s="31"/>
      <c r="J1624" s="102">
        <v>0</v>
      </c>
    </row>
    <row r="1625" spans="1:10" hidden="1" x14ac:dyDescent="0.25">
      <c r="A1625" s="219"/>
      <c r="B1625" s="237"/>
      <c r="C1625" s="36" t="s">
        <v>512</v>
      </c>
      <c r="D1625" s="36" t="s">
        <v>20</v>
      </c>
      <c r="E1625" s="37">
        <v>1</v>
      </c>
      <c r="F1625" s="34">
        <v>11.571</v>
      </c>
      <c r="G1625" s="31">
        <f t="shared" si="26"/>
        <v>11.571</v>
      </c>
      <c r="H1625" s="39">
        <f>SUM(G1625:G1627)</f>
        <v>23.494449999999997</v>
      </c>
      <c r="I1625" s="40"/>
      <c r="J1625" s="102">
        <v>0</v>
      </c>
    </row>
    <row r="1626" spans="1:10" hidden="1" x14ac:dyDescent="0.25">
      <c r="A1626" s="219"/>
      <c r="B1626" s="237"/>
      <c r="C1626" s="36" t="s">
        <v>74</v>
      </c>
      <c r="D1626" s="36" t="s">
        <v>12</v>
      </c>
      <c r="E1626" s="37">
        <v>0.308</v>
      </c>
      <c r="F1626" s="31">
        <v>17.024000000000001</v>
      </c>
      <c r="G1626" s="34">
        <f t="shared" si="26"/>
        <v>5.2433920000000001</v>
      </c>
      <c r="H1626" s="35"/>
      <c r="I1626" s="31"/>
      <c r="J1626" s="102">
        <v>0</v>
      </c>
    </row>
    <row r="1627" spans="1:10" hidden="1" x14ac:dyDescent="0.25">
      <c r="A1627" s="219"/>
      <c r="B1627" s="237"/>
      <c r="C1627" s="36" t="s">
        <v>30</v>
      </c>
      <c r="D1627" s="36" t="s">
        <v>12</v>
      </c>
      <c r="E1627" s="37">
        <v>0.308</v>
      </c>
      <c r="F1627" s="31">
        <v>21.688499999999998</v>
      </c>
      <c r="G1627" s="34">
        <f t="shared" si="26"/>
        <v>6.6800579999999989</v>
      </c>
      <c r="H1627" s="35"/>
      <c r="I1627" s="31"/>
      <c r="J1627" s="102">
        <v>0</v>
      </c>
    </row>
    <row r="1628" spans="1:10" ht="15.75" hidden="1" thickBot="1" x14ac:dyDescent="0.3">
      <c r="A1628" s="220"/>
      <c r="B1628" s="223"/>
      <c r="C1628" s="36"/>
      <c r="D1628" s="36"/>
      <c r="E1628" s="37"/>
      <c r="F1628" s="31" t="s">
        <v>522</v>
      </c>
      <c r="G1628" s="31" t="str">
        <f t="shared" si="26"/>
        <v/>
      </c>
      <c r="H1628" s="35"/>
      <c r="I1628" s="31"/>
      <c r="J1628" s="102">
        <v>0</v>
      </c>
    </row>
    <row r="1629" spans="1:10" ht="15.75" hidden="1" thickBot="1" x14ac:dyDescent="0.3">
      <c r="A1629" s="218" t="s">
        <v>513</v>
      </c>
      <c r="B1629" s="221" t="e">
        <f>INDEX(#REF!,MATCH(Composições!A1629,#REF!,0),2)</f>
        <v>#REF!</v>
      </c>
      <c r="C1629" s="41"/>
      <c r="D1629" s="26" t="s">
        <v>20</v>
      </c>
      <c r="E1629" s="27"/>
      <c r="F1629" s="42" t="s">
        <v>522</v>
      </c>
      <c r="G1629" s="28" t="str">
        <f t="shared" si="26"/>
        <v/>
      </c>
      <c r="H1629" s="29"/>
      <c r="I1629" s="30"/>
      <c r="J1629" s="102">
        <v>0</v>
      </c>
    </row>
    <row r="1630" spans="1:10" hidden="1" x14ac:dyDescent="0.25">
      <c r="A1630" s="219"/>
      <c r="B1630" s="237"/>
      <c r="C1630" s="32"/>
      <c r="D1630" s="32"/>
      <c r="E1630" s="33"/>
      <c r="F1630" s="43" t="s">
        <v>522</v>
      </c>
      <c r="G1630" s="31" t="str">
        <f t="shared" si="26"/>
        <v/>
      </c>
      <c r="H1630" s="35"/>
      <c r="I1630" s="31"/>
      <c r="J1630" s="102">
        <v>0</v>
      </c>
    </row>
    <row r="1631" spans="1:10" hidden="1" x14ac:dyDescent="0.25">
      <c r="A1631" s="219"/>
      <c r="B1631" s="237"/>
      <c r="C1631" s="36" t="s">
        <v>514</v>
      </c>
      <c r="D1631" s="36" t="s">
        <v>20</v>
      </c>
      <c r="E1631" s="37">
        <v>1</v>
      </c>
      <c r="F1631" s="34">
        <v>8.8824999999999985</v>
      </c>
      <c r="G1631" s="31">
        <f t="shared" si="26"/>
        <v>8.8824999999999985</v>
      </c>
      <c r="H1631" s="39">
        <f>SUM(G1631:G1633)</f>
        <v>17.592812500000001</v>
      </c>
      <c r="I1631" s="40"/>
      <c r="J1631" s="102">
        <v>0</v>
      </c>
    </row>
    <row r="1632" spans="1:10" hidden="1" x14ac:dyDescent="0.25">
      <c r="A1632" s="219"/>
      <c r="B1632" s="237"/>
      <c r="C1632" s="36" t="s">
        <v>74</v>
      </c>
      <c r="D1632" s="36" t="s">
        <v>12</v>
      </c>
      <c r="E1632" s="37">
        <v>0.22500000000000001</v>
      </c>
      <c r="F1632" s="31">
        <v>17.024000000000001</v>
      </c>
      <c r="G1632" s="34">
        <f t="shared" si="26"/>
        <v>3.8304000000000005</v>
      </c>
      <c r="H1632" s="35"/>
      <c r="I1632" s="31"/>
      <c r="J1632" s="102">
        <v>0</v>
      </c>
    </row>
    <row r="1633" spans="1:10" hidden="1" x14ac:dyDescent="0.25">
      <c r="A1633" s="219"/>
      <c r="B1633" s="237"/>
      <c r="C1633" s="36" t="s">
        <v>30</v>
      </c>
      <c r="D1633" s="36" t="s">
        <v>12</v>
      </c>
      <c r="E1633" s="37">
        <v>0.22500000000000001</v>
      </c>
      <c r="F1633" s="31">
        <v>21.688499999999998</v>
      </c>
      <c r="G1633" s="34">
        <f t="shared" si="26"/>
        <v>4.8799124999999997</v>
      </c>
      <c r="H1633" s="35"/>
      <c r="I1633" s="31"/>
      <c r="J1633" s="102">
        <v>0</v>
      </c>
    </row>
    <row r="1634" spans="1:10" ht="15.75" hidden="1" thickBot="1" x14ac:dyDescent="0.3">
      <c r="A1634" s="220"/>
      <c r="B1634" s="223"/>
      <c r="C1634" s="36"/>
      <c r="D1634" s="36"/>
      <c r="E1634" s="37"/>
      <c r="F1634" s="31" t="s">
        <v>522</v>
      </c>
      <c r="G1634" s="31" t="str">
        <f t="shared" si="26"/>
        <v/>
      </c>
      <c r="H1634" s="35"/>
      <c r="I1634" s="31"/>
      <c r="J1634" s="102">
        <v>0</v>
      </c>
    </row>
    <row r="1635" spans="1:10" ht="15.75" hidden="1" thickBot="1" x14ac:dyDescent="0.3">
      <c r="A1635" s="218" t="s">
        <v>515</v>
      </c>
      <c r="B1635" s="221" t="e">
        <f>INDEX(#REF!,MATCH(Composições!A1635,#REF!,0),2)</f>
        <v>#REF!</v>
      </c>
      <c r="C1635" s="41"/>
      <c r="D1635" s="26" t="s">
        <v>20</v>
      </c>
      <c r="E1635" s="27"/>
      <c r="F1635" s="42" t="s">
        <v>522</v>
      </c>
      <c r="G1635" s="28" t="str">
        <f t="shared" si="26"/>
        <v/>
      </c>
      <c r="H1635" s="29"/>
      <c r="I1635" s="30"/>
      <c r="J1635" s="102">
        <v>0</v>
      </c>
    </row>
    <row r="1636" spans="1:10" hidden="1" x14ac:dyDescent="0.25">
      <c r="A1636" s="219"/>
      <c r="B1636" s="237"/>
      <c r="C1636" s="32"/>
      <c r="D1636" s="32"/>
      <c r="E1636" s="33"/>
      <c r="F1636" s="43" t="s">
        <v>522</v>
      </c>
      <c r="G1636" s="31" t="str">
        <f t="shared" si="26"/>
        <v/>
      </c>
      <c r="H1636" s="35"/>
      <c r="I1636" s="31"/>
      <c r="J1636" s="102">
        <v>0</v>
      </c>
    </row>
    <row r="1637" spans="1:10" hidden="1" x14ac:dyDescent="0.25">
      <c r="A1637" s="219"/>
      <c r="B1637" s="237"/>
      <c r="C1637" s="36" t="s">
        <v>30</v>
      </c>
      <c r="D1637" s="36" t="s">
        <v>12</v>
      </c>
      <c r="E1637" s="37">
        <v>0.1</v>
      </c>
      <c r="F1637" s="31">
        <v>21.688499999999998</v>
      </c>
      <c r="G1637" s="34">
        <f t="shared" si="26"/>
        <v>2.1688499999999999</v>
      </c>
      <c r="H1637" s="39">
        <f>SUM(G1637:G1638)</f>
        <v>2.1688499999999999</v>
      </c>
      <c r="I1637" s="40"/>
      <c r="J1637" s="102">
        <v>0</v>
      </c>
    </row>
    <row r="1638" spans="1:10" hidden="1" x14ac:dyDescent="0.25">
      <c r="A1638" s="219"/>
      <c r="B1638" s="237"/>
      <c r="C1638" s="36" t="s">
        <v>516</v>
      </c>
      <c r="D1638" s="36" t="s">
        <v>20</v>
      </c>
      <c r="E1638" s="37">
        <v>1</v>
      </c>
      <c r="F1638" s="34" t="s">
        <v>522</v>
      </c>
      <c r="G1638" s="31" t="str">
        <f t="shared" si="26"/>
        <v/>
      </c>
      <c r="H1638" s="35"/>
      <c r="I1638" s="31"/>
      <c r="J1638" s="102">
        <v>0</v>
      </c>
    </row>
    <row r="1639" spans="1:10" ht="15.75" hidden="1" thickBot="1" x14ac:dyDescent="0.3">
      <c r="A1639" s="220"/>
      <c r="B1639" s="223"/>
      <c r="C1639" s="36"/>
      <c r="D1639" s="36"/>
      <c r="E1639" s="37"/>
      <c r="F1639" s="31" t="s">
        <v>522</v>
      </c>
      <c r="G1639" s="31" t="str">
        <f t="shared" si="26"/>
        <v/>
      </c>
      <c r="H1639" s="35"/>
      <c r="I1639" s="31"/>
      <c r="J1639" s="102">
        <v>0</v>
      </c>
    </row>
    <row r="1640" spans="1:10" ht="15.75" hidden="1" thickBot="1" x14ac:dyDescent="0.3">
      <c r="A1640" s="218" t="s">
        <v>517</v>
      </c>
      <c r="B1640" s="221" t="e">
        <f>INDEX(#REF!,MATCH(Composições!A1640,#REF!,0),2)</f>
        <v>#REF!</v>
      </c>
      <c r="C1640" s="41"/>
      <c r="D1640" s="26" t="s">
        <v>20</v>
      </c>
      <c r="E1640" s="27"/>
      <c r="F1640" s="42" t="s">
        <v>522</v>
      </c>
      <c r="G1640" s="28" t="str">
        <f t="shared" si="26"/>
        <v/>
      </c>
      <c r="H1640" s="29"/>
      <c r="I1640" s="30"/>
      <c r="J1640" s="102">
        <v>0</v>
      </c>
    </row>
    <row r="1641" spans="1:10" hidden="1" x14ac:dyDescent="0.25">
      <c r="A1641" s="219"/>
      <c r="B1641" s="237"/>
      <c r="C1641" s="32"/>
      <c r="D1641" s="32"/>
      <c r="E1641" s="33"/>
      <c r="F1641" s="43" t="s">
        <v>522</v>
      </c>
      <c r="G1641" s="31" t="str">
        <f t="shared" si="26"/>
        <v/>
      </c>
      <c r="H1641" s="35"/>
      <c r="I1641" s="31"/>
      <c r="J1641" s="102">
        <v>0</v>
      </c>
    </row>
    <row r="1642" spans="1:10" hidden="1" x14ac:dyDescent="0.25">
      <c r="A1642" s="219"/>
      <c r="B1642" s="237"/>
      <c r="C1642" s="36" t="s">
        <v>30</v>
      </c>
      <c r="D1642" s="36" t="s">
        <v>12</v>
      </c>
      <c r="E1642" s="37">
        <v>0.308</v>
      </c>
      <c r="F1642" s="31">
        <v>21.688499999999998</v>
      </c>
      <c r="G1642" s="34">
        <f t="shared" si="26"/>
        <v>6.6800579999999989</v>
      </c>
      <c r="H1642" s="39">
        <f>SUM(G1642:G1644)</f>
        <v>11.923449999999999</v>
      </c>
      <c r="I1642" s="40"/>
      <c r="J1642" s="102">
        <v>0</v>
      </c>
    </row>
    <row r="1643" spans="1:10" hidden="1" x14ac:dyDescent="0.25">
      <c r="A1643" s="219"/>
      <c r="B1643" s="237"/>
      <c r="C1643" s="36" t="s">
        <v>74</v>
      </c>
      <c r="D1643" s="36" t="s">
        <v>12</v>
      </c>
      <c r="E1643" s="37">
        <v>0.308</v>
      </c>
      <c r="F1643" s="31">
        <v>17.024000000000001</v>
      </c>
      <c r="G1643" s="34">
        <f t="shared" si="26"/>
        <v>5.2433920000000001</v>
      </c>
      <c r="H1643" s="45"/>
      <c r="I1643" s="46"/>
      <c r="J1643" s="102">
        <v>0</v>
      </c>
    </row>
    <row r="1644" spans="1:10" hidden="1" x14ac:dyDescent="0.25">
      <c r="A1644" s="219"/>
      <c r="B1644" s="237"/>
      <c r="C1644" s="36" t="s">
        <v>518</v>
      </c>
      <c r="D1644" s="36" t="s">
        <v>20</v>
      </c>
      <c r="E1644" s="37">
        <v>1</v>
      </c>
      <c r="F1644" s="34" t="s">
        <v>522</v>
      </c>
      <c r="G1644" s="31" t="str">
        <f t="shared" si="26"/>
        <v/>
      </c>
      <c r="H1644" s="35"/>
      <c r="I1644" s="31"/>
      <c r="J1644" s="102">
        <v>0</v>
      </c>
    </row>
    <row r="1645" spans="1:10" ht="15.75" hidden="1" thickBot="1" x14ac:dyDescent="0.3">
      <c r="A1645" s="220"/>
      <c r="B1645" s="223"/>
      <c r="C1645" s="52"/>
      <c r="D1645" s="36"/>
      <c r="E1645" s="37"/>
      <c r="F1645" s="31" t="s">
        <v>522</v>
      </c>
      <c r="G1645" s="31" t="str">
        <f t="shared" si="26"/>
        <v/>
      </c>
      <c r="H1645" s="35"/>
      <c r="I1645" s="31"/>
      <c r="J1645" s="102">
        <v>0</v>
      </c>
    </row>
    <row r="1646" spans="1:10" ht="15.75" hidden="1" thickBot="1" x14ac:dyDescent="0.3">
      <c r="A1646" s="218" t="s">
        <v>519</v>
      </c>
      <c r="B1646" s="221" t="e">
        <f>INDEX(#REF!,MATCH(Composições!A1646,#REF!,0),2)</f>
        <v>#REF!</v>
      </c>
      <c r="C1646" s="41"/>
      <c r="D1646" s="26" t="s">
        <v>20</v>
      </c>
      <c r="E1646" s="27"/>
      <c r="F1646" s="42" t="s">
        <v>522</v>
      </c>
      <c r="G1646" s="28" t="str">
        <f t="shared" si="26"/>
        <v/>
      </c>
      <c r="H1646" s="29"/>
      <c r="I1646" s="30"/>
      <c r="J1646" s="102">
        <v>0</v>
      </c>
    </row>
    <row r="1647" spans="1:10" hidden="1" x14ac:dyDescent="0.25">
      <c r="A1647" s="219"/>
      <c r="B1647" s="237"/>
      <c r="C1647" s="32"/>
      <c r="D1647" s="32"/>
      <c r="E1647" s="33"/>
      <c r="F1647" s="43" t="s">
        <v>522</v>
      </c>
      <c r="G1647" s="31" t="str">
        <f t="shared" si="26"/>
        <v/>
      </c>
      <c r="H1647" s="35"/>
      <c r="I1647" s="31"/>
      <c r="J1647" s="102">
        <v>0</v>
      </c>
    </row>
    <row r="1648" spans="1:10" hidden="1" x14ac:dyDescent="0.25">
      <c r="A1648" s="219"/>
      <c r="B1648" s="237"/>
      <c r="C1648" s="36" t="s">
        <v>2387</v>
      </c>
      <c r="D1648" s="36" t="s">
        <v>20</v>
      </c>
      <c r="E1648" s="37">
        <v>1</v>
      </c>
      <c r="F1648" s="34">
        <v>10.108000000000001</v>
      </c>
      <c r="G1648" s="31">
        <f t="shared" si="26"/>
        <v>10.108000000000001</v>
      </c>
      <c r="H1648" s="39">
        <f>SUM(G1648:G1650)</f>
        <v>19.205437500000002</v>
      </c>
      <c r="I1648" s="40"/>
      <c r="J1648" s="102">
        <v>0</v>
      </c>
    </row>
    <row r="1649" spans="1:10" hidden="1" x14ac:dyDescent="0.25">
      <c r="A1649" s="219"/>
      <c r="B1649" s="237"/>
      <c r="C1649" s="36" t="s">
        <v>74</v>
      </c>
      <c r="D1649" s="36" t="s">
        <v>12</v>
      </c>
      <c r="E1649" s="37">
        <v>0.23499999999999999</v>
      </c>
      <c r="F1649" s="31">
        <v>17.024000000000001</v>
      </c>
      <c r="G1649" s="34">
        <f t="shared" si="26"/>
        <v>4.0006399999999998</v>
      </c>
      <c r="H1649" s="35"/>
      <c r="I1649" s="31"/>
      <c r="J1649" s="102">
        <v>0</v>
      </c>
    </row>
    <row r="1650" spans="1:10" hidden="1" x14ac:dyDescent="0.25">
      <c r="A1650" s="219"/>
      <c r="B1650" s="237"/>
      <c r="C1650" s="36" t="s">
        <v>30</v>
      </c>
      <c r="D1650" s="36" t="s">
        <v>12</v>
      </c>
      <c r="E1650" s="37">
        <v>0.23499999999999999</v>
      </c>
      <c r="F1650" s="31">
        <v>21.688499999999998</v>
      </c>
      <c r="G1650" s="34">
        <f t="shared" si="26"/>
        <v>5.0967974999999992</v>
      </c>
      <c r="H1650" s="35"/>
      <c r="I1650" s="31"/>
      <c r="J1650" s="102">
        <v>0</v>
      </c>
    </row>
    <row r="1651" spans="1:10" ht="15.75" hidden="1" thickBot="1" x14ac:dyDescent="0.3">
      <c r="A1651" s="220"/>
      <c r="B1651" s="223"/>
      <c r="C1651" s="36"/>
      <c r="D1651" s="36"/>
      <c r="E1651" s="37"/>
      <c r="F1651" s="31" t="s">
        <v>522</v>
      </c>
      <c r="G1651" s="31" t="str">
        <f t="shared" si="26"/>
        <v/>
      </c>
      <c r="H1651" s="35"/>
      <c r="I1651" s="31"/>
      <c r="J1651" s="102">
        <v>0</v>
      </c>
    </row>
    <row r="1652" spans="1:10" ht="15.75" hidden="1" thickBot="1" x14ac:dyDescent="0.3">
      <c r="A1652" s="218" t="s">
        <v>520</v>
      </c>
      <c r="B1652" s="221" t="e">
        <f>INDEX(#REF!,MATCH(Composições!A1652,#REF!,0),2)</f>
        <v>#REF!</v>
      </c>
      <c r="C1652" s="41"/>
      <c r="D1652" s="26" t="s">
        <v>20</v>
      </c>
      <c r="E1652" s="27"/>
      <c r="F1652" s="42" t="s">
        <v>522</v>
      </c>
      <c r="G1652" s="28" t="str">
        <f t="shared" si="26"/>
        <v/>
      </c>
      <c r="H1652" s="29"/>
      <c r="I1652" s="30"/>
      <c r="J1652" s="102">
        <v>0</v>
      </c>
    </row>
    <row r="1653" spans="1:10" hidden="1" x14ac:dyDescent="0.25">
      <c r="A1653" s="219"/>
      <c r="B1653" s="237"/>
      <c r="C1653" s="32"/>
      <c r="D1653" s="32"/>
      <c r="E1653" s="33"/>
      <c r="F1653" s="43" t="s">
        <v>522</v>
      </c>
      <c r="G1653" s="31" t="str">
        <f t="shared" si="26"/>
        <v/>
      </c>
      <c r="H1653" s="35"/>
      <c r="I1653" s="31"/>
      <c r="J1653" s="102">
        <v>0</v>
      </c>
    </row>
    <row r="1654" spans="1:10" hidden="1" x14ac:dyDescent="0.25">
      <c r="A1654" s="219"/>
      <c r="B1654" s="237"/>
      <c r="C1654" s="36" t="s">
        <v>2388</v>
      </c>
      <c r="D1654" s="36" t="s">
        <v>20</v>
      </c>
      <c r="E1654" s="37">
        <v>1</v>
      </c>
      <c r="F1654" s="34">
        <v>12.929499999999999</v>
      </c>
      <c r="G1654" s="31">
        <f t="shared" si="26"/>
        <v>12.929499999999999</v>
      </c>
      <c r="H1654" s="39">
        <f>SUM(G1654:G1656)</f>
        <v>22.026937499999995</v>
      </c>
      <c r="I1654" s="40"/>
      <c r="J1654" s="102">
        <v>0</v>
      </c>
    </row>
    <row r="1655" spans="1:10" hidden="1" x14ac:dyDescent="0.25">
      <c r="A1655" s="219"/>
      <c r="B1655" s="237"/>
      <c r="C1655" s="36" t="s">
        <v>74</v>
      </c>
      <c r="D1655" s="36" t="s">
        <v>12</v>
      </c>
      <c r="E1655" s="37">
        <v>0.23499999999999999</v>
      </c>
      <c r="F1655" s="31">
        <v>17.024000000000001</v>
      </c>
      <c r="G1655" s="34">
        <f t="shared" si="26"/>
        <v>4.0006399999999998</v>
      </c>
      <c r="H1655" s="35"/>
      <c r="I1655" s="31"/>
      <c r="J1655" s="102">
        <v>0</v>
      </c>
    </row>
    <row r="1656" spans="1:10" hidden="1" x14ac:dyDescent="0.25">
      <c r="A1656" s="219"/>
      <c r="B1656" s="237"/>
      <c r="C1656" s="36" t="s">
        <v>30</v>
      </c>
      <c r="D1656" s="36" t="s">
        <v>12</v>
      </c>
      <c r="E1656" s="37">
        <v>0.23499999999999999</v>
      </c>
      <c r="F1656" s="31">
        <v>21.688499999999998</v>
      </c>
      <c r="G1656" s="34">
        <f t="shared" si="26"/>
        <v>5.0967974999999992</v>
      </c>
      <c r="H1656" s="35"/>
      <c r="I1656" s="31"/>
      <c r="J1656" s="102">
        <v>0</v>
      </c>
    </row>
    <row r="1657" spans="1:10" ht="15.75" hidden="1" thickBot="1" x14ac:dyDescent="0.3">
      <c r="A1657" s="220"/>
      <c r="B1657" s="223"/>
      <c r="C1657" s="36"/>
      <c r="D1657" s="36"/>
      <c r="E1657" s="37"/>
      <c r="F1657" s="31" t="s">
        <v>522</v>
      </c>
      <c r="G1657" s="31" t="str">
        <f t="shared" si="26"/>
        <v/>
      </c>
      <c r="H1657" s="35"/>
      <c r="I1657" s="31"/>
      <c r="J1657" s="102">
        <v>0</v>
      </c>
    </row>
    <row r="1658" spans="1:10" ht="15.75" hidden="1" thickBot="1" x14ac:dyDescent="0.3">
      <c r="A1658" s="218" t="s">
        <v>521</v>
      </c>
      <c r="B1658" s="221" t="e">
        <f>INDEX(#REF!,MATCH(Composições!A1658,#REF!,0),2)</f>
        <v>#REF!</v>
      </c>
      <c r="C1658" s="41"/>
      <c r="D1658" s="26" t="s">
        <v>20</v>
      </c>
      <c r="E1658" s="27"/>
      <c r="F1658" s="42" t="s">
        <v>522</v>
      </c>
      <c r="G1658" s="28" t="str">
        <f t="shared" si="26"/>
        <v/>
      </c>
      <c r="H1658" s="29"/>
      <c r="I1658" s="30"/>
      <c r="J1658" s="102">
        <v>0</v>
      </c>
    </row>
    <row r="1659" spans="1:10" hidden="1" x14ac:dyDescent="0.25">
      <c r="A1659" s="219"/>
      <c r="B1659" s="237"/>
      <c r="C1659" s="32"/>
      <c r="D1659" s="32"/>
      <c r="E1659" s="33"/>
      <c r="F1659" s="43" t="s">
        <v>522</v>
      </c>
      <c r="G1659" s="31" t="str">
        <f t="shared" si="26"/>
        <v/>
      </c>
      <c r="H1659" s="35"/>
      <c r="I1659" s="31"/>
      <c r="J1659" s="102">
        <v>0</v>
      </c>
    </row>
    <row r="1660" spans="1:10" hidden="1" x14ac:dyDescent="0.25">
      <c r="A1660" s="219"/>
      <c r="B1660" s="237"/>
      <c r="C1660" s="36" t="s">
        <v>74</v>
      </c>
      <c r="D1660" s="36" t="s">
        <v>12</v>
      </c>
      <c r="E1660" s="37">
        <f>0.35/2</f>
        <v>0.17499999999999999</v>
      </c>
      <c r="F1660" s="31">
        <v>17.024000000000001</v>
      </c>
      <c r="G1660" s="34">
        <f t="shared" si="26"/>
        <v>2.9792000000000001</v>
      </c>
      <c r="H1660" s="39">
        <f>SUM(G1660:G1662)</f>
        <v>6.7746874999999989</v>
      </c>
      <c r="I1660" s="40"/>
      <c r="J1660" s="102">
        <v>0</v>
      </c>
    </row>
    <row r="1661" spans="1:10" hidden="1" x14ac:dyDescent="0.25">
      <c r="A1661" s="219"/>
      <c r="B1661" s="237"/>
      <c r="C1661" s="36" t="s">
        <v>30</v>
      </c>
      <c r="D1661" s="36" t="s">
        <v>12</v>
      </c>
      <c r="E1661" s="37">
        <f>0.35/2</f>
        <v>0.17499999999999999</v>
      </c>
      <c r="F1661" s="31">
        <v>21.688499999999998</v>
      </c>
      <c r="G1661" s="34">
        <f t="shared" si="26"/>
        <v>3.7954874999999992</v>
      </c>
      <c r="H1661" s="63" t="s">
        <v>522</v>
      </c>
      <c r="I1661" s="64"/>
      <c r="J1661" s="102">
        <v>0</v>
      </c>
    </row>
    <row r="1662" spans="1:10" hidden="1" x14ac:dyDescent="0.25">
      <c r="A1662" s="219"/>
      <c r="B1662" s="237"/>
      <c r="C1662" s="36" t="s">
        <v>523</v>
      </c>
      <c r="D1662" s="36" t="s">
        <v>20</v>
      </c>
      <c r="E1662" s="37">
        <v>1</v>
      </c>
      <c r="F1662" s="34" t="s">
        <v>522</v>
      </c>
      <c r="G1662" s="34" t="str">
        <f t="shared" si="26"/>
        <v/>
      </c>
      <c r="H1662" s="35"/>
      <c r="I1662" s="31"/>
      <c r="J1662" s="102">
        <v>0</v>
      </c>
    </row>
    <row r="1663" spans="1:10" ht="15.75" hidden="1" thickBot="1" x14ac:dyDescent="0.3">
      <c r="A1663" s="220"/>
      <c r="B1663" s="223"/>
      <c r="C1663" s="36"/>
      <c r="D1663" s="36"/>
      <c r="E1663" s="37"/>
      <c r="F1663" s="31" t="s">
        <v>522</v>
      </c>
      <c r="G1663" s="31" t="str">
        <f t="shared" si="26"/>
        <v/>
      </c>
      <c r="H1663" s="35"/>
      <c r="I1663" s="31"/>
      <c r="J1663" s="102">
        <v>0</v>
      </c>
    </row>
    <row r="1664" spans="1:10" ht="15.75" hidden="1" thickBot="1" x14ac:dyDescent="0.3">
      <c r="A1664" s="218" t="s">
        <v>524</v>
      </c>
      <c r="B1664" s="221" t="e">
        <f>INDEX(#REF!,MATCH(Composições!A1664,#REF!,0),2)</f>
        <v>#REF!</v>
      </c>
      <c r="C1664" s="41"/>
      <c r="D1664" s="26" t="s">
        <v>20</v>
      </c>
      <c r="E1664" s="27"/>
      <c r="F1664" s="42" t="s">
        <v>522</v>
      </c>
      <c r="G1664" s="28" t="str">
        <f t="shared" si="26"/>
        <v/>
      </c>
      <c r="H1664" s="29"/>
      <c r="I1664" s="30"/>
      <c r="J1664" s="102">
        <v>0</v>
      </c>
    </row>
    <row r="1665" spans="1:10" hidden="1" x14ac:dyDescent="0.25">
      <c r="A1665" s="219"/>
      <c r="B1665" s="237"/>
      <c r="C1665" s="32"/>
      <c r="D1665" s="32"/>
      <c r="E1665" s="33"/>
      <c r="F1665" s="43" t="s">
        <v>522</v>
      </c>
      <c r="G1665" s="31" t="str">
        <f t="shared" si="26"/>
        <v/>
      </c>
      <c r="H1665" s="35"/>
      <c r="I1665" s="31"/>
      <c r="J1665" s="102">
        <v>0</v>
      </c>
    </row>
    <row r="1666" spans="1:10" hidden="1" x14ac:dyDescent="0.25">
      <c r="A1666" s="219"/>
      <c r="B1666" s="237"/>
      <c r="C1666" s="36" t="s">
        <v>74</v>
      </c>
      <c r="D1666" s="36" t="s">
        <v>12</v>
      </c>
      <c r="E1666" s="37">
        <v>0.1</v>
      </c>
      <c r="F1666" s="31">
        <v>17.024000000000001</v>
      </c>
      <c r="G1666" s="31">
        <f t="shared" si="26"/>
        <v>1.7024000000000001</v>
      </c>
      <c r="H1666" s="39">
        <f>SUM(G1666:G1667)</f>
        <v>1.7024000000000001</v>
      </c>
      <c r="I1666" s="40"/>
      <c r="J1666" s="102">
        <v>0</v>
      </c>
    </row>
    <row r="1667" spans="1:10" hidden="1" x14ac:dyDescent="0.25">
      <c r="A1667" s="219"/>
      <c r="B1667" s="237"/>
      <c r="C1667" s="36" t="s">
        <v>525</v>
      </c>
      <c r="D1667" s="36" t="s">
        <v>20</v>
      </c>
      <c r="E1667" s="37">
        <v>1</v>
      </c>
      <c r="F1667" s="34" t="s">
        <v>522</v>
      </c>
      <c r="G1667" s="31" t="str">
        <f t="shared" si="26"/>
        <v/>
      </c>
      <c r="H1667" s="35"/>
      <c r="I1667" s="31"/>
      <c r="J1667" s="102">
        <v>0</v>
      </c>
    </row>
    <row r="1668" spans="1:10" ht="15.75" hidden="1" thickBot="1" x14ac:dyDescent="0.3">
      <c r="A1668" s="220"/>
      <c r="B1668" s="223"/>
      <c r="C1668" s="36"/>
      <c r="D1668" s="36"/>
      <c r="E1668" s="37"/>
      <c r="F1668" s="31" t="s">
        <v>522</v>
      </c>
      <c r="G1668" s="31" t="str">
        <f t="shared" si="26"/>
        <v/>
      </c>
      <c r="H1668" s="35"/>
      <c r="I1668" s="31"/>
      <c r="J1668" s="102">
        <v>0</v>
      </c>
    </row>
    <row r="1669" spans="1:10" ht="15.75" hidden="1" thickBot="1" x14ac:dyDescent="0.3">
      <c r="A1669" s="218" t="s">
        <v>526</v>
      </c>
      <c r="B1669" s="221" t="e">
        <f>INDEX(#REF!,MATCH(Composições!A1669,#REF!,0),2)</f>
        <v>#REF!</v>
      </c>
      <c r="C1669" s="41"/>
      <c r="D1669" s="26" t="s">
        <v>20</v>
      </c>
      <c r="E1669" s="27"/>
      <c r="F1669" s="42" t="s">
        <v>522</v>
      </c>
      <c r="G1669" s="28" t="str">
        <f t="shared" si="26"/>
        <v/>
      </c>
      <c r="H1669" s="29"/>
      <c r="I1669" s="30"/>
      <c r="J1669" s="102">
        <v>0</v>
      </c>
    </row>
    <row r="1670" spans="1:10" hidden="1" x14ac:dyDescent="0.25">
      <c r="A1670" s="219"/>
      <c r="B1670" s="237"/>
      <c r="C1670" s="32"/>
      <c r="D1670" s="32"/>
      <c r="E1670" s="33"/>
      <c r="F1670" s="43" t="s">
        <v>522</v>
      </c>
      <c r="G1670" s="31" t="str">
        <f t="shared" si="26"/>
        <v/>
      </c>
      <c r="H1670" s="35"/>
      <c r="I1670" s="31"/>
      <c r="J1670" s="102">
        <v>0</v>
      </c>
    </row>
    <row r="1671" spans="1:10" hidden="1" x14ac:dyDescent="0.25">
      <c r="A1671" s="219"/>
      <c r="B1671" s="237"/>
      <c r="C1671" s="36" t="s">
        <v>74</v>
      </c>
      <c r="D1671" s="36" t="s">
        <v>12</v>
      </c>
      <c r="E1671" s="37">
        <v>0.1</v>
      </c>
      <c r="F1671" s="31">
        <v>17.024000000000001</v>
      </c>
      <c r="G1671" s="31">
        <f t="shared" si="26"/>
        <v>1.7024000000000001</v>
      </c>
      <c r="H1671" s="39">
        <f>SUM(G1671:G1672)</f>
        <v>1.7024000000000001</v>
      </c>
      <c r="I1671" s="40"/>
      <c r="J1671" s="102">
        <v>0</v>
      </c>
    </row>
    <row r="1672" spans="1:10" hidden="1" x14ac:dyDescent="0.25">
      <c r="A1672" s="219"/>
      <c r="B1672" s="237"/>
      <c r="C1672" s="36" t="s">
        <v>527</v>
      </c>
      <c r="D1672" s="36" t="s">
        <v>20</v>
      </c>
      <c r="E1672" s="37">
        <v>1</v>
      </c>
      <c r="F1672" s="34" t="s">
        <v>522</v>
      </c>
      <c r="G1672" s="31" t="str">
        <f t="shared" si="26"/>
        <v/>
      </c>
      <c r="H1672" s="35"/>
      <c r="I1672" s="31"/>
      <c r="J1672" s="102">
        <v>0</v>
      </c>
    </row>
    <row r="1673" spans="1:10" ht="15.75" hidden="1" thickBot="1" x14ac:dyDescent="0.3">
      <c r="A1673" s="220"/>
      <c r="B1673" s="223"/>
      <c r="C1673" s="36"/>
      <c r="D1673" s="36"/>
      <c r="E1673" s="37"/>
      <c r="F1673" s="31" t="s">
        <v>522</v>
      </c>
      <c r="G1673" s="31" t="str">
        <f t="shared" si="26"/>
        <v/>
      </c>
      <c r="H1673" s="35"/>
      <c r="I1673" s="31"/>
      <c r="J1673" s="102">
        <v>0</v>
      </c>
    </row>
    <row r="1674" spans="1:10" ht="15.75" hidden="1" thickBot="1" x14ac:dyDescent="0.3">
      <c r="A1674" s="218" t="s">
        <v>528</v>
      </c>
      <c r="B1674" s="221" t="e">
        <f>INDEX(#REF!,MATCH(Composições!A1674,#REF!,0),2)</f>
        <v>#REF!</v>
      </c>
      <c r="C1674" s="41"/>
      <c r="D1674" s="26" t="s">
        <v>20</v>
      </c>
      <c r="E1674" s="27"/>
      <c r="F1674" s="42" t="s">
        <v>522</v>
      </c>
      <c r="G1674" s="28" t="str">
        <f t="shared" si="26"/>
        <v/>
      </c>
      <c r="H1674" s="29"/>
      <c r="I1674" s="30"/>
      <c r="J1674" s="102">
        <v>0</v>
      </c>
    </row>
    <row r="1675" spans="1:10" hidden="1" x14ac:dyDescent="0.25">
      <c r="A1675" s="219"/>
      <c r="B1675" s="237"/>
      <c r="C1675" s="32"/>
      <c r="D1675" s="32"/>
      <c r="E1675" s="33"/>
      <c r="F1675" s="43" t="s">
        <v>522</v>
      </c>
      <c r="G1675" s="31" t="str">
        <f t="shared" si="26"/>
        <v/>
      </c>
      <c r="H1675" s="35"/>
      <c r="I1675" s="31"/>
      <c r="J1675" s="102">
        <v>0</v>
      </c>
    </row>
    <row r="1676" spans="1:10" hidden="1" x14ac:dyDescent="0.25">
      <c r="A1676" s="219"/>
      <c r="B1676" s="237"/>
      <c r="C1676" s="36" t="s">
        <v>74</v>
      </c>
      <c r="D1676" s="36" t="s">
        <v>12</v>
      </c>
      <c r="E1676" s="37">
        <v>0.15</v>
      </c>
      <c r="F1676" s="31">
        <v>17.024000000000001</v>
      </c>
      <c r="G1676" s="34">
        <f t="shared" si="26"/>
        <v>2.5535999999999999</v>
      </c>
      <c r="H1676" s="39">
        <f>SUM(G1676:G1677)</f>
        <v>2.5535999999999999</v>
      </c>
      <c r="I1676" s="40"/>
      <c r="J1676" s="102">
        <v>0</v>
      </c>
    </row>
    <row r="1677" spans="1:10" ht="25.5" hidden="1" x14ac:dyDescent="0.25">
      <c r="A1677" s="219"/>
      <c r="B1677" s="237"/>
      <c r="C1677" s="36" t="s">
        <v>529</v>
      </c>
      <c r="D1677" s="36" t="s">
        <v>20</v>
      </c>
      <c r="E1677" s="37">
        <v>1</v>
      </c>
      <c r="F1677" s="34" t="s">
        <v>522</v>
      </c>
      <c r="G1677" s="31" t="str">
        <f t="shared" si="26"/>
        <v/>
      </c>
      <c r="H1677" s="35"/>
      <c r="I1677" s="31"/>
      <c r="J1677" s="102">
        <v>0</v>
      </c>
    </row>
    <row r="1678" spans="1:10" hidden="1" x14ac:dyDescent="0.25">
      <c r="A1678" s="219"/>
      <c r="B1678" s="237"/>
      <c r="C1678" s="36"/>
      <c r="D1678" s="36"/>
      <c r="E1678" s="37"/>
      <c r="F1678" s="34" t="s">
        <v>522</v>
      </c>
      <c r="G1678" s="31" t="str">
        <f t="shared" si="26"/>
        <v/>
      </c>
      <c r="H1678" s="35"/>
      <c r="I1678" s="31"/>
      <c r="J1678" s="102">
        <v>0</v>
      </c>
    </row>
    <row r="1679" spans="1:10" ht="15.75" hidden="1" thickBot="1" x14ac:dyDescent="0.3">
      <c r="A1679" s="218" t="s">
        <v>530</v>
      </c>
      <c r="B1679" s="221" t="e">
        <f>INDEX(#REF!,MATCH(Composições!A1679,#REF!,0),2)</f>
        <v>#REF!</v>
      </c>
      <c r="C1679" s="41"/>
      <c r="D1679" s="26" t="s">
        <v>20</v>
      </c>
      <c r="E1679" s="27"/>
      <c r="F1679" s="42" t="s">
        <v>522</v>
      </c>
      <c r="G1679" s="28" t="str">
        <f t="shared" si="26"/>
        <v/>
      </c>
      <c r="H1679" s="29"/>
      <c r="I1679" s="30"/>
      <c r="J1679" s="102">
        <v>0</v>
      </c>
    </row>
    <row r="1680" spans="1:10" hidden="1" x14ac:dyDescent="0.25">
      <c r="A1680" s="219"/>
      <c r="B1680" s="237"/>
      <c r="C1680" s="32"/>
      <c r="D1680" s="32"/>
      <c r="E1680" s="33"/>
      <c r="F1680" s="43" t="s">
        <v>522</v>
      </c>
      <c r="G1680" s="31" t="str">
        <f t="shared" si="26"/>
        <v/>
      </c>
      <c r="H1680" s="35"/>
      <c r="I1680" s="31"/>
      <c r="J1680" s="102">
        <v>0</v>
      </c>
    </row>
    <row r="1681" spans="1:10" hidden="1" x14ac:dyDescent="0.25">
      <c r="A1681" s="219"/>
      <c r="B1681" s="237"/>
      <c r="C1681" s="36" t="s">
        <v>74</v>
      </c>
      <c r="D1681" s="36" t="s">
        <v>12</v>
      </c>
      <c r="E1681" s="37">
        <v>0.15</v>
      </c>
      <c r="F1681" s="31">
        <v>17.024000000000001</v>
      </c>
      <c r="G1681" s="34">
        <f t="shared" si="26"/>
        <v>2.5535999999999999</v>
      </c>
      <c r="H1681" s="39">
        <f>SUM(G1681:G1683)</f>
        <v>5.8068749999999998</v>
      </c>
      <c r="I1681" s="40"/>
      <c r="J1681" s="102">
        <v>0</v>
      </c>
    </row>
    <row r="1682" spans="1:10" hidden="1" x14ac:dyDescent="0.25">
      <c r="A1682" s="219"/>
      <c r="B1682" s="237"/>
      <c r="C1682" s="36" t="s">
        <v>30</v>
      </c>
      <c r="D1682" s="36" t="s">
        <v>12</v>
      </c>
      <c r="E1682" s="37">
        <v>0.15</v>
      </c>
      <c r="F1682" s="31">
        <v>21.688499999999998</v>
      </c>
      <c r="G1682" s="34">
        <f t="shared" ref="G1682:G1745" si="27">IF(ISNUMBER(F1682),E1682*F1682,"")</f>
        <v>3.2532749999999995</v>
      </c>
      <c r="H1682" s="62"/>
      <c r="I1682" s="1"/>
      <c r="J1682" s="102">
        <v>0</v>
      </c>
    </row>
    <row r="1683" spans="1:10" ht="25.5" hidden="1" x14ac:dyDescent="0.25">
      <c r="A1683" s="219"/>
      <c r="B1683" s="237"/>
      <c r="C1683" s="36" t="s">
        <v>531</v>
      </c>
      <c r="D1683" s="36" t="s">
        <v>20</v>
      </c>
      <c r="E1683" s="37">
        <v>1</v>
      </c>
      <c r="F1683" s="34" t="s">
        <v>522</v>
      </c>
      <c r="G1683" s="31" t="str">
        <f t="shared" si="27"/>
        <v/>
      </c>
      <c r="H1683" s="35"/>
      <c r="I1683" s="31"/>
      <c r="J1683" s="102">
        <v>0</v>
      </c>
    </row>
    <row r="1684" spans="1:10" ht="15.75" hidden="1" thickBot="1" x14ac:dyDescent="0.3">
      <c r="A1684" s="220"/>
      <c r="B1684" s="223"/>
      <c r="C1684" s="36"/>
      <c r="D1684" s="36"/>
      <c r="E1684" s="37"/>
      <c r="F1684" s="31" t="s">
        <v>522</v>
      </c>
      <c r="G1684" s="31" t="str">
        <f t="shared" si="27"/>
        <v/>
      </c>
      <c r="H1684" s="35"/>
      <c r="I1684" s="31"/>
      <c r="J1684" s="102">
        <v>0</v>
      </c>
    </row>
    <row r="1685" spans="1:10" ht="15.75" hidden="1" thickBot="1" x14ac:dyDescent="0.3">
      <c r="A1685" s="218" t="s">
        <v>532</v>
      </c>
      <c r="B1685" s="221" t="e">
        <f>INDEX(#REF!,MATCH(Composições!A1685,#REF!,0),2)</f>
        <v>#REF!</v>
      </c>
      <c r="C1685" s="41"/>
      <c r="D1685" s="26" t="s">
        <v>20</v>
      </c>
      <c r="E1685" s="27"/>
      <c r="F1685" s="42" t="s">
        <v>522</v>
      </c>
      <c r="G1685" s="28" t="str">
        <f t="shared" si="27"/>
        <v/>
      </c>
      <c r="H1685" s="29"/>
      <c r="I1685" s="30"/>
      <c r="J1685" s="102">
        <v>0</v>
      </c>
    </row>
    <row r="1686" spans="1:10" hidden="1" x14ac:dyDescent="0.25">
      <c r="A1686" s="219"/>
      <c r="B1686" s="237"/>
      <c r="C1686" s="32"/>
      <c r="D1686" s="32"/>
      <c r="E1686" s="33"/>
      <c r="F1686" s="43" t="s">
        <v>522</v>
      </c>
      <c r="G1686" s="31" t="str">
        <f t="shared" si="27"/>
        <v/>
      </c>
      <c r="H1686" s="35"/>
      <c r="I1686" s="31"/>
      <c r="J1686" s="102">
        <v>0</v>
      </c>
    </row>
    <row r="1687" spans="1:10" hidden="1" x14ac:dyDescent="0.25">
      <c r="A1687" s="219"/>
      <c r="B1687" s="237"/>
      <c r="C1687" s="36" t="s">
        <v>30</v>
      </c>
      <c r="D1687" s="36" t="s">
        <v>12</v>
      </c>
      <c r="E1687" s="37">
        <v>0.308</v>
      </c>
      <c r="F1687" s="31">
        <v>21.688499999999998</v>
      </c>
      <c r="G1687" s="34">
        <f t="shared" si="27"/>
        <v>6.6800579999999989</v>
      </c>
      <c r="H1687" s="39">
        <f>SUM(G1687:G1690)</f>
        <v>11.923449999999999</v>
      </c>
      <c r="I1687" s="40"/>
      <c r="J1687" s="102">
        <v>0</v>
      </c>
    </row>
    <row r="1688" spans="1:10" hidden="1" x14ac:dyDescent="0.25">
      <c r="A1688" s="219"/>
      <c r="B1688" s="237"/>
      <c r="C1688" s="36" t="s">
        <v>74</v>
      </c>
      <c r="D1688" s="36" t="s">
        <v>12</v>
      </c>
      <c r="E1688" s="37">
        <v>0.308</v>
      </c>
      <c r="F1688" s="31">
        <v>17.024000000000001</v>
      </c>
      <c r="G1688" s="34">
        <f t="shared" si="27"/>
        <v>5.2433920000000001</v>
      </c>
      <c r="H1688" s="35"/>
      <c r="I1688" s="31"/>
      <c r="J1688" s="102">
        <v>0</v>
      </c>
    </row>
    <row r="1689" spans="1:10" ht="25.5" hidden="1" x14ac:dyDescent="0.25">
      <c r="A1689" s="219"/>
      <c r="B1689" s="237"/>
      <c r="C1689" s="36" t="s">
        <v>507</v>
      </c>
      <c r="D1689" s="36" t="s">
        <v>20</v>
      </c>
      <c r="E1689" s="37">
        <v>1</v>
      </c>
      <c r="F1689" s="34" t="s">
        <v>522</v>
      </c>
      <c r="G1689" s="34" t="str">
        <f t="shared" si="27"/>
        <v/>
      </c>
      <c r="H1689" s="35"/>
      <c r="I1689" s="31"/>
      <c r="J1689" s="102">
        <v>0</v>
      </c>
    </row>
    <row r="1690" spans="1:10" ht="25.5" hidden="1" x14ac:dyDescent="0.25">
      <c r="A1690" s="219"/>
      <c r="B1690" s="237"/>
      <c r="C1690" s="36" t="s">
        <v>2337</v>
      </c>
      <c r="D1690" s="36" t="s">
        <v>20</v>
      </c>
      <c r="E1690" s="37">
        <v>1</v>
      </c>
      <c r="F1690" s="34" t="s">
        <v>522</v>
      </c>
      <c r="G1690" s="31" t="str">
        <f t="shared" si="27"/>
        <v/>
      </c>
      <c r="H1690" s="35"/>
      <c r="I1690" s="31"/>
      <c r="J1690" s="102">
        <v>0</v>
      </c>
    </row>
    <row r="1691" spans="1:10" ht="15.75" hidden="1" thickBot="1" x14ac:dyDescent="0.3">
      <c r="A1691" s="220"/>
      <c r="B1691" s="223"/>
      <c r="C1691" s="36"/>
      <c r="D1691" s="36"/>
      <c r="E1691" s="37"/>
      <c r="F1691" s="31" t="s">
        <v>522</v>
      </c>
      <c r="G1691" s="31" t="str">
        <f t="shared" si="27"/>
        <v/>
      </c>
      <c r="H1691" s="35"/>
      <c r="I1691" s="31"/>
      <c r="J1691" s="102">
        <v>0</v>
      </c>
    </row>
    <row r="1692" spans="1:10" ht="15.75" hidden="1" thickBot="1" x14ac:dyDescent="0.3">
      <c r="A1692" s="218" t="s">
        <v>533</v>
      </c>
      <c r="B1692" s="221" t="e">
        <f>INDEX(#REF!,MATCH(Composições!A1692,#REF!,0),2)</f>
        <v>#REF!</v>
      </c>
      <c r="C1692" s="41"/>
      <c r="D1692" s="26" t="s">
        <v>20</v>
      </c>
      <c r="E1692" s="27"/>
      <c r="F1692" s="42" t="s">
        <v>522</v>
      </c>
      <c r="G1692" s="28" t="str">
        <f t="shared" si="27"/>
        <v/>
      </c>
      <c r="H1692" s="29"/>
      <c r="I1692" s="30"/>
      <c r="J1692" s="102">
        <v>0</v>
      </c>
    </row>
    <row r="1693" spans="1:10" hidden="1" x14ac:dyDescent="0.25">
      <c r="A1693" s="219"/>
      <c r="B1693" s="237"/>
      <c r="C1693" s="32"/>
      <c r="D1693" s="32"/>
      <c r="E1693" s="33"/>
      <c r="F1693" s="43" t="s">
        <v>522</v>
      </c>
      <c r="G1693" s="31" t="str">
        <f t="shared" si="27"/>
        <v/>
      </c>
      <c r="H1693" s="35"/>
      <c r="I1693" s="31"/>
      <c r="J1693" s="102">
        <v>0</v>
      </c>
    </row>
    <row r="1694" spans="1:10" hidden="1" x14ac:dyDescent="0.25">
      <c r="A1694" s="219"/>
      <c r="B1694" s="237"/>
      <c r="C1694" s="36" t="s">
        <v>74</v>
      </c>
      <c r="D1694" s="36" t="s">
        <v>12</v>
      </c>
      <c r="E1694" s="37">
        <v>0.65</v>
      </c>
      <c r="F1694" s="31">
        <v>17.024000000000001</v>
      </c>
      <c r="G1694" s="34">
        <f t="shared" si="27"/>
        <v>11.065600000000002</v>
      </c>
      <c r="H1694" s="39">
        <f>SUM(G1694:G1697)</f>
        <v>25.163125000000001</v>
      </c>
      <c r="I1694" s="40"/>
      <c r="J1694" s="102">
        <v>0</v>
      </c>
    </row>
    <row r="1695" spans="1:10" hidden="1" x14ac:dyDescent="0.25">
      <c r="A1695" s="219"/>
      <c r="B1695" s="237"/>
      <c r="C1695" s="36" t="s">
        <v>30</v>
      </c>
      <c r="D1695" s="36" t="s">
        <v>12</v>
      </c>
      <c r="E1695" s="37">
        <v>0.65</v>
      </c>
      <c r="F1695" s="31">
        <v>21.688499999999998</v>
      </c>
      <c r="G1695" s="34">
        <f t="shared" si="27"/>
        <v>14.097524999999999</v>
      </c>
      <c r="H1695" s="35"/>
      <c r="I1695" s="31"/>
      <c r="J1695" s="102">
        <v>0</v>
      </c>
    </row>
    <row r="1696" spans="1:10" hidden="1" x14ac:dyDescent="0.25">
      <c r="A1696" s="219"/>
      <c r="B1696" s="237"/>
      <c r="C1696" s="36" t="s">
        <v>534</v>
      </c>
      <c r="D1696" s="36" t="s">
        <v>20</v>
      </c>
      <c r="E1696" s="37">
        <v>1</v>
      </c>
      <c r="F1696" s="31">
        <v>0</v>
      </c>
      <c r="G1696" s="31">
        <f t="shared" si="27"/>
        <v>0</v>
      </c>
      <c r="H1696" s="35"/>
      <c r="I1696" s="31"/>
      <c r="J1696" s="102">
        <v>0</v>
      </c>
    </row>
    <row r="1697" spans="1:10" hidden="1" x14ac:dyDescent="0.25">
      <c r="A1697" s="219"/>
      <c r="B1697" s="237"/>
      <c r="C1697" s="36" t="s">
        <v>535</v>
      </c>
      <c r="D1697" s="36" t="s">
        <v>20</v>
      </c>
      <c r="E1697" s="37">
        <v>1</v>
      </c>
      <c r="F1697" s="31">
        <v>0</v>
      </c>
      <c r="G1697" s="31">
        <f t="shared" si="27"/>
        <v>0</v>
      </c>
      <c r="H1697" s="35"/>
      <c r="I1697" s="31"/>
      <c r="J1697" s="102">
        <v>0</v>
      </c>
    </row>
    <row r="1698" spans="1:10" ht="15.75" hidden="1" thickBot="1" x14ac:dyDescent="0.3">
      <c r="A1698" s="220"/>
      <c r="B1698" s="223"/>
      <c r="C1698" s="36"/>
      <c r="D1698" s="36"/>
      <c r="E1698" s="37"/>
      <c r="F1698" s="31" t="s">
        <v>522</v>
      </c>
      <c r="G1698" s="31" t="str">
        <f t="shared" si="27"/>
        <v/>
      </c>
      <c r="H1698" s="35"/>
      <c r="I1698" s="31"/>
      <c r="J1698" s="102">
        <v>0</v>
      </c>
    </row>
    <row r="1699" spans="1:10" ht="15.75" hidden="1" thickBot="1" x14ac:dyDescent="0.3">
      <c r="A1699" s="218" t="s">
        <v>536</v>
      </c>
      <c r="B1699" s="221" t="e">
        <f>INDEX(#REF!,MATCH(Composições!A1699,#REF!,0),2)</f>
        <v>#REF!</v>
      </c>
      <c r="C1699" s="41"/>
      <c r="D1699" s="26" t="s">
        <v>20</v>
      </c>
      <c r="E1699" s="27"/>
      <c r="F1699" s="42" t="s">
        <v>522</v>
      </c>
      <c r="G1699" s="28" t="str">
        <f t="shared" si="27"/>
        <v/>
      </c>
      <c r="H1699" s="29"/>
      <c r="I1699" s="30"/>
      <c r="J1699" s="102">
        <v>0</v>
      </c>
    </row>
    <row r="1700" spans="1:10" hidden="1" x14ac:dyDescent="0.25">
      <c r="A1700" s="219"/>
      <c r="B1700" s="237"/>
      <c r="C1700" s="32"/>
      <c r="D1700" s="32"/>
      <c r="E1700" s="33"/>
      <c r="F1700" s="43" t="s">
        <v>522</v>
      </c>
      <c r="G1700" s="31" t="str">
        <f t="shared" si="27"/>
        <v/>
      </c>
      <c r="H1700" s="35"/>
      <c r="I1700" s="31"/>
      <c r="J1700" s="102">
        <v>0</v>
      </c>
    </row>
    <row r="1701" spans="1:10" ht="38.25" hidden="1" x14ac:dyDescent="0.25">
      <c r="A1701" s="219"/>
      <c r="B1701" s="237"/>
      <c r="C1701" s="36" t="s">
        <v>537</v>
      </c>
      <c r="D1701" s="36" t="s">
        <v>144</v>
      </c>
      <c r="E1701" s="37">
        <v>1</v>
      </c>
      <c r="F1701" s="34" t="s">
        <v>522</v>
      </c>
      <c r="G1701" s="31" t="str">
        <f t="shared" si="27"/>
        <v/>
      </c>
      <c r="H1701" s="39">
        <f>SUM(G1701:G1703)</f>
        <v>5.1664809499999995</v>
      </c>
      <c r="I1701" s="40"/>
      <c r="J1701" s="102">
        <v>0</v>
      </c>
    </row>
    <row r="1702" spans="1:10" hidden="1" x14ac:dyDescent="0.25">
      <c r="A1702" s="219"/>
      <c r="B1702" s="237"/>
      <c r="C1702" s="36" t="s">
        <v>74</v>
      </c>
      <c r="D1702" s="47" t="s">
        <v>12</v>
      </c>
      <c r="E1702" s="37">
        <v>7.4800000000000005E-2</v>
      </c>
      <c r="F1702" s="31">
        <v>17.024000000000001</v>
      </c>
      <c r="G1702" s="31">
        <f t="shared" si="27"/>
        <v>1.2733952000000002</v>
      </c>
      <c r="H1702" s="35"/>
      <c r="I1702" s="31"/>
      <c r="J1702" s="102">
        <v>0</v>
      </c>
    </row>
    <row r="1703" spans="1:10" hidden="1" x14ac:dyDescent="0.25">
      <c r="A1703" s="219"/>
      <c r="B1703" s="237"/>
      <c r="C1703" s="36" t="s">
        <v>30</v>
      </c>
      <c r="D1703" s="36" t="s">
        <v>12</v>
      </c>
      <c r="E1703" s="37">
        <v>0.17949999999999999</v>
      </c>
      <c r="F1703" s="31">
        <v>21.688499999999998</v>
      </c>
      <c r="G1703" s="31">
        <f t="shared" si="27"/>
        <v>3.8930857499999996</v>
      </c>
      <c r="H1703" s="35"/>
      <c r="I1703" s="31"/>
      <c r="J1703" s="102">
        <v>0</v>
      </c>
    </row>
    <row r="1704" spans="1:10" ht="15.75" hidden="1" thickBot="1" x14ac:dyDescent="0.3">
      <c r="A1704" s="220"/>
      <c r="B1704" s="223"/>
      <c r="C1704" s="36"/>
      <c r="D1704" s="36"/>
      <c r="E1704" s="37"/>
      <c r="F1704" s="31" t="s">
        <v>522</v>
      </c>
      <c r="G1704" s="31" t="str">
        <f t="shared" si="27"/>
        <v/>
      </c>
      <c r="H1704" s="35"/>
      <c r="I1704" s="31"/>
      <c r="J1704" s="102">
        <v>0</v>
      </c>
    </row>
    <row r="1705" spans="1:10" ht="15.75" hidden="1" thickBot="1" x14ac:dyDescent="0.3">
      <c r="A1705" s="218" t="s">
        <v>538</v>
      </c>
      <c r="B1705" s="221" t="e">
        <f>INDEX(#REF!,MATCH(Composições!A1705,#REF!,0),2)</f>
        <v>#REF!</v>
      </c>
      <c r="C1705" s="41"/>
      <c r="D1705" s="26" t="s">
        <v>20</v>
      </c>
      <c r="E1705" s="27"/>
      <c r="F1705" s="42" t="s">
        <v>522</v>
      </c>
      <c r="G1705" s="28" t="str">
        <f t="shared" si="27"/>
        <v/>
      </c>
      <c r="H1705" s="29"/>
      <c r="I1705" s="30"/>
      <c r="J1705" s="102">
        <v>0</v>
      </c>
    </row>
    <row r="1706" spans="1:10" hidden="1" x14ac:dyDescent="0.25">
      <c r="A1706" s="219"/>
      <c r="B1706" s="237"/>
      <c r="C1706" s="32"/>
      <c r="D1706" s="32"/>
      <c r="E1706" s="33"/>
      <c r="F1706" s="43" t="s">
        <v>522</v>
      </c>
      <c r="G1706" s="31" t="str">
        <f t="shared" si="27"/>
        <v/>
      </c>
      <c r="H1706" s="35"/>
      <c r="I1706" s="31"/>
      <c r="J1706" s="102">
        <v>0</v>
      </c>
    </row>
    <row r="1707" spans="1:10" hidden="1" x14ac:dyDescent="0.25">
      <c r="A1707" s="219"/>
      <c r="B1707" s="237"/>
      <c r="C1707" s="36" t="s">
        <v>74</v>
      </c>
      <c r="D1707" s="47" t="s">
        <v>12</v>
      </c>
      <c r="E1707" s="37">
        <v>0.14799999999999999</v>
      </c>
      <c r="F1707" s="31">
        <v>17.024000000000001</v>
      </c>
      <c r="G1707" s="31">
        <f t="shared" si="27"/>
        <v>2.519552</v>
      </c>
      <c r="H1707" s="39">
        <f>SUM(G1707:G1711)</f>
        <v>10.22113835</v>
      </c>
      <c r="I1707" s="40"/>
      <c r="J1707" s="102">
        <v>0</v>
      </c>
    </row>
    <row r="1708" spans="1:10" hidden="1" x14ac:dyDescent="0.25">
      <c r="A1708" s="219"/>
      <c r="B1708" s="237"/>
      <c r="C1708" s="36" t="s">
        <v>30</v>
      </c>
      <c r="D1708" s="36" t="s">
        <v>12</v>
      </c>
      <c r="E1708" s="37">
        <v>0.35510000000000003</v>
      </c>
      <c r="F1708" s="31">
        <v>21.688499999999998</v>
      </c>
      <c r="G1708" s="31">
        <f t="shared" si="27"/>
        <v>7.7015863499999995</v>
      </c>
      <c r="H1708" s="45"/>
      <c r="I1708" s="46"/>
      <c r="J1708" s="102">
        <v>0</v>
      </c>
    </row>
    <row r="1709" spans="1:10" ht="25.5" hidden="1" x14ac:dyDescent="0.25">
      <c r="A1709" s="219"/>
      <c r="B1709" s="237"/>
      <c r="C1709" s="36" t="s">
        <v>539</v>
      </c>
      <c r="D1709" s="36" t="s">
        <v>93</v>
      </c>
      <c r="E1709" s="37">
        <v>1.5</v>
      </c>
      <c r="F1709" s="34" t="s">
        <v>522</v>
      </c>
      <c r="G1709" s="31" t="str">
        <f t="shared" si="27"/>
        <v/>
      </c>
      <c r="H1709" s="35"/>
      <c r="I1709" s="31"/>
      <c r="J1709" s="102">
        <v>0</v>
      </c>
    </row>
    <row r="1710" spans="1:10" hidden="1" x14ac:dyDescent="0.25">
      <c r="A1710" s="219"/>
      <c r="B1710" s="237"/>
      <c r="C1710" s="36" t="s">
        <v>540</v>
      </c>
      <c r="D1710" s="36" t="s">
        <v>144</v>
      </c>
      <c r="E1710" s="37">
        <v>1</v>
      </c>
      <c r="F1710" s="34" t="s">
        <v>522</v>
      </c>
      <c r="G1710" s="31" t="str">
        <f t="shared" si="27"/>
        <v/>
      </c>
      <c r="H1710" s="35"/>
      <c r="I1710" s="31"/>
      <c r="J1710" s="102">
        <v>0</v>
      </c>
    </row>
    <row r="1711" spans="1:10" hidden="1" x14ac:dyDescent="0.25">
      <c r="A1711" s="219"/>
      <c r="B1711" s="237"/>
      <c r="C1711" s="36" t="s">
        <v>541</v>
      </c>
      <c r="D1711" s="36" t="s">
        <v>144</v>
      </c>
      <c r="E1711" s="37">
        <v>1</v>
      </c>
      <c r="F1711" s="34" t="s">
        <v>522</v>
      </c>
      <c r="G1711" s="31" t="str">
        <f t="shared" si="27"/>
        <v/>
      </c>
      <c r="H1711" s="35"/>
      <c r="I1711" s="31"/>
      <c r="J1711" s="102">
        <v>0</v>
      </c>
    </row>
    <row r="1712" spans="1:10" ht="15.75" hidden="1" thickBot="1" x14ac:dyDescent="0.3">
      <c r="A1712" s="220"/>
      <c r="B1712" s="223"/>
      <c r="C1712" s="36"/>
      <c r="D1712" s="36"/>
      <c r="E1712" s="37"/>
      <c r="F1712" s="31" t="s">
        <v>522</v>
      </c>
      <c r="G1712" s="31" t="str">
        <f t="shared" si="27"/>
        <v/>
      </c>
      <c r="H1712" s="35"/>
      <c r="I1712" s="31"/>
      <c r="J1712" s="102">
        <v>0</v>
      </c>
    </row>
    <row r="1713" spans="1:10" ht="15.75" hidden="1" thickBot="1" x14ac:dyDescent="0.3">
      <c r="A1713" s="218" t="s">
        <v>542</v>
      </c>
      <c r="B1713" s="221" t="e">
        <f>INDEX(#REF!,MATCH(Composições!A1713,#REF!,0),2)</f>
        <v>#REF!</v>
      </c>
      <c r="C1713" s="41"/>
      <c r="D1713" s="26" t="s">
        <v>20</v>
      </c>
      <c r="E1713" s="27"/>
      <c r="F1713" s="42" t="s">
        <v>522</v>
      </c>
      <c r="G1713" s="28" t="str">
        <f t="shared" si="27"/>
        <v/>
      </c>
      <c r="H1713" s="29"/>
      <c r="I1713" s="30"/>
      <c r="J1713" s="102">
        <v>0</v>
      </c>
    </row>
    <row r="1714" spans="1:10" hidden="1" x14ac:dyDescent="0.25">
      <c r="A1714" s="219"/>
      <c r="B1714" s="237"/>
      <c r="C1714" s="32"/>
      <c r="D1714" s="32"/>
      <c r="E1714" s="33"/>
      <c r="F1714" s="43" t="s">
        <v>522</v>
      </c>
      <c r="G1714" s="31" t="str">
        <f t="shared" si="27"/>
        <v/>
      </c>
      <c r="H1714" s="35"/>
      <c r="I1714" s="31"/>
      <c r="J1714" s="102">
        <v>0</v>
      </c>
    </row>
    <row r="1715" spans="1:10" ht="25.5" hidden="1" x14ac:dyDescent="0.25">
      <c r="A1715" s="219"/>
      <c r="B1715" s="237"/>
      <c r="C1715" s="36" t="s">
        <v>543</v>
      </c>
      <c r="D1715" s="36" t="s">
        <v>144</v>
      </c>
      <c r="E1715" s="37">
        <v>1</v>
      </c>
      <c r="F1715" s="34" t="s">
        <v>522</v>
      </c>
      <c r="G1715" s="34" t="str">
        <f t="shared" si="27"/>
        <v/>
      </c>
      <c r="H1715" s="39">
        <f>SUM(G1715:G1722)</f>
        <v>10.22113835</v>
      </c>
      <c r="I1715" s="40"/>
      <c r="J1715" s="102">
        <v>0</v>
      </c>
    </row>
    <row r="1716" spans="1:10" ht="25.5" hidden="1" x14ac:dyDescent="0.25">
      <c r="A1716" s="219"/>
      <c r="B1716" s="237"/>
      <c r="C1716" s="36" t="s">
        <v>2336</v>
      </c>
      <c r="D1716" s="36" t="s">
        <v>144</v>
      </c>
      <c r="E1716" s="37">
        <v>1</v>
      </c>
      <c r="F1716" s="34" t="s">
        <v>522</v>
      </c>
      <c r="G1716" s="34" t="str">
        <f t="shared" si="27"/>
        <v/>
      </c>
      <c r="H1716" s="45"/>
      <c r="I1716" s="46"/>
      <c r="J1716" s="102">
        <v>0</v>
      </c>
    </row>
    <row r="1717" spans="1:10" ht="25.5" hidden="1" x14ac:dyDescent="0.25">
      <c r="A1717" s="219"/>
      <c r="B1717" s="237"/>
      <c r="C1717" s="36" t="s">
        <v>544</v>
      </c>
      <c r="D1717" s="36" t="s">
        <v>144</v>
      </c>
      <c r="E1717" s="37">
        <v>2</v>
      </c>
      <c r="F1717" s="34" t="s">
        <v>522</v>
      </c>
      <c r="G1717" s="34" t="str">
        <f t="shared" si="27"/>
        <v/>
      </c>
      <c r="H1717" s="45"/>
      <c r="I1717" s="46"/>
      <c r="J1717" s="102">
        <v>0</v>
      </c>
    </row>
    <row r="1718" spans="1:10" ht="25.5" hidden="1" x14ac:dyDescent="0.25">
      <c r="A1718" s="219"/>
      <c r="B1718" s="237"/>
      <c r="C1718" s="36" t="s">
        <v>539</v>
      </c>
      <c r="D1718" s="36" t="s">
        <v>93</v>
      </c>
      <c r="E1718" s="37">
        <v>1.5</v>
      </c>
      <c r="F1718" s="34" t="s">
        <v>522</v>
      </c>
      <c r="G1718" s="31" t="str">
        <f t="shared" si="27"/>
        <v/>
      </c>
      <c r="H1718" s="35"/>
      <c r="I1718" s="31"/>
      <c r="J1718" s="102">
        <v>0</v>
      </c>
    </row>
    <row r="1719" spans="1:10" hidden="1" x14ac:dyDescent="0.25">
      <c r="A1719" s="219"/>
      <c r="B1719" s="237"/>
      <c r="C1719" s="36" t="s">
        <v>540</v>
      </c>
      <c r="D1719" s="36" t="s">
        <v>144</v>
      </c>
      <c r="E1719" s="37">
        <v>1</v>
      </c>
      <c r="F1719" s="34" t="s">
        <v>522</v>
      </c>
      <c r="G1719" s="31" t="str">
        <f t="shared" si="27"/>
        <v/>
      </c>
      <c r="H1719" s="35"/>
      <c r="I1719" s="31"/>
      <c r="J1719" s="102">
        <v>0</v>
      </c>
    </row>
    <row r="1720" spans="1:10" hidden="1" x14ac:dyDescent="0.25">
      <c r="A1720" s="219"/>
      <c r="B1720" s="237"/>
      <c r="C1720" s="36" t="s">
        <v>541</v>
      </c>
      <c r="D1720" s="36" t="s">
        <v>144</v>
      </c>
      <c r="E1720" s="37">
        <v>1</v>
      </c>
      <c r="F1720" s="34" t="s">
        <v>522</v>
      </c>
      <c r="G1720" s="31" t="str">
        <f t="shared" si="27"/>
        <v/>
      </c>
      <c r="H1720" s="35"/>
      <c r="I1720" s="31"/>
      <c r="J1720" s="102">
        <v>0</v>
      </c>
    </row>
    <row r="1721" spans="1:10" hidden="1" x14ac:dyDescent="0.25">
      <c r="A1721" s="219"/>
      <c r="B1721" s="237"/>
      <c r="C1721" s="36" t="s">
        <v>74</v>
      </c>
      <c r="D1721" s="36" t="s">
        <v>12</v>
      </c>
      <c r="E1721" s="37">
        <v>0.14799999999999999</v>
      </c>
      <c r="F1721" s="31">
        <v>17.024000000000001</v>
      </c>
      <c r="G1721" s="34">
        <f t="shared" si="27"/>
        <v>2.519552</v>
      </c>
      <c r="H1721" s="35"/>
      <c r="I1721" s="31"/>
      <c r="J1721" s="102">
        <v>0</v>
      </c>
    </row>
    <row r="1722" spans="1:10" hidden="1" x14ac:dyDescent="0.25">
      <c r="A1722" s="219"/>
      <c r="B1722" s="237"/>
      <c r="C1722" s="36" t="s">
        <v>30</v>
      </c>
      <c r="D1722" s="36" t="s">
        <v>12</v>
      </c>
      <c r="E1722" s="37">
        <v>0.35510000000000003</v>
      </c>
      <c r="F1722" s="31">
        <v>21.688499999999998</v>
      </c>
      <c r="G1722" s="31">
        <f t="shared" si="27"/>
        <v>7.7015863499999995</v>
      </c>
      <c r="H1722" s="35"/>
      <c r="I1722" s="31"/>
      <c r="J1722" s="102">
        <v>0</v>
      </c>
    </row>
    <row r="1723" spans="1:10" ht="15.75" hidden="1" thickBot="1" x14ac:dyDescent="0.3">
      <c r="A1723" s="220"/>
      <c r="B1723" s="223"/>
      <c r="C1723" s="36"/>
      <c r="D1723" s="36"/>
      <c r="E1723" s="37"/>
      <c r="F1723" s="31" t="s">
        <v>522</v>
      </c>
      <c r="G1723" s="31" t="str">
        <f t="shared" si="27"/>
        <v/>
      </c>
      <c r="H1723" s="35"/>
      <c r="I1723" s="31"/>
      <c r="J1723" s="102">
        <v>0</v>
      </c>
    </row>
    <row r="1724" spans="1:10" ht="15.75" hidden="1" thickBot="1" x14ac:dyDescent="0.3">
      <c r="A1724" s="218" t="s">
        <v>545</v>
      </c>
      <c r="B1724" s="221" t="e">
        <f>INDEX(#REF!,MATCH(Composições!A1724,#REF!,0),2)</f>
        <v>#REF!</v>
      </c>
      <c r="C1724" s="41"/>
      <c r="D1724" s="26" t="s">
        <v>20</v>
      </c>
      <c r="E1724" s="27"/>
      <c r="F1724" s="42" t="s">
        <v>522</v>
      </c>
      <c r="G1724" s="28" t="str">
        <f t="shared" si="27"/>
        <v/>
      </c>
      <c r="H1724" s="29"/>
      <c r="I1724" s="30"/>
      <c r="J1724" s="102">
        <v>0</v>
      </c>
    </row>
    <row r="1725" spans="1:10" hidden="1" x14ac:dyDescent="0.25">
      <c r="A1725" s="219"/>
      <c r="B1725" s="237"/>
      <c r="C1725" s="32"/>
      <c r="D1725" s="32"/>
      <c r="E1725" s="33"/>
      <c r="F1725" s="43" t="s">
        <v>522</v>
      </c>
      <c r="G1725" s="31" t="str">
        <f t="shared" si="27"/>
        <v/>
      </c>
      <c r="H1725" s="35"/>
      <c r="I1725" s="31"/>
      <c r="J1725" s="102">
        <v>0</v>
      </c>
    </row>
    <row r="1726" spans="1:10" ht="25.5" hidden="1" x14ac:dyDescent="0.25">
      <c r="A1726" s="219"/>
      <c r="B1726" s="237"/>
      <c r="C1726" s="36" t="s">
        <v>546</v>
      </c>
      <c r="D1726" s="36" t="s">
        <v>144</v>
      </c>
      <c r="E1726" s="37">
        <v>1</v>
      </c>
      <c r="F1726" s="34" t="s">
        <v>522</v>
      </c>
      <c r="G1726" s="34" t="str">
        <f t="shared" si="27"/>
        <v/>
      </c>
      <c r="H1726" s="39">
        <f>SUM(G1726:G1733)</f>
        <v>11.927759199999997</v>
      </c>
      <c r="I1726" s="40"/>
      <c r="J1726" s="102">
        <v>0</v>
      </c>
    </row>
    <row r="1727" spans="1:10" ht="25.5" hidden="1" x14ac:dyDescent="0.25">
      <c r="A1727" s="219"/>
      <c r="B1727" s="237"/>
      <c r="C1727" s="36" t="s">
        <v>2336</v>
      </c>
      <c r="D1727" s="36" t="s">
        <v>144</v>
      </c>
      <c r="E1727" s="37">
        <v>1</v>
      </c>
      <c r="F1727" s="34" t="s">
        <v>522</v>
      </c>
      <c r="G1727" s="34" t="str">
        <f t="shared" si="27"/>
        <v/>
      </c>
      <c r="H1727" s="45"/>
      <c r="I1727" s="46"/>
      <c r="J1727" s="102">
        <v>0</v>
      </c>
    </row>
    <row r="1728" spans="1:10" ht="25.5" hidden="1" x14ac:dyDescent="0.25">
      <c r="A1728" s="219"/>
      <c r="B1728" s="237"/>
      <c r="C1728" s="36" t="s">
        <v>544</v>
      </c>
      <c r="D1728" s="36" t="s">
        <v>144</v>
      </c>
      <c r="E1728" s="37">
        <v>2</v>
      </c>
      <c r="F1728" s="34" t="s">
        <v>522</v>
      </c>
      <c r="G1728" s="34" t="str">
        <f t="shared" si="27"/>
        <v/>
      </c>
      <c r="H1728" s="45"/>
      <c r="I1728" s="46"/>
      <c r="J1728" s="102">
        <v>0</v>
      </c>
    </row>
    <row r="1729" spans="1:10" ht="25.5" hidden="1" x14ac:dyDescent="0.25">
      <c r="A1729" s="219"/>
      <c r="B1729" s="237"/>
      <c r="C1729" s="36" t="s">
        <v>539</v>
      </c>
      <c r="D1729" s="36" t="s">
        <v>93</v>
      </c>
      <c r="E1729" s="37">
        <v>1.5</v>
      </c>
      <c r="F1729" s="34" t="s">
        <v>522</v>
      </c>
      <c r="G1729" s="31" t="str">
        <f t="shared" si="27"/>
        <v/>
      </c>
      <c r="H1729" s="35"/>
      <c r="I1729" s="31"/>
      <c r="J1729" s="102">
        <v>0</v>
      </c>
    </row>
    <row r="1730" spans="1:10" hidden="1" x14ac:dyDescent="0.25">
      <c r="A1730" s="219"/>
      <c r="B1730" s="237"/>
      <c r="C1730" s="36" t="s">
        <v>540</v>
      </c>
      <c r="D1730" s="36" t="s">
        <v>144</v>
      </c>
      <c r="E1730" s="37">
        <v>1</v>
      </c>
      <c r="F1730" s="34" t="s">
        <v>522</v>
      </c>
      <c r="G1730" s="31" t="str">
        <f t="shared" si="27"/>
        <v/>
      </c>
      <c r="H1730" s="35"/>
      <c r="I1730" s="31"/>
      <c r="J1730" s="102">
        <v>0</v>
      </c>
    </row>
    <row r="1731" spans="1:10" hidden="1" x14ac:dyDescent="0.25">
      <c r="A1731" s="219"/>
      <c r="B1731" s="237"/>
      <c r="C1731" s="36" t="s">
        <v>541</v>
      </c>
      <c r="D1731" s="36" t="s">
        <v>144</v>
      </c>
      <c r="E1731" s="37">
        <v>1</v>
      </c>
      <c r="F1731" s="34" t="s">
        <v>522</v>
      </c>
      <c r="G1731" s="31" t="str">
        <f t="shared" si="27"/>
        <v/>
      </c>
      <c r="H1731" s="35"/>
      <c r="I1731" s="31"/>
      <c r="J1731" s="102">
        <v>0</v>
      </c>
    </row>
    <row r="1732" spans="1:10" hidden="1" x14ac:dyDescent="0.25">
      <c r="A1732" s="219"/>
      <c r="B1732" s="237"/>
      <c r="C1732" s="36" t="s">
        <v>74</v>
      </c>
      <c r="D1732" s="47" t="s">
        <v>12</v>
      </c>
      <c r="E1732" s="37">
        <v>0.17269999999999999</v>
      </c>
      <c r="F1732" s="31">
        <v>17.024000000000001</v>
      </c>
      <c r="G1732" s="31">
        <f t="shared" si="27"/>
        <v>2.9400447999999999</v>
      </c>
      <c r="H1732" s="35"/>
      <c r="I1732" s="31"/>
      <c r="J1732" s="102">
        <v>0</v>
      </c>
    </row>
    <row r="1733" spans="1:10" hidden="1" x14ac:dyDescent="0.25">
      <c r="A1733" s="219"/>
      <c r="B1733" s="237"/>
      <c r="C1733" s="36" t="s">
        <v>30</v>
      </c>
      <c r="D1733" s="36" t="s">
        <v>12</v>
      </c>
      <c r="E1733" s="37">
        <v>0.41439999999999999</v>
      </c>
      <c r="F1733" s="31">
        <v>21.688499999999998</v>
      </c>
      <c r="G1733" s="31">
        <f t="shared" si="27"/>
        <v>8.987714399999998</v>
      </c>
      <c r="H1733" s="35"/>
      <c r="I1733" s="31"/>
      <c r="J1733" s="102">
        <v>0</v>
      </c>
    </row>
    <row r="1734" spans="1:10" ht="15.75" hidden="1" thickBot="1" x14ac:dyDescent="0.3">
      <c r="A1734" s="220"/>
      <c r="B1734" s="223"/>
      <c r="C1734" s="36"/>
      <c r="D1734" s="36"/>
      <c r="E1734" s="37"/>
      <c r="F1734" s="31" t="s">
        <v>522</v>
      </c>
      <c r="G1734" s="31" t="str">
        <f t="shared" si="27"/>
        <v/>
      </c>
      <c r="H1734" s="35"/>
      <c r="I1734" s="31"/>
      <c r="J1734" s="102">
        <v>0</v>
      </c>
    </row>
    <row r="1735" spans="1:10" ht="15.75" hidden="1" thickBot="1" x14ac:dyDescent="0.3">
      <c r="A1735" s="218" t="s">
        <v>547</v>
      </c>
      <c r="B1735" s="221" t="e">
        <f>INDEX(#REF!,MATCH(Composições!A1735,#REF!,0),2)</f>
        <v>#REF!</v>
      </c>
      <c r="C1735" s="41"/>
      <c r="D1735" s="26" t="s">
        <v>20</v>
      </c>
      <c r="E1735" s="27"/>
      <c r="F1735" s="42" t="s">
        <v>522</v>
      </c>
      <c r="G1735" s="28" t="str">
        <f t="shared" si="27"/>
        <v/>
      </c>
      <c r="H1735" s="29"/>
      <c r="I1735" s="30"/>
      <c r="J1735" s="102">
        <v>0</v>
      </c>
    </row>
    <row r="1736" spans="1:10" hidden="1" x14ac:dyDescent="0.25">
      <c r="A1736" s="219"/>
      <c r="B1736" s="237"/>
      <c r="C1736" s="32"/>
      <c r="D1736" s="32"/>
      <c r="E1736" s="33"/>
      <c r="F1736" s="43" t="s">
        <v>522</v>
      </c>
      <c r="G1736" s="31" t="str">
        <f t="shared" si="27"/>
        <v/>
      </c>
      <c r="H1736" s="35"/>
      <c r="I1736" s="31"/>
      <c r="J1736" s="102">
        <v>0</v>
      </c>
    </row>
    <row r="1737" spans="1:10" ht="25.5" hidden="1" x14ac:dyDescent="0.25">
      <c r="A1737" s="219"/>
      <c r="B1737" s="237"/>
      <c r="C1737" s="36" t="s">
        <v>548</v>
      </c>
      <c r="D1737" s="36" t="s">
        <v>144</v>
      </c>
      <c r="E1737" s="37">
        <v>1</v>
      </c>
      <c r="F1737" s="34" t="s">
        <v>522</v>
      </c>
      <c r="G1737" s="31" t="str">
        <f t="shared" si="27"/>
        <v/>
      </c>
      <c r="H1737" s="39">
        <f>SUM(G1737:G1744)</f>
        <v>10.22113835</v>
      </c>
      <c r="I1737" s="40"/>
      <c r="J1737" s="102">
        <v>0</v>
      </c>
    </row>
    <row r="1738" spans="1:10" ht="25.5" hidden="1" x14ac:dyDescent="0.25">
      <c r="A1738" s="219"/>
      <c r="B1738" s="237"/>
      <c r="C1738" s="36" t="s">
        <v>2335</v>
      </c>
      <c r="D1738" s="36" t="s">
        <v>144</v>
      </c>
      <c r="E1738" s="37">
        <v>1</v>
      </c>
      <c r="F1738" s="34" t="s">
        <v>522</v>
      </c>
      <c r="G1738" s="31" t="str">
        <f t="shared" si="27"/>
        <v/>
      </c>
      <c r="H1738" s="45"/>
      <c r="I1738" s="46"/>
      <c r="J1738" s="102">
        <v>0</v>
      </c>
    </row>
    <row r="1739" spans="1:10" ht="25.5" hidden="1" x14ac:dyDescent="0.25">
      <c r="A1739" s="219"/>
      <c r="B1739" s="237"/>
      <c r="C1739" s="36" t="s">
        <v>549</v>
      </c>
      <c r="D1739" s="36" t="s">
        <v>144</v>
      </c>
      <c r="E1739" s="37">
        <v>2</v>
      </c>
      <c r="F1739" s="34" t="s">
        <v>522</v>
      </c>
      <c r="G1739" s="31" t="str">
        <f t="shared" si="27"/>
        <v/>
      </c>
      <c r="H1739" s="45"/>
      <c r="I1739" s="46"/>
      <c r="J1739" s="102">
        <v>0</v>
      </c>
    </row>
    <row r="1740" spans="1:10" ht="25.5" hidden="1" x14ac:dyDescent="0.25">
      <c r="A1740" s="219"/>
      <c r="B1740" s="237"/>
      <c r="C1740" s="36" t="s">
        <v>539</v>
      </c>
      <c r="D1740" s="36" t="s">
        <v>93</v>
      </c>
      <c r="E1740" s="37">
        <v>1.5</v>
      </c>
      <c r="F1740" s="34" t="s">
        <v>522</v>
      </c>
      <c r="G1740" s="31" t="str">
        <f t="shared" si="27"/>
        <v/>
      </c>
      <c r="H1740" s="35"/>
      <c r="I1740" s="31"/>
      <c r="J1740" s="102">
        <v>0</v>
      </c>
    </row>
    <row r="1741" spans="1:10" hidden="1" x14ac:dyDescent="0.25">
      <c r="A1741" s="219"/>
      <c r="B1741" s="237"/>
      <c r="C1741" s="36" t="s">
        <v>540</v>
      </c>
      <c r="D1741" s="36" t="s">
        <v>144</v>
      </c>
      <c r="E1741" s="37">
        <v>1</v>
      </c>
      <c r="F1741" s="34" t="s">
        <v>522</v>
      </c>
      <c r="G1741" s="31" t="str">
        <f t="shared" si="27"/>
        <v/>
      </c>
      <c r="H1741" s="35"/>
      <c r="I1741" s="31"/>
      <c r="J1741" s="102">
        <v>0</v>
      </c>
    </row>
    <row r="1742" spans="1:10" hidden="1" x14ac:dyDescent="0.25">
      <c r="A1742" s="219"/>
      <c r="B1742" s="237"/>
      <c r="C1742" s="36" t="s">
        <v>541</v>
      </c>
      <c r="D1742" s="36" t="s">
        <v>144</v>
      </c>
      <c r="E1742" s="37">
        <v>1</v>
      </c>
      <c r="F1742" s="34" t="s">
        <v>522</v>
      </c>
      <c r="G1742" s="31" t="str">
        <f t="shared" si="27"/>
        <v/>
      </c>
      <c r="H1742" s="35"/>
      <c r="I1742" s="31"/>
      <c r="J1742" s="102">
        <v>0</v>
      </c>
    </row>
    <row r="1743" spans="1:10" hidden="1" x14ac:dyDescent="0.25">
      <c r="A1743" s="219"/>
      <c r="B1743" s="237"/>
      <c r="C1743" s="36" t="s">
        <v>74</v>
      </c>
      <c r="D1743" s="36" t="s">
        <v>12</v>
      </c>
      <c r="E1743" s="37">
        <v>0.14799999999999999</v>
      </c>
      <c r="F1743" s="31">
        <v>17.024000000000001</v>
      </c>
      <c r="G1743" s="34">
        <f t="shared" si="27"/>
        <v>2.519552</v>
      </c>
      <c r="H1743" s="35"/>
      <c r="I1743" s="31"/>
      <c r="J1743" s="102">
        <v>0</v>
      </c>
    </row>
    <row r="1744" spans="1:10" hidden="1" x14ac:dyDescent="0.25">
      <c r="A1744" s="219"/>
      <c r="B1744" s="237"/>
      <c r="C1744" s="36" t="s">
        <v>30</v>
      </c>
      <c r="D1744" s="36" t="s">
        <v>12</v>
      </c>
      <c r="E1744" s="37">
        <v>0.35510000000000003</v>
      </c>
      <c r="F1744" s="31">
        <v>21.688499999999998</v>
      </c>
      <c r="G1744" s="31">
        <f t="shared" si="27"/>
        <v>7.7015863499999995</v>
      </c>
      <c r="H1744" s="35"/>
      <c r="I1744" s="31"/>
      <c r="J1744" s="102">
        <v>0</v>
      </c>
    </row>
    <row r="1745" spans="1:10" ht="15.75" hidden="1" thickBot="1" x14ac:dyDescent="0.3">
      <c r="A1745" s="220"/>
      <c r="B1745" s="223"/>
      <c r="C1745" s="36"/>
      <c r="D1745" s="36"/>
      <c r="E1745" s="37"/>
      <c r="F1745" s="31" t="s">
        <v>522</v>
      </c>
      <c r="G1745" s="31" t="str">
        <f t="shared" si="27"/>
        <v/>
      </c>
      <c r="H1745" s="35"/>
      <c r="I1745" s="31"/>
      <c r="J1745" s="102">
        <v>0</v>
      </c>
    </row>
    <row r="1746" spans="1:10" ht="15.75" hidden="1" thickBot="1" x14ac:dyDescent="0.3">
      <c r="A1746" s="218" t="s">
        <v>550</v>
      </c>
      <c r="B1746" s="221" t="e">
        <f>INDEX(#REF!,MATCH(Composições!A1746,#REF!,0),2)</f>
        <v>#REF!</v>
      </c>
      <c r="C1746" s="41"/>
      <c r="D1746" s="26" t="s">
        <v>20</v>
      </c>
      <c r="E1746" s="27"/>
      <c r="F1746" s="42" t="s">
        <v>522</v>
      </c>
      <c r="G1746" s="28" t="str">
        <f t="shared" ref="G1746:G1809" si="28">IF(ISNUMBER(F1746),E1746*F1746,"")</f>
        <v/>
      </c>
      <c r="H1746" s="29"/>
      <c r="I1746" s="30"/>
      <c r="J1746" s="102">
        <v>0</v>
      </c>
    </row>
    <row r="1747" spans="1:10" hidden="1" x14ac:dyDescent="0.25">
      <c r="A1747" s="219"/>
      <c r="B1747" s="237"/>
      <c r="C1747" s="32"/>
      <c r="D1747" s="32"/>
      <c r="E1747" s="33"/>
      <c r="F1747" s="43" t="s">
        <v>522</v>
      </c>
      <c r="G1747" s="31" t="str">
        <f t="shared" si="28"/>
        <v/>
      </c>
      <c r="H1747" s="35"/>
      <c r="I1747" s="31"/>
      <c r="J1747" s="102">
        <v>0</v>
      </c>
    </row>
    <row r="1748" spans="1:10" ht="25.5" hidden="1" x14ac:dyDescent="0.25">
      <c r="A1748" s="219"/>
      <c r="B1748" s="237"/>
      <c r="C1748" s="36" t="s">
        <v>551</v>
      </c>
      <c r="D1748" s="36" t="s">
        <v>144</v>
      </c>
      <c r="E1748" s="37">
        <v>1</v>
      </c>
      <c r="F1748" s="34" t="s">
        <v>522</v>
      </c>
      <c r="G1748" s="31" t="str">
        <f t="shared" si="28"/>
        <v/>
      </c>
      <c r="H1748" s="39">
        <f>SUM(G1748:G1755)</f>
        <v>11.927759199999997</v>
      </c>
      <c r="I1748" s="40"/>
      <c r="J1748" s="102">
        <v>0</v>
      </c>
    </row>
    <row r="1749" spans="1:10" ht="25.5" hidden="1" x14ac:dyDescent="0.25">
      <c r="A1749" s="219"/>
      <c r="B1749" s="237"/>
      <c r="C1749" s="36" t="s">
        <v>2335</v>
      </c>
      <c r="D1749" s="36" t="s">
        <v>144</v>
      </c>
      <c r="E1749" s="37">
        <v>1</v>
      </c>
      <c r="F1749" s="34" t="s">
        <v>522</v>
      </c>
      <c r="G1749" s="31" t="str">
        <f t="shared" si="28"/>
        <v/>
      </c>
      <c r="H1749" s="45"/>
      <c r="I1749" s="46"/>
      <c r="J1749" s="102">
        <v>0</v>
      </c>
    </row>
    <row r="1750" spans="1:10" ht="25.5" hidden="1" x14ac:dyDescent="0.25">
      <c r="A1750" s="219"/>
      <c r="B1750" s="237"/>
      <c r="C1750" s="36" t="s">
        <v>549</v>
      </c>
      <c r="D1750" s="36" t="s">
        <v>144</v>
      </c>
      <c r="E1750" s="37">
        <v>2</v>
      </c>
      <c r="F1750" s="34" t="s">
        <v>522</v>
      </c>
      <c r="G1750" s="31" t="str">
        <f t="shared" si="28"/>
        <v/>
      </c>
      <c r="H1750" s="45"/>
      <c r="I1750" s="46"/>
      <c r="J1750" s="102">
        <v>0</v>
      </c>
    </row>
    <row r="1751" spans="1:10" ht="25.5" hidden="1" x14ac:dyDescent="0.25">
      <c r="A1751" s="219"/>
      <c r="B1751" s="237"/>
      <c r="C1751" s="36" t="s">
        <v>539</v>
      </c>
      <c r="D1751" s="36" t="s">
        <v>93</v>
      </c>
      <c r="E1751" s="37">
        <v>1.5</v>
      </c>
      <c r="F1751" s="34" t="s">
        <v>522</v>
      </c>
      <c r="G1751" s="31" t="str">
        <f t="shared" si="28"/>
        <v/>
      </c>
      <c r="H1751" s="35"/>
      <c r="I1751" s="31"/>
      <c r="J1751" s="102">
        <v>0</v>
      </c>
    </row>
    <row r="1752" spans="1:10" hidden="1" x14ac:dyDescent="0.25">
      <c r="A1752" s="219"/>
      <c r="B1752" s="237"/>
      <c r="C1752" s="36" t="s">
        <v>540</v>
      </c>
      <c r="D1752" s="36" t="s">
        <v>144</v>
      </c>
      <c r="E1752" s="37">
        <v>1</v>
      </c>
      <c r="F1752" s="34" t="s">
        <v>522</v>
      </c>
      <c r="G1752" s="31" t="str">
        <f t="shared" si="28"/>
        <v/>
      </c>
      <c r="H1752" s="35"/>
      <c r="I1752" s="31"/>
      <c r="J1752" s="102">
        <v>0</v>
      </c>
    </row>
    <row r="1753" spans="1:10" hidden="1" x14ac:dyDescent="0.25">
      <c r="A1753" s="219"/>
      <c r="B1753" s="237"/>
      <c r="C1753" s="36" t="s">
        <v>541</v>
      </c>
      <c r="D1753" s="36" t="s">
        <v>144</v>
      </c>
      <c r="E1753" s="37">
        <v>1</v>
      </c>
      <c r="F1753" s="34" t="s">
        <v>522</v>
      </c>
      <c r="G1753" s="31" t="str">
        <f t="shared" si="28"/>
        <v/>
      </c>
      <c r="H1753" s="35"/>
      <c r="I1753" s="31"/>
      <c r="J1753" s="102">
        <v>0</v>
      </c>
    </row>
    <row r="1754" spans="1:10" hidden="1" x14ac:dyDescent="0.25">
      <c r="A1754" s="219"/>
      <c r="B1754" s="237"/>
      <c r="C1754" s="36" t="s">
        <v>74</v>
      </c>
      <c r="D1754" s="36" t="s">
        <v>12</v>
      </c>
      <c r="E1754" s="37">
        <v>0.17269999999999999</v>
      </c>
      <c r="F1754" s="31">
        <v>17.024000000000001</v>
      </c>
      <c r="G1754" s="31">
        <f t="shared" si="28"/>
        <v>2.9400447999999999</v>
      </c>
      <c r="H1754" s="35"/>
      <c r="I1754" s="31"/>
      <c r="J1754" s="102">
        <v>0</v>
      </c>
    </row>
    <row r="1755" spans="1:10" hidden="1" x14ac:dyDescent="0.25">
      <c r="A1755" s="219"/>
      <c r="B1755" s="237"/>
      <c r="C1755" s="36" t="s">
        <v>30</v>
      </c>
      <c r="D1755" s="36" t="s">
        <v>12</v>
      </c>
      <c r="E1755" s="37">
        <v>0.41439999999999999</v>
      </c>
      <c r="F1755" s="31">
        <v>21.688499999999998</v>
      </c>
      <c r="G1755" s="31">
        <f t="shared" si="28"/>
        <v>8.987714399999998</v>
      </c>
      <c r="H1755" s="35"/>
      <c r="I1755" s="31"/>
      <c r="J1755" s="102">
        <v>0</v>
      </c>
    </row>
    <row r="1756" spans="1:10" ht="15.75" hidden="1" thickBot="1" x14ac:dyDescent="0.3">
      <c r="A1756" s="220"/>
      <c r="B1756" s="223"/>
      <c r="C1756" s="36"/>
      <c r="D1756" s="36"/>
      <c r="E1756" s="37"/>
      <c r="F1756" s="31" t="s">
        <v>522</v>
      </c>
      <c r="G1756" s="31" t="str">
        <f t="shared" si="28"/>
        <v/>
      </c>
      <c r="H1756" s="35"/>
      <c r="I1756" s="31"/>
      <c r="J1756" s="102">
        <v>0</v>
      </c>
    </row>
    <row r="1757" spans="1:10" ht="15.75" hidden="1" thickBot="1" x14ac:dyDescent="0.3">
      <c r="A1757" s="218" t="s">
        <v>552</v>
      </c>
      <c r="B1757" s="221" t="e">
        <f>INDEX(#REF!,MATCH(Composições!A1757,#REF!,0),2)</f>
        <v>#REF!</v>
      </c>
      <c r="C1757" s="41"/>
      <c r="D1757" s="26" t="s">
        <v>93</v>
      </c>
      <c r="E1757" s="27"/>
      <c r="F1757" s="42" t="s">
        <v>522</v>
      </c>
      <c r="G1757" s="28" t="str">
        <f t="shared" si="28"/>
        <v/>
      </c>
      <c r="H1757" s="29"/>
      <c r="I1757" s="30"/>
      <c r="J1757" s="102">
        <v>0</v>
      </c>
    </row>
    <row r="1758" spans="1:10" hidden="1" x14ac:dyDescent="0.25">
      <c r="A1758" s="219"/>
      <c r="B1758" s="237"/>
      <c r="C1758" s="32"/>
      <c r="D1758" s="32"/>
      <c r="E1758" s="33"/>
      <c r="F1758" s="43" t="s">
        <v>522</v>
      </c>
      <c r="G1758" s="31" t="str">
        <f t="shared" si="28"/>
        <v/>
      </c>
      <c r="H1758" s="35"/>
      <c r="I1758" s="31"/>
      <c r="J1758" s="102">
        <v>0</v>
      </c>
    </row>
    <row r="1759" spans="1:10" hidden="1" x14ac:dyDescent="0.25">
      <c r="A1759" s="219"/>
      <c r="B1759" s="237"/>
      <c r="C1759" s="36" t="s">
        <v>74</v>
      </c>
      <c r="D1759" s="36" t="s">
        <v>12</v>
      </c>
      <c r="E1759" s="37">
        <v>8.9999999999999993E-3</v>
      </c>
      <c r="F1759" s="31">
        <v>17.024000000000001</v>
      </c>
      <c r="G1759" s="34">
        <f t="shared" si="28"/>
        <v>0.15321599999999999</v>
      </c>
      <c r="H1759" s="39">
        <f>SUM(G1759:G1762)</f>
        <v>0.38318249999999998</v>
      </c>
      <c r="I1759" s="40"/>
      <c r="J1759" s="102">
        <v>0</v>
      </c>
    </row>
    <row r="1760" spans="1:10" hidden="1" x14ac:dyDescent="0.25">
      <c r="A1760" s="219"/>
      <c r="B1760" s="237"/>
      <c r="C1760" s="36" t="s">
        <v>30</v>
      </c>
      <c r="D1760" s="36" t="s">
        <v>12</v>
      </c>
      <c r="E1760" s="37">
        <v>8.9999999999999993E-3</v>
      </c>
      <c r="F1760" s="31">
        <v>21.688499999999998</v>
      </c>
      <c r="G1760" s="34">
        <f t="shared" si="28"/>
        <v>0.19519649999999997</v>
      </c>
      <c r="H1760" s="35"/>
      <c r="I1760" s="31"/>
      <c r="J1760" s="102">
        <v>0</v>
      </c>
    </row>
    <row r="1761" spans="1:10" hidden="1" x14ac:dyDescent="0.25">
      <c r="A1761" s="219"/>
      <c r="B1761" s="237"/>
      <c r="C1761" s="36" t="s">
        <v>553</v>
      </c>
      <c r="D1761" s="36" t="s">
        <v>93</v>
      </c>
      <c r="E1761" s="37">
        <v>1.0269999999999999</v>
      </c>
      <c r="F1761" s="34">
        <v>0</v>
      </c>
      <c r="G1761" s="34">
        <f t="shared" si="28"/>
        <v>0</v>
      </c>
      <c r="H1761" s="35"/>
      <c r="I1761" s="31"/>
      <c r="J1761" s="102">
        <v>0</v>
      </c>
    </row>
    <row r="1762" spans="1:10" hidden="1" x14ac:dyDescent="0.25">
      <c r="A1762" s="219"/>
      <c r="B1762" s="237"/>
      <c r="C1762" s="36" t="s">
        <v>554</v>
      </c>
      <c r="D1762" s="36" t="s">
        <v>20</v>
      </c>
      <c r="E1762" s="37">
        <v>0.01</v>
      </c>
      <c r="F1762" s="34">
        <v>3.4769999999999999</v>
      </c>
      <c r="G1762" s="34">
        <f t="shared" si="28"/>
        <v>3.4770000000000002E-2</v>
      </c>
      <c r="H1762" s="35"/>
      <c r="I1762" s="31"/>
      <c r="J1762" s="102">
        <v>0</v>
      </c>
    </row>
    <row r="1763" spans="1:10" ht="15.75" hidden="1" thickBot="1" x14ac:dyDescent="0.3">
      <c r="A1763" s="220"/>
      <c r="B1763" s="223"/>
      <c r="C1763" s="36"/>
      <c r="D1763" s="36"/>
      <c r="E1763" s="37"/>
      <c r="F1763" s="31" t="s">
        <v>522</v>
      </c>
      <c r="G1763" s="31" t="str">
        <f t="shared" si="28"/>
        <v/>
      </c>
      <c r="H1763" s="35"/>
      <c r="I1763" s="31"/>
      <c r="J1763" s="102">
        <v>0</v>
      </c>
    </row>
    <row r="1764" spans="1:10" ht="15.75" hidden="1" thickBot="1" x14ac:dyDescent="0.3">
      <c r="A1764" s="218" t="s">
        <v>555</v>
      </c>
      <c r="B1764" s="221" t="e">
        <f>INDEX(#REF!,MATCH(Composições!A1764,#REF!,0),2)</f>
        <v>#REF!</v>
      </c>
      <c r="C1764" s="41"/>
      <c r="D1764" s="26" t="s">
        <v>93</v>
      </c>
      <c r="E1764" s="27"/>
      <c r="F1764" s="42" t="s">
        <v>522</v>
      </c>
      <c r="G1764" s="28" t="str">
        <f t="shared" si="28"/>
        <v/>
      </c>
      <c r="H1764" s="29"/>
      <c r="I1764" s="30"/>
      <c r="J1764" s="102">
        <v>0</v>
      </c>
    </row>
    <row r="1765" spans="1:10" hidden="1" x14ac:dyDescent="0.25">
      <c r="A1765" s="219"/>
      <c r="B1765" s="237"/>
      <c r="C1765" s="32"/>
      <c r="D1765" s="32"/>
      <c r="E1765" s="33"/>
      <c r="F1765" s="43" t="s">
        <v>522</v>
      </c>
      <c r="G1765" s="31" t="str">
        <f t="shared" si="28"/>
        <v/>
      </c>
      <c r="H1765" s="35"/>
      <c r="I1765" s="31"/>
      <c r="J1765" s="102">
        <v>0</v>
      </c>
    </row>
    <row r="1766" spans="1:10" hidden="1" x14ac:dyDescent="0.25">
      <c r="A1766" s="219"/>
      <c r="B1766" s="237"/>
      <c r="C1766" s="36" t="s">
        <v>74</v>
      </c>
      <c r="D1766" s="36" t="s">
        <v>12</v>
      </c>
      <c r="E1766" s="37">
        <v>1.2999999999999999E-2</v>
      </c>
      <c r="F1766" s="31">
        <v>17.024000000000001</v>
      </c>
      <c r="G1766" s="34">
        <f t="shared" si="28"/>
        <v>0.22131200000000001</v>
      </c>
      <c r="H1766" s="39">
        <f>SUM(G1766:G1769)</f>
        <v>1.5136824999999998</v>
      </c>
      <c r="I1766" s="40"/>
      <c r="J1766" s="102">
        <v>0</v>
      </c>
    </row>
    <row r="1767" spans="1:10" hidden="1" x14ac:dyDescent="0.25">
      <c r="A1767" s="219"/>
      <c r="B1767" s="237"/>
      <c r="C1767" s="36" t="s">
        <v>30</v>
      </c>
      <c r="D1767" s="36" t="s">
        <v>12</v>
      </c>
      <c r="E1767" s="37">
        <v>1.2999999999999999E-2</v>
      </c>
      <c r="F1767" s="31">
        <v>21.688499999999998</v>
      </c>
      <c r="G1767" s="34">
        <f t="shared" si="28"/>
        <v>0.28195049999999994</v>
      </c>
      <c r="H1767" s="35"/>
      <c r="I1767" s="31"/>
      <c r="J1767" s="102">
        <v>0</v>
      </c>
    </row>
    <row r="1768" spans="1:10" hidden="1" x14ac:dyDescent="0.25">
      <c r="A1768" s="219"/>
      <c r="B1768" s="237"/>
      <c r="C1768" s="36" t="s">
        <v>556</v>
      </c>
      <c r="D1768" s="36" t="s">
        <v>93</v>
      </c>
      <c r="E1768" s="37">
        <v>1.0269999999999999</v>
      </c>
      <c r="F1768" s="34">
        <v>0.95</v>
      </c>
      <c r="G1768" s="34">
        <f t="shared" si="28"/>
        <v>0.97564999999999991</v>
      </c>
      <c r="H1768" s="35"/>
      <c r="I1768" s="31"/>
      <c r="J1768" s="102">
        <v>0</v>
      </c>
    </row>
    <row r="1769" spans="1:10" hidden="1" x14ac:dyDescent="0.25">
      <c r="A1769" s="219"/>
      <c r="B1769" s="237"/>
      <c r="C1769" s="36" t="s">
        <v>554</v>
      </c>
      <c r="D1769" s="36" t="s">
        <v>20</v>
      </c>
      <c r="E1769" s="37">
        <v>0.01</v>
      </c>
      <c r="F1769" s="34">
        <v>3.4769999999999999</v>
      </c>
      <c r="G1769" s="34">
        <f t="shared" si="28"/>
        <v>3.4770000000000002E-2</v>
      </c>
      <c r="H1769" s="35"/>
      <c r="I1769" s="31"/>
      <c r="J1769" s="102">
        <v>0</v>
      </c>
    </row>
    <row r="1770" spans="1:10" ht="15.75" hidden="1" thickBot="1" x14ac:dyDescent="0.3">
      <c r="A1770" s="220"/>
      <c r="B1770" s="223"/>
      <c r="C1770" s="36"/>
      <c r="D1770" s="36"/>
      <c r="E1770" s="37"/>
      <c r="F1770" s="31" t="s">
        <v>522</v>
      </c>
      <c r="G1770" s="31" t="str">
        <f t="shared" si="28"/>
        <v/>
      </c>
      <c r="H1770" s="35"/>
      <c r="I1770" s="31"/>
      <c r="J1770" s="102">
        <v>0</v>
      </c>
    </row>
    <row r="1771" spans="1:10" ht="15.75" hidden="1" thickBot="1" x14ac:dyDescent="0.3">
      <c r="A1771" s="218" t="s">
        <v>557</v>
      </c>
      <c r="B1771" s="221" t="e">
        <f>INDEX(#REF!,MATCH(Composições!A1771,#REF!,0),2)</f>
        <v>#REF!</v>
      </c>
      <c r="C1771" s="41"/>
      <c r="D1771" s="26" t="s">
        <v>93</v>
      </c>
      <c r="E1771" s="27"/>
      <c r="F1771" s="42" t="s">
        <v>522</v>
      </c>
      <c r="G1771" s="28" t="str">
        <f t="shared" si="28"/>
        <v/>
      </c>
      <c r="H1771" s="29"/>
      <c r="I1771" s="30"/>
      <c r="J1771" s="102">
        <v>0</v>
      </c>
    </row>
    <row r="1772" spans="1:10" hidden="1" x14ac:dyDescent="0.25">
      <c r="A1772" s="219"/>
      <c r="B1772" s="237"/>
      <c r="C1772" s="32"/>
      <c r="D1772" s="32"/>
      <c r="E1772" s="33"/>
      <c r="F1772" s="43" t="s">
        <v>522</v>
      </c>
      <c r="G1772" s="31" t="str">
        <f t="shared" si="28"/>
        <v/>
      </c>
      <c r="H1772" s="35"/>
      <c r="I1772" s="31"/>
      <c r="J1772" s="102">
        <v>0</v>
      </c>
    </row>
    <row r="1773" spans="1:10" hidden="1" x14ac:dyDescent="0.25">
      <c r="A1773" s="219"/>
      <c r="B1773" s="237"/>
      <c r="C1773" s="36" t="s">
        <v>74</v>
      </c>
      <c r="D1773" s="36" t="s">
        <v>12</v>
      </c>
      <c r="E1773" s="37">
        <v>0.03</v>
      </c>
      <c r="F1773" s="31">
        <v>17.024000000000001</v>
      </c>
      <c r="G1773" s="34">
        <f t="shared" si="28"/>
        <v>0.51072000000000006</v>
      </c>
      <c r="H1773" s="39">
        <f>SUM(G1773:G1776)</f>
        <v>1.1926680000000001</v>
      </c>
      <c r="I1773" s="40"/>
      <c r="J1773" s="102">
        <v>0</v>
      </c>
    </row>
    <row r="1774" spans="1:10" hidden="1" x14ac:dyDescent="0.25">
      <c r="A1774" s="219"/>
      <c r="B1774" s="237"/>
      <c r="C1774" s="36" t="s">
        <v>30</v>
      </c>
      <c r="D1774" s="36" t="s">
        <v>12</v>
      </c>
      <c r="E1774" s="37">
        <v>0.03</v>
      </c>
      <c r="F1774" s="31">
        <v>21.688499999999998</v>
      </c>
      <c r="G1774" s="34">
        <f t="shared" si="28"/>
        <v>0.65065499999999987</v>
      </c>
      <c r="H1774" s="35"/>
      <c r="I1774" s="31"/>
      <c r="J1774" s="102">
        <v>0</v>
      </c>
    </row>
    <row r="1775" spans="1:10" ht="25.5" hidden="1" x14ac:dyDescent="0.25">
      <c r="A1775" s="219"/>
      <c r="B1775" s="237"/>
      <c r="C1775" s="36" t="s">
        <v>558</v>
      </c>
      <c r="D1775" s="36" t="s">
        <v>93</v>
      </c>
      <c r="E1775" s="37">
        <v>1.19</v>
      </c>
      <c r="F1775" s="34" t="s">
        <v>522</v>
      </c>
      <c r="G1775" s="34" t="str">
        <f t="shared" si="28"/>
        <v/>
      </c>
      <c r="H1775" s="35"/>
      <c r="I1775" s="31"/>
      <c r="J1775" s="102">
        <v>0</v>
      </c>
    </row>
    <row r="1776" spans="1:10" hidden="1" x14ac:dyDescent="0.25">
      <c r="A1776" s="219"/>
      <c r="B1776" s="237"/>
      <c r="C1776" s="36" t="s">
        <v>554</v>
      </c>
      <c r="D1776" s="36" t="s">
        <v>20</v>
      </c>
      <c r="E1776" s="37">
        <v>8.9999999999999993E-3</v>
      </c>
      <c r="F1776" s="34">
        <v>3.4769999999999999</v>
      </c>
      <c r="G1776" s="34">
        <f t="shared" si="28"/>
        <v>3.1292999999999994E-2</v>
      </c>
      <c r="H1776" s="35"/>
      <c r="I1776" s="31"/>
      <c r="J1776" s="102">
        <v>0</v>
      </c>
    </row>
    <row r="1777" spans="1:10" ht="15.75" hidden="1" thickBot="1" x14ac:dyDescent="0.3">
      <c r="A1777" s="220"/>
      <c r="B1777" s="223"/>
      <c r="C1777" s="36"/>
      <c r="D1777" s="36"/>
      <c r="E1777" s="37"/>
      <c r="F1777" s="31" t="s">
        <v>522</v>
      </c>
      <c r="G1777" s="31" t="str">
        <f t="shared" si="28"/>
        <v/>
      </c>
      <c r="H1777" s="35"/>
      <c r="I1777" s="31"/>
      <c r="J1777" s="102">
        <v>0</v>
      </c>
    </row>
    <row r="1778" spans="1:10" ht="15.75" hidden="1" thickBot="1" x14ac:dyDescent="0.3">
      <c r="A1778" s="218" t="s">
        <v>559</v>
      </c>
      <c r="B1778" s="221" t="e">
        <f>INDEX(#REF!,MATCH(Composições!A1778,#REF!,0),2)</f>
        <v>#REF!</v>
      </c>
      <c r="C1778" s="41"/>
      <c r="D1778" s="26" t="s">
        <v>93</v>
      </c>
      <c r="E1778" s="27"/>
      <c r="F1778" s="42" t="s">
        <v>522</v>
      </c>
      <c r="G1778" s="28" t="str">
        <f t="shared" si="28"/>
        <v/>
      </c>
      <c r="H1778" s="29"/>
      <c r="I1778" s="30"/>
      <c r="J1778" s="102">
        <v>0</v>
      </c>
    </row>
    <row r="1779" spans="1:10" hidden="1" x14ac:dyDescent="0.25">
      <c r="A1779" s="219"/>
      <c r="B1779" s="237"/>
      <c r="C1779" s="32"/>
      <c r="D1779" s="32"/>
      <c r="E1779" s="33"/>
      <c r="F1779" s="43" t="s">
        <v>522</v>
      </c>
      <c r="G1779" s="31" t="str">
        <f t="shared" si="28"/>
        <v/>
      </c>
      <c r="H1779" s="35"/>
      <c r="I1779" s="31"/>
      <c r="J1779" s="102">
        <v>0</v>
      </c>
    </row>
    <row r="1780" spans="1:10" hidden="1" x14ac:dyDescent="0.25">
      <c r="A1780" s="219"/>
      <c r="B1780" s="237"/>
      <c r="C1780" s="36" t="s">
        <v>74</v>
      </c>
      <c r="D1780" s="36" t="s">
        <v>12</v>
      </c>
      <c r="E1780" s="37">
        <v>5.1999999999999998E-2</v>
      </c>
      <c r="F1780" s="31">
        <v>17.024000000000001</v>
      </c>
      <c r="G1780" s="34">
        <f t="shared" si="28"/>
        <v>0.88524800000000003</v>
      </c>
      <c r="H1780" s="39">
        <f>SUM(G1780:G1783)</f>
        <v>2.0443429999999996</v>
      </c>
      <c r="I1780" s="40"/>
      <c r="J1780" s="102">
        <v>0</v>
      </c>
    </row>
    <row r="1781" spans="1:10" hidden="1" x14ac:dyDescent="0.25">
      <c r="A1781" s="219"/>
      <c r="B1781" s="237"/>
      <c r="C1781" s="36" t="s">
        <v>30</v>
      </c>
      <c r="D1781" s="36" t="s">
        <v>12</v>
      </c>
      <c r="E1781" s="37">
        <v>5.1999999999999998E-2</v>
      </c>
      <c r="F1781" s="31">
        <v>21.688499999999998</v>
      </c>
      <c r="G1781" s="34">
        <f t="shared" si="28"/>
        <v>1.1278019999999997</v>
      </c>
      <c r="H1781" s="35"/>
      <c r="I1781" s="31"/>
      <c r="J1781" s="102">
        <v>0</v>
      </c>
    </row>
    <row r="1782" spans="1:10" ht="25.5" hidden="1" x14ac:dyDescent="0.25">
      <c r="A1782" s="219"/>
      <c r="B1782" s="237"/>
      <c r="C1782" s="36" t="s">
        <v>560</v>
      </c>
      <c r="D1782" s="36" t="s">
        <v>93</v>
      </c>
      <c r="E1782" s="37">
        <v>1.19</v>
      </c>
      <c r="F1782" s="34" t="s">
        <v>522</v>
      </c>
      <c r="G1782" s="34" t="str">
        <f t="shared" si="28"/>
        <v/>
      </c>
      <c r="H1782" s="35"/>
      <c r="I1782" s="31"/>
      <c r="J1782" s="102">
        <v>0</v>
      </c>
    </row>
    <row r="1783" spans="1:10" hidden="1" x14ac:dyDescent="0.25">
      <c r="A1783" s="219"/>
      <c r="B1783" s="237"/>
      <c r="C1783" s="36" t="s">
        <v>554</v>
      </c>
      <c r="D1783" s="36" t="s">
        <v>20</v>
      </c>
      <c r="E1783" s="37">
        <v>8.9999999999999993E-3</v>
      </c>
      <c r="F1783" s="34">
        <v>3.4769999999999999</v>
      </c>
      <c r="G1783" s="34">
        <f t="shared" si="28"/>
        <v>3.1292999999999994E-2</v>
      </c>
      <c r="H1783" s="35"/>
      <c r="I1783" s="31"/>
      <c r="J1783" s="102">
        <v>0</v>
      </c>
    </row>
    <row r="1784" spans="1:10" ht="15.75" hidden="1" thickBot="1" x14ac:dyDescent="0.3">
      <c r="A1784" s="220"/>
      <c r="B1784" s="223"/>
      <c r="C1784" s="36"/>
      <c r="D1784" s="36"/>
      <c r="E1784" s="37"/>
      <c r="F1784" s="31" t="s">
        <v>522</v>
      </c>
      <c r="G1784" s="31" t="str">
        <f t="shared" si="28"/>
        <v/>
      </c>
      <c r="H1784" s="35"/>
      <c r="I1784" s="31"/>
      <c r="J1784" s="102">
        <v>0</v>
      </c>
    </row>
    <row r="1785" spans="1:10" ht="15.75" hidden="1" thickBot="1" x14ac:dyDescent="0.3">
      <c r="A1785" s="218" t="s">
        <v>561</v>
      </c>
      <c r="B1785" s="221" t="e">
        <f>INDEX(#REF!,MATCH(Composições!A1785,#REF!,0),2)</f>
        <v>#REF!</v>
      </c>
      <c r="C1785" s="41"/>
      <c r="D1785" s="26" t="s">
        <v>93</v>
      </c>
      <c r="E1785" s="27"/>
      <c r="F1785" s="42" t="s">
        <v>522</v>
      </c>
      <c r="G1785" s="28" t="str">
        <f t="shared" si="28"/>
        <v/>
      </c>
      <c r="H1785" s="29"/>
      <c r="I1785" s="30"/>
      <c r="J1785" s="102">
        <v>0</v>
      </c>
    </row>
    <row r="1786" spans="1:10" hidden="1" x14ac:dyDescent="0.25">
      <c r="A1786" s="219"/>
      <c r="B1786" s="237"/>
      <c r="C1786" s="32"/>
      <c r="D1786" s="32"/>
      <c r="E1786" s="33"/>
      <c r="F1786" s="43" t="s">
        <v>522</v>
      </c>
      <c r="G1786" s="31" t="str">
        <f t="shared" si="28"/>
        <v/>
      </c>
      <c r="H1786" s="35"/>
      <c r="I1786" s="31"/>
      <c r="J1786" s="102">
        <v>0</v>
      </c>
    </row>
    <row r="1787" spans="1:10" hidden="1" x14ac:dyDescent="0.25">
      <c r="A1787" s="219"/>
      <c r="B1787" s="237"/>
      <c r="C1787" s="36" t="s">
        <v>74</v>
      </c>
      <c r="D1787" s="36" t="s">
        <v>12</v>
      </c>
      <c r="E1787" s="37">
        <v>0.04</v>
      </c>
      <c r="F1787" s="31">
        <v>17.024000000000001</v>
      </c>
      <c r="G1787" s="34">
        <f t="shared" si="28"/>
        <v>0.68096000000000001</v>
      </c>
      <c r="H1787" s="39">
        <f>SUM(G1787:G1790)</f>
        <v>1.579793</v>
      </c>
      <c r="I1787" s="40"/>
      <c r="J1787" s="102">
        <v>0</v>
      </c>
    </row>
    <row r="1788" spans="1:10" hidden="1" x14ac:dyDescent="0.25">
      <c r="A1788" s="219"/>
      <c r="B1788" s="237"/>
      <c r="C1788" s="36" t="s">
        <v>30</v>
      </c>
      <c r="D1788" s="36" t="s">
        <v>12</v>
      </c>
      <c r="E1788" s="37">
        <v>0.04</v>
      </c>
      <c r="F1788" s="31">
        <v>21.688499999999998</v>
      </c>
      <c r="G1788" s="34">
        <f t="shared" si="28"/>
        <v>0.86753999999999998</v>
      </c>
      <c r="H1788" s="35"/>
      <c r="I1788" s="31"/>
      <c r="J1788" s="102">
        <v>0</v>
      </c>
    </row>
    <row r="1789" spans="1:10" ht="25.5" hidden="1" x14ac:dyDescent="0.25">
      <c r="A1789" s="219"/>
      <c r="B1789" s="237"/>
      <c r="C1789" s="36" t="s">
        <v>562</v>
      </c>
      <c r="D1789" s="36" t="s">
        <v>93</v>
      </c>
      <c r="E1789" s="37">
        <v>1.19</v>
      </c>
      <c r="F1789" s="34" t="s">
        <v>522</v>
      </c>
      <c r="G1789" s="34" t="str">
        <f t="shared" si="28"/>
        <v/>
      </c>
      <c r="H1789" s="35"/>
      <c r="I1789" s="31"/>
      <c r="J1789" s="102">
        <v>0</v>
      </c>
    </row>
    <row r="1790" spans="1:10" hidden="1" x14ac:dyDescent="0.25">
      <c r="A1790" s="219"/>
      <c r="B1790" s="237"/>
      <c r="C1790" s="36" t="s">
        <v>554</v>
      </c>
      <c r="D1790" s="36" t="s">
        <v>20</v>
      </c>
      <c r="E1790" s="37">
        <v>8.9999999999999993E-3</v>
      </c>
      <c r="F1790" s="34">
        <v>3.4769999999999999</v>
      </c>
      <c r="G1790" s="34">
        <f t="shared" si="28"/>
        <v>3.1292999999999994E-2</v>
      </c>
      <c r="H1790" s="35"/>
      <c r="I1790" s="31"/>
      <c r="J1790" s="102">
        <v>0</v>
      </c>
    </row>
    <row r="1791" spans="1:10" ht="15.75" hidden="1" thickBot="1" x14ac:dyDescent="0.3">
      <c r="A1791" s="220"/>
      <c r="B1791" s="223"/>
      <c r="C1791" s="36"/>
      <c r="D1791" s="36"/>
      <c r="E1791" s="37"/>
      <c r="F1791" s="31" t="s">
        <v>522</v>
      </c>
      <c r="G1791" s="31" t="str">
        <f t="shared" si="28"/>
        <v/>
      </c>
      <c r="H1791" s="35"/>
      <c r="I1791" s="31"/>
      <c r="J1791" s="102">
        <v>0</v>
      </c>
    </row>
    <row r="1792" spans="1:10" ht="15.75" hidden="1" thickBot="1" x14ac:dyDescent="0.3">
      <c r="A1792" s="218" t="s">
        <v>563</v>
      </c>
      <c r="B1792" s="221" t="e">
        <f>INDEX(#REF!,MATCH(Composições!A1792,#REF!,0),2)</f>
        <v>#REF!</v>
      </c>
      <c r="C1792" s="41"/>
      <c r="D1792" s="26" t="s">
        <v>93</v>
      </c>
      <c r="E1792" s="27"/>
      <c r="F1792" s="42" t="s">
        <v>522</v>
      </c>
      <c r="G1792" s="28" t="str">
        <f t="shared" si="28"/>
        <v/>
      </c>
      <c r="H1792" s="29"/>
      <c r="I1792" s="30"/>
      <c r="J1792" s="102">
        <v>0</v>
      </c>
    </row>
    <row r="1793" spans="1:10" hidden="1" x14ac:dyDescent="0.25">
      <c r="A1793" s="219"/>
      <c r="B1793" s="237"/>
      <c r="C1793" s="32"/>
      <c r="D1793" s="32"/>
      <c r="E1793" s="33"/>
      <c r="F1793" s="43" t="s">
        <v>522</v>
      </c>
      <c r="G1793" s="31" t="str">
        <f t="shared" si="28"/>
        <v/>
      </c>
      <c r="H1793" s="35"/>
      <c r="I1793" s="31"/>
      <c r="J1793" s="102">
        <v>0</v>
      </c>
    </row>
    <row r="1794" spans="1:10" hidden="1" x14ac:dyDescent="0.25">
      <c r="A1794" s="219"/>
      <c r="B1794" s="237"/>
      <c r="C1794" s="36" t="s">
        <v>74</v>
      </c>
      <c r="D1794" s="36" t="s">
        <v>12</v>
      </c>
      <c r="E1794" s="37">
        <v>8.9999999999999993E-3</v>
      </c>
      <c r="F1794" s="31">
        <v>17.024000000000001</v>
      </c>
      <c r="G1794" s="34">
        <f t="shared" si="28"/>
        <v>0.15321599999999999</v>
      </c>
      <c r="H1794" s="39">
        <f>SUM(G1794:G1797)</f>
        <v>0.38318249999999998</v>
      </c>
      <c r="I1794" s="40"/>
      <c r="J1794" s="102">
        <v>0</v>
      </c>
    </row>
    <row r="1795" spans="1:10" hidden="1" x14ac:dyDescent="0.25">
      <c r="A1795" s="219"/>
      <c r="B1795" s="237"/>
      <c r="C1795" s="36" t="s">
        <v>30</v>
      </c>
      <c r="D1795" s="36" t="s">
        <v>12</v>
      </c>
      <c r="E1795" s="37">
        <v>8.9999999999999993E-3</v>
      </c>
      <c r="F1795" s="31">
        <v>21.688499999999998</v>
      </c>
      <c r="G1795" s="34">
        <f t="shared" si="28"/>
        <v>0.19519649999999997</v>
      </c>
      <c r="H1795" s="35"/>
      <c r="I1795" s="31"/>
      <c r="J1795" s="102">
        <v>0</v>
      </c>
    </row>
    <row r="1796" spans="1:10" ht="25.5" hidden="1" x14ac:dyDescent="0.25">
      <c r="A1796" s="219"/>
      <c r="B1796" s="237"/>
      <c r="C1796" s="36" t="s">
        <v>564</v>
      </c>
      <c r="D1796" s="36" t="s">
        <v>93</v>
      </c>
      <c r="E1796" s="37">
        <v>1.0269999999999999</v>
      </c>
      <c r="F1796" s="34" t="s">
        <v>522</v>
      </c>
      <c r="G1796" s="34" t="str">
        <f t="shared" si="28"/>
        <v/>
      </c>
      <c r="H1796" s="35"/>
      <c r="I1796" s="31"/>
      <c r="J1796" s="102">
        <v>0</v>
      </c>
    </row>
    <row r="1797" spans="1:10" hidden="1" x14ac:dyDescent="0.25">
      <c r="A1797" s="219"/>
      <c r="B1797" s="237"/>
      <c r="C1797" s="36" t="s">
        <v>554</v>
      </c>
      <c r="D1797" s="36" t="s">
        <v>20</v>
      </c>
      <c r="E1797" s="37">
        <v>0.01</v>
      </c>
      <c r="F1797" s="34">
        <v>3.4769999999999999</v>
      </c>
      <c r="G1797" s="34">
        <f t="shared" si="28"/>
        <v>3.4770000000000002E-2</v>
      </c>
      <c r="H1797" s="35"/>
      <c r="I1797" s="31"/>
      <c r="J1797" s="102">
        <v>0</v>
      </c>
    </row>
    <row r="1798" spans="1:10" ht="15.75" hidden="1" thickBot="1" x14ac:dyDescent="0.3">
      <c r="A1798" s="220"/>
      <c r="B1798" s="223"/>
      <c r="C1798" s="36"/>
      <c r="D1798" s="36"/>
      <c r="E1798" s="37"/>
      <c r="F1798" s="31" t="s">
        <v>522</v>
      </c>
      <c r="G1798" s="31" t="str">
        <f t="shared" si="28"/>
        <v/>
      </c>
      <c r="H1798" s="35"/>
      <c r="I1798" s="31"/>
      <c r="J1798" s="102">
        <v>0</v>
      </c>
    </row>
    <row r="1799" spans="1:10" ht="15.75" hidden="1" thickBot="1" x14ac:dyDescent="0.3">
      <c r="A1799" s="218" t="s">
        <v>565</v>
      </c>
      <c r="B1799" s="221" t="e">
        <f>INDEX(#REF!,MATCH(Composições!A1799,#REF!,0),2)</f>
        <v>#REF!</v>
      </c>
      <c r="C1799" s="41"/>
      <c r="D1799" s="26" t="s">
        <v>93</v>
      </c>
      <c r="E1799" s="27"/>
      <c r="F1799" s="42" t="s">
        <v>522</v>
      </c>
      <c r="G1799" s="28" t="str">
        <f t="shared" si="28"/>
        <v/>
      </c>
      <c r="H1799" s="29"/>
      <c r="I1799" s="30"/>
      <c r="J1799" s="102">
        <v>0</v>
      </c>
    </row>
    <row r="1800" spans="1:10" hidden="1" x14ac:dyDescent="0.25">
      <c r="A1800" s="219"/>
      <c r="B1800" s="237"/>
      <c r="C1800" s="32"/>
      <c r="D1800" s="32"/>
      <c r="E1800" s="33"/>
      <c r="F1800" s="43" t="s">
        <v>522</v>
      </c>
      <c r="G1800" s="31" t="str">
        <f t="shared" si="28"/>
        <v/>
      </c>
      <c r="H1800" s="35"/>
      <c r="I1800" s="31"/>
      <c r="J1800" s="102">
        <v>0</v>
      </c>
    </row>
    <row r="1801" spans="1:10" hidden="1" x14ac:dyDescent="0.25">
      <c r="A1801" s="219"/>
      <c r="B1801" s="237"/>
      <c r="C1801" s="36" t="s">
        <v>74</v>
      </c>
      <c r="D1801" s="36" t="s">
        <v>12</v>
      </c>
      <c r="E1801" s="37">
        <v>5.1999999999999998E-2</v>
      </c>
      <c r="F1801" s="31">
        <v>17.024000000000001</v>
      </c>
      <c r="G1801" s="31">
        <f t="shared" si="28"/>
        <v>0.88524800000000003</v>
      </c>
      <c r="H1801" s="39">
        <f>SUM(G1801:G1804)</f>
        <v>2.0443429999999996</v>
      </c>
      <c r="I1801" s="40"/>
      <c r="J1801" s="102">
        <v>0</v>
      </c>
    </row>
    <row r="1802" spans="1:10" hidden="1" x14ac:dyDescent="0.25">
      <c r="A1802" s="219"/>
      <c r="B1802" s="237"/>
      <c r="C1802" s="36" t="s">
        <v>30</v>
      </c>
      <c r="D1802" s="36" t="s">
        <v>12</v>
      </c>
      <c r="E1802" s="37">
        <v>5.1999999999999998E-2</v>
      </c>
      <c r="F1802" s="31">
        <v>21.688499999999998</v>
      </c>
      <c r="G1802" s="31">
        <f t="shared" si="28"/>
        <v>1.1278019999999997</v>
      </c>
      <c r="H1802" s="35"/>
      <c r="I1802" s="31"/>
      <c r="J1802" s="102">
        <v>0</v>
      </c>
    </row>
    <row r="1803" spans="1:10" ht="25.5" hidden="1" x14ac:dyDescent="0.25">
      <c r="A1803" s="219"/>
      <c r="B1803" s="237"/>
      <c r="C1803" s="36" t="s">
        <v>566</v>
      </c>
      <c r="D1803" s="36" t="s">
        <v>93</v>
      </c>
      <c r="E1803" s="37">
        <v>1.19</v>
      </c>
      <c r="F1803" s="34" t="s">
        <v>522</v>
      </c>
      <c r="G1803" s="31" t="str">
        <f t="shared" si="28"/>
        <v/>
      </c>
      <c r="H1803" s="35"/>
      <c r="I1803" s="31"/>
      <c r="J1803" s="102">
        <v>0</v>
      </c>
    </row>
    <row r="1804" spans="1:10" hidden="1" x14ac:dyDescent="0.25">
      <c r="A1804" s="219"/>
      <c r="B1804" s="237"/>
      <c r="C1804" s="36" t="s">
        <v>554</v>
      </c>
      <c r="D1804" s="36" t="s">
        <v>20</v>
      </c>
      <c r="E1804" s="37">
        <v>8.9999999999999993E-3</v>
      </c>
      <c r="F1804" s="34">
        <v>3.4769999999999999</v>
      </c>
      <c r="G1804" s="31">
        <f t="shared" si="28"/>
        <v>3.1292999999999994E-2</v>
      </c>
      <c r="H1804" s="35"/>
      <c r="I1804" s="31"/>
      <c r="J1804" s="102">
        <v>0</v>
      </c>
    </row>
    <row r="1805" spans="1:10" ht="15.75" hidden="1" thickBot="1" x14ac:dyDescent="0.3">
      <c r="A1805" s="220"/>
      <c r="B1805" s="223"/>
      <c r="C1805" s="36"/>
      <c r="D1805" s="36"/>
      <c r="E1805" s="37"/>
      <c r="F1805" s="31" t="s">
        <v>522</v>
      </c>
      <c r="G1805" s="31" t="str">
        <f t="shared" si="28"/>
        <v/>
      </c>
      <c r="H1805" s="35"/>
      <c r="I1805" s="31"/>
      <c r="J1805" s="102">
        <v>0</v>
      </c>
    </row>
    <row r="1806" spans="1:10" ht="15.75" hidden="1" thickBot="1" x14ac:dyDescent="0.3">
      <c r="A1806" s="218" t="s">
        <v>567</v>
      </c>
      <c r="B1806" s="221" t="e">
        <f>INDEX(#REF!,MATCH(Composições!A1806,#REF!,0),2)</f>
        <v>#REF!</v>
      </c>
      <c r="C1806" s="41"/>
      <c r="D1806" s="26" t="s">
        <v>20</v>
      </c>
      <c r="E1806" s="27"/>
      <c r="F1806" s="42" t="s">
        <v>522</v>
      </c>
      <c r="G1806" s="28" t="str">
        <f t="shared" si="28"/>
        <v/>
      </c>
      <c r="H1806" s="29"/>
      <c r="I1806" s="30"/>
      <c r="J1806" s="102">
        <v>0</v>
      </c>
    </row>
    <row r="1807" spans="1:10" hidden="1" x14ac:dyDescent="0.25">
      <c r="A1807" s="219"/>
      <c r="B1807" s="237"/>
      <c r="C1807" s="32"/>
      <c r="D1807" s="32"/>
      <c r="E1807" s="33"/>
      <c r="F1807" s="43" t="s">
        <v>522</v>
      </c>
      <c r="G1807" s="31" t="str">
        <f t="shared" si="28"/>
        <v/>
      </c>
      <c r="H1807" s="35"/>
      <c r="I1807" s="31"/>
      <c r="J1807" s="102">
        <v>0</v>
      </c>
    </row>
    <row r="1808" spans="1:10" ht="51" hidden="1" x14ac:dyDescent="0.25">
      <c r="A1808" s="219"/>
      <c r="B1808" s="237"/>
      <c r="C1808" s="36" t="s">
        <v>568</v>
      </c>
      <c r="D1808" s="47" t="s">
        <v>20</v>
      </c>
      <c r="E1808" s="37">
        <v>1</v>
      </c>
      <c r="F1808" s="34" t="s">
        <v>522</v>
      </c>
      <c r="G1808" s="31" t="str">
        <f t="shared" si="28"/>
        <v/>
      </c>
      <c r="H1808" s="39">
        <f>SUM(G1808:G1811)</f>
        <v>37.450265560937595</v>
      </c>
      <c r="I1808" s="40"/>
      <c r="J1808" s="102">
        <v>0</v>
      </c>
    </row>
    <row r="1809" spans="1:10" ht="38.25" hidden="1" x14ac:dyDescent="0.25">
      <c r="A1809" s="219"/>
      <c r="B1809" s="237"/>
      <c r="C1809" s="36" t="s">
        <v>1678</v>
      </c>
      <c r="D1809" s="47" t="s">
        <v>120</v>
      </c>
      <c r="E1809" s="37">
        <v>1.9199999999999998E-2</v>
      </c>
      <c r="F1809" s="31">
        <v>672.82053702799999</v>
      </c>
      <c r="G1809" s="31">
        <f t="shared" si="28"/>
        <v>12.918154310937599</v>
      </c>
      <c r="H1809" s="35"/>
      <c r="I1809" s="31"/>
      <c r="J1809" s="102">
        <v>0</v>
      </c>
    </row>
    <row r="1810" spans="1:10" hidden="1" x14ac:dyDescent="0.25">
      <c r="A1810" s="219"/>
      <c r="B1810" s="237"/>
      <c r="C1810" s="36" t="s">
        <v>74</v>
      </c>
      <c r="D1810" s="47" t="s">
        <v>12</v>
      </c>
      <c r="E1810" s="37">
        <v>0.63370000000000004</v>
      </c>
      <c r="F1810" s="31">
        <v>17.024000000000001</v>
      </c>
      <c r="G1810" s="31">
        <f t="shared" ref="G1810:G1873" si="29">IF(ISNUMBER(F1810),E1810*F1810,"")</f>
        <v>10.788108800000002</v>
      </c>
      <c r="H1810" s="35"/>
      <c r="I1810" s="31"/>
      <c r="J1810" s="102">
        <v>0</v>
      </c>
    </row>
    <row r="1811" spans="1:10" hidden="1" x14ac:dyDescent="0.25">
      <c r="A1811" s="219"/>
      <c r="B1811" s="237"/>
      <c r="C1811" s="36" t="s">
        <v>30</v>
      </c>
      <c r="D1811" s="47" t="s">
        <v>12</v>
      </c>
      <c r="E1811" s="37">
        <v>0.63370000000000004</v>
      </c>
      <c r="F1811" s="31">
        <v>21.688499999999998</v>
      </c>
      <c r="G1811" s="34">
        <f t="shared" si="29"/>
        <v>13.74400245</v>
      </c>
      <c r="H1811" s="35"/>
      <c r="I1811" s="31"/>
      <c r="J1811" s="102">
        <v>0</v>
      </c>
    </row>
    <row r="1812" spans="1:10" ht="15.75" hidden="1" thickBot="1" x14ac:dyDescent="0.3">
      <c r="A1812" s="219"/>
      <c r="B1812" s="223"/>
      <c r="C1812" s="36"/>
      <c r="D1812" s="36"/>
      <c r="E1812" s="37"/>
      <c r="F1812" s="31" t="s">
        <v>522</v>
      </c>
      <c r="G1812" s="31" t="str">
        <f t="shared" si="29"/>
        <v/>
      </c>
      <c r="H1812" s="35"/>
      <c r="I1812" s="31"/>
      <c r="J1812" s="102">
        <v>0</v>
      </c>
    </row>
    <row r="1813" spans="1:10" ht="15.75" hidden="1" thickBot="1" x14ac:dyDescent="0.3">
      <c r="A1813" s="218" t="s">
        <v>569</v>
      </c>
      <c r="B1813" s="221" t="e">
        <f>INDEX(#REF!,MATCH(Composições!A1813,#REF!,0),2)</f>
        <v>#REF!</v>
      </c>
      <c r="C1813" s="41"/>
      <c r="D1813" s="26" t="s">
        <v>20</v>
      </c>
      <c r="E1813" s="27"/>
      <c r="F1813" s="42" t="s">
        <v>522</v>
      </c>
      <c r="G1813" s="28" t="str">
        <f t="shared" si="29"/>
        <v/>
      </c>
      <c r="H1813" s="29"/>
      <c r="I1813" s="30"/>
      <c r="J1813" s="102">
        <v>0</v>
      </c>
    </row>
    <row r="1814" spans="1:10" hidden="1" x14ac:dyDescent="0.25">
      <c r="A1814" s="219"/>
      <c r="B1814" s="237"/>
      <c r="C1814" s="32"/>
      <c r="D1814" s="32"/>
      <c r="E1814" s="33"/>
      <c r="F1814" s="43" t="s">
        <v>522</v>
      </c>
      <c r="G1814" s="31" t="str">
        <f t="shared" si="29"/>
        <v/>
      </c>
      <c r="H1814" s="35"/>
      <c r="I1814" s="31"/>
      <c r="J1814" s="102">
        <v>0</v>
      </c>
    </row>
    <row r="1815" spans="1:10" hidden="1" x14ac:dyDescent="0.25">
      <c r="A1815" s="219"/>
      <c r="B1815" s="237"/>
      <c r="C1815" s="36" t="s">
        <v>52</v>
      </c>
      <c r="D1815" s="47" t="s">
        <v>12</v>
      </c>
      <c r="E1815" s="37">
        <v>2</v>
      </c>
      <c r="F1815" s="31">
        <v>18.458499999999997</v>
      </c>
      <c r="G1815" s="34">
        <f t="shared" si="29"/>
        <v>36.916999999999994</v>
      </c>
      <c r="H1815" s="39">
        <f>SUM(G1815:G1816)</f>
        <v>82.383999999999986</v>
      </c>
      <c r="I1815" s="40"/>
      <c r="J1815" s="102">
        <v>0</v>
      </c>
    </row>
    <row r="1816" spans="1:10" ht="25.5" hidden="1" x14ac:dyDescent="0.25">
      <c r="A1816" s="219"/>
      <c r="B1816" s="237"/>
      <c r="C1816" s="36" t="s">
        <v>570</v>
      </c>
      <c r="D1816" s="47" t="s">
        <v>12</v>
      </c>
      <c r="E1816" s="37">
        <v>2</v>
      </c>
      <c r="F1816" s="31">
        <v>22.733499999999999</v>
      </c>
      <c r="G1816" s="31">
        <f t="shared" si="29"/>
        <v>45.466999999999999</v>
      </c>
      <c r="H1816" s="35"/>
      <c r="I1816" s="31"/>
      <c r="J1816" s="102">
        <v>0</v>
      </c>
    </row>
    <row r="1817" spans="1:10" ht="15.75" hidden="1" thickBot="1" x14ac:dyDescent="0.3">
      <c r="A1817" s="220"/>
      <c r="B1817" s="223"/>
      <c r="C1817" s="36"/>
      <c r="D1817" s="36"/>
      <c r="E1817" s="37"/>
      <c r="F1817" s="31" t="s">
        <v>522</v>
      </c>
      <c r="G1817" s="31" t="str">
        <f t="shared" si="29"/>
        <v/>
      </c>
      <c r="H1817" s="35"/>
      <c r="I1817" s="31"/>
      <c r="J1817" s="102">
        <v>0</v>
      </c>
    </row>
    <row r="1818" spans="1:10" ht="15.75" hidden="1" thickBot="1" x14ac:dyDescent="0.3">
      <c r="A1818" s="218" t="s">
        <v>571</v>
      </c>
      <c r="B1818" s="221" t="e">
        <f>INDEX(#REF!,MATCH(Composições!A1818,#REF!,0),2)</f>
        <v>#REF!</v>
      </c>
      <c r="C1818" s="41"/>
      <c r="D1818" s="26" t="s">
        <v>20</v>
      </c>
      <c r="E1818" s="27"/>
      <c r="F1818" s="42" t="s">
        <v>522</v>
      </c>
      <c r="G1818" s="28" t="str">
        <f t="shared" si="29"/>
        <v/>
      </c>
      <c r="H1818" s="29"/>
      <c r="I1818" s="30"/>
      <c r="J1818" s="102">
        <v>0</v>
      </c>
    </row>
    <row r="1819" spans="1:10" hidden="1" x14ac:dyDescent="0.25">
      <c r="A1819" s="219"/>
      <c r="B1819" s="237"/>
      <c r="C1819" s="32"/>
      <c r="D1819" s="32"/>
      <c r="E1819" s="33"/>
      <c r="F1819" s="43" t="s">
        <v>522</v>
      </c>
      <c r="G1819" s="31" t="str">
        <f t="shared" si="29"/>
        <v/>
      </c>
      <c r="H1819" s="35"/>
      <c r="I1819" s="31"/>
      <c r="J1819" s="102">
        <v>0</v>
      </c>
    </row>
    <row r="1820" spans="1:10" hidden="1" x14ac:dyDescent="0.25">
      <c r="A1820" s="219"/>
      <c r="B1820" s="237"/>
      <c r="C1820" s="36" t="s">
        <v>52</v>
      </c>
      <c r="D1820" s="47" t="s">
        <v>12</v>
      </c>
      <c r="E1820" s="37">
        <v>3</v>
      </c>
      <c r="F1820" s="31">
        <v>18.458499999999997</v>
      </c>
      <c r="G1820" s="34">
        <f t="shared" si="29"/>
        <v>55.375499999999988</v>
      </c>
      <c r="H1820" s="39">
        <f>SUM(G1820:G1821)</f>
        <v>123.57599999999999</v>
      </c>
      <c r="I1820" s="40"/>
      <c r="J1820" s="102">
        <v>0</v>
      </c>
    </row>
    <row r="1821" spans="1:10" ht="25.5" hidden="1" x14ac:dyDescent="0.25">
      <c r="A1821" s="219"/>
      <c r="B1821" s="237"/>
      <c r="C1821" s="36" t="s">
        <v>570</v>
      </c>
      <c r="D1821" s="47" t="s">
        <v>12</v>
      </c>
      <c r="E1821" s="37">
        <v>3</v>
      </c>
      <c r="F1821" s="31">
        <v>22.733499999999999</v>
      </c>
      <c r="G1821" s="31">
        <f t="shared" si="29"/>
        <v>68.200500000000005</v>
      </c>
      <c r="H1821" s="35"/>
      <c r="I1821" s="31"/>
      <c r="J1821" s="102">
        <v>0</v>
      </c>
    </row>
    <row r="1822" spans="1:10" ht="15.75" hidden="1" thickBot="1" x14ac:dyDescent="0.3">
      <c r="A1822" s="220"/>
      <c r="B1822" s="223"/>
      <c r="C1822" s="36"/>
      <c r="D1822" s="36"/>
      <c r="E1822" s="37"/>
      <c r="F1822" s="31" t="s">
        <v>522</v>
      </c>
      <c r="G1822" s="31" t="str">
        <f t="shared" si="29"/>
        <v/>
      </c>
      <c r="H1822" s="35"/>
      <c r="I1822" s="31"/>
      <c r="J1822" s="102">
        <v>0</v>
      </c>
    </row>
    <row r="1823" spans="1:10" ht="15.75" hidden="1" thickBot="1" x14ac:dyDescent="0.3">
      <c r="A1823" s="218" t="s">
        <v>572</v>
      </c>
      <c r="B1823" s="221" t="e">
        <f>INDEX(#REF!,MATCH(Composições!A1823,#REF!,0),2)</f>
        <v>#REF!</v>
      </c>
      <c r="C1823" s="41"/>
      <c r="D1823" s="26" t="s">
        <v>20</v>
      </c>
      <c r="E1823" s="27"/>
      <c r="F1823" s="42" t="s">
        <v>522</v>
      </c>
      <c r="G1823" s="28" t="str">
        <f t="shared" si="29"/>
        <v/>
      </c>
      <c r="H1823" s="29"/>
      <c r="I1823" s="30"/>
      <c r="J1823" s="102">
        <v>0</v>
      </c>
    </row>
    <row r="1824" spans="1:10" hidden="1" x14ac:dyDescent="0.25">
      <c r="A1824" s="219"/>
      <c r="B1824" s="237"/>
      <c r="C1824" s="32"/>
      <c r="D1824" s="32"/>
      <c r="E1824" s="33"/>
      <c r="F1824" s="43" t="s">
        <v>522</v>
      </c>
      <c r="G1824" s="31" t="str">
        <f t="shared" si="29"/>
        <v/>
      </c>
      <c r="H1824" s="35"/>
      <c r="I1824" s="31"/>
      <c r="J1824" s="102">
        <v>0</v>
      </c>
    </row>
    <row r="1825" spans="1:10" hidden="1" x14ac:dyDescent="0.25">
      <c r="A1825" s="219"/>
      <c r="B1825" s="237"/>
      <c r="C1825" s="36" t="s">
        <v>30</v>
      </c>
      <c r="D1825" s="36" t="s">
        <v>12</v>
      </c>
      <c r="E1825" s="37">
        <v>1</v>
      </c>
      <c r="F1825" s="31">
        <v>21.688499999999998</v>
      </c>
      <c r="G1825" s="34">
        <f t="shared" si="29"/>
        <v>21.688499999999998</v>
      </c>
      <c r="H1825" s="39">
        <f>SUM(G1825:G1827)</f>
        <v>38.712499999999999</v>
      </c>
      <c r="I1825" s="40"/>
      <c r="J1825" s="102">
        <v>0</v>
      </c>
    </row>
    <row r="1826" spans="1:10" hidden="1" x14ac:dyDescent="0.25">
      <c r="A1826" s="219"/>
      <c r="B1826" s="237"/>
      <c r="C1826" s="36" t="s">
        <v>74</v>
      </c>
      <c r="D1826" s="47" t="s">
        <v>12</v>
      </c>
      <c r="E1826" s="37">
        <v>1</v>
      </c>
      <c r="F1826" s="31">
        <v>17.024000000000001</v>
      </c>
      <c r="G1826" s="34">
        <f t="shared" si="29"/>
        <v>17.024000000000001</v>
      </c>
      <c r="H1826" s="35"/>
      <c r="I1826" s="31"/>
      <c r="J1826" s="102">
        <v>0</v>
      </c>
    </row>
    <row r="1827" spans="1:10" ht="25.5" hidden="1" x14ac:dyDescent="0.25">
      <c r="A1827" s="219"/>
      <c r="B1827" s="237"/>
      <c r="C1827" s="36" t="s">
        <v>573</v>
      </c>
      <c r="D1827" s="36" t="s">
        <v>144</v>
      </c>
      <c r="E1827" s="37">
        <v>1</v>
      </c>
      <c r="F1827" s="34" t="s">
        <v>522</v>
      </c>
      <c r="G1827" s="34" t="str">
        <f t="shared" si="29"/>
        <v/>
      </c>
      <c r="H1827" s="35"/>
      <c r="I1827" s="31"/>
      <c r="J1827" s="102">
        <v>0</v>
      </c>
    </row>
    <row r="1828" spans="1:10" ht="15.75" hidden="1" thickBot="1" x14ac:dyDescent="0.3">
      <c r="A1828" s="220"/>
      <c r="B1828" s="223"/>
      <c r="C1828" s="36"/>
      <c r="D1828" s="36"/>
      <c r="E1828" s="37"/>
      <c r="F1828" s="31" t="s">
        <v>522</v>
      </c>
      <c r="G1828" s="31" t="str">
        <f t="shared" si="29"/>
        <v/>
      </c>
      <c r="H1828" s="35"/>
      <c r="I1828" s="31"/>
      <c r="J1828" s="102">
        <v>0</v>
      </c>
    </row>
    <row r="1829" spans="1:10" ht="15.75" hidden="1" thickBot="1" x14ac:dyDescent="0.3">
      <c r="A1829" s="218" t="s">
        <v>574</v>
      </c>
      <c r="B1829" s="221" t="e">
        <f>INDEX(#REF!,MATCH(Composições!A1829,#REF!,0),2)</f>
        <v>#REF!</v>
      </c>
      <c r="C1829" s="41"/>
      <c r="D1829" s="26" t="s">
        <v>20</v>
      </c>
      <c r="E1829" s="27"/>
      <c r="F1829" s="42" t="s">
        <v>522</v>
      </c>
      <c r="G1829" s="28" t="str">
        <f t="shared" si="29"/>
        <v/>
      </c>
      <c r="H1829" s="29"/>
      <c r="I1829" s="30"/>
      <c r="J1829" s="102">
        <v>0</v>
      </c>
    </row>
    <row r="1830" spans="1:10" hidden="1" x14ac:dyDescent="0.25">
      <c r="A1830" s="219"/>
      <c r="B1830" s="237"/>
      <c r="C1830" s="32"/>
      <c r="D1830" s="32"/>
      <c r="E1830" s="33"/>
      <c r="F1830" s="43" t="s">
        <v>522</v>
      </c>
      <c r="G1830" s="31" t="str">
        <f t="shared" si="29"/>
        <v/>
      </c>
      <c r="H1830" s="35"/>
      <c r="I1830" s="31"/>
      <c r="J1830" s="102">
        <v>0</v>
      </c>
    </row>
    <row r="1831" spans="1:10" hidden="1" x14ac:dyDescent="0.25">
      <c r="A1831" s="219"/>
      <c r="B1831" s="237"/>
      <c r="C1831" s="36" t="s">
        <v>30</v>
      </c>
      <c r="D1831" s="36" t="s">
        <v>12</v>
      </c>
      <c r="E1831" s="37">
        <v>1</v>
      </c>
      <c r="F1831" s="31">
        <v>21.688499999999998</v>
      </c>
      <c r="G1831" s="34">
        <f t="shared" si="29"/>
        <v>21.688499999999998</v>
      </c>
      <c r="H1831" s="39">
        <f>SUM(G1831:G1833)</f>
        <v>38.712499999999999</v>
      </c>
      <c r="I1831" s="40"/>
      <c r="J1831" s="102">
        <v>0</v>
      </c>
    </row>
    <row r="1832" spans="1:10" hidden="1" x14ac:dyDescent="0.25">
      <c r="A1832" s="219"/>
      <c r="B1832" s="237"/>
      <c r="C1832" s="36" t="s">
        <v>74</v>
      </c>
      <c r="D1832" s="47" t="s">
        <v>12</v>
      </c>
      <c r="E1832" s="37">
        <v>1</v>
      </c>
      <c r="F1832" s="31">
        <v>17.024000000000001</v>
      </c>
      <c r="G1832" s="34">
        <f t="shared" si="29"/>
        <v>17.024000000000001</v>
      </c>
      <c r="H1832" s="35"/>
      <c r="I1832" s="31"/>
      <c r="J1832" s="102">
        <v>0</v>
      </c>
    </row>
    <row r="1833" spans="1:10" ht="25.5" hidden="1" x14ac:dyDescent="0.25">
      <c r="A1833" s="219"/>
      <c r="B1833" s="237"/>
      <c r="C1833" s="36" t="s">
        <v>575</v>
      </c>
      <c r="D1833" s="36" t="s">
        <v>144</v>
      </c>
      <c r="E1833" s="37">
        <v>1</v>
      </c>
      <c r="F1833" s="34" t="s">
        <v>522</v>
      </c>
      <c r="G1833" s="34" t="str">
        <f t="shared" si="29"/>
        <v/>
      </c>
      <c r="H1833" s="35"/>
      <c r="I1833" s="31"/>
      <c r="J1833" s="102">
        <v>0</v>
      </c>
    </row>
    <row r="1834" spans="1:10" ht="15.75" hidden="1" thickBot="1" x14ac:dyDescent="0.3">
      <c r="A1834" s="220"/>
      <c r="B1834" s="223"/>
      <c r="C1834" s="36"/>
      <c r="D1834" s="36"/>
      <c r="E1834" s="37"/>
      <c r="F1834" s="31" t="s">
        <v>522</v>
      </c>
      <c r="G1834" s="31" t="str">
        <f t="shared" si="29"/>
        <v/>
      </c>
      <c r="H1834" s="35"/>
      <c r="I1834" s="31"/>
      <c r="J1834" s="102">
        <v>0</v>
      </c>
    </row>
    <row r="1835" spans="1:10" ht="15.75" hidden="1" thickBot="1" x14ac:dyDescent="0.3">
      <c r="A1835" s="218" t="s">
        <v>576</v>
      </c>
      <c r="B1835" s="221" t="e">
        <f>INDEX(#REF!,MATCH(Composições!A1835,#REF!,0),2)</f>
        <v>#REF!</v>
      </c>
      <c r="C1835" s="41"/>
      <c r="D1835" s="26" t="s">
        <v>95</v>
      </c>
      <c r="E1835" s="27"/>
      <c r="F1835" s="42" t="s">
        <v>522</v>
      </c>
      <c r="G1835" s="28" t="str">
        <f t="shared" si="29"/>
        <v/>
      </c>
      <c r="H1835" s="29"/>
      <c r="I1835" s="30"/>
      <c r="J1835" s="102">
        <v>0</v>
      </c>
    </row>
    <row r="1836" spans="1:10" hidden="1" x14ac:dyDescent="0.25">
      <c r="A1836" s="219"/>
      <c r="B1836" s="237"/>
      <c r="C1836" s="32"/>
      <c r="D1836" s="32"/>
      <c r="E1836" s="33"/>
      <c r="F1836" s="43" t="s">
        <v>522</v>
      </c>
      <c r="G1836" s="31" t="str">
        <f t="shared" si="29"/>
        <v/>
      </c>
      <c r="H1836" s="35"/>
      <c r="I1836" s="31"/>
      <c r="J1836" s="102">
        <v>0</v>
      </c>
    </row>
    <row r="1837" spans="1:10" hidden="1" x14ac:dyDescent="0.25">
      <c r="A1837" s="219"/>
      <c r="B1837" s="237"/>
      <c r="C1837" s="36" t="s">
        <v>577</v>
      </c>
      <c r="D1837" s="47" t="s">
        <v>42</v>
      </c>
      <c r="E1837" s="37">
        <v>6.6559999999999997</v>
      </c>
      <c r="F1837" s="34">
        <v>14.525499999999999</v>
      </c>
      <c r="G1837" s="34">
        <f t="shared" si="29"/>
        <v>96.681727999999993</v>
      </c>
      <c r="H1837" s="39">
        <f>SUM(G1837:G1840)</f>
        <v>247.05380799999998</v>
      </c>
      <c r="I1837" s="40"/>
      <c r="J1837" s="102">
        <v>0</v>
      </c>
    </row>
    <row r="1838" spans="1:10" hidden="1" x14ac:dyDescent="0.25">
      <c r="A1838" s="219"/>
      <c r="B1838" s="237"/>
      <c r="C1838" s="36" t="s">
        <v>578</v>
      </c>
      <c r="D1838" s="47" t="s">
        <v>579</v>
      </c>
      <c r="E1838" s="37">
        <v>1</v>
      </c>
      <c r="F1838" s="31">
        <v>0.95</v>
      </c>
      <c r="G1838" s="34">
        <f t="shared" si="29"/>
        <v>0.95</v>
      </c>
      <c r="H1838" s="45"/>
      <c r="I1838" s="46"/>
      <c r="J1838" s="102">
        <v>0</v>
      </c>
    </row>
    <row r="1839" spans="1:10" hidden="1" x14ac:dyDescent="0.25">
      <c r="A1839" s="219"/>
      <c r="B1839" s="237"/>
      <c r="C1839" s="36" t="s">
        <v>23</v>
      </c>
      <c r="D1839" s="47" t="s">
        <v>12</v>
      </c>
      <c r="E1839" s="37">
        <v>3.84</v>
      </c>
      <c r="F1839" s="31">
        <v>16.1785</v>
      </c>
      <c r="G1839" s="34">
        <f t="shared" si="29"/>
        <v>62.125439999999998</v>
      </c>
      <c r="H1839" s="35"/>
      <c r="I1839" s="31"/>
      <c r="J1839" s="102">
        <v>0</v>
      </c>
    </row>
    <row r="1840" spans="1:10" ht="25.5" hidden="1" x14ac:dyDescent="0.25">
      <c r="A1840" s="219"/>
      <c r="B1840" s="237"/>
      <c r="C1840" s="36" t="s">
        <v>570</v>
      </c>
      <c r="D1840" s="47" t="s">
        <v>12</v>
      </c>
      <c r="E1840" s="37">
        <v>3.84</v>
      </c>
      <c r="F1840" s="31">
        <v>22.733499999999999</v>
      </c>
      <c r="G1840" s="34">
        <f t="shared" si="29"/>
        <v>87.296639999999996</v>
      </c>
      <c r="H1840" s="35"/>
      <c r="I1840" s="31"/>
      <c r="J1840" s="102">
        <v>0</v>
      </c>
    </row>
    <row r="1841" spans="1:10" ht="15.75" hidden="1" thickBot="1" x14ac:dyDescent="0.3">
      <c r="A1841" s="220"/>
      <c r="B1841" s="223"/>
      <c r="C1841" s="36"/>
      <c r="D1841" s="36"/>
      <c r="E1841" s="37"/>
      <c r="F1841" s="31" t="s">
        <v>522</v>
      </c>
      <c r="G1841" s="31" t="str">
        <f t="shared" si="29"/>
        <v/>
      </c>
      <c r="H1841" s="35"/>
      <c r="I1841" s="31"/>
      <c r="J1841" s="102">
        <v>0</v>
      </c>
    </row>
    <row r="1842" spans="1:10" ht="15.75" hidden="1" thickBot="1" x14ac:dyDescent="0.3">
      <c r="A1842" s="218" t="s">
        <v>580</v>
      </c>
      <c r="B1842" s="221" t="e">
        <f>INDEX(#REF!,MATCH(Composições!A1842,#REF!,0),2)</f>
        <v>#REF!</v>
      </c>
      <c r="C1842" s="41"/>
      <c r="D1842" s="26" t="s">
        <v>93</v>
      </c>
      <c r="E1842" s="27"/>
      <c r="F1842" s="42" t="s">
        <v>522</v>
      </c>
      <c r="G1842" s="28" t="str">
        <f t="shared" si="29"/>
        <v/>
      </c>
      <c r="H1842" s="29"/>
      <c r="I1842" s="30"/>
      <c r="J1842" s="102">
        <v>0</v>
      </c>
    </row>
    <row r="1843" spans="1:10" hidden="1" x14ac:dyDescent="0.25">
      <c r="A1843" s="219"/>
      <c r="B1843" s="237"/>
      <c r="C1843" s="32"/>
      <c r="D1843" s="32"/>
      <c r="E1843" s="33"/>
      <c r="F1843" s="43" t="s">
        <v>522</v>
      </c>
      <c r="G1843" s="31" t="str">
        <f t="shared" si="29"/>
        <v/>
      </c>
      <c r="H1843" s="35"/>
      <c r="I1843" s="31"/>
      <c r="J1843" s="102">
        <v>0</v>
      </c>
    </row>
    <row r="1844" spans="1:10" hidden="1" x14ac:dyDescent="0.25">
      <c r="A1844" s="219"/>
      <c r="B1844" s="237"/>
      <c r="C1844" s="36" t="s">
        <v>23</v>
      </c>
      <c r="D1844" s="47" t="s">
        <v>12</v>
      </c>
      <c r="E1844" s="37">
        <v>0.4</v>
      </c>
      <c r="F1844" s="31">
        <v>16.1785</v>
      </c>
      <c r="G1844" s="31">
        <f t="shared" si="29"/>
        <v>6.4714</v>
      </c>
      <c r="H1844" s="39">
        <f>SUM(G1844:G1846)</f>
        <v>15.564800000000002</v>
      </c>
      <c r="I1844" s="40"/>
      <c r="J1844" s="102">
        <v>0</v>
      </c>
    </row>
    <row r="1845" spans="1:10" ht="25.5" hidden="1" x14ac:dyDescent="0.25">
      <c r="A1845" s="219"/>
      <c r="B1845" s="237"/>
      <c r="C1845" s="36" t="s">
        <v>570</v>
      </c>
      <c r="D1845" s="47" t="s">
        <v>12</v>
      </c>
      <c r="E1845" s="37">
        <v>0.4</v>
      </c>
      <c r="F1845" s="31">
        <v>22.733499999999999</v>
      </c>
      <c r="G1845" s="31">
        <f t="shared" si="29"/>
        <v>9.0934000000000008</v>
      </c>
      <c r="H1845" s="35"/>
      <c r="I1845" s="31"/>
      <c r="J1845" s="102">
        <v>0</v>
      </c>
    </row>
    <row r="1846" spans="1:10" ht="25.5" hidden="1" x14ac:dyDescent="0.25">
      <c r="A1846" s="219"/>
      <c r="B1846" s="237"/>
      <c r="C1846" s="36" t="s">
        <v>581</v>
      </c>
      <c r="D1846" s="36" t="s">
        <v>93</v>
      </c>
      <c r="E1846" s="37">
        <v>1.05</v>
      </c>
      <c r="F1846" s="34" t="s">
        <v>522</v>
      </c>
      <c r="G1846" s="31" t="str">
        <f t="shared" si="29"/>
        <v/>
      </c>
      <c r="H1846" s="35"/>
      <c r="I1846" s="31"/>
      <c r="J1846" s="102">
        <v>0</v>
      </c>
    </row>
    <row r="1847" spans="1:10" ht="15.75" hidden="1" thickBot="1" x14ac:dyDescent="0.3">
      <c r="A1847" s="220"/>
      <c r="B1847" s="223"/>
      <c r="C1847" s="36"/>
      <c r="D1847" s="36"/>
      <c r="E1847" s="37"/>
      <c r="F1847" s="31" t="s">
        <v>522</v>
      </c>
      <c r="G1847" s="31" t="str">
        <f t="shared" si="29"/>
        <v/>
      </c>
      <c r="H1847" s="35"/>
      <c r="I1847" s="31"/>
      <c r="J1847" s="102">
        <v>0</v>
      </c>
    </row>
    <row r="1848" spans="1:10" ht="15.75" hidden="1" thickBot="1" x14ac:dyDescent="0.3">
      <c r="A1848" s="218" t="s">
        <v>582</v>
      </c>
      <c r="B1848" s="221" t="e">
        <f>INDEX(#REF!,MATCH(Composições!A1848,#REF!,0),2)</f>
        <v>#REF!</v>
      </c>
      <c r="C1848" s="41"/>
      <c r="D1848" s="26" t="s">
        <v>93</v>
      </c>
      <c r="E1848" s="27"/>
      <c r="F1848" s="42" t="s">
        <v>522</v>
      </c>
      <c r="G1848" s="28" t="str">
        <f t="shared" si="29"/>
        <v/>
      </c>
      <c r="H1848" s="29"/>
      <c r="I1848" s="30"/>
      <c r="J1848" s="102">
        <v>0</v>
      </c>
    </row>
    <row r="1849" spans="1:10" hidden="1" x14ac:dyDescent="0.25">
      <c r="A1849" s="219"/>
      <c r="B1849" s="237"/>
      <c r="C1849" s="32"/>
      <c r="D1849" s="32"/>
      <c r="E1849" s="33"/>
      <c r="F1849" s="43" t="s">
        <v>522</v>
      </c>
      <c r="G1849" s="31" t="str">
        <f t="shared" si="29"/>
        <v/>
      </c>
      <c r="H1849" s="35"/>
      <c r="I1849" s="31"/>
      <c r="J1849" s="102">
        <v>0</v>
      </c>
    </row>
    <row r="1850" spans="1:10" hidden="1" x14ac:dyDescent="0.25">
      <c r="A1850" s="219"/>
      <c r="B1850" s="237"/>
      <c r="C1850" s="36" t="s">
        <v>23</v>
      </c>
      <c r="D1850" s="47" t="s">
        <v>12</v>
      </c>
      <c r="E1850" s="37">
        <v>0.4</v>
      </c>
      <c r="F1850" s="31">
        <v>16.1785</v>
      </c>
      <c r="G1850" s="31">
        <f t="shared" si="29"/>
        <v>6.4714</v>
      </c>
      <c r="H1850" s="39">
        <f>SUM(G1850:G1852)</f>
        <v>15.564800000000002</v>
      </c>
      <c r="I1850" s="40"/>
      <c r="J1850" s="102">
        <v>0</v>
      </c>
    </row>
    <row r="1851" spans="1:10" ht="25.5" hidden="1" x14ac:dyDescent="0.25">
      <c r="A1851" s="219"/>
      <c r="B1851" s="237"/>
      <c r="C1851" s="36" t="s">
        <v>570</v>
      </c>
      <c r="D1851" s="47" t="s">
        <v>12</v>
      </c>
      <c r="E1851" s="37">
        <v>0.4</v>
      </c>
      <c r="F1851" s="31">
        <v>22.733499999999999</v>
      </c>
      <c r="G1851" s="31">
        <f t="shared" si="29"/>
        <v>9.0934000000000008</v>
      </c>
      <c r="H1851" s="35"/>
      <c r="I1851" s="31"/>
      <c r="J1851" s="102">
        <v>0</v>
      </c>
    </row>
    <row r="1852" spans="1:10" ht="25.5" hidden="1" x14ac:dyDescent="0.25">
      <c r="A1852" s="219"/>
      <c r="B1852" s="237"/>
      <c r="C1852" s="36" t="s">
        <v>583</v>
      </c>
      <c r="D1852" s="36" t="s">
        <v>93</v>
      </c>
      <c r="E1852" s="37">
        <v>1.05</v>
      </c>
      <c r="F1852" s="34" t="s">
        <v>522</v>
      </c>
      <c r="G1852" s="31" t="str">
        <f t="shared" si="29"/>
        <v/>
      </c>
      <c r="H1852" s="35"/>
      <c r="I1852" s="31"/>
      <c r="J1852" s="102">
        <v>0</v>
      </c>
    </row>
    <row r="1853" spans="1:10" ht="15.75" hidden="1" thickBot="1" x14ac:dyDescent="0.3">
      <c r="A1853" s="220"/>
      <c r="B1853" s="223"/>
      <c r="C1853" s="36"/>
      <c r="D1853" s="36"/>
      <c r="E1853" s="37"/>
      <c r="F1853" s="31" t="s">
        <v>522</v>
      </c>
      <c r="G1853" s="31" t="str">
        <f t="shared" si="29"/>
        <v/>
      </c>
      <c r="H1853" s="35"/>
      <c r="I1853" s="31"/>
      <c r="J1853" s="102">
        <v>0</v>
      </c>
    </row>
    <row r="1854" spans="1:10" ht="15.75" hidden="1" thickBot="1" x14ac:dyDescent="0.3">
      <c r="A1854" s="218" t="s">
        <v>584</v>
      </c>
      <c r="B1854" s="221" t="e">
        <f>INDEX(#REF!,MATCH(Composições!A1854,#REF!,0),2)</f>
        <v>#REF!</v>
      </c>
      <c r="C1854" s="41"/>
      <c r="D1854" s="26" t="s">
        <v>20</v>
      </c>
      <c r="E1854" s="27"/>
      <c r="F1854" s="42" t="s">
        <v>522</v>
      </c>
      <c r="G1854" s="28" t="str">
        <f t="shared" si="29"/>
        <v/>
      </c>
      <c r="H1854" s="29"/>
      <c r="I1854" s="30"/>
      <c r="J1854" s="102">
        <v>0</v>
      </c>
    </row>
    <row r="1855" spans="1:10" hidden="1" x14ac:dyDescent="0.25">
      <c r="A1855" s="219"/>
      <c r="B1855" s="237"/>
      <c r="C1855" s="32"/>
      <c r="D1855" s="32"/>
      <c r="E1855" s="33"/>
      <c r="F1855" s="43" t="s">
        <v>522</v>
      </c>
      <c r="G1855" s="31" t="str">
        <f t="shared" si="29"/>
        <v/>
      </c>
      <c r="H1855" s="35"/>
      <c r="I1855" s="31"/>
      <c r="J1855" s="102">
        <v>0</v>
      </c>
    </row>
    <row r="1856" spans="1:10" hidden="1" x14ac:dyDescent="0.25">
      <c r="A1856" s="219"/>
      <c r="B1856" s="237"/>
      <c r="C1856" s="36" t="s">
        <v>52</v>
      </c>
      <c r="D1856" s="47" t="s">
        <v>12</v>
      </c>
      <c r="E1856" s="37">
        <v>2.5</v>
      </c>
      <c r="F1856" s="31">
        <v>18.458499999999997</v>
      </c>
      <c r="G1856" s="34">
        <f t="shared" si="29"/>
        <v>46.146249999999995</v>
      </c>
      <c r="H1856" s="39">
        <f>SUM(G1856:G1858)</f>
        <v>102.97999999999999</v>
      </c>
      <c r="I1856" s="40"/>
      <c r="J1856" s="102">
        <v>0</v>
      </c>
    </row>
    <row r="1857" spans="1:10" ht="25.5" hidden="1" x14ac:dyDescent="0.25">
      <c r="A1857" s="219"/>
      <c r="B1857" s="237"/>
      <c r="C1857" s="36" t="s">
        <v>570</v>
      </c>
      <c r="D1857" s="47" t="s">
        <v>12</v>
      </c>
      <c r="E1857" s="37">
        <v>2.5</v>
      </c>
      <c r="F1857" s="31">
        <v>22.733499999999999</v>
      </c>
      <c r="G1857" s="34">
        <f t="shared" si="29"/>
        <v>56.833749999999995</v>
      </c>
      <c r="H1857" s="35"/>
      <c r="I1857" s="31"/>
      <c r="J1857" s="102">
        <v>0</v>
      </c>
    </row>
    <row r="1858" spans="1:10" ht="25.5" hidden="1" x14ac:dyDescent="0.25">
      <c r="A1858" s="219"/>
      <c r="B1858" s="237"/>
      <c r="C1858" s="36" t="s">
        <v>585</v>
      </c>
      <c r="D1858" s="36" t="s">
        <v>144</v>
      </c>
      <c r="E1858" s="37">
        <v>1</v>
      </c>
      <c r="F1858" s="34" t="s">
        <v>522</v>
      </c>
      <c r="G1858" s="34" t="str">
        <f t="shared" si="29"/>
        <v/>
      </c>
      <c r="H1858" s="35"/>
      <c r="I1858" s="31"/>
      <c r="J1858" s="102">
        <v>0</v>
      </c>
    </row>
    <row r="1859" spans="1:10" ht="15.75" hidden="1" thickBot="1" x14ac:dyDescent="0.3">
      <c r="A1859" s="220"/>
      <c r="B1859" s="223"/>
      <c r="C1859" s="36"/>
      <c r="D1859" s="36"/>
      <c r="E1859" s="37"/>
      <c r="F1859" s="31" t="s">
        <v>522</v>
      </c>
      <c r="G1859" s="31" t="str">
        <f t="shared" si="29"/>
        <v/>
      </c>
      <c r="H1859" s="35"/>
      <c r="I1859" s="31"/>
      <c r="J1859" s="102">
        <v>0</v>
      </c>
    </row>
    <row r="1860" spans="1:10" ht="15.75" hidden="1" thickBot="1" x14ac:dyDescent="0.3">
      <c r="A1860" s="218" t="s">
        <v>586</v>
      </c>
      <c r="B1860" s="221" t="e">
        <f>INDEX(#REF!,MATCH(Composições!A1860,#REF!,0),2)</f>
        <v>#REF!</v>
      </c>
      <c r="C1860" s="41"/>
      <c r="D1860" s="26" t="s">
        <v>20</v>
      </c>
      <c r="E1860" s="27"/>
      <c r="F1860" s="42" t="s">
        <v>522</v>
      </c>
      <c r="G1860" s="28" t="str">
        <f t="shared" si="29"/>
        <v/>
      </c>
      <c r="H1860" s="29"/>
      <c r="I1860" s="30"/>
      <c r="J1860" s="102">
        <v>0</v>
      </c>
    </row>
    <row r="1861" spans="1:10" hidden="1" x14ac:dyDescent="0.25">
      <c r="A1861" s="219"/>
      <c r="B1861" s="237"/>
      <c r="C1861" s="32"/>
      <c r="D1861" s="32"/>
      <c r="E1861" s="33"/>
      <c r="F1861" s="43" t="s">
        <v>522</v>
      </c>
      <c r="G1861" s="31" t="str">
        <f t="shared" si="29"/>
        <v/>
      </c>
      <c r="H1861" s="35"/>
      <c r="I1861" s="31"/>
      <c r="J1861" s="102">
        <v>0</v>
      </c>
    </row>
    <row r="1862" spans="1:10" hidden="1" x14ac:dyDescent="0.25">
      <c r="A1862" s="219"/>
      <c r="B1862" s="237"/>
      <c r="C1862" s="36" t="s">
        <v>52</v>
      </c>
      <c r="D1862" s="47" t="s">
        <v>12</v>
      </c>
      <c r="E1862" s="37">
        <v>2.5</v>
      </c>
      <c r="F1862" s="31">
        <v>18.458499999999997</v>
      </c>
      <c r="G1862" s="34">
        <f t="shared" si="29"/>
        <v>46.146249999999995</v>
      </c>
      <c r="H1862" s="39">
        <f>SUM(G1862:G1864)</f>
        <v>102.97999999999999</v>
      </c>
      <c r="I1862" s="40"/>
      <c r="J1862" s="102">
        <v>0</v>
      </c>
    </row>
    <row r="1863" spans="1:10" ht="25.5" hidden="1" x14ac:dyDescent="0.25">
      <c r="A1863" s="219"/>
      <c r="B1863" s="237"/>
      <c r="C1863" s="36" t="s">
        <v>570</v>
      </c>
      <c r="D1863" s="47" t="s">
        <v>12</v>
      </c>
      <c r="E1863" s="37">
        <v>2.5</v>
      </c>
      <c r="F1863" s="31">
        <v>22.733499999999999</v>
      </c>
      <c r="G1863" s="34">
        <f t="shared" si="29"/>
        <v>56.833749999999995</v>
      </c>
      <c r="H1863" s="35"/>
      <c r="I1863" s="31"/>
      <c r="J1863" s="102">
        <v>0</v>
      </c>
    </row>
    <row r="1864" spans="1:10" ht="25.5" hidden="1" x14ac:dyDescent="0.25">
      <c r="A1864" s="219"/>
      <c r="B1864" s="237"/>
      <c r="C1864" s="36" t="s">
        <v>587</v>
      </c>
      <c r="D1864" s="36" t="s">
        <v>144</v>
      </c>
      <c r="E1864" s="37">
        <v>1</v>
      </c>
      <c r="F1864" s="34" t="s">
        <v>522</v>
      </c>
      <c r="G1864" s="34" t="str">
        <f t="shared" si="29"/>
        <v/>
      </c>
      <c r="H1864" s="35"/>
      <c r="I1864" s="31"/>
      <c r="J1864" s="102">
        <v>0</v>
      </c>
    </row>
    <row r="1865" spans="1:10" ht="15.75" hidden="1" thickBot="1" x14ac:dyDescent="0.3">
      <c r="A1865" s="220"/>
      <c r="B1865" s="223"/>
      <c r="C1865" s="36"/>
      <c r="D1865" s="36"/>
      <c r="E1865" s="37"/>
      <c r="F1865" s="31" t="s">
        <v>522</v>
      </c>
      <c r="G1865" s="31" t="str">
        <f t="shared" si="29"/>
        <v/>
      </c>
      <c r="H1865" s="35"/>
      <c r="I1865" s="31"/>
      <c r="J1865" s="102">
        <v>0</v>
      </c>
    </row>
    <row r="1866" spans="1:10" ht="15.75" hidden="1" thickBot="1" x14ac:dyDescent="0.3">
      <c r="A1866" s="218" t="s">
        <v>588</v>
      </c>
      <c r="B1866" s="221" t="e">
        <f>INDEX(#REF!,MATCH(Composições!A1866,#REF!,0),2)</f>
        <v>#REF!</v>
      </c>
      <c r="C1866" s="41"/>
      <c r="D1866" s="26" t="s">
        <v>20</v>
      </c>
      <c r="E1866" s="27"/>
      <c r="F1866" s="42" t="s">
        <v>522</v>
      </c>
      <c r="G1866" s="28" t="str">
        <f t="shared" si="29"/>
        <v/>
      </c>
      <c r="H1866" s="29"/>
      <c r="I1866" s="30"/>
      <c r="J1866" s="102">
        <v>0</v>
      </c>
    </row>
    <row r="1867" spans="1:10" hidden="1" x14ac:dyDescent="0.25">
      <c r="A1867" s="219"/>
      <c r="B1867" s="237"/>
      <c r="C1867" s="32"/>
      <c r="D1867" s="32"/>
      <c r="E1867" s="33"/>
      <c r="F1867" s="43" t="s">
        <v>522</v>
      </c>
      <c r="G1867" s="31" t="str">
        <f t="shared" si="29"/>
        <v/>
      </c>
      <c r="H1867" s="35"/>
      <c r="I1867" s="31"/>
      <c r="J1867" s="102">
        <v>0</v>
      </c>
    </row>
    <row r="1868" spans="1:10" hidden="1" x14ac:dyDescent="0.25">
      <c r="A1868" s="219"/>
      <c r="B1868" s="237"/>
      <c r="C1868" s="36" t="s">
        <v>52</v>
      </c>
      <c r="D1868" s="47" t="s">
        <v>12</v>
      </c>
      <c r="E1868" s="37">
        <v>2.5</v>
      </c>
      <c r="F1868" s="31">
        <v>18.458499999999997</v>
      </c>
      <c r="G1868" s="34">
        <f t="shared" si="29"/>
        <v>46.146249999999995</v>
      </c>
      <c r="H1868" s="39">
        <f>SUM(G1868:G1870)</f>
        <v>102.97999999999999</v>
      </c>
      <c r="I1868" s="40"/>
      <c r="J1868" s="102">
        <v>0</v>
      </c>
    </row>
    <row r="1869" spans="1:10" ht="25.5" hidden="1" x14ac:dyDescent="0.25">
      <c r="A1869" s="219"/>
      <c r="B1869" s="237"/>
      <c r="C1869" s="36" t="s">
        <v>570</v>
      </c>
      <c r="D1869" s="47" t="s">
        <v>12</v>
      </c>
      <c r="E1869" s="37">
        <v>2.5</v>
      </c>
      <c r="F1869" s="31">
        <v>22.733499999999999</v>
      </c>
      <c r="G1869" s="34">
        <f t="shared" si="29"/>
        <v>56.833749999999995</v>
      </c>
      <c r="H1869" s="35"/>
      <c r="I1869" s="31"/>
      <c r="J1869" s="102">
        <v>0</v>
      </c>
    </row>
    <row r="1870" spans="1:10" ht="25.5" hidden="1" x14ac:dyDescent="0.25">
      <c r="A1870" s="219"/>
      <c r="B1870" s="237"/>
      <c r="C1870" s="36" t="s">
        <v>589</v>
      </c>
      <c r="D1870" s="36" t="s">
        <v>144</v>
      </c>
      <c r="E1870" s="37">
        <v>1</v>
      </c>
      <c r="F1870" s="34" t="s">
        <v>522</v>
      </c>
      <c r="G1870" s="34" t="str">
        <f t="shared" si="29"/>
        <v/>
      </c>
      <c r="H1870" s="35"/>
      <c r="I1870" s="31"/>
      <c r="J1870" s="102">
        <v>0</v>
      </c>
    </row>
    <row r="1871" spans="1:10" ht="15.75" hidden="1" thickBot="1" x14ac:dyDescent="0.3">
      <c r="A1871" s="220"/>
      <c r="B1871" s="223"/>
      <c r="C1871" s="36"/>
      <c r="D1871" s="36"/>
      <c r="E1871" s="37"/>
      <c r="F1871" s="31" t="s">
        <v>522</v>
      </c>
      <c r="G1871" s="31" t="str">
        <f t="shared" si="29"/>
        <v/>
      </c>
      <c r="H1871" s="35"/>
      <c r="I1871" s="31"/>
      <c r="J1871" s="102">
        <v>0</v>
      </c>
    </row>
    <row r="1872" spans="1:10" ht="15.75" hidden="1" thickBot="1" x14ac:dyDescent="0.3">
      <c r="A1872" s="218" t="s">
        <v>590</v>
      </c>
      <c r="B1872" s="221" t="e">
        <f>INDEX(#REF!,MATCH(Composições!A1872,#REF!,0),2)</f>
        <v>#REF!</v>
      </c>
      <c r="C1872" s="41"/>
      <c r="D1872" s="26" t="s">
        <v>20</v>
      </c>
      <c r="E1872" s="27"/>
      <c r="F1872" s="42" t="s">
        <v>522</v>
      </c>
      <c r="G1872" s="28" t="str">
        <f t="shared" si="29"/>
        <v/>
      </c>
      <c r="H1872" s="29"/>
      <c r="I1872" s="30"/>
      <c r="J1872" s="102">
        <v>0</v>
      </c>
    </row>
    <row r="1873" spans="1:10" hidden="1" x14ac:dyDescent="0.25">
      <c r="A1873" s="219"/>
      <c r="B1873" s="237"/>
      <c r="C1873" s="32"/>
      <c r="D1873" s="32"/>
      <c r="E1873" s="33"/>
      <c r="F1873" s="43" t="s">
        <v>522</v>
      </c>
      <c r="G1873" s="31" t="str">
        <f t="shared" si="29"/>
        <v/>
      </c>
      <c r="H1873" s="35"/>
      <c r="I1873" s="31"/>
      <c r="J1873" s="102">
        <v>0</v>
      </c>
    </row>
    <row r="1874" spans="1:10" hidden="1" x14ac:dyDescent="0.25">
      <c r="A1874" s="219"/>
      <c r="B1874" s="237"/>
      <c r="C1874" s="36" t="s">
        <v>52</v>
      </c>
      <c r="D1874" s="47" t="s">
        <v>12</v>
      </c>
      <c r="E1874" s="37">
        <v>2.5</v>
      </c>
      <c r="F1874" s="31">
        <v>18.458499999999997</v>
      </c>
      <c r="G1874" s="34">
        <f t="shared" ref="G1874:G1937" si="30">IF(ISNUMBER(F1874),E1874*F1874,"")</f>
        <v>46.146249999999995</v>
      </c>
      <c r="H1874" s="39">
        <f>SUM(G1874:G1876)</f>
        <v>102.97999999999999</v>
      </c>
      <c r="I1874" s="40"/>
      <c r="J1874" s="102">
        <v>0</v>
      </c>
    </row>
    <row r="1875" spans="1:10" ht="25.5" hidden="1" x14ac:dyDescent="0.25">
      <c r="A1875" s="219"/>
      <c r="B1875" s="237"/>
      <c r="C1875" s="36" t="s">
        <v>570</v>
      </c>
      <c r="D1875" s="47" t="s">
        <v>12</v>
      </c>
      <c r="E1875" s="37">
        <v>2.5</v>
      </c>
      <c r="F1875" s="31">
        <v>22.733499999999999</v>
      </c>
      <c r="G1875" s="34">
        <f t="shared" si="30"/>
        <v>56.833749999999995</v>
      </c>
      <c r="H1875" s="35"/>
      <c r="I1875" s="31"/>
      <c r="J1875" s="102">
        <v>0</v>
      </c>
    </row>
    <row r="1876" spans="1:10" ht="38.25" hidden="1" x14ac:dyDescent="0.25">
      <c r="A1876" s="219"/>
      <c r="B1876" s="237"/>
      <c r="C1876" s="36" t="s">
        <v>591</v>
      </c>
      <c r="D1876" s="36" t="s">
        <v>144</v>
      </c>
      <c r="E1876" s="37">
        <v>1</v>
      </c>
      <c r="F1876" s="34" t="s">
        <v>522</v>
      </c>
      <c r="G1876" s="34" t="str">
        <f t="shared" si="30"/>
        <v/>
      </c>
      <c r="H1876" s="35"/>
      <c r="I1876" s="31"/>
      <c r="J1876" s="102">
        <v>0</v>
      </c>
    </row>
    <row r="1877" spans="1:10" ht="15.75" hidden="1" thickBot="1" x14ac:dyDescent="0.3">
      <c r="A1877" s="220"/>
      <c r="B1877" s="223"/>
      <c r="C1877" s="36"/>
      <c r="D1877" s="36"/>
      <c r="E1877" s="37"/>
      <c r="F1877" s="31" t="s">
        <v>522</v>
      </c>
      <c r="G1877" s="31" t="str">
        <f t="shared" si="30"/>
        <v/>
      </c>
      <c r="H1877" s="35"/>
      <c r="I1877" s="31"/>
      <c r="J1877" s="102">
        <v>0</v>
      </c>
    </row>
    <row r="1878" spans="1:10" ht="15.75" hidden="1" thickBot="1" x14ac:dyDescent="0.3">
      <c r="A1878" s="218" t="s">
        <v>592</v>
      </c>
      <c r="B1878" s="221" t="e">
        <f>INDEX(#REF!,MATCH(Composições!A1878,#REF!,0),2)</f>
        <v>#REF!</v>
      </c>
      <c r="C1878" s="41"/>
      <c r="D1878" s="26" t="s">
        <v>20</v>
      </c>
      <c r="E1878" s="27"/>
      <c r="F1878" s="42" t="s">
        <v>522</v>
      </c>
      <c r="G1878" s="28" t="str">
        <f t="shared" si="30"/>
        <v/>
      </c>
      <c r="H1878" s="29"/>
      <c r="I1878" s="30"/>
      <c r="J1878" s="102">
        <v>0</v>
      </c>
    </row>
    <row r="1879" spans="1:10" hidden="1" x14ac:dyDescent="0.25">
      <c r="A1879" s="219"/>
      <c r="B1879" s="237"/>
      <c r="C1879" s="32"/>
      <c r="D1879" s="32"/>
      <c r="E1879" s="33"/>
      <c r="F1879" s="43" t="s">
        <v>522</v>
      </c>
      <c r="G1879" s="31" t="str">
        <f t="shared" si="30"/>
        <v/>
      </c>
      <c r="H1879" s="35"/>
      <c r="I1879" s="31"/>
      <c r="J1879" s="102">
        <v>0</v>
      </c>
    </row>
    <row r="1880" spans="1:10" hidden="1" x14ac:dyDescent="0.25">
      <c r="A1880" s="219"/>
      <c r="B1880" s="237"/>
      <c r="C1880" s="36" t="s">
        <v>52</v>
      </c>
      <c r="D1880" s="47" t="s">
        <v>12</v>
      </c>
      <c r="E1880" s="37">
        <v>2.5</v>
      </c>
      <c r="F1880" s="31">
        <v>18.458499999999997</v>
      </c>
      <c r="G1880" s="34">
        <f t="shared" si="30"/>
        <v>46.146249999999995</v>
      </c>
      <c r="H1880" s="39">
        <f>SUM(G1880:G1882)</f>
        <v>102.97999999999999</v>
      </c>
      <c r="I1880" s="40"/>
      <c r="J1880" s="102">
        <v>0</v>
      </c>
    </row>
    <row r="1881" spans="1:10" ht="25.5" hidden="1" x14ac:dyDescent="0.25">
      <c r="A1881" s="219"/>
      <c r="B1881" s="237"/>
      <c r="C1881" s="36" t="s">
        <v>570</v>
      </c>
      <c r="D1881" s="47" t="s">
        <v>12</v>
      </c>
      <c r="E1881" s="37">
        <v>2.5</v>
      </c>
      <c r="F1881" s="31">
        <v>22.733499999999999</v>
      </c>
      <c r="G1881" s="34">
        <f t="shared" si="30"/>
        <v>56.833749999999995</v>
      </c>
      <c r="H1881" s="35"/>
      <c r="I1881" s="31"/>
      <c r="J1881" s="102">
        <v>0</v>
      </c>
    </row>
    <row r="1882" spans="1:10" ht="51" hidden="1" x14ac:dyDescent="0.25">
      <c r="A1882" s="219"/>
      <c r="B1882" s="237"/>
      <c r="C1882" s="36" t="s">
        <v>593</v>
      </c>
      <c r="D1882" s="36" t="s">
        <v>144</v>
      </c>
      <c r="E1882" s="37">
        <v>1</v>
      </c>
      <c r="F1882" s="34" t="s">
        <v>522</v>
      </c>
      <c r="G1882" s="34" t="str">
        <f t="shared" si="30"/>
        <v/>
      </c>
      <c r="H1882" s="35"/>
      <c r="I1882" s="31"/>
      <c r="J1882" s="102">
        <v>0</v>
      </c>
    </row>
    <row r="1883" spans="1:10" ht="15.75" hidden="1" thickBot="1" x14ac:dyDescent="0.3">
      <c r="A1883" s="220"/>
      <c r="B1883" s="223"/>
      <c r="C1883" s="36"/>
      <c r="D1883" s="36"/>
      <c r="E1883" s="37"/>
      <c r="F1883" s="31" t="s">
        <v>522</v>
      </c>
      <c r="G1883" s="31" t="str">
        <f t="shared" si="30"/>
        <v/>
      </c>
      <c r="H1883" s="35"/>
      <c r="I1883" s="31"/>
      <c r="J1883" s="102">
        <v>0</v>
      </c>
    </row>
    <row r="1884" spans="1:10" ht="15.75" hidden="1" thickBot="1" x14ac:dyDescent="0.3">
      <c r="A1884" s="218" t="s">
        <v>594</v>
      </c>
      <c r="B1884" s="221" t="e">
        <f>INDEX(#REF!,MATCH(Composições!A1884,#REF!,0),2)</f>
        <v>#REF!</v>
      </c>
      <c r="C1884" s="41"/>
      <c r="D1884" s="26" t="s">
        <v>20</v>
      </c>
      <c r="E1884" s="27"/>
      <c r="F1884" s="42" t="s">
        <v>522</v>
      </c>
      <c r="G1884" s="28" t="str">
        <f t="shared" si="30"/>
        <v/>
      </c>
      <c r="H1884" s="29"/>
      <c r="I1884" s="30"/>
      <c r="J1884" s="102">
        <v>0</v>
      </c>
    </row>
    <row r="1885" spans="1:10" hidden="1" x14ac:dyDescent="0.25">
      <c r="A1885" s="219"/>
      <c r="B1885" s="237"/>
      <c r="C1885" s="32"/>
      <c r="D1885" s="32"/>
      <c r="E1885" s="33"/>
      <c r="F1885" s="43" t="s">
        <v>522</v>
      </c>
      <c r="G1885" s="31" t="str">
        <f t="shared" si="30"/>
        <v/>
      </c>
      <c r="H1885" s="35"/>
      <c r="I1885" s="31"/>
      <c r="J1885" s="102">
        <v>0</v>
      </c>
    </row>
    <row r="1886" spans="1:10" hidden="1" x14ac:dyDescent="0.25">
      <c r="A1886" s="219"/>
      <c r="B1886" s="237"/>
      <c r="C1886" s="36" t="s">
        <v>52</v>
      </c>
      <c r="D1886" s="47" t="s">
        <v>12</v>
      </c>
      <c r="E1886" s="37">
        <v>2.5</v>
      </c>
      <c r="F1886" s="31">
        <v>18.458499999999997</v>
      </c>
      <c r="G1886" s="34">
        <f t="shared" si="30"/>
        <v>46.146249999999995</v>
      </c>
      <c r="H1886" s="39">
        <f>SUM(G1886:G1888)</f>
        <v>102.97999999999999</v>
      </c>
      <c r="I1886" s="40"/>
      <c r="J1886" s="102">
        <v>0</v>
      </c>
    </row>
    <row r="1887" spans="1:10" ht="25.5" hidden="1" x14ac:dyDescent="0.25">
      <c r="A1887" s="219"/>
      <c r="B1887" s="237"/>
      <c r="C1887" s="36" t="s">
        <v>570</v>
      </c>
      <c r="D1887" s="47" t="s">
        <v>12</v>
      </c>
      <c r="E1887" s="37">
        <v>2.5</v>
      </c>
      <c r="F1887" s="31">
        <v>22.733499999999999</v>
      </c>
      <c r="G1887" s="34">
        <f t="shared" si="30"/>
        <v>56.833749999999995</v>
      </c>
      <c r="H1887" s="35"/>
      <c r="I1887" s="31"/>
      <c r="J1887" s="102">
        <v>0</v>
      </c>
    </row>
    <row r="1888" spans="1:10" ht="25.5" hidden="1" x14ac:dyDescent="0.25">
      <c r="A1888" s="219"/>
      <c r="B1888" s="237"/>
      <c r="C1888" s="36" t="s">
        <v>595</v>
      </c>
      <c r="D1888" s="36" t="s">
        <v>144</v>
      </c>
      <c r="E1888" s="37">
        <v>1</v>
      </c>
      <c r="F1888" s="34" t="s">
        <v>522</v>
      </c>
      <c r="G1888" s="34" t="str">
        <f t="shared" si="30"/>
        <v/>
      </c>
      <c r="H1888" s="35"/>
      <c r="I1888" s="31"/>
      <c r="J1888" s="102">
        <v>0</v>
      </c>
    </row>
    <row r="1889" spans="1:10" ht="15.75" hidden="1" thickBot="1" x14ac:dyDescent="0.3">
      <c r="A1889" s="220"/>
      <c r="B1889" s="223"/>
      <c r="C1889" s="36"/>
      <c r="D1889" s="36"/>
      <c r="E1889" s="37"/>
      <c r="F1889" s="31" t="s">
        <v>522</v>
      </c>
      <c r="G1889" s="31" t="str">
        <f t="shared" si="30"/>
        <v/>
      </c>
      <c r="H1889" s="35"/>
      <c r="I1889" s="31"/>
      <c r="J1889" s="102">
        <v>0</v>
      </c>
    </row>
    <row r="1890" spans="1:10" ht="15.75" hidden="1" thickBot="1" x14ac:dyDescent="0.3">
      <c r="A1890" s="218" t="s">
        <v>596</v>
      </c>
      <c r="B1890" s="221" t="e">
        <f>INDEX(#REF!,MATCH(Composições!A1890,#REF!,0),2)</f>
        <v>#REF!</v>
      </c>
      <c r="C1890" s="41"/>
      <c r="D1890" s="26" t="s">
        <v>20</v>
      </c>
      <c r="E1890" s="27"/>
      <c r="F1890" s="42" t="s">
        <v>522</v>
      </c>
      <c r="G1890" s="28" t="str">
        <f t="shared" si="30"/>
        <v/>
      </c>
      <c r="H1890" s="29"/>
      <c r="I1890" s="30"/>
      <c r="J1890" s="102">
        <v>0</v>
      </c>
    </row>
    <row r="1891" spans="1:10" hidden="1" x14ac:dyDescent="0.25">
      <c r="A1891" s="219"/>
      <c r="B1891" s="237"/>
      <c r="C1891" s="32"/>
      <c r="D1891" s="32"/>
      <c r="E1891" s="33"/>
      <c r="F1891" s="43" t="s">
        <v>522</v>
      </c>
      <c r="G1891" s="31" t="str">
        <f t="shared" si="30"/>
        <v/>
      </c>
      <c r="H1891" s="35"/>
      <c r="I1891" s="31"/>
      <c r="J1891" s="102">
        <v>0</v>
      </c>
    </row>
    <row r="1892" spans="1:10" hidden="1" x14ac:dyDescent="0.25">
      <c r="A1892" s="219"/>
      <c r="B1892" s="237"/>
      <c r="C1892" s="36" t="s">
        <v>52</v>
      </c>
      <c r="D1892" s="47" t="s">
        <v>12</v>
      </c>
      <c r="E1892" s="37">
        <v>2.5</v>
      </c>
      <c r="F1892" s="31">
        <v>18.458499999999997</v>
      </c>
      <c r="G1892" s="34">
        <f t="shared" si="30"/>
        <v>46.146249999999995</v>
      </c>
      <c r="H1892" s="39">
        <f>SUM(G1892:G1894)</f>
        <v>102.97999999999999</v>
      </c>
      <c r="I1892" s="40"/>
      <c r="J1892" s="102">
        <v>0</v>
      </c>
    </row>
    <row r="1893" spans="1:10" ht="25.5" hidden="1" x14ac:dyDescent="0.25">
      <c r="A1893" s="219"/>
      <c r="B1893" s="237"/>
      <c r="C1893" s="36" t="s">
        <v>570</v>
      </c>
      <c r="D1893" s="47" t="s">
        <v>12</v>
      </c>
      <c r="E1893" s="37">
        <v>2.5</v>
      </c>
      <c r="F1893" s="31">
        <v>22.733499999999999</v>
      </c>
      <c r="G1893" s="34">
        <f t="shared" si="30"/>
        <v>56.833749999999995</v>
      </c>
      <c r="H1893" s="35"/>
      <c r="I1893" s="31"/>
      <c r="J1893" s="102">
        <v>0</v>
      </c>
    </row>
    <row r="1894" spans="1:10" ht="38.25" hidden="1" x14ac:dyDescent="0.25">
      <c r="A1894" s="219"/>
      <c r="B1894" s="237"/>
      <c r="C1894" s="36" t="s">
        <v>597</v>
      </c>
      <c r="D1894" s="36" t="s">
        <v>144</v>
      </c>
      <c r="E1894" s="37">
        <v>1</v>
      </c>
      <c r="F1894" s="34" t="s">
        <v>522</v>
      </c>
      <c r="G1894" s="34" t="str">
        <f t="shared" si="30"/>
        <v/>
      </c>
      <c r="H1894" s="35"/>
      <c r="I1894" s="31"/>
      <c r="J1894" s="102">
        <v>0</v>
      </c>
    </row>
    <row r="1895" spans="1:10" ht="15.75" hidden="1" thickBot="1" x14ac:dyDescent="0.3">
      <c r="A1895" s="220"/>
      <c r="B1895" s="223"/>
      <c r="C1895" s="36"/>
      <c r="D1895" s="36"/>
      <c r="E1895" s="37"/>
      <c r="F1895" s="31" t="s">
        <v>522</v>
      </c>
      <c r="G1895" s="31" t="str">
        <f t="shared" si="30"/>
        <v/>
      </c>
      <c r="H1895" s="35"/>
      <c r="I1895" s="31"/>
      <c r="J1895" s="102">
        <v>0</v>
      </c>
    </row>
    <row r="1896" spans="1:10" ht="15.75" hidden="1" thickBot="1" x14ac:dyDescent="0.3">
      <c r="A1896" s="218" t="s">
        <v>598</v>
      </c>
      <c r="B1896" s="221" t="e">
        <f>INDEX(#REF!,MATCH(Composições!A1896,#REF!,0),2)</f>
        <v>#REF!</v>
      </c>
      <c r="C1896" s="41"/>
      <c r="D1896" s="26" t="s">
        <v>20</v>
      </c>
      <c r="E1896" s="27"/>
      <c r="F1896" s="42" t="s">
        <v>522</v>
      </c>
      <c r="G1896" s="28" t="str">
        <f t="shared" si="30"/>
        <v/>
      </c>
      <c r="H1896" s="29"/>
      <c r="I1896" s="30"/>
      <c r="J1896" s="102">
        <v>0</v>
      </c>
    </row>
    <row r="1897" spans="1:10" hidden="1" x14ac:dyDescent="0.25">
      <c r="A1897" s="219"/>
      <c r="B1897" s="237"/>
      <c r="C1897" s="32"/>
      <c r="D1897" s="32"/>
      <c r="E1897" s="33"/>
      <c r="F1897" s="43" t="s">
        <v>522</v>
      </c>
      <c r="G1897" s="31" t="str">
        <f t="shared" si="30"/>
        <v/>
      </c>
      <c r="H1897" s="35"/>
      <c r="I1897" s="31"/>
      <c r="J1897" s="102">
        <v>0</v>
      </c>
    </row>
    <row r="1898" spans="1:10" hidden="1" x14ac:dyDescent="0.25">
      <c r="A1898" s="219"/>
      <c r="B1898" s="237"/>
      <c r="C1898" s="36" t="s">
        <v>52</v>
      </c>
      <c r="D1898" s="47" t="s">
        <v>12</v>
      </c>
      <c r="E1898" s="37">
        <v>2.5</v>
      </c>
      <c r="F1898" s="31">
        <v>18.458499999999997</v>
      </c>
      <c r="G1898" s="31">
        <f t="shared" si="30"/>
        <v>46.146249999999995</v>
      </c>
      <c r="H1898" s="39">
        <f>SUM(G1898:G1900)</f>
        <v>102.97999999999999</v>
      </c>
      <c r="I1898" s="40"/>
      <c r="J1898" s="102">
        <v>0</v>
      </c>
    </row>
    <row r="1899" spans="1:10" ht="25.5" hidden="1" x14ac:dyDescent="0.25">
      <c r="A1899" s="219"/>
      <c r="B1899" s="237"/>
      <c r="C1899" s="36" t="s">
        <v>570</v>
      </c>
      <c r="D1899" s="47" t="s">
        <v>12</v>
      </c>
      <c r="E1899" s="37">
        <v>2.5</v>
      </c>
      <c r="F1899" s="31">
        <v>22.733499999999999</v>
      </c>
      <c r="G1899" s="31">
        <f t="shared" si="30"/>
        <v>56.833749999999995</v>
      </c>
      <c r="H1899" s="35"/>
      <c r="I1899" s="31"/>
      <c r="J1899" s="102">
        <v>0</v>
      </c>
    </row>
    <row r="1900" spans="1:10" ht="38.25" hidden="1" x14ac:dyDescent="0.25">
      <c r="A1900" s="219"/>
      <c r="B1900" s="237"/>
      <c r="C1900" s="36" t="s">
        <v>599</v>
      </c>
      <c r="D1900" s="36" t="s">
        <v>144</v>
      </c>
      <c r="E1900" s="37">
        <v>1</v>
      </c>
      <c r="F1900" s="34" t="s">
        <v>522</v>
      </c>
      <c r="G1900" s="31" t="str">
        <f t="shared" si="30"/>
        <v/>
      </c>
      <c r="H1900" s="35"/>
      <c r="I1900" s="31"/>
      <c r="J1900" s="102">
        <v>0</v>
      </c>
    </row>
    <row r="1901" spans="1:10" ht="15.75" hidden="1" thickBot="1" x14ac:dyDescent="0.3">
      <c r="A1901" s="220"/>
      <c r="B1901" s="223"/>
      <c r="C1901" s="36"/>
      <c r="D1901" s="36"/>
      <c r="E1901" s="37"/>
      <c r="F1901" s="31" t="s">
        <v>522</v>
      </c>
      <c r="G1901" s="31" t="str">
        <f t="shared" si="30"/>
        <v/>
      </c>
      <c r="H1901" s="35"/>
      <c r="I1901" s="31"/>
      <c r="J1901" s="102">
        <v>0</v>
      </c>
    </row>
    <row r="1902" spans="1:10" ht="15.75" hidden="1" thickBot="1" x14ac:dyDescent="0.3">
      <c r="A1902" s="218" t="s">
        <v>600</v>
      </c>
      <c r="B1902" s="221" t="e">
        <f>INDEX(#REF!,MATCH(Composições!A1902,#REF!,0),2)</f>
        <v>#REF!</v>
      </c>
      <c r="C1902" s="41"/>
      <c r="D1902" s="26" t="s">
        <v>20</v>
      </c>
      <c r="E1902" s="27"/>
      <c r="F1902" s="42" t="s">
        <v>522</v>
      </c>
      <c r="G1902" s="28" t="str">
        <f t="shared" si="30"/>
        <v/>
      </c>
      <c r="H1902" s="29"/>
      <c r="I1902" s="30"/>
      <c r="J1902" s="102">
        <v>0</v>
      </c>
    </row>
    <row r="1903" spans="1:10" hidden="1" x14ac:dyDescent="0.25">
      <c r="A1903" s="219"/>
      <c r="B1903" s="237"/>
      <c r="C1903" s="32"/>
      <c r="D1903" s="32"/>
      <c r="E1903" s="33"/>
      <c r="F1903" s="43" t="s">
        <v>522</v>
      </c>
      <c r="G1903" s="31" t="str">
        <f t="shared" si="30"/>
        <v/>
      </c>
      <c r="H1903" s="35"/>
      <c r="I1903" s="31"/>
      <c r="J1903" s="102">
        <v>0</v>
      </c>
    </row>
    <row r="1904" spans="1:10" hidden="1" x14ac:dyDescent="0.25">
      <c r="A1904" s="219"/>
      <c r="B1904" s="237"/>
      <c r="C1904" s="36" t="s">
        <v>52</v>
      </c>
      <c r="D1904" s="47" t="s">
        <v>12</v>
      </c>
      <c r="E1904" s="37">
        <v>3.5</v>
      </c>
      <c r="F1904" s="31">
        <v>18.458499999999997</v>
      </c>
      <c r="G1904" s="34">
        <f t="shared" si="30"/>
        <v>64.604749999999996</v>
      </c>
      <c r="H1904" s="39">
        <f>SUM(G1904:G1906)</f>
        <v>145.12199999999999</v>
      </c>
      <c r="I1904" s="40"/>
      <c r="J1904" s="102">
        <v>0</v>
      </c>
    </row>
    <row r="1905" spans="1:10" ht="25.5" hidden="1" x14ac:dyDescent="0.25">
      <c r="A1905" s="219"/>
      <c r="B1905" s="237"/>
      <c r="C1905" s="36" t="s">
        <v>570</v>
      </c>
      <c r="D1905" s="47" t="s">
        <v>12</v>
      </c>
      <c r="E1905" s="37">
        <v>3.5</v>
      </c>
      <c r="F1905" s="31">
        <v>22.733499999999999</v>
      </c>
      <c r="G1905" s="34">
        <f t="shared" si="30"/>
        <v>79.567250000000001</v>
      </c>
      <c r="H1905" s="35"/>
      <c r="I1905" s="31"/>
      <c r="J1905" s="102">
        <v>0</v>
      </c>
    </row>
    <row r="1906" spans="1:10" hidden="1" x14ac:dyDescent="0.25">
      <c r="A1906" s="219"/>
      <c r="B1906" s="237"/>
      <c r="C1906" s="36" t="s">
        <v>601</v>
      </c>
      <c r="D1906" s="36" t="s">
        <v>144</v>
      </c>
      <c r="E1906" s="37">
        <v>1</v>
      </c>
      <c r="F1906" s="34">
        <v>0.95</v>
      </c>
      <c r="G1906" s="34">
        <f t="shared" si="30"/>
        <v>0.95</v>
      </c>
      <c r="H1906" s="35"/>
      <c r="I1906" s="31"/>
      <c r="J1906" s="102">
        <v>0</v>
      </c>
    </row>
    <row r="1907" spans="1:10" ht="15.75" hidden="1" thickBot="1" x14ac:dyDescent="0.3">
      <c r="A1907" s="220"/>
      <c r="B1907" s="223"/>
      <c r="C1907" s="36"/>
      <c r="D1907" s="36"/>
      <c r="E1907" s="37"/>
      <c r="F1907" s="31" t="s">
        <v>522</v>
      </c>
      <c r="G1907" s="31" t="str">
        <f t="shared" si="30"/>
        <v/>
      </c>
      <c r="H1907" s="35"/>
      <c r="I1907" s="31"/>
      <c r="J1907" s="102">
        <v>0</v>
      </c>
    </row>
    <row r="1908" spans="1:10" ht="15.75" hidden="1" thickBot="1" x14ac:dyDescent="0.3">
      <c r="A1908" s="218" t="s">
        <v>602</v>
      </c>
      <c r="B1908" s="221" t="e">
        <f>INDEX(#REF!,MATCH(Composições!A1908,#REF!,0),2)</f>
        <v>#REF!</v>
      </c>
      <c r="C1908" s="41"/>
      <c r="D1908" s="26" t="s">
        <v>20</v>
      </c>
      <c r="E1908" s="27"/>
      <c r="F1908" s="42" t="s">
        <v>522</v>
      </c>
      <c r="G1908" s="28" t="str">
        <f t="shared" si="30"/>
        <v/>
      </c>
      <c r="H1908" s="29"/>
      <c r="I1908" s="30"/>
      <c r="J1908" s="102">
        <v>0</v>
      </c>
    </row>
    <row r="1909" spans="1:10" hidden="1" x14ac:dyDescent="0.25">
      <c r="A1909" s="219"/>
      <c r="B1909" s="237"/>
      <c r="C1909" s="32"/>
      <c r="D1909" s="32"/>
      <c r="E1909" s="33"/>
      <c r="F1909" s="43" t="s">
        <v>522</v>
      </c>
      <c r="G1909" s="31" t="str">
        <f t="shared" si="30"/>
        <v/>
      </c>
      <c r="H1909" s="35"/>
      <c r="I1909" s="31"/>
      <c r="J1909" s="102">
        <v>0</v>
      </c>
    </row>
    <row r="1910" spans="1:10" hidden="1" x14ac:dyDescent="0.25">
      <c r="A1910" s="219"/>
      <c r="B1910" s="237"/>
      <c r="C1910" s="36" t="s">
        <v>52</v>
      </c>
      <c r="D1910" s="47" t="s">
        <v>12</v>
      </c>
      <c r="E1910" s="37">
        <v>3.5</v>
      </c>
      <c r="F1910" s="31">
        <v>18.458499999999997</v>
      </c>
      <c r="G1910" s="31">
        <f t="shared" si="30"/>
        <v>64.604749999999996</v>
      </c>
      <c r="H1910" s="39">
        <f>SUM(G1910:G1912)</f>
        <v>145.12199999999999</v>
      </c>
      <c r="I1910" s="40"/>
      <c r="J1910" s="102">
        <v>0</v>
      </c>
    </row>
    <row r="1911" spans="1:10" ht="25.5" hidden="1" x14ac:dyDescent="0.25">
      <c r="A1911" s="219"/>
      <c r="B1911" s="237"/>
      <c r="C1911" s="36" t="s">
        <v>570</v>
      </c>
      <c r="D1911" s="47" t="s">
        <v>12</v>
      </c>
      <c r="E1911" s="37">
        <v>3.5</v>
      </c>
      <c r="F1911" s="31">
        <v>22.733499999999999</v>
      </c>
      <c r="G1911" s="31">
        <f t="shared" si="30"/>
        <v>79.567250000000001</v>
      </c>
      <c r="H1911" s="35"/>
      <c r="I1911" s="31"/>
      <c r="J1911" s="102">
        <v>0</v>
      </c>
    </row>
    <row r="1912" spans="1:10" hidden="1" x14ac:dyDescent="0.25">
      <c r="A1912" s="219"/>
      <c r="B1912" s="237"/>
      <c r="C1912" s="36" t="s">
        <v>603</v>
      </c>
      <c r="D1912" s="36" t="s">
        <v>144</v>
      </c>
      <c r="E1912" s="37">
        <v>1</v>
      </c>
      <c r="F1912" s="31">
        <v>0.95</v>
      </c>
      <c r="G1912" s="31">
        <f t="shared" si="30"/>
        <v>0.95</v>
      </c>
      <c r="H1912" s="35"/>
      <c r="I1912" s="31"/>
      <c r="J1912" s="102">
        <v>0</v>
      </c>
    </row>
    <row r="1913" spans="1:10" ht="15.75" hidden="1" thickBot="1" x14ac:dyDescent="0.3">
      <c r="A1913" s="220"/>
      <c r="B1913" s="223"/>
      <c r="C1913" s="36"/>
      <c r="D1913" s="36"/>
      <c r="E1913" s="37"/>
      <c r="F1913" s="31" t="s">
        <v>522</v>
      </c>
      <c r="G1913" s="31" t="str">
        <f t="shared" si="30"/>
        <v/>
      </c>
      <c r="H1913" s="35"/>
      <c r="I1913" s="31"/>
      <c r="J1913" s="102">
        <v>0</v>
      </c>
    </row>
    <row r="1914" spans="1:10" ht="15.75" hidden="1" thickBot="1" x14ac:dyDescent="0.3">
      <c r="A1914" s="218" t="s">
        <v>604</v>
      </c>
      <c r="B1914" s="221" t="e">
        <f>INDEX(#REF!,MATCH(Composições!A1914,#REF!,0),2)</f>
        <v>#REF!</v>
      </c>
      <c r="C1914" s="41"/>
      <c r="D1914" s="26" t="s">
        <v>20</v>
      </c>
      <c r="E1914" s="27"/>
      <c r="F1914" s="42" t="s">
        <v>522</v>
      </c>
      <c r="G1914" s="28" t="str">
        <f t="shared" si="30"/>
        <v/>
      </c>
      <c r="H1914" s="29"/>
      <c r="I1914" s="30"/>
      <c r="J1914" s="102">
        <v>0</v>
      </c>
    </row>
    <row r="1915" spans="1:10" hidden="1" x14ac:dyDescent="0.25">
      <c r="A1915" s="219"/>
      <c r="B1915" s="237"/>
      <c r="C1915" s="32"/>
      <c r="D1915" s="32"/>
      <c r="E1915" s="33"/>
      <c r="F1915" s="43" t="s">
        <v>522</v>
      </c>
      <c r="G1915" s="31" t="str">
        <f t="shared" si="30"/>
        <v/>
      </c>
      <c r="H1915" s="35"/>
      <c r="I1915" s="31"/>
      <c r="J1915" s="102">
        <v>0</v>
      </c>
    </row>
    <row r="1916" spans="1:10" hidden="1" x14ac:dyDescent="0.25">
      <c r="A1916" s="219"/>
      <c r="B1916" s="237"/>
      <c r="C1916" s="36" t="s">
        <v>52</v>
      </c>
      <c r="D1916" s="47" t="s">
        <v>12</v>
      </c>
      <c r="E1916" s="37">
        <v>2.5</v>
      </c>
      <c r="F1916" s="31">
        <v>18.458499999999997</v>
      </c>
      <c r="G1916" s="31">
        <f t="shared" si="30"/>
        <v>46.146249999999995</v>
      </c>
      <c r="H1916" s="39">
        <f>SUM(G1916:G1917)</f>
        <v>102.97999999999999</v>
      </c>
      <c r="I1916" s="40"/>
      <c r="J1916" s="102">
        <v>0</v>
      </c>
    </row>
    <row r="1917" spans="1:10" ht="25.5" hidden="1" x14ac:dyDescent="0.25">
      <c r="A1917" s="219"/>
      <c r="B1917" s="237"/>
      <c r="C1917" s="36" t="s">
        <v>570</v>
      </c>
      <c r="D1917" s="47" t="s">
        <v>12</v>
      </c>
      <c r="E1917" s="37">
        <v>2.5</v>
      </c>
      <c r="F1917" s="31">
        <v>22.733499999999999</v>
      </c>
      <c r="G1917" s="31">
        <f t="shared" si="30"/>
        <v>56.833749999999995</v>
      </c>
      <c r="H1917" s="35"/>
      <c r="I1917" s="31"/>
      <c r="J1917" s="102">
        <v>0</v>
      </c>
    </row>
    <row r="1918" spans="1:10" ht="15.75" hidden="1" thickBot="1" x14ac:dyDescent="0.3">
      <c r="A1918" s="220"/>
      <c r="B1918" s="223"/>
      <c r="C1918" s="36"/>
      <c r="D1918" s="36"/>
      <c r="E1918" s="37"/>
      <c r="F1918" s="31" t="s">
        <v>522</v>
      </c>
      <c r="G1918" s="31" t="str">
        <f t="shared" si="30"/>
        <v/>
      </c>
      <c r="H1918" s="35"/>
      <c r="I1918" s="31"/>
      <c r="J1918" s="102">
        <v>0</v>
      </c>
    </row>
    <row r="1919" spans="1:10" ht="15.75" hidden="1" thickBot="1" x14ac:dyDescent="0.3">
      <c r="A1919" s="218" t="s">
        <v>605</v>
      </c>
      <c r="B1919" s="221" t="e">
        <f>INDEX(#REF!,MATCH(Composições!A1919,#REF!,0),2)</f>
        <v>#REF!</v>
      </c>
      <c r="C1919" s="41"/>
      <c r="D1919" s="26" t="s">
        <v>20</v>
      </c>
      <c r="E1919" s="27"/>
      <c r="F1919" s="42" t="s">
        <v>522</v>
      </c>
      <c r="G1919" s="28" t="str">
        <f t="shared" si="30"/>
        <v/>
      </c>
      <c r="H1919" s="29"/>
      <c r="I1919" s="30"/>
      <c r="J1919" s="102">
        <v>0</v>
      </c>
    </row>
    <row r="1920" spans="1:10" hidden="1" x14ac:dyDescent="0.25">
      <c r="A1920" s="219"/>
      <c r="B1920" s="237"/>
      <c r="C1920" s="32"/>
      <c r="D1920" s="32"/>
      <c r="E1920" s="33"/>
      <c r="F1920" s="43" t="s">
        <v>522</v>
      </c>
      <c r="G1920" s="31" t="str">
        <f t="shared" si="30"/>
        <v/>
      </c>
      <c r="H1920" s="35"/>
      <c r="I1920" s="31"/>
      <c r="J1920" s="102">
        <v>0</v>
      </c>
    </row>
    <row r="1921" spans="1:10" hidden="1" x14ac:dyDescent="0.25">
      <c r="A1921" s="219"/>
      <c r="B1921" s="237"/>
      <c r="C1921" s="36" t="s">
        <v>30</v>
      </c>
      <c r="D1921" s="36" t="s">
        <v>12</v>
      </c>
      <c r="E1921" s="37">
        <v>1</v>
      </c>
      <c r="F1921" s="31">
        <v>21.688499999999998</v>
      </c>
      <c r="G1921" s="34">
        <f t="shared" si="30"/>
        <v>21.688499999999998</v>
      </c>
      <c r="H1921" s="39">
        <f>SUM(G1921:G1922)</f>
        <v>38.712499999999999</v>
      </c>
      <c r="I1921" s="40"/>
      <c r="J1921" s="102">
        <v>0</v>
      </c>
    </row>
    <row r="1922" spans="1:10" hidden="1" x14ac:dyDescent="0.25">
      <c r="A1922" s="219"/>
      <c r="B1922" s="237"/>
      <c r="C1922" s="36" t="s">
        <v>74</v>
      </c>
      <c r="D1922" s="47" t="s">
        <v>12</v>
      </c>
      <c r="E1922" s="37">
        <v>1</v>
      </c>
      <c r="F1922" s="31">
        <v>17.024000000000001</v>
      </c>
      <c r="G1922" s="34">
        <f t="shared" si="30"/>
        <v>17.024000000000001</v>
      </c>
      <c r="H1922" s="35"/>
      <c r="I1922" s="31"/>
      <c r="J1922" s="102">
        <v>0</v>
      </c>
    </row>
    <row r="1923" spans="1:10" ht="15.75" hidden="1" thickBot="1" x14ac:dyDescent="0.3">
      <c r="A1923" s="220"/>
      <c r="B1923" s="223"/>
      <c r="C1923" s="36"/>
      <c r="D1923" s="36"/>
      <c r="E1923" s="37"/>
      <c r="F1923" s="31" t="s">
        <v>522</v>
      </c>
      <c r="G1923" s="31" t="str">
        <f t="shared" si="30"/>
        <v/>
      </c>
      <c r="H1923" s="35"/>
      <c r="I1923" s="31"/>
      <c r="J1923" s="102">
        <v>0</v>
      </c>
    </row>
    <row r="1924" spans="1:10" ht="15.75" hidden="1" thickBot="1" x14ac:dyDescent="0.3">
      <c r="A1924" s="218" t="s">
        <v>606</v>
      </c>
      <c r="B1924" s="221" t="e">
        <f>INDEX(#REF!,MATCH(Composições!A1924,#REF!,0),2)</f>
        <v>#REF!</v>
      </c>
      <c r="C1924" s="41"/>
      <c r="D1924" s="26" t="s">
        <v>20</v>
      </c>
      <c r="E1924" s="27"/>
      <c r="F1924" s="42" t="s">
        <v>522</v>
      </c>
      <c r="G1924" s="28" t="str">
        <f t="shared" si="30"/>
        <v/>
      </c>
      <c r="H1924" s="29"/>
      <c r="I1924" s="30"/>
      <c r="J1924" s="102">
        <v>0</v>
      </c>
    </row>
    <row r="1925" spans="1:10" hidden="1" x14ac:dyDescent="0.25">
      <c r="A1925" s="219"/>
      <c r="B1925" s="237"/>
      <c r="C1925" s="32"/>
      <c r="D1925" s="32"/>
      <c r="E1925" s="33"/>
      <c r="F1925" s="43" t="s">
        <v>522</v>
      </c>
      <c r="G1925" s="31" t="str">
        <f t="shared" si="30"/>
        <v/>
      </c>
      <c r="H1925" s="35"/>
      <c r="I1925" s="31"/>
      <c r="J1925" s="102">
        <v>0</v>
      </c>
    </row>
    <row r="1926" spans="1:10" hidden="1" x14ac:dyDescent="0.25">
      <c r="A1926" s="219"/>
      <c r="B1926" s="237"/>
      <c r="C1926" s="36" t="s">
        <v>607</v>
      </c>
      <c r="D1926" s="36" t="s">
        <v>12</v>
      </c>
      <c r="E1926" s="37">
        <v>0.75</v>
      </c>
      <c r="F1926" s="31">
        <v>20.196999999999999</v>
      </c>
      <c r="G1926" s="34">
        <f t="shared" si="30"/>
        <v>15.147749999999998</v>
      </c>
      <c r="H1926" s="39">
        <f>SUM(G1926:G1927)</f>
        <v>27.951374999999995</v>
      </c>
      <c r="I1926" s="40"/>
      <c r="J1926" s="102">
        <v>0</v>
      </c>
    </row>
    <row r="1927" spans="1:10" hidden="1" x14ac:dyDescent="0.25">
      <c r="A1927" s="219"/>
      <c r="B1927" s="237"/>
      <c r="C1927" s="36" t="s">
        <v>128</v>
      </c>
      <c r="D1927" s="47" t="s">
        <v>12</v>
      </c>
      <c r="E1927" s="37">
        <v>0.75</v>
      </c>
      <c r="F1927" s="31">
        <v>17.071499999999997</v>
      </c>
      <c r="G1927" s="34">
        <f t="shared" si="30"/>
        <v>12.803624999999997</v>
      </c>
      <c r="H1927" s="35"/>
      <c r="I1927" s="31"/>
      <c r="J1927" s="102">
        <v>0</v>
      </c>
    </row>
    <row r="1928" spans="1:10" ht="15.75" hidden="1" thickBot="1" x14ac:dyDescent="0.3">
      <c r="A1928" s="220"/>
      <c r="B1928" s="223"/>
      <c r="C1928" s="36"/>
      <c r="D1928" s="36"/>
      <c r="E1928" s="37"/>
      <c r="F1928" s="31" t="s">
        <v>522</v>
      </c>
      <c r="G1928" s="31" t="str">
        <f t="shared" si="30"/>
        <v/>
      </c>
      <c r="H1928" s="35"/>
      <c r="I1928" s="31"/>
      <c r="J1928" s="102">
        <v>0</v>
      </c>
    </row>
    <row r="1929" spans="1:10" ht="15.75" hidden="1" thickBot="1" x14ac:dyDescent="0.3">
      <c r="A1929" s="218" t="s">
        <v>608</v>
      </c>
      <c r="B1929" s="221" t="e">
        <f>INDEX(#REF!,MATCH(Composições!A1929,#REF!,0),2)</f>
        <v>#REF!</v>
      </c>
      <c r="C1929" s="41"/>
      <c r="D1929" s="26" t="s">
        <v>20</v>
      </c>
      <c r="E1929" s="27"/>
      <c r="F1929" s="42" t="s">
        <v>522</v>
      </c>
      <c r="G1929" s="28" t="str">
        <f t="shared" si="30"/>
        <v/>
      </c>
      <c r="H1929" s="29"/>
      <c r="I1929" s="30"/>
      <c r="J1929" s="102">
        <v>0</v>
      </c>
    </row>
    <row r="1930" spans="1:10" hidden="1" x14ac:dyDescent="0.25">
      <c r="A1930" s="219"/>
      <c r="B1930" s="237"/>
      <c r="C1930" s="32"/>
      <c r="D1930" s="32"/>
      <c r="E1930" s="33"/>
      <c r="F1930" s="43" t="s">
        <v>522</v>
      </c>
      <c r="G1930" s="31" t="str">
        <f t="shared" si="30"/>
        <v/>
      </c>
      <c r="H1930" s="35"/>
      <c r="I1930" s="31"/>
      <c r="J1930" s="102">
        <v>0</v>
      </c>
    </row>
    <row r="1931" spans="1:10" ht="25.5" hidden="1" x14ac:dyDescent="0.25">
      <c r="A1931" s="219"/>
      <c r="B1931" s="237"/>
      <c r="C1931" s="36" t="s">
        <v>107</v>
      </c>
      <c r="D1931" s="36" t="s">
        <v>12</v>
      </c>
      <c r="E1931" s="37">
        <v>0.5</v>
      </c>
      <c r="F1931" s="31">
        <v>16.672499999999999</v>
      </c>
      <c r="G1931" s="34">
        <f t="shared" si="30"/>
        <v>8.3362499999999997</v>
      </c>
      <c r="H1931" s="39">
        <f>SUM(G1931:G1933)</f>
        <v>18.786249999999999</v>
      </c>
      <c r="I1931" s="40"/>
      <c r="J1931" s="102">
        <v>0</v>
      </c>
    </row>
    <row r="1932" spans="1:10" hidden="1" x14ac:dyDescent="0.25">
      <c r="A1932" s="219"/>
      <c r="B1932" s="237"/>
      <c r="C1932" s="36" t="s">
        <v>39</v>
      </c>
      <c r="D1932" s="36" t="s">
        <v>12</v>
      </c>
      <c r="E1932" s="37">
        <v>0.5</v>
      </c>
      <c r="F1932" s="31">
        <v>20.9</v>
      </c>
      <c r="G1932" s="34">
        <f t="shared" si="30"/>
        <v>10.45</v>
      </c>
      <c r="H1932" s="35"/>
      <c r="I1932" s="31"/>
      <c r="J1932" s="102">
        <v>0</v>
      </c>
    </row>
    <row r="1933" spans="1:10" ht="25.5" hidden="1" x14ac:dyDescent="0.25">
      <c r="A1933" s="219"/>
      <c r="B1933" s="237"/>
      <c r="C1933" s="36" t="s">
        <v>609</v>
      </c>
      <c r="D1933" s="36" t="s">
        <v>20</v>
      </c>
      <c r="E1933" s="37">
        <v>1</v>
      </c>
      <c r="F1933" s="34" t="s">
        <v>522</v>
      </c>
      <c r="G1933" s="31" t="str">
        <f t="shared" si="30"/>
        <v/>
      </c>
      <c r="H1933" s="35"/>
      <c r="I1933" s="31"/>
      <c r="J1933" s="102">
        <v>0</v>
      </c>
    </row>
    <row r="1934" spans="1:10" ht="15.75" hidden="1" thickBot="1" x14ac:dyDescent="0.3">
      <c r="A1934" s="220"/>
      <c r="B1934" s="223"/>
      <c r="C1934" s="36"/>
      <c r="D1934" s="36"/>
      <c r="E1934" s="37"/>
      <c r="F1934" s="31" t="s">
        <v>522</v>
      </c>
      <c r="G1934" s="31" t="str">
        <f t="shared" si="30"/>
        <v/>
      </c>
      <c r="H1934" s="35"/>
      <c r="I1934" s="31"/>
      <c r="J1934" s="102">
        <v>0</v>
      </c>
    </row>
    <row r="1935" spans="1:10" ht="15.75" hidden="1" thickBot="1" x14ac:dyDescent="0.3">
      <c r="A1935" s="218" t="s">
        <v>610</v>
      </c>
      <c r="B1935" s="221" t="e">
        <f>INDEX(#REF!,MATCH(Composições!A1935,#REF!,0),2)</f>
        <v>#REF!</v>
      </c>
      <c r="C1935" s="41"/>
      <c r="D1935" s="26" t="s">
        <v>93</v>
      </c>
      <c r="E1935" s="27"/>
      <c r="F1935" s="42" t="s">
        <v>522</v>
      </c>
      <c r="G1935" s="28" t="str">
        <f t="shared" si="30"/>
        <v/>
      </c>
      <c r="H1935" s="29"/>
      <c r="I1935" s="30"/>
      <c r="J1935" s="102">
        <v>0</v>
      </c>
    </row>
    <row r="1936" spans="1:10" hidden="1" x14ac:dyDescent="0.25">
      <c r="A1936" s="219"/>
      <c r="B1936" s="237"/>
      <c r="C1936" s="32"/>
      <c r="D1936" s="32"/>
      <c r="E1936" s="33"/>
      <c r="F1936" s="43" t="s">
        <v>522</v>
      </c>
      <c r="G1936" s="31" t="str">
        <f t="shared" si="30"/>
        <v/>
      </c>
      <c r="H1936" s="35"/>
      <c r="I1936" s="31"/>
      <c r="J1936" s="102">
        <v>0</v>
      </c>
    </row>
    <row r="1937" spans="1:10" hidden="1" x14ac:dyDescent="0.25">
      <c r="A1937" s="219"/>
      <c r="B1937" s="237"/>
      <c r="C1937" s="36" t="s">
        <v>52</v>
      </c>
      <c r="D1937" s="47" t="s">
        <v>12</v>
      </c>
      <c r="E1937" s="37">
        <v>0.05</v>
      </c>
      <c r="F1937" s="31">
        <v>18.458499999999997</v>
      </c>
      <c r="G1937" s="31">
        <f t="shared" si="30"/>
        <v>0.92292499999999988</v>
      </c>
      <c r="H1937" s="39">
        <f>SUM(G1937:G1938)</f>
        <v>0.92292499999999988</v>
      </c>
      <c r="I1937" s="40"/>
      <c r="J1937" s="102">
        <v>0</v>
      </c>
    </row>
    <row r="1938" spans="1:10" hidden="1" x14ac:dyDescent="0.25">
      <c r="A1938" s="219"/>
      <c r="B1938" s="237"/>
      <c r="C1938" s="36" t="s">
        <v>611</v>
      </c>
      <c r="D1938" s="47" t="s">
        <v>93</v>
      </c>
      <c r="E1938" s="37">
        <v>1</v>
      </c>
      <c r="F1938" s="31" t="s">
        <v>522</v>
      </c>
      <c r="G1938" s="31" t="str">
        <f t="shared" ref="G1938:G2001" si="31">IF(ISNUMBER(F1938),E1938*F1938,"")</f>
        <v/>
      </c>
      <c r="H1938" s="35"/>
      <c r="I1938" s="31"/>
      <c r="J1938" s="102">
        <v>0</v>
      </c>
    </row>
    <row r="1939" spans="1:10" ht="15.75" hidden="1" thickBot="1" x14ac:dyDescent="0.3">
      <c r="A1939" s="220"/>
      <c r="B1939" s="223"/>
      <c r="C1939" s="36"/>
      <c r="D1939" s="36"/>
      <c r="E1939" s="37"/>
      <c r="F1939" s="31" t="s">
        <v>522</v>
      </c>
      <c r="G1939" s="31" t="str">
        <f t="shared" si="31"/>
        <v/>
      </c>
      <c r="H1939" s="35"/>
      <c r="I1939" s="31"/>
      <c r="J1939" s="102">
        <v>0</v>
      </c>
    </row>
    <row r="1940" spans="1:10" ht="15.75" hidden="1" thickBot="1" x14ac:dyDescent="0.3">
      <c r="A1940" s="218" t="s">
        <v>612</v>
      </c>
      <c r="B1940" s="221" t="e">
        <f>INDEX(#REF!,MATCH(Composições!A1940,#REF!,0),2)</f>
        <v>#REF!</v>
      </c>
      <c r="C1940" s="41"/>
      <c r="D1940" s="26" t="s">
        <v>93</v>
      </c>
      <c r="E1940" s="27"/>
      <c r="F1940" s="42" t="s">
        <v>522</v>
      </c>
      <c r="G1940" s="28" t="str">
        <f t="shared" si="31"/>
        <v/>
      </c>
      <c r="H1940" s="29"/>
      <c r="I1940" s="30"/>
      <c r="J1940" s="102">
        <v>0</v>
      </c>
    </row>
    <row r="1941" spans="1:10" hidden="1" x14ac:dyDescent="0.25">
      <c r="A1941" s="219"/>
      <c r="B1941" s="237"/>
      <c r="C1941" s="32"/>
      <c r="D1941" s="32"/>
      <c r="E1941" s="33"/>
      <c r="F1941" s="43" t="s">
        <v>522</v>
      </c>
      <c r="G1941" s="31" t="str">
        <f t="shared" si="31"/>
        <v/>
      </c>
      <c r="H1941" s="35"/>
      <c r="I1941" s="31"/>
      <c r="J1941" s="102">
        <v>0</v>
      </c>
    </row>
    <row r="1942" spans="1:10" hidden="1" x14ac:dyDescent="0.25">
      <c r="A1942" s="219"/>
      <c r="B1942" s="237"/>
      <c r="C1942" s="36" t="s">
        <v>52</v>
      </c>
      <c r="D1942" s="47" t="s">
        <v>12</v>
      </c>
      <c r="E1942" s="37">
        <v>0.05</v>
      </c>
      <c r="F1942" s="31">
        <v>18.458499999999997</v>
      </c>
      <c r="G1942" s="31">
        <f t="shared" si="31"/>
        <v>0.92292499999999988</v>
      </c>
      <c r="H1942" s="39">
        <f>SUM(G1942:G1943)</f>
        <v>0.92292499999999988</v>
      </c>
      <c r="I1942" s="40"/>
      <c r="J1942" s="102">
        <v>0</v>
      </c>
    </row>
    <row r="1943" spans="1:10" hidden="1" x14ac:dyDescent="0.25">
      <c r="A1943" s="219"/>
      <c r="B1943" s="237"/>
      <c r="C1943" s="36" t="s">
        <v>613</v>
      </c>
      <c r="D1943" s="47" t="s">
        <v>93</v>
      </c>
      <c r="E1943" s="37">
        <v>1</v>
      </c>
      <c r="F1943" s="31" t="s">
        <v>522</v>
      </c>
      <c r="G1943" s="31" t="str">
        <f t="shared" si="31"/>
        <v/>
      </c>
      <c r="H1943" s="35"/>
      <c r="I1943" s="31"/>
      <c r="J1943" s="102">
        <v>0</v>
      </c>
    </row>
    <row r="1944" spans="1:10" ht="15.75" hidden="1" thickBot="1" x14ac:dyDescent="0.3">
      <c r="A1944" s="220"/>
      <c r="B1944" s="223"/>
      <c r="C1944" s="36"/>
      <c r="D1944" s="36"/>
      <c r="E1944" s="37"/>
      <c r="F1944" s="31" t="s">
        <v>522</v>
      </c>
      <c r="G1944" s="31" t="str">
        <f t="shared" si="31"/>
        <v/>
      </c>
      <c r="H1944" s="35"/>
      <c r="I1944" s="31"/>
      <c r="J1944" s="102">
        <v>0</v>
      </c>
    </row>
    <row r="1945" spans="1:10" ht="15.75" hidden="1" thickBot="1" x14ac:dyDescent="0.3">
      <c r="A1945" s="218" t="s">
        <v>614</v>
      </c>
      <c r="B1945" s="221" t="e">
        <f>INDEX(#REF!,MATCH(Composições!A1945,#REF!,0),2)</f>
        <v>#REF!</v>
      </c>
      <c r="C1945" s="41"/>
      <c r="D1945" s="26" t="s">
        <v>93</v>
      </c>
      <c r="E1945" s="27"/>
      <c r="F1945" s="42" t="s">
        <v>522</v>
      </c>
      <c r="G1945" s="28" t="str">
        <f t="shared" si="31"/>
        <v/>
      </c>
      <c r="H1945" s="29"/>
      <c r="I1945" s="30"/>
      <c r="J1945" s="102">
        <v>0</v>
      </c>
    </row>
    <row r="1946" spans="1:10" hidden="1" x14ac:dyDescent="0.25">
      <c r="A1946" s="219"/>
      <c r="B1946" s="237"/>
      <c r="C1946" s="32"/>
      <c r="D1946" s="32"/>
      <c r="E1946" s="33"/>
      <c r="F1946" s="43" t="s">
        <v>522</v>
      </c>
      <c r="G1946" s="31" t="str">
        <f t="shared" si="31"/>
        <v/>
      </c>
      <c r="H1946" s="35"/>
      <c r="I1946" s="31"/>
      <c r="J1946" s="102">
        <v>0</v>
      </c>
    </row>
    <row r="1947" spans="1:10" hidden="1" x14ac:dyDescent="0.25">
      <c r="A1947" s="219"/>
      <c r="B1947" s="237"/>
      <c r="C1947" s="36" t="s">
        <v>52</v>
      </c>
      <c r="D1947" s="47" t="s">
        <v>12</v>
      </c>
      <c r="E1947" s="37">
        <v>0.05</v>
      </c>
      <c r="F1947" s="31">
        <v>18.458499999999997</v>
      </c>
      <c r="G1947" s="31">
        <f t="shared" si="31"/>
        <v>0.92292499999999988</v>
      </c>
      <c r="H1947" s="39">
        <f>SUM(G1947:G1950)</f>
        <v>0.92292499999999988</v>
      </c>
      <c r="I1947" s="40"/>
      <c r="J1947" s="102">
        <v>0</v>
      </c>
    </row>
    <row r="1948" spans="1:10" hidden="1" x14ac:dyDescent="0.25">
      <c r="A1948" s="219"/>
      <c r="B1948" s="237"/>
      <c r="C1948" s="36" t="s">
        <v>2443</v>
      </c>
      <c r="D1948" s="36" t="s">
        <v>20</v>
      </c>
      <c r="E1948" s="37">
        <v>1</v>
      </c>
      <c r="F1948" s="31" t="s">
        <v>522</v>
      </c>
      <c r="G1948" s="31" t="str">
        <f t="shared" si="31"/>
        <v/>
      </c>
      <c r="H1948" s="35"/>
      <c r="I1948" s="31"/>
      <c r="J1948" s="102">
        <v>0</v>
      </c>
    </row>
    <row r="1949" spans="1:10" hidden="1" x14ac:dyDescent="0.25">
      <c r="A1949" s="219"/>
      <c r="B1949" s="237"/>
      <c r="C1949" s="36" t="s">
        <v>2444</v>
      </c>
      <c r="D1949" s="36" t="s">
        <v>20</v>
      </c>
      <c r="E1949" s="37">
        <v>1</v>
      </c>
      <c r="F1949" s="31" t="s">
        <v>522</v>
      </c>
      <c r="G1949" s="31" t="str">
        <f t="shared" si="31"/>
        <v/>
      </c>
      <c r="H1949" s="35"/>
      <c r="I1949" s="31"/>
      <c r="J1949" s="102">
        <v>0</v>
      </c>
    </row>
    <row r="1950" spans="1:10" hidden="1" x14ac:dyDescent="0.25">
      <c r="A1950" s="219"/>
      <c r="B1950" s="237"/>
      <c r="C1950" s="36" t="s">
        <v>615</v>
      </c>
      <c r="D1950" s="47" t="s">
        <v>93</v>
      </c>
      <c r="E1950" s="37">
        <v>1</v>
      </c>
      <c r="F1950" s="31" t="s">
        <v>522</v>
      </c>
      <c r="G1950" s="31" t="str">
        <f t="shared" si="31"/>
        <v/>
      </c>
      <c r="H1950" s="35"/>
      <c r="I1950" s="31"/>
      <c r="J1950" s="102">
        <v>0</v>
      </c>
    </row>
    <row r="1951" spans="1:10" ht="15.75" hidden="1" thickBot="1" x14ac:dyDescent="0.3">
      <c r="A1951" s="220"/>
      <c r="B1951" s="223"/>
      <c r="C1951" s="36"/>
      <c r="D1951" s="36"/>
      <c r="E1951" s="37"/>
      <c r="F1951" s="31" t="s">
        <v>522</v>
      </c>
      <c r="G1951" s="31" t="str">
        <f t="shared" si="31"/>
        <v/>
      </c>
      <c r="H1951" s="35"/>
      <c r="I1951" s="31"/>
      <c r="J1951" s="102">
        <v>0</v>
      </c>
    </row>
    <row r="1952" spans="1:10" ht="15.75" hidden="1" thickBot="1" x14ac:dyDescent="0.3">
      <c r="A1952" s="218" t="s">
        <v>616</v>
      </c>
      <c r="B1952" s="221" t="e">
        <f>INDEX(#REF!,MATCH(Composições!A1952,#REF!,0),2)</f>
        <v>#REF!</v>
      </c>
      <c r="C1952" s="41"/>
      <c r="D1952" s="26" t="s">
        <v>20</v>
      </c>
      <c r="E1952" s="27"/>
      <c r="F1952" s="42" t="s">
        <v>522</v>
      </c>
      <c r="G1952" s="28" t="str">
        <f t="shared" si="31"/>
        <v/>
      </c>
      <c r="H1952" s="29"/>
      <c r="I1952" s="30"/>
      <c r="J1952" s="102">
        <v>0</v>
      </c>
    </row>
    <row r="1953" spans="1:10" hidden="1" x14ac:dyDescent="0.25">
      <c r="A1953" s="219"/>
      <c r="B1953" s="237"/>
      <c r="C1953" s="32"/>
      <c r="D1953" s="32"/>
      <c r="E1953" s="33"/>
      <c r="F1953" s="43" t="s">
        <v>522</v>
      </c>
      <c r="G1953" s="31" t="str">
        <f t="shared" si="31"/>
        <v/>
      </c>
      <c r="H1953" s="35"/>
      <c r="I1953" s="31"/>
      <c r="J1953" s="102">
        <v>0</v>
      </c>
    </row>
    <row r="1954" spans="1:10" ht="25.5" hidden="1" x14ac:dyDescent="0.25">
      <c r="A1954" s="219"/>
      <c r="B1954" s="237"/>
      <c r="C1954" s="36" t="s">
        <v>107</v>
      </c>
      <c r="D1954" s="47" t="s">
        <v>12</v>
      </c>
      <c r="E1954" s="37">
        <v>0.5</v>
      </c>
      <c r="F1954" s="31">
        <v>16.672499999999999</v>
      </c>
      <c r="G1954" s="34">
        <f t="shared" si="31"/>
        <v>8.3362499999999997</v>
      </c>
      <c r="H1954" s="39">
        <f>SUM(G1954:G1956)</f>
        <v>18.786249999999999</v>
      </c>
      <c r="I1954" s="40"/>
      <c r="J1954" s="102">
        <v>0</v>
      </c>
    </row>
    <row r="1955" spans="1:10" hidden="1" x14ac:dyDescent="0.25">
      <c r="A1955" s="219"/>
      <c r="B1955" s="237"/>
      <c r="C1955" s="36" t="s">
        <v>39</v>
      </c>
      <c r="D1955" s="47" t="s">
        <v>12</v>
      </c>
      <c r="E1955" s="37">
        <v>0.5</v>
      </c>
      <c r="F1955" s="31">
        <v>20.9</v>
      </c>
      <c r="G1955" s="34">
        <f t="shared" si="31"/>
        <v>10.45</v>
      </c>
      <c r="H1955" s="35"/>
      <c r="I1955" s="31"/>
      <c r="J1955" s="102">
        <v>0</v>
      </c>
    </row>
    <row r="1956" spans="1:10" hidden="1" x14ac:dyDescent="0.25">
      <c r="A1956" s="219"/>
      <c r="B1956" s="237"/>
      <c r="C1956" s="36" t="s">
        <v>619</v>
      </c>
      <c r="D1956" s="36" t="s">
        <v>144</v>
      </c>
      <c r="E1956" s="37">
        <v>1</v>
      </c>
      <c r="F1956" s="34" t="s">
        <v>522</v>
      </c>
      <c r="G1956" s="34" t="str">
        <f t="shared" si="31"/>
        <v/>
      </c>
      <c r="H1956" s="35"/>
      <c r="I1956" s="31"/>
      <c r="J1956" s="102">
        <v>0</v>
      </c>
    </row>
    <row r="1957" spans="1:10" ht="15.75" hidden="1" thickBot="1" x14ac:dyDescent="0.3">
      <c r="A1957" s="220"/>
      <c r="B1957" s="223"/>
      <c r="C1957" s="36"/>
      <c r="D1957" s="36"/>
      <c r="E1957" s="37"/>
      <c r="F1957" s="31" t="s">
        <v>522</v>
      </c>
      <c r="G1957" s="31" t="str">
        <f t="shared" si="31"/>
        <v/>
      </c>
      <c r="H1957" s="35"/>
      <c r="I1957" s="31"/>
      <c r="J1957" s="102">
        <v>0</v>
      </c>
    </row>
    <row r="1958" spans="1:10" ht="15.75" hidden="1" thickBot="1" x14ac:dyDescent="0.3">
      <c r="A1958" s="218" t="s">
        <v>620</v>
      </c>
      <c r="B1958" s="221" t="e">
        <f>INDEX(#REF!,MATCH(Composições!A1958,#REF!,0),2)</f>
        <v>#REF!</v>
      </c>
      <c r="C1958" s="41"/>
      <c r="D1958" s="26" t="s">
        <v>20</v>
      </c>
      <c r="E1958" s="27"/>
      <c r="F1958" s="42" t="s">
        <v>522</v>
      </c>
      <c r="G1958" s="28" t="str">
        <f t="shared" si="31"/>
        <v/>
      </c>
      <c r="H1958" s="29"/>
      <c r="I1958" s="30"/>
      <c r="J1958" s="102">
        <v>0</v>
      </c>
    </row>
    <row r="1959" spans="1:10" hidden="1" x14ac:dyDescent="0.25">
      <c r="A1959" s="219"/>
      <c r="B1959" s="237"/>
      <c r="C1959" s="32"/>
      <c r="D1959" s="32"/>
      <c r="E1959" s="33"/>
      <c r="F1959" s="43" t="s">
        <v>522</v>
      </c>
      <c r="G1959" s="31" t="str">
        <f t="shared" si="31"/>
        <v/>
      </c>
      <c r="H1959" s="35"/>
      <c r="I1959" s="31"/>
      <c r="J1959" s="102">
        <v>0</v>
      </c>
    </row>
    <row r="1960" spans="1:10" ht="25.5" hidden="1" x14ac:dyDescent="0.25">
      <c r="A1960" s="219"/>
      <c r="B1960" s="237"/>
      <c r="C1960" s="36" t="s">
        <v>107</v>
      </c>
      <c r="D1960" s="47" t="s">
        <v>12</v>
      </c>
      <c r="E1960" s="37">
        <v>0.5</v>
      </c>
      <c r="F1960" s="31">
        <v>16.672499999999999</v>
      </c>
      <c r="G1960" s="34">
        <f t="shared" si="31"/>
        <v>8.3362499999999997</v>
      </c>
      <c r="H1960" s="39">
        <f>SUM(G1960:G1962)</f>
        <v>18.786249999999999</v>
      </c>
      <c r="I1960" s="40"/>
      <c r="J1960" s="102">
        <v>0</v>
      </c>
    </row>
    <row r="1961" spans="1:10" hidden="1" x14ac:dyDescent="0.25">
      <c r="A1961" s="219"/>
      <c r="B1961" s="237"/>
      <c r="C1961" s="36" t="s">
        <v>39</v>
      </c>
      <c r="D1961" s="47" t="s">
        <v>12</v>
      </c>
      <c r="E1961" s="37">
        <v>0.5</v>
      </c>
      <c r="F1961" s="31">
        <v>20.9</v>
      </c>
      <c r="G1961" s="34">
        <f t="shared" si="31"/>
        <v>10.45</v>
      </c>
      <c r="H1961" s="35"/>
      <c r="I1961" s="31"/>
      <c r="J1961" s="102">
        <v>0</v>
      </c>
    </row>
    <row r="1962" spans="1:10" hidden="1" x14ac:dyDescent="0.25">
      <c r="A1962" s="219"/>
      <c r="B1962" s="237"/>
      <c r="C1962" s="36" t="s">
        <v>621</v>
      </c>
      <c r="D1962" s="36" t="s">
        <v>144</v>
      </c>
      <c r="E1962" s="37">
        <v>1</v>
      </c>
      <c r="F1962" s="34" t="s">
        <v>522</v>
      </c>
      <c r="G1962" s="34" t="str">
        <f t="shared" si="31"/>
        <v/>
      </c>
      <c r="H1962" s="35"/>
      <c r="I1962" s="31"/>
      <c r="J1962" s="102">
        <v>0</v>
      </c>
    </row>
    <row r="1963" spans="1:10" ht="15.75" hidden="1" thickBot="1" x14ac:dyDescent="0.3">
      <c r="A1963" s="220"/>
      <c r="B1963" s="223"/>
      <c r="C1963" s="36"/>
      <c r="D1963" s="36"/>
      <c r="E1963" s="37"/>
      <c r="F1963" s="31" t="s">
        <v>522</v>
      </c>
      <c r="G1963" s="31" t="str">
        <f t="shared" si="31"/>
        <v/>
      </c>
      <c r="H1963" s="35"/>
      <c r="I1963" s="31"/>
      <c r="J1963" s="102">
        <v>0</v>
      </c>
    </row>
    <row r="1964" spans="1:10" ht="15.75" hidden="1" thickBot="1" x14ac:dyDescent="0.3">
      <c r="A1964" s="218" t="s">
        <v>622</v>
      </c>
      <c r="B1964" s="221" t="e">
        <f>INDEX(#REF!,MATCH(Composições!A1964,#REF!,0),2)</f>
        <v>#REF!</v>
      </c>
      <c r="C1964" s="41"/>
      <c r="D1964" s="26" t="s">
        <v>20</v>
      </c>
      <c r="E1964" s="27"/>
      <c r="F1964" s="42" t="s">
        <v>522</v>
      </c>
      <c r="G1964" s="28" t="str">
        <f t="shared" si="31"/>
        <v/>
      </c>
      <c r="H1964" s="29"/>
      <c r="I1964" s="30"/>
      <c r="J1964" s="102">
        <v>0</v>
      </c>
    </row>
    <row r="1965" spans="1:10" hidden="1" x14ac:dyDescent="0.25">
      <c r="A1965" s="219"/>
      <c r="B1965" s="237"/>
      <c r="C1965" s="32"/>
      <c r="D1965" s="32"/>
      <c r="E1965" s="33"/>
      <c r="F1965" s="43" t="s">
        <v>522</v>
      </c>
      <c r="G1965" s="31" t="str">
        <f t="shared" si="31"/>
        <v/>
      </c>
      <c r="H1965" s="35"/>
      <c r="I1965" s="31"/>
      <c r="J1965" s="102">
        <v>0</v>
      </c>
    </row>
    <row r="1966" spans="1:10" ht="25.5" hidden="1" x14ac:dyDescent="0.25">
      <c r="A1966" s="219"/>
      <c r="B1966" s="237"/>
      <c r="C1966" s="36" t="s">
        <v>107</v>
      </c>
      <c r="D1966" s="47" t="s">
        <v>12</v>
      </c>
      <c r="E1966" s="37">
        <v>0.14849999999999999</v>
      </c>
      <c r="F1966" s="31">
        <v>16.672499999999999</v>
      </c>
      <c r="G1966" s="31">
        <f t="shared" si="31"/>
        <v>2.4758662499999997</v>
      </c>
      <c r="H1966" s="39">
        <f>SUM(G1966:G1969)</f>
        <v>5.7510634499999993</v>
      </c>
      <c r="I1966" s="40"/>
      <c r="J1966" s="102">
        <v>0</v>
      </c>
    </row>
    <row r="1967" spans="1:10" hidden="1" x14ac:dyDescent="0.25">
      <c r="A1967" s="219"/>
      <c r="B1967" s="237"/>
      <c r="C1967" s="36" t="s">
        <v>39</v>
      </c>
      <c r="D1967" s="47" t="s">
        <v>12</v>
      </c>
      <c r="E1967" s="37">
        <v>0.14849999999999999</v>
      </c>
      <c r="F1967" s="31">
        <v>20.9</v>
      </c>
      <c r="G1967" s="31">
        <f t="shared" si="31"/>
        <v>3.1036499999999996</v>
      </c>
      <c r="H1967" s="35"/>
      <c r="I1967" s="31"/>
      <c r="J1967" s="102">
        <v>0</v>
      </c>
    </row>
    <row r="1968" spans="1:10" ht="38.25" hidden="1" x14ac:dyDescent="0.25">
      <c r="A1968" s="219"/>
      <c r="B1968" s="237"/>
      <c r="C1968" s="36" t="s">
        <v>623</v>
      </c>
      <c r="D1968" s="36" t="s">
        <v>144</v>
      </c>
      <c r="E1968" s="37">
        <v>1</v>
      </c>
      <c r="F1968" s="34" t="s">
        <v>522</v>
      </c>
      <c r="G1968" s="31" t="str">
        <f t="shared" si="31"/>
        <v/>
      </c>
      <c r="H1968" s="35"/>
      <c r="I1968" s="31"/>
      <c r="J1968" s="102">
        <v>0</v>
      </c>
    </row>
    <row r="1969" spans="1:10" hidden="1" x14ac:dyDescent="0.25">
      <c r="A1969" s="219"/>
      <c r="B1969" s="237"/>
      <c r="C1969" s="36" t="s">
        <v>379</v>
      </c>
      <c r="D1969" s="47" t="s">
        <v>279</v>
      </c>
      <c r="E1969" s="37">
        <v>1.32E-2</v>
      </c>
      <c r="F1969" s="34">
        <v>12.995999999999999</v>
      </c>
      <c r="G1969" s="31">
        <f t="shared" si="31"/>
        <v>0.17154719999999998</v>
      </c>
      <c r="H1969" s="35"/>
      <c r="I1969" s="31"/>
      <c r="J1969" s="102">
        <v>0</v>
      </c>
    </row>
    <row r="1970" spans="1:10" ht="15.75" hidden="1" thickBot="1" x14ac:dyDescent="0.3">
      <c r="A1970" s="220"/>
      <c r="B1970" s="223"/>
      <c r="C1970" s="36"/>
      <c r="D1970" s="36"/>
      <c r="E1970" s="37"/>
      <c r="F1970" s="31" t="s">
        <v>522</v>
      </c>
      <c r="G1970" s="31" t="str">
        <f t="shared" si="31"/>
        <v/>
      </c>
      <c r="H1970" s="35"/>
      <c r="I1970" s="31"/>
      <c r="J1970" s="102">
        <v>0</v>
      </c>
    </row>
    <row r="1971" spans="1:10" ht="15.75" hidden="1" thickBot="1" x14ac:dyDescent="0.3">
      <c r="A1971" s="218" t="s">
        <v>624</v>
      </c>
      <c r="B1971" s="221" t="e">
        <f>INDEX(#REF!,MATCH(Composições!A1971,#REF!,0),2)</f>
        <v>#REF!</v>
      </c>
      <c r="C1971" s="41"/>
      <c r="D1971" s="26" t="s">
        <v>20</v>
      </c>
      <c r="E1971" s="27"/>
      <c r="F1971" s="42" t="s">
        <v>522</v>
      </c>
      <c r="G1971" s="28" t="str">
        <f t="shared" si="31"/>
        <v/>
      </c>
      <c r="H1971" s="29"/>
      <c r="I1971" s="30"/>
      <c r="J1971" s="102">
        <v>0</v>
      </c>
    </row>
    <row r="1972" spans="1:10" hidden="1" x14ac:dyDescent="0.25">
      <c r="A1972" s="219"/>
      <c r="B1972" s="237"/>
      <c r="C1972" s="32"/>
      <c r="D1972" s="32"/>
      <c r="E1972" s="33"/>
      <c r="F1972" s="43" t="s">
        <v>522</v>
      </c>
      <c r="G1972" s="31" t="str">
        <f t="shared" si="31"/>
        <v/>
      </c>
      <c r="H1972" s="35"/>
      <c r="I1972" s="31"/>
      <c r="J1972" s="102">
        <v>0</v>
      </c>
    </row>
    <row r="1973" spans="1:10" ht="25.5" hidden="1" x14ac:dyDescent="0.25">
      <c r="A1973" s="219"/>
      <c r="B1973" s="237"/>
      <c r="C1973" s="36" t="s">
        <v>107</v>
      </c>
      <c r="D1973" s="47" t="s">
        <v>12</v>
      </c>
      <c r="E1973" s="37">
        <v>0.11020000000000001</v>
      </c>
      <c r="F1973" s="31">
        <v>16.672499999999999</v>
      </c>
      <c r="G1973" s="31">
        <f t="shared" si="31"/>
        <v>1.8373095000000002</v>
      </c>
      <c r="H1973" s="39">
        <f>SUM(G1973:G1976)</f>
        <v>4.2782470999999997</v>
      </c>
      <c r="I1973" s="40"/>
      <c r="J1973" s="102">
        <v>0</v>
      </c>
    </row>
    <row r="1974" spans="1:10" hidden="1" x14ac:dyDescent="0.25">
      <c r="A1974" s="219"/>
      <c r="B1974" s="237"/>
      <c r="C1974" s="36" t="s">
        <v>39</v>
      </c>
      <c r="D1974" s="47" t="s">
        <v>12</v>
      </c>
      <c r="E1974" s="37">
        <v>0.11020000000000001</v>
      </c>
      <c r="F1974" s="31">
        <v>20.9</v>
      </c>
      <c r="G1974" s="31">
        <f t="shared" si="31"/>
        <v>2.3031799999999998</v>
      </c>
      <c r="H1974" s="35"/>
      <c r="I1974" s="31"/>
      <c r="J1974" s="102">
        <v>0</v>
      </c>
    </row>
    <row r="1975" spans="1:10" ht="38.25" hidden="1" x14ac:dyDescent="0.25">
      <c r="A1975" s="219"/>
      <c r="B1975" s="237"/>
      <c r="C1975" s="36" t="s">
        <v>625</v>
      </c>
      <c r="D1975" s="36" t="s">
        <v>144</v>
      </c>
      <c r="E1975" s="37">
        <v>1</v>
      </c>
      <c r="F1975" s="34" t="s">
        <v>522</v>
      </c>
      <c r="G1975" s="31" t="str">
        <f t="shared" si="31"/>
        <v/>
      </c>
      <c r="H1975" s="35"/>
      <c r="I1975" s="31"/>
      <c r="J1975" s="102">
        <v>0</v>
      </c>
    </row>
    <row r="1976" spans="1:10" hidden="1" x14ac:dyDescent="0.25">
      <c r="A1976" s="219"/>
      <c r="B1976" s="237"/>
      <c r="C1976" s="36" t="s">
        <v>379</v>
      </c>
      <c r="D1976" s="47" t="s">
        <v>279</v>
      </c>
      <c r="E1976" s="37">
        <v>1.06E-2</v>
      </c>
      <c r="F1976" s="34">
        <v>12.995999999999999</v>
      </c>
      <c r="G1976" s="31">
        <f t="shared" si="31"/>
        <v>0.13775759999999998</v>
      </c>
      <c r="H1976" s="35"/>
      <c r="I1976" s="31"/>
      <c r="J1976" s="102">
        <v>0</v>
      </c>
    </row>
    <row r="1977" spans="1:10" ht="15.75" hidden="1" thickBot="1" x14ac:dyDescent="0.3">
      <c r="A1977" s="220"/>
      <c r="B1977" s="223"/>
      <c r="C1977" s="36"/>
      <c r="D1977" s="36"/>
      <c r="E1977" s="37"/>
      <c r="F1977" s="31" t="s">
        <v>522</v>
      </c>
      <c r="G1977" s="31" t="str">
        <f t="shared" si="31"/>
        <v/>
      </c>
      <c r="H1977" s="35"/>
      <c r="I1977" s="31"/>
      <c r="J1977" s="102">
        <v>0</v>
      </c>
    </row>
    <row r="1978" spans="1:10" ht="15.75" hidden="1" thickBot="1" x14ac:dyDescent="0.3">
      <c r="A1978" s="218" t="s">
        <v>626</v>
      </c>
      <c r="B1978" s="221" t="e">
        <f>INDEX(#REF!,MATCH(Composições!A1978,#REF!,0),2)</f>
        <v>#REF!</v>
      </c>
      <c r="C1978" s="41"/>
      <c r="D1978" s="26" t="s">
        <v>20</v>
      </c>
      <c r="E1978" s="27"/>
      <c r="F1978" s="42" t="s">
        <v>522</v>
      </c>
      <c r="G1978" s="28" t="str">
        <f t="shared" si="31"/>
        <v/>
      </c>
      <c r="H1978" s="29"/>
      <c r="I1978" s="30"/>
      <c r="J1978" s="102">
        <v>0</v>
      </c>
    </row>
    <row r="1979" spans="1:10" hidden="1" x14ac:dyDescent="0.25">
      <c r="A1979" s="219"/>
      <c r="B1979" s="237"/>
      <c r="C1979" s="32"/>
      <c r="D1979" s="32"/>
      <c r="E1979" s="33"/>
      <c r="F1979" s="43" t="s">
        <v>522</v>
      </c>
      <c r="G1979" s="31" t="str">
        <f t="shared" si="31"/>
        <v/>
      </c>
      <c r="H1979" s="35"/>
      <c r="I1979" s="31"/>
      <c r="J1979" s="102">
        <v>0</v>
      </c>
    </row>
    <row r="1980" spans="1:10" ht="25.5" hidden="1" x14ac:dyDescent="0.25">
      <c r="A1980" s="219"/>
      <c r="B1980" s="237"/>
      <c r="C1980" s="36" t="s">
        <v>107</v>
      </c>
      <c r="D1980" s="47" t="s">
        <v>12</v>
      </c>
      <c r="E1980" s="37">
        <v>0.14849999999999999</v>
      </c>
      <c r="F1980" s="31">
        <v>16.672499999999999</v>
      </c>
      <c r="G1980" s="31">
        <f t="shared" si="31"/>
        <v>2.4758662499999997</v>
      </c>
      <c r="H1980" s="39">
        <f>SUM(G1980:G1984)</f>
        <v>5.7510634499999993</v>
      </c>
      <c r="I1980" s="40"/>
      <c r="J1980" s="102">
        <v>0</v>
      </c>
    </row>
    <row r="1981" spans="1:10" hidden="1" x14ac:dyDescent="0.25">
      <c r="A1981" s="219"/>
      <c r="B1981" s="237"/>
      <c r="C1981" s="36" t="s">
        <v>39</v>
      </c>
      <c r="D1981" s="47" t="s">
        <v>12</v>
      </c>
      <c r="E1981" s="37">
        <v>0.14849999999999999</v>
      </c>
      <c r="F1981" s="31">
        <v>20.9</v>
      </c>
      <c r="G1981" s="31">
        <f t="shared" si="31"/>
        <v>3.1036499999999996</v>
      </c>
      <c r="H1981" s="35"/>
      <c r="I1981" s="31"/>
      <c r="J1981" s="102">
        <v>0</v>
      </c>
    </row>
    <row r="1982" spans="1:10" hidden="1" x14ac:dyDescent="0.25">
      <c r="A1982" s="219"/>
      <c r="B1982" s="237"/>
      <c r="C1982" s="36" t="s">
        <v>379</v>
      </c>
      <c r="D1982" s="47" t="s">
        <v>279</v>
      </c>
      <c r="E1982" s="37">
        <v>1.32E-2</v>
      </c>
      <c r="F1982" s="34">
        <v>12.995999999999999</v>
      </c>
      <c r="G1982" s="31">
        <f t="shared" si="31"/>
        <v>0.17154719999999998</v>
      </c>
      <c r="H1982" s="35"/>
      <c r="I1982" s="31"/>
      <c r="J1982" s="102">
        <v>0</v>
      </c>
    </row>
    <row r="1983" spans="1:10" ht="38.25" hidden="1" x14ac:dyDescent="0.25">
      <c r="A1983" s="219"/>
      <c r="B1983" s="237"/>
      <c r="C1983" s="36" t="s">
        <v>627</v>
      </c>
      <c r="D1983" s="36" t="s">
        <v>144</v>
      </c>
      <c r="E1983" s="37">
        <v>1</v>
      </c>
      <c r="F1983" s="34" t="s">
        <v>522</v>
      </c>
      <c r="G1983" s="31" t="str">
        <f t="shared" si="31"/>
        <v/>
      </c>
      <c r="H1983" s="35"/>
      <c r="I1983" s="31"/>
      <c r="J1983" s="102">
        <v>0</v>
      </c>
    </row>
    <row r="1984" spans="1:10" ht="38.25" hidden="1" x14ac:dyDescent="0.25">
      <c r="A1984" s="219"/>
      <c r="B1984" s="237"/>
      <c r="C1984" s="36" t="s">
        <v>628</v>
      </c>
      <c r="D1984" s="36" t="s">
        <v>144</v>
      </c>
      <c r="E1984" s="37">
        <v>1</v>
      </c>
      <c r="F1984" s="34" t="s">
        <v>522</v>
      </c>
      <c r="G1984" s="31" t="str">
        <f t="shared" si="31"/>
        <v/>
      </c>
      <c r="H1984" s="35"/>
      <c r="I1984" s="31"/>
      <c r="J1984" s="102">
        <v>0</v>
      </c>
    </row>
    <row r="1985" spans="1:10" ht="15.75" hidden="1" thickBot="1" x14ac:dyDescent="0.3">
      <c r="A1985" s="220"/>
      <c r="B1985" s="223"/>
      <c r="C1985" s="36"/>
      <c r="D1985" s="36"/>
      <c r="E1985" s="37"/>
      <c r="F1985" s="31" t="s">
        <v>522</v>
      </c>
      <c r="G1985" s="31" t="str">
        <f t="shared" si="31"/>
        <v/>
      </c>
      <c r="H1985" s="35"/>
      <c r="I1985" s="31"/>
      <c r="J1985" s="102">
        <v>0</v>
      </c>
    </row>
    <row r="1986" spans="1:10" ht="15.75" hidden="1" thickBot="1" x14ac:dyDescent="0.3">
      <c r="A1986" s="218" t="s">
        <v>629</v>
      </c>
      <c r="B1986" s="221" t="e">
        <f>INDEX(#REF!,MATCH(Composições!A1986,#REF!,0),2)</f>
        <v>#REF!</v>
      </c>
      <c r="C1986" s="41"/>
      <c r="D1986" s="26" t="s">
        <v>20</v>
      </c>
      <c r="E1986" s="27"/>
      <c r="F1986" s="42" t="s">
        <v>522</v>
      </c>
      <c r="G1986" s="28" t="str">
        <f t="shared" si="31"/>
        <v/>
      </c>
      <c r="H1986" s="29"/>
      <c r="I1986" s="30"/>
      <c r="J1986" s="102">
        <v>0</v>
      </c>
    </row>
    <row r="1987" spans="1:10" hidden="1" x14ac:dyDescent="0.25">
      <c r="A1987" s="219"/>
      <c r="B1987" s="237"/>
      <c r="C1987" s="32"/>
      <c r="D1987" s="32"/>
      <c r="E1987" s="33"/>
      <c r="F1987" s="43" t="s">
        <v>522</v>
      </c>
      <c r="G1987" s="31" t="str">
        <f t="shared" si="31"/>
        <v/>
      </c>
      <c r="H1987" s="35"/>
      <c r="I1987" s="31"/>
      <c r="J1987" s="102">
        <v>0</v>
      </c>
    </row>
    <row r="1988" spans="1:10" ht="25.5" hidden="1" x14ac:dyDescent="0.25">
      <c r="A1988" s="219"/>
      <c r="B1988" s="237"/>
      <c r="C1988" s="36" t="s">
        <v>107</v>
      </c>
      <c r="D1988" s="47" t="s">
        <v>12</v>
      </c>
      <c r="E1988" s="37">
        <v>0.11020000000000001</v>
      </c>
      <c r="F1988" s="31">
        <v>16.672499999999999</v>
      </c>
      <c r="G1988" s="31">
        <f t="shared" si="31"/>
        <v>1.8373095000000002</v>
      </c>
      <c r="H1988" s="39">
        <f>SUM(G1988:G1992)</f>
        <v>4.2782470999999997</v>
      </c>
      <c r="I1988" s="40"/>
      <c r="J1988" s="102">
        <v>0</v>
      </c>
    </row>
    <row r="1989" spans="1:10" hidden="1" x14ac:dyDescent="0.25">
      <c r="A1989" s="219"/>
      <c r="B1989" s="237"/>
      <c r="C1989" s="36" t="s">
        <v>39</v>
      </c>
      <c r="D1989" s="47" t="s">
        <v>12</v>
      </c>
      <c r="E1989" s="37">
        <v>0.11020000000000001</v>
      </c>
      <c r="F1989" s="31">
        <v>20.9</v>
      </c>
      <c r="G1989" s="31">
        <f t="shared" si="31"/>
        <v>2.3031799999999998</v>
      </c>
      <c r="H1989" s="35"/>
      <c r="I1989" s="31"/>
      <c r="J1989" s="102">
        <v>0</v>
      </c>
    </row>
    <row r="1990" spans="1:10" hidden="1" x14ac:dyDescent="0.25">
      <c r="A1990" s="219"/>
      <c r="B1990" s="237"/>
      <c r="C1990" s="36" t="s">
        <v>379</v>
      </c>
      <c r="D1990" s="47" t="s">
        <v>279</v>
      </c>
      <c r="E1990" s="37">
        <v>1.06E-2</v>
      </c>
      <c r="F1990" s="34">
        <v>12.995999999999999</v>
      </c>
      <c r="G1990" s="31">
        <f t="shared" si="31"/>
        <v>0.13775759999999998</v>
      </c>
      <c r="H1990" s="35"/>
      <c r="I1990" s="31"/>
      <c r="J1990" s="102">
        <v>0</v>
      </c>
    </row>
    <row r="1991" spans="1:10" ht="38.25" hidden="1" x14ac:dyDescent="0.25">
      <c r="A1991" s="219"/>
      <c r="B1991" s="237"/>
      <c r="C1991" s="36" t="s">
        <v>627</v>
      </c>
      <c r="D1991" s="36" t="s">
        <v>144</v>
      </c>
      <c r="E1991" s="37">
        <v>1</v>
      </c>
      <c r="F1991" s="34" t="s">
        <v>522</v>
      </c>
      <c r="G1991" s="31" t="str">
        <f t="shared" si="31"/>
        <v/>
      </c>
      <c r="H1991" s="35"/>
      <c r="I1991" s="31"/>
      <c r="J1991" s="102">
        <v>0</v>
      </c>
    </row>
    <row r="1992" spans="1:10" ht="38.25" hidden="1" x14ac:dyDescent="0.25">
      <c r="A1992" s="219"/>
      <c r="B1992" s="237"/>
      <c r="C1992" s="36" t="s">
        <v>630</v>
      </c>
      <c r="D1992" s="36" t="s">
        <v>144</v>
      </c>
      <c r="E1992" s="37">
        <v>1</v>
      </c>
      <c r="F1992" s="34" t="s">
        <v>522</v>
      </c>
      <c r="G1992" s="31" t="str">
        <f t="shared" si="31"/>
        <v/>
      </c>
      <c r="H1992" s="35"/>
      <c r="I1992" s="31"/>
      <c r="J1992" s="102">
        <v>0</v>
      </c>
    </row>
    <row r="1993" spans="1:10" ht="15.75" hidden="1" thickBot="1" x14ac:dyDescent="0.3">
      <c r="A1993" s="220"/>
      <c r="B1993" s="223"/>
      <c r="C1993" s="36"/>
      <c r="D1993" s="36"/>
      <c r="E1993" s="37"/>
      <c r="F1993" s="31" t="s">
        <v>522</v>
      </c>
      <c r="G1993" s="31" t="str">
        <f t="shared" si="31"/>
        <v/>
      </c>
      <c r="H1993" s="35"/>
      <c r="I1993" s="31"/>
      <c r="J1993" s="102">
        <v>0</v>
      </c>
    </row>
    <row r="1994" spans="1:10" ht="15.75" hidden="1" thickBot="1" x14ac:dyDescent="0.3">
      <c r="A1994" s="218" t="s">
        <v>631</v>
      </c>
      <c r="B1994" s="221" t="e">
        <f>INDEX(#REF!,MATCH(Composições!A1994,#REF!,0),2)</f>
        <v>#REF!</v>
      </c>
      <c r="C1994" s="41"/>
      <c r="D1994" s="26" t="s">
        <v>20</v>
      </c>
      <c r="E1994" s="27"/>
      <c r="F1994" s="42" t="s">
        <v>522</v>
      </c>
      <c r="G1994" s="28" t="str">
        <f t="shared" si="31"/>
        <v/>
      </c>
      <c r="H1994" s="29"/>
      <c r="I1994" s="30"/>
      <c r="J1994" s="102">
        <v>0</v>
      </c>
    </row>
    <row r="1995" spans="1:10" hidden="1" x14ac:dyDescent="0.25">
      <c r="A1995" s="219"/>
      <c r="B1995" s="237"/>
      <c r="C1995" s="32"/>
      <c r="D1995" s="32"/>
      <c r="E1995" s="33"/>
      <c r="F1995" s="43" t="s">
        <v>522</v>
      </c>
      <c r="G1995" s="31" t="str">
        <f t="shared" si="31"/>
        <v/>
      </c>
      <c r="H1995" s="35"/>
      <c r="I1995" s="31"/>
      <c r="J1995" s="102">
        <v>0</v>
      </c>
    </row>
    <row r="1996" spans="1:10" hidden="1" x14ac:dyDescent="0.25">
      <c r="A1996" s="219"/>
      <c r="B1996" s="237"/>
      <c r="C1996" s="36" t="s">
        <v>379</v>
      </c>
      <c r="D1996" s="47" t="s">
        <v>279</v>
      </c>
      <c r="E1996" s="37">
        <v>1.9E-2</v>
      </c>
      <c r="F1996" s="34">
        <v>12.995999999999999</v>
      </c>
      <c r="G1996" s="31">
        <f t="shared" si="31"/>
        <v>0.24692399999999998</v>
      </c>
      <c r="H1996" s="39">
        <f>SUM(G1996:G1999)</f>
        <v>118.40176325</v>
      </c>
      <c r="I1996" s="40"/>
      <c r="J1996" s="102">
        <v>0</v>
      </c>
    </row>
    <row r="1997" spans="1:10" ht="25.5" hidden="1" x14ac:dyDescent="0.25">
      <c r="A1997" s="219"/>
      <c r="B1997" s="237"/>
      <c r="C1997" s="36" t="s">
        <v>632</v>
      </c>
      <c r="D1997" s="47" t="s">
        <v>20</v>
      </c>
      <c r="E1997" s="37">
        <v>1</v>
      </c>
      <c r="F1997" s="34">
        <v>108.26199999999999</v>
      </c>
      <c r="G1997" s="31">
        <f t="shared" si="31"/>
        <v>108.26199999999999</v>
      </c>
      <c r="H1997" s="35"/>
      <c r="I1997" s="31"/>
      <c r="J1997" s="102">
        <v>0</v>
      </c>
    </row>
    <row r="1998" spans="1:10" ht="25.5" hidden="1" x14ac:dyDescent="0.25">
      <c r="A1998" s="219"/>
      <c r="B1998" s="237"/>
      <c r="C1998" s="36" t="s">
        <v>107</v>
      </c>
      <c r="D1998" s="47" t="s">
        <v>12</v>
      </c>
      <c r="E1998" s="37">
        <v>0.26329999999999998</v>
      </c>
      <c r="F1998" s="31">
        <v>16.672499999999999</v>
      </c>
      <c r="G1998" s="34">
        <f t="shared" si="31"/>
        <v>4.3898692499999994</v>
      </c>
      <c r="H1998" s="35"/>
      <c r="I1998" s="31"/>
      <c r="J1998" s="102">
        <v>0</v>
      </c>
    </row>
    <row r="1999" spans="1:10" hidden="1" x14ac:dyDescent="0.25">
      <c r="A1999" s="219"/>
      <c r="B1999" s="237"/>
      <c r="C1999" s="36" t="s">
        <v>39</v>
      </c>
      <c r="D1999" s="47" t="s">
        <v>12</v>
      </c>
      <c r="E1999" s="37">
        <v>0.26329999999999998</v>
      </c>
      <c r="F1999" s="31">
        <v>20.9</v>
      </c>
      <c r="G1999" s="34">
        <f t="shared" si="31"/>
        <v>5.5029699999999995</v>
      </c>
      <c r="H1999" s="35"/>
      <c r="I1999" s="31"/>
      <c r="J1999" s="102">
        <v>0</v>
      </c>
    </row>
    <row r="2000" spans="1:10" ht="15.75" hidden="1" thickBot="1" x14ac:dyDescent="0.3">
      <c r="A2000" s="220"/>
      <c r="B2000" s="223"/>
      <c r="C2000" s="36"/>
      <c r="D2000" s="36"/>
      <c r="E2000" s="37"/>
      <c r="F2000" s="31" t="s">
        <v>522</v>
      </c>
      <c r="G2000" s="31" t="str">
        <f t="shared" si="31"/>
        <v/>
      </c>
      <c r="H2000" s="35"/>
      <c r="I2000" s="31"/>
      <c r="J2000" s="102">
        <v>0</v>
      </c>
    </row>
    <row r="2001" spans="1:10" ht="15.75" hidden="1" thickBot="1" x14ac:dyDescent="0.3">
      <c r="A2001" s="218" t="s">
        <v>633</v>
      </c>
      <c r="B2001" s="221" t="e">
        <f>INDEX(#REF!,MATCH(Composições!A2001,#REF!,0),2)</f>
        <v>#REF!</v>
      </c>
      <c r="C2001" s="41"/>
      <c r="D2001" s="26" t="s">
        <v>20</v>
      </c>
      <c r="E2001" s="27"/>
      <c r="F2001" s="42" t="s">
        <v>522</v>
      </c>
      <c r="G2001" s="28" t="str">
        <f t="shared" si="31"/>
        <v/>
      </c>
      <c r="H2001" s="29"/>
      <c r="I2001" s="30"/>
      <c r="J2001" s="102">
        <v>0</v>
      </c>
    </row>
    <row r="2002" spans="1:10" hidden="1" x14ac:dyDescent="0.25">
      <c r="A2002" s="219"/>
      <c r="B2002" s="237"/>
      <c r="C2002" s="32"/>
      <c r="D2002" s="32"/>
      <c r="E2002" s="33"/>
      <c r="F2002" s="43" t="s">
        <v>522</v>
      </c>
      <c r="G2002" s="31" t="str">
        <f t="shared" ref="G2002:G2065" si="32">IF(ISNUMBER(F2002),E2002*F2002,"")</f>
        <v/>
      </c>
      <c r="H2002" s="35"/>
      <c r="I2002" s="31"/>
      <c r="J2002" s="102">
        <v>0</v>
      </c>
    </row>
    <row r="2003" spans="1:10" hidden="1" x14ac:dyDescent="0.25">
      <c r="A2003" s="219"/>
      <c r="B2003" s="237"/>
      <c r="C2003" s="36" t="s">
        <v>379</v>
      </c>
      <c r="D2003" s="47" t="s">
        <v>279</v>
      </c>
      <c r="E2003" s="37">
        <v>1.6799999999999999E-2</v>
      </c>
      <c r="F2003" s="34">
        <v>12.995999999999999</v>
      </c>
      <c r="G2003" s="31">
        <f t="shared" si="32"/>
        <v>0.21833279999999997</v>
      </c>
      <c r="H2003" s="39">
        <f>SUM(G2003:G2006)</f>
        <v>97.653235049999992</v>
      </c>
      <c r="I2003" s="40"/>
      <c r="J2003" s="102">
        <v>0</v>
      </c>
    </row>
    <row r="2004" spans="1:10" ht="25.5" hidden="1" x14ac:dyDescent="0.25">
      <c r="A2004" s="219"/>
      <c r="B2004" s="237"/>
      <c r="C2004" s="36" t="s">
        <v>634</v>
      </c>
      <c r="D2004" s="47" t="s">
        <v>20</v>
      </c>
      <c r="E2004" s="37">
        <v>1</v>
      </c>
      <c r="F2004" s="34">
        <v>89.841499999999996</v>
      </c>
      <c r="G2004" s="31">
        <f t="shared" si="32"/>
        <v>89.841499999999996</v>
      </c>
      <c r="H2004" s="35"/>
      <c r="I2004" s="31"/>
      <c r="J2004" s="102">
        <v>0</v>
      </c>
    </row>
    <row r="2005" spans="1:10" ht="25.5" hidden="1" x14ac:dyDescent="0.25">
      <c r="A2005" s="219"/>
      <c r="B2005" s="237"/>
      <c r="C2005" s="36" t="s">
        <v>107</v>
      </c>
      <c r="D2005" s="47" t="s">
        <v>12</v>
      </c>
      <c r="E2005" s="37">
        <v>0.2021</v>
      </c>
      <c r="F2005" s="31">
        <v>16.672499999999999</v>
      </c>
      <c r="G2005" s="34">
        <f t="shared" si="32"/>
        <v>3.3695122500000001</v>
      </c>
      <c r="H2005" s="35"/>
      <c r="I2005" s="31"/>
      <c r="J2005" s="102">
        <v>0</v>
      </c>
    </row>
    <row r="2006" spans="1:10" hidden="1" x14ac:dyDescent="0.25">
      <c r="A2006" s="219"/>
      <c r="B2006" s="237"/>
      <c r="C2006" s="36" t="s">
        <v>39</v>
      </c>
      <c r="D2006" s="47" t="s">
        <v>12</v>
      </c>
      <c r="E2006" s="37">
        <v>0.2021</v>
      </c>
      <c r="F2006" s="31">
        <v>20.9</v>
      </c>
      <c r="G2006" s="34">
        <f t="shared" si="32"/>
        <v>4.2238899999999999</v>
      </c>
      <c r="H2006" s="35"/>
      <c r="I2006" s="31"/>
      <c r="J2006" s="102">
        <v>0</v>
      </c>
    </row>
    <row r="2007" spans="1:10" ht="15.75" hidden="1" thickBot="1" x14ac:dyDescent="0.3">
      <c r="A2007" s="220"/>
      <c r="B2007" s="223"/>
      <c r="C2007" s="36"/>
      <c r="D2007" s="36"/>
      <c r="E2007" s="37"/>
      <c r="F2007" s="31" t="s">
        <v>522</v>
      </c>
      <c r="G2007" s="31" t="str">
        <f t="shared" si="32"/>
        <v/>
      </c>
      <c r="H2007" s="35"/>
      <c r="I2007" s="31"/>
      <c r="J2007" s="102">
        <v>0</v>
      </c>
    </row>
    <row r="2008" spans="1:10" ht="15.75" hidden="1" thickBot="1" x14ac:dyDescent="0.3">
      <c r="A2008" s="218" t="s">
        <v>635</v>
      </c>
      <c r="B2008" s="221" t="e">
        <f>INDEX(#REF!,MATCH(Composições!A2008,#REF!,0),2)</f>
        <v>#REF!</v>
      </c>
      <c r="C2008" s="41"/>
      <c r="D2008" s="26" t="s">
        <v>20</v>
      </c>
      <c r="E2008" s="27"/>
      <c r="F2008" s="42" t="s">
        <v>522</v>
      </c>
      <c r="G2008" s="28" t="str">
        <f t="shared" si="32"/>
        <v/>
      </c>
      <c r="H2008" s="29"/>
      <c r="I2008" s="30"/>
      <c r="J2008" s="102">
        <v>0</v>
      </c>
    </row>
    <row r="2009" spans="1:10" hidden="1" x14ac:dyDescent="0.25">
      <c r="A2009" s="219"/>
      <c r="B2009" s="237"/>
      <c r="C2009" s="32"/>
      <c r="D2009" s="32"/>
      <c r="E2009" s="33"/>
      <c r="F2009" s="43" t="s">
        <v>522</v>
      </c>
      <c r="G2009" s="31" t="str">
        <f t="shared" si="32"/>
        <v/>
      </c>
      <c r="H2009" s="35"/>
      <c r="I2009" s="31"/>
      <c r="J2009" s="102">
        <v>0</v>
      </c>
    </row>
    <row r="2010" spans="1:10" hidden="1" x14ac:dyDescent="0.25">
      <c r="A2010" s="219"/>
      <c r="B2010" s="237"/>
      <c r="C2010" s="36" t="s">
        <v>379</v>
      </c>
      <c r="D2010" s="47" t="s">
        <v>279</v>
      </c>
      <c r="E2010" s="37">
        <v>1.32E-2</v>
      </c>
      <c r="F2010" s="34">
        <v>12.995999999999999</v>
      </c>
      <c r="G2010" s="31">
        <f t="shared" si="32"/>
        <v>0.17154719999999998</v>
      </c>
      <c r="H2010" s="39">
        <f>SUM(G2010:G2013)</f>
        <v>66.028563450000007</v>
      </c>
      <c r="I2010" s="40"/>
      <c r="J2010" s="102">
        <v>0</v>
      </c>
    </row>
    <row r="2011" spans="1:10" hidden="1" x14ac:dyDescent="0.25">
      <c r="A2011" s="219"/>
      <c r="B2011" s="237"/>
      <c r="C2011" s="36" t="s">
        <v>636</v>
      </c>
      <c r="D2011" s="47" t="s">
        <v>20</v>
      </c>
      <c r="E2011" s="37">
        <v>1</v>
      </c>
      <c r="F2011" s="34">
        <v>60.277500000000003</v>
      </c>
      <c r="G2011" s="31">
        <f t="shared" si="32"/>
        <v>60.277500000000003</v>
      </c>
      <c r="H2011" s="35"/>
      <c r="I2011" s="31"/>
      <c r="J2011" s="102">
        <v>0</v>
      </c>
    </row>
    <row r="2012" spans="1:10" ht="25.5" hidden="1" x14ac:dyDescent="0.25">
      <c r="A2012" s="219"/>
      <c r="B2012" s="237"/>
      <c r="C2012" s="36" t="s">
        <v>107</v>
      </c>
      <c r="D2012" s="36" t="s">
        <v>12</v>
      </c>
      <c r="E2012" s="37">
        <v>0.14849999999999999</v>
      </c>
      <c r="F2012" s="31">
        <v>16.672499999999999</v>
      </c>
      <c r="G2012" s="34">
        <f t="shared" si="32"/>
        <v>2.4758662499999997</v>
      </c>
      <c r="H2012" s="35"/>
      <c r="I2012" s="31"/>
      <c r="J2012" s="102">
        <v>0</v>
      </c>
    </row>
    <row r="2013" spans="1:10" hidden="1" x14ac:dyDescent="0.25">
      <c r="A2013" s="219"/>
      <c r="B2013" s="237"/>
      <c r="C2013" s="36" t="s">
        <v>39</v>
      </c>
      <c r="D2013" s="47" t="s">
        <v>12</v>
      </c>
      <c r="E2013" s="37">
        <v>0.14849999999999999</v>
      </c>
      <c r="F2013" s="31">
        <v>20.9</v>
      </c>
      <c r="G2013" s="34">
        <f t="shared" si="32"/>
        <v>3.1036499999999996</v>
      </c>
      <c r="H2013" s="35"/>
      <c r="I2013" s="31"/>
      <c r="J2013" s="102">
        <v>0</v>
      </c>
    </row>
    <row r="2014" spans="1:10" ht="15.75" hidden="1" thickBot="1" x14ac:dyDescent="0.3">
      <c r="A2014" s="220"/>
      <c r="B2014" s="223"/>
      <c r="C2014" s="36"/>
      <c r="D2014" s="36"/>
      <c r="E2014" s="37"/>
      <c r="F2014" s="31" t="s">
        <v>522</v>
      </c>
      <c r="G2014" s="31" t="str">
        <f t="shared" si="32"/>
        <v/>
      </c>
      <c r="H2014" s="35"/>
      <c r="I2014" s="31"/>
      <c r="J2014" s="102">
        <v>0</v>
      </c>
    </row>
    <row r="2015" spans="1:10" ht="15.75" hidden="1" thickBot="1" x14ac:dyDescent="0.3">
      <c r="A2015" s="218" t="s">
        <v>637</v>
      </c>
      <c r="B2015" s="221" t="e">
        <f>INDEX(#REF!,MATCH(Composições!A2015,#REF!,0),2)</f>
        <v>#REF!</v>
      </c>
      <c r="C2015" s="41"/>
      <c r="D2015" s="26" t="s">
        <v>20</v>
      </c>
      <c r="E2015" s="27"/>
      <c r="F2015" s="42" t="s">
        <v>522</v>
      </c>
      <c r="G2015" s="28" t="str">
        <f t="shared" si="32"/>
        <v/>
      </c>
      <c r="H2015" s="29"/>
      <c r="I2015" s="30"/>
      <c r="J2015" s="102">
        <v>0</v>
      </c>
    </row>
    <row r="2016" spans="1:10" hidden="1" x14ac:dyDescent="0.25">
      <c r="A2016" s="219"/>
      <c r="B2016" s="237"/>
      <c r="C2016" s="32"/>
      <c r="D2016" s="32"/>
      <c r="E2016" s="33"/>
      <c r="F2016" s="43" t="s">
        <v>522</v>
      </c>
      <c r="G2016" s="31" t="str">
        <f t="shared" si="32"/>
        <v/>
      </c>
      <c r="H2016" s="35"/>
      <c r="I2016" s="31"/>
      <c r="J2016" s="102">
        <v>0</v>
      </c>
    </row>
    <row r="2017" spans="1:10" hidden="1" x14ac:dyDescent="0.25">
      <c r="A2017" s="219"/>
      <c r="B2017" s="237"/>
      <c r="C2017" s="36" t="s">
        <v>379</v>
      </c>
      <c r="D2017" s="47" t="s">
        <v>279</v>
      </c>
      <c r="E2017" s="37">
        <v>1.06E-2</v>
      </c>
      <c r="F2017" s="34">
        <v>12.995999999999999</v>
      </c>
      <c r="G2017" s="31">
        <f t="shared" si="32"/>
        <v>0.13775759999999998</v>
      </c>
      <c r="H2017" s="39">
        <f>SUM(G2017:G2020)</f>
        <v>48.9282471</v>
      </c>
      <c r="I2017" s="40"/>
      <c r="J2017" s="102">
        <v>0</v>
      </c>
    </row>
    <row r="2018" spans="1:10" hidden="1" x14ac:dyDescent="0.25">
      <c r="A2018" s="219"/>
      <c r="B2018" s="237"/>
      <c r="C2018" s="36" t="s">
        <v>638</v>
      </c>
      <c r="D2018" s="47" t="s">
        <v>20</v>
      </c>
      <c r="E2018" s="37">
        <v>1</v>
      </c>
      <c r="F2018" s="34">
        <v>44.65</v>
      </c>
      <c r="G2018" s="31">
        <f t="shared" si="32"/>
        <v>44.65</v>
      </c>
      <c r="H2018" s="35"/>
      <c r="I2018" s="31"/>
      <c r="J2018" s="102">
        <v>0</v>
      </c>
    </row>
    <row r="2019" spans="1:10" ht="25.5" hidden="1" x14ac:dyDescent="0.25">
      <c r="A2019" s="219"/>
      <c r="B2019" s="237"/>
      <c r="C2019" s="36" t="s">
        <v>107</v>
      </c>
      <c r="D2019" s="36" t="s">
        <v>12</v>
      </c>
      <c r="E2019" s="37">
        <v>0.11020000000000001</v>
      </c>
      <c r="F2019" s="31">
        <v>16.672499999999999</v>
      </c>
      <c r="G2019" s="34">
        <f t="shared" si="32"/>
        <v>1.8373095000000002</v>
      </c>
      <c r="H2019" s="35"/>
      <c r="I2019" s="31"/>
      <c r="J2019" s="102">
        <v>0</v>
      </c>
    </row>
    <row r="2020" spans="1:10" hidden="1" x14ac:dyDescent="0.25">
      <c r="A2020" s="219"/>
      <c r="B2020" s="237"/>
      <c r="C2020" s="36" t="s">
        <v>39</v>
      </c>
      <c r="D2020" s="47" t="s">
        <v>12</v>
      </c>
      <c r="E2020" s="37">
        <v>0.11020000000000001</v>
      </c>
      <c r="F2020" s="31">
        <v>20.9</v>
      </c>
      <c r="G2020" s="34">
        <f t="shared" si="32"/>
        <v>2.3031799999999998</v>
      </c>
      <c r="H2020" s="35"/>
      <c r="I2020" s="31"/>
      <c r="J2020" s="102">
        <v>0</v>
      </c>
    </row>
    <row r="2021" spans="1:10" ht="15.75" hidden="1" thickBot="1" x14ac:dyDescent="0.3">
      <c r="A2021" s="220"/>
      <c r="B2021" s="223"/>
      <c r="C2021" s="36"/>
      <c r="D2021" s="36"/>
      <c r="E2021" s="37"/>
      <c r="F2021" s="31" t="s">
        <v>522</v>
      </c>
      <c r="G2021" s="31" t="str">
        <f t="shared" si="32"/>
        <v/>
      </c>
      <c r="H2021" s="35"/>
      <c r="I2021" s="31"/>
      <c r="J2021" s="102">
        <v>0</v>
      </c>
    </row>
    <row r="2022" spans="1:10" ht="15.75" hidden="1" thickBot="1" x14ac:dyDescent="0.3">
      <c r="A2022" s="218" t="s">
        <v>639</v>
      </c>
      <c r="B2022" s="221" t="e">
        <f>INDEX(#REF!,MATCH(Composições!A2022,#REF!,0),2)</f>
        <v>#REF!</v>
      </c>
      <c r="C2022" s="41"/>
      <c r="D2022" s="26" t="s">
        <v>95</v>
      </c>
      <c r="E2022" s="27"/>
      <c r="F2022" s="42" t="s">
        <v>522</v>
      </c>
      <c r="G2022" s="28" t="str">
        <f t="shared" si="32"/>
        <v/>
      </c>
      <c r="H2022" s="29"/>
      <c r="I2022" s="30"/>
      <c r="J2022" s="102">
        <v>0</v>
      </c>
    </row>
    <row r="2023" spans="1:10" hidden="1" x14ac:dyDescent="0.25">
      <c r="A2023" s="219"/>
      <c r="B2023" s="237"/>
      <c r="C2023" s="32"/>
      <c r="D2023" s="32"/>
      <c r="E2023" s="33"/>
      <c r="F2023" s="43" t="s">
        <v>522</v>
      </c>
      <c r="G2023" s="31" t="str">
        <f t="shared" si="32"/>
        <v/>
      </c>
      <c r="H2023" s="35"/>
      <c r="I2023" s="31"/>
      <c r="J2023" s="102">
        <v>0</v>
      </c>
    </row>
    <row r="2024" spans="1:10" ht="25.5" hidden="1" x14ac:dyDescent="0.25">
      <c r="A2024" s="219"/>
      <c r="B2024" s="237"/>
      <c r="C2024" s="36" t="s">
        <v>107</v>
      </c>
      <c r="D2024" s="47" t="s">
        <v>12</v>
      </c>
      <c r="E2024" s="37">
        <v>0.1</v>
      </c>
      <c r="F2024" s="31">
        <v>16.672499999999999</v>
      </c>
      <c r="G2024" s="34">
        <f t="shared" si="32"/>
        <v>1.6672500000000001</v>
      </c>
      <c r="H2024" s="39">
        <f>SUM(G2024:G2026)</f>
        <v>3.75725</v>
      </c>
      <c r="I2024" s="40"/>
      <c r="J2024" s="102">
        <v>0</v>
      </c>
    </row>
    <row r="2025" spans="1:10" hidden="1" x14ac:dyDescent="0.25">
      <c r="A2025" s="219"/>
      <c r="B2025" s="237"/>
      <c r="C2025" s="36" t="s">
        <v>39</v>
      </c>
      <c r="D2025" s="47" t="s">
        <v>12</v>
      </c>
      <c r="E2025" s="37">
        <v>0.1</v>
      </c>
      <c r="F2025" s="31">
        <v>20.9</v>
      </c>
      <c r="G2025" s="34">
        <f t="shared" si="32"/>
        <v>2.09</v>
      </c>
      <c r="H2025" s="35"/>
      <c r="I2025" s="31"/>
      <c r="J2025" s="102">
        <v>0</v>
      </c>
    </row>
    <row r="2026" spans="1:10" ht="25.5" hidden="1" x14ac:dyDescent="0.25">
      <c r="A2026" s="219"/>
      <c r="B2026" s="237"/>
      <c r="C2026" s="36" t="s">
        <v>640</v>
      </c>
      <c r="D2026" s="47" t="s">
        <v>95</v>
      </c>
      <c r="E2026" s="37">
        <v>1.05</v>
      </c>
      <c r="F2026" s="34" t="s">
        <v>522</v>
      </c>
      <c r="G2026" s="34" t="str">
        <f t="shared" si="32"/>
        <v/>
      </c>
      <c r="H2026" s="35"/>
      <c r="I2026" s="31"/>
      <c r="J2026" s="102">
        <v>0</v>
      </c>
    </row>
    <row r="2027" spans="1:10" ht="15.75" hidden="1" thickBot="1" x14ac:dyDescent="0.3">
      <c r="A2027" s="220"/>
      <c r="B2027" s="223"/>
      <c r="C2027" s="36"/>
      <c r="D2027" s="36"/>
      <c r="E2027" s="37"/>
      <c r="F2027" s="31" t="s">
        <v>522</v>
      </c>
      <c r="G2027" s="31" t="str">
        <f t="shared" si="32"/>
        <v/>
      </c>
      <c r="H2027" s="35"/>
      <c r="I2027" s="31"/>
      <c r="J2027" s="102">
        <v>0</v>
      </c>
    </row>
    <row r="2028" spans="1:10" ht="15.75" hidden="1" thickBot="1" x14ac:dyDescent="0.3">
      <c r="A2028" s="218" t="s">
        <v>641</v>
      </c>
      <c r="B2028" s="221" t="e">
        <f>INDEX(#REF!,MATCH(Composições!A2028,#REF!,0),2)</f>
        <v>#REF!</v>
      </c>
      <c r="C2028" s="41"/>
      <c r="D2028" s="26" t="s">
        <v>93</v>
      </c>
      <c r="E2028" s="27"/>
      <c r="F2028" s="42" t="s">
        <v>522</v>
      </c>
      <c r="G2028" s="28" t="str">
        <f t="shared" si="32"/>
        <v/>
      </c>
      <c r="H2028" s="29"/>
      <c r="I2028" s="30"/>
      <c r="J2028" s="102">
        <v>0</v>
      </c>
    </row>
    <row r="2029" spans="1:10" hidden="1" x14ac:dyDescent="0.25">
      <c r="A2029" s="219"/>
      <c r="B2029" s="237"/>
      <c r="C2029" s="32"/>
      <c r="D2029" s="32"/>
      <c r="E2029" s="33"/>
      <c r="F2029" s="43" t="s">
        <v>522</v>
      </c>
      <c r="G2029" s="31" t="str">
        <f t="shared" si="32"/>
        <v/>
      </c>
      <c r="H2029" s="35"/>
      <c r="I2029" s="31"/>
      <c r="J2029" s="102">
        <v>0</v>
      </c>
    </row>
    <row r="2030" spans="1:10" ht="51" hidden="1" x14ac:dyDescent="0.25">
      <c r="A2030" s="219"/>
      <c r="B2030" s="237"/>
      <c r="C2030" s="36" t="s">
        <v>642</v>
      </c>
      <c r="D2030" s="47" t="s">
        <v>93</v>
      </c>
      <c r="E2030" s="37">
        <v>1.0210999999999999</v>
      </c>
      <c r="F2030" s="34" t="s">
        <v>522</v>
      </c>
      <c r="G2030" s="34" t="str">
        <f t="shared" si="32"/>
        <v/>
      </c>
      <c r="H2030" s="39">
        <f>SUM(G2030:G2032)</f>
        <v>0.72139199999999981</v>
      </c>
      <c r="I2030" s="40"/>
      <c r="J2030" s="102">
        <v>0</v>
      </c>
    </row>
    <row r="2031" spans="1:10" ht="25.5" hidden="1" x14ac:dyDescent="0.25">
      <c r="A2031" s="219"/>
      <c r="B2031" s="237"/>
      <c r="C2031" s="36" t="s">
        <v>107</v>
      </c>
      <c r="D2031" s="47" t="s">
        <v>12</v>
      </c>
      <c r="E2031" s="37">
        <f>0.064*0.3</f>
        <v>1.9199999999999998E-2</v>
      </c>
      <c r="F2031" s="31">
        <v>16.672499999999999</v>
      </c>
      <c r="G2031" s="34">
        <f t="shared" si="32"/>
        <v>0.32011199999999995</v>
      </c>
      <c r="H2031" s="35"/>
      <c r="I2031" s="31"/>
      <c r="J2031" s="102">
        <v>0</v>
      </c>
    </row>
    <row r="2032" spans="1:10" hidden="1" x14ac:dyDescent="0.25">
      <c r="A2032" s="219"/>
      <c r="B2032" s="237"/>
      <c r="C2032" s="36" t="s">
        <v>39</v>
      </c>
      <c r="D2032" s="47" t="s">
        <v>12</v>
      </c>
      <c r="E2032" s="37">
        <f>0.064*0.3</f>
        <v>1.9199999999999998E-2</v>
      </c>
      <c r="F2032" s="31">
        <v>20.9</v>
      </c>
      <c r="G2032" s="34">
        <f t="shared" si="32"/>
        <v>0.40127999999999991</v>
      </c>
      <c r="H2032" s="35"/>
      <c r="I2032" s="31"/>
      <c r="J2032" s="102">
        <v>0</v>
      </c>
    </row>
    <row r="2033" spans="1:10" hidden="1" x14ac:dyDescent="0.25">
      <c r="A2033" s="219"/>
      <c r="B2033" s="237"/>
      <c r="C2033" s="36"/>
      <c r="D2033" s="47"/>
      <c r="E2033" s="37"/>
      <c r="F2033" s="34" t="s">
        <v>522</v>
      </c>
      <c r="G2033" s="34" t="str">
        <f t="shared" si="32"/>
        <v/>
      </c>
      <c r="H2033" s="35"/>
      <c r="I2033" s="31"/>
      <c r="J2033" s="102">
        <v>0</v>
      </c>
    </row>
    <row r="2034" spans="1:10" ht="38.25" hidden="1" x14ac:dyDescent="0.25">
      <c r="A2034" s="219"/>
      <c r="B2034" s="237"/>
      <c r="C2034" s="52" t="s">
        <v>643</v>
      </c>
      <c r="D2034" s="47"/>
      <c r="E2034" s="37"/>
      <c r="F2034" s="34" t="s">
        <v>522</v>
      </c>
      <c r="G2034" s="34" t="str">
        <f t="shared" si="32"/>
        <v/>
      </c>
      <c r="H2034" s="35"/>
      <c r="I2034" s="31"/>
      <c r="J2034" s="102">
        <v>0</v>
      </c>
    </row>
    <row r="2035" spans="1:10" ht="15.75" hidden="1" thickBot="1" x14ac:dyDescent="0.3">
      <c r="A2035" s="220"/>
      <c r="B2035" s="223"/>
      <c r="C2035" s="36"/>
      <c r="D2035" s="36"/>
      <c r="E2035" s="37"/>
      <c r="F2035" s="31" t="s">
        <v>522</v>
      </c>
      <c r="G2035" s="31" t="str">
        <f t="shared" si="32"/>
        <v/>
      </c>
      <c r="H2035" s="35"/>
      <c r="I2035" s="31"/>
      <c r="J2035" s="102">
        <v>0</v>
      </c>
    </row>
    <row r="2036" spans="1:10" ht="15.75" hidden="1" thickBot="1" x14ac:dyDescent="0.3">
      <c r="A2036" s="218" t="s">
        <v>644</v>
      </c>
      <c r="B2036" s="221" t="e">
        <f>INDEX(#REF!,MATCH(Composições!A2036,#REF!,0),2)</f>
        <v>#REF!</v>
      </c>
      <c r="C2036" s="41"/>
      <c r="D2036" s="26" t="s">
        <v>93</v>
      </c>
      <c r="E2036" s="27"/>
      <c r="F2036" s="42" t="s">
        <v>522</v>
      </c>
      <c r="G2036" s="28" t="str">
        <f t="shared" si="32"/>
        <v/>
      </c>
      <c r="H2036" s="29"/>
      <c r="I2036" s="30"/>
      <c r="J2036" s="102">
        <v>0</v>
      </c>
    </row>
    <row r="2037" spans="1:10" hidden="1" x14ac:dyDescent="0.25">
      <c r="A2037" s="219"/>
      <c r="B2037" s="237"/>
      <c r="C2037" s="32"/>
      <c r="D2037" s="32"/>
      <c r="E2037" s="33"/>
      <c r="F2037" s="43" t="s">
        <v>522</v>
      </c>
      <c r="G2037" s="31" t="str">
        <f t="shared" si="32"/>
        <v/>
      </c>
      <c r="H2037" s="35"/>
      <c r="I2037" s="31"/>
      <c r="J2037" s="102">
        <v>0</v>
      </c>
    </row>
    <row r="2038" spans="1:10" ht="38.25" hidden="1" x14ac:dyDescent="0.25">
      <c r="A2038" s="219"/>
      <c r="B2038" s="237"/>
      <c r="C2038" s="36" t="s">
        <v>645</v>
      </c>
      <c r="D2038" s="47" t="s">
        <v>93</v>
      </c>
      <c r="E2038" s="37">
        <v>1.0210999999999999</v>
      </c>
      <c r="F2038" s="34" t="s">
        <v>522</v>
      </c>
      <c r="G2038" s="34" t="str">
        <f t="shared" si="32"/>
        <v/>
      </c>
      <c r="H2038" s="39">
        <f>SUM(G2038:G2040)</f>
        <v>0.68757674999999996</v>
      </c>
      <c r="I2038" s="40"/>
      <c r="J2038" s="102">
        <v>0</v>
      </c>
    </row>
    <row r="2039" spans="1:10" ht="25.5" hidden="1" x14ac:dyDescent="0.25">
      <c r="A2039" s="219"/>
      <c r="B2039" s="237"/>
      <c r="C2039" s="36" t="s">
        <v>107</v>
      </c>
      <c r="D2039" s="47" t="s">
        <v>12</v>
      </c>
      <c r="E2039" s="37">
        <f>0.061*0.3</f>
        <v>1.83E-2</v>
      </c>
      <c r="F2039" s="31">
        <v>16.672499999999999</v>
      </c>
      <c r="G2039" s="34">
        <f t="shared" si="32"/>
        <v>0.30510674999999998</v>
      </c>
      <c r="H2039" s="35"/>
      <c r="I2039" s="31"/>
      <c r="J2039" s="102">
        <v>0</v>
      </c>
    </row>
    <row r="2040" spans="1:10" hidden="1" x14ac:dyDescent="0.25">
      <c r="A2040" s="219"/>
      <c r="B2040" s="237"/>
      <c r="C2040" s="36" t="s">
        <v>39</v>
      </c>
      <c r="D2040" s="47" t="s">
        <v>12</v>
      </c>
      <c r="E2040" s="37">
        <f>0.061*0.3</f>
        <v>1.83E-2</v>
      </c>
      <c r="F2040" s="31">
        <v>20.9</v>
      </c>
      <c r="G2040" s="34">
        <f t="shared" si="32"/>
        <v>0.38246999999999998</v>
      </c>
      <c r="H2040" s="35"/>
      <c r="I2040" s="31"/>
      <c r="J2040" s="102">
        <v>0</v>
      </c>
    </row>
    <row r="2041" spans="1:10" hidden="1" x14ac:dyDescent="0.25">
      <c r="A2041" s="219"/>
      <c r="B2041" s="237"/>
      <c r="C2041" s="36"/>
      <c r="D2041" s="47"/>
      <c r="E2041" s="37"/>
      <c r="F2041" s="34" t="s">
        <v>522</v>
      </c>
      <c r="G2041" s="34" t="str">
        <f t="shared" si="32"/>
        <v/>
      </c>
      <c r="H2041" s="35"/>
      <c r="I2041" s="31"/>
      <c r="J2041" s="102">
        <v>0</v>
      </c>
    </row>
    <row r="2042" spans="1:10" ht="38.25" hidden="1" x14ac:dyDescent="0.25">
      <c r="A2042" s="219"/>
      <c r="B2042" s="237"/>
      <c r="C2042" s="52" t="s">
        <v>643</v>
      </c>
      <c r="D2042" s="47"/>
      <c r="E2042" s="37"/>
      <c r="F2042" s="34" t="s">
        <v>522</v>
      </c>
      <c r="G2042" s="34" t="str">
        <f t="shared" si="32"/>
        <v/>
      </c>
      <c r="H2042" s="35"/>
      <c r="I2042" s="31"/>
      <c r="J2042" s="102">
        <v>0</v>
      </c>
    </row>
    <row r="2043" spans="1:10" ht="15.75" hidden="1" thickBot="1" x14ac:dyDescent="0.3">
      <c r="A2043" s="220"/>
      <c r="B2043" s="223"/>
      <c r="C2043" s="36"/>
      <c r="D2043" s="36"/>
      <c r="E2043" s="37"/>
      <c r="F2043" s="31" t="s">
        <v>522</v>
      </c>
      <c r="G2043" s="31" t="str">
        <f t="shared" si="32"/>
        <v/>
      </c>
      <c r="H2043" s="35"/>
      <c r="I2043" s="31"/>
      <c r="J2043" s="102">
        <v>0</v>
      </c>
    </row>
    <row r="2044" spans="1:10" ht="15.75" hidden="1" thickBot="1" x14ac:dyDescent="0.3">
      <c r="A2044" s="218" t="s">
        <v>646</v>
      </c>
      <c r="B2044" s="221" t="e">
        <f>INDEX(#REF!,MATCH(Composições!A2044,#REF!,0),2)</f>
        <v>#REF!</v>
      </c>
      <c r="C2044" s="41"/>
      <c r="D2044" s="26" t="s">
        <v>93</v>
      </c>
      <c r="E2044" s="27"/>
      <c r="F2044" s="42" t="s">
        <v>522</v>
      </c>
      <c r="G2044" s="28" t="str">
        <f t="shared" si="32"/>
        <v/>
      </c>
      <c r="H2044" s="29"/>
      <c r="I2044" s="30"/>
      <c r="J2044" s="102">
        <v>0</v>
      </c>
    </row>
    <row r="2045" spans="1:10" hidden="1" x14ac:dyDescent="0.25">
      <c r="A2045" s="219"/>
      <c r="B2045" s="237"/>
      <c r="C2045" s="32"/>
      <c r="D2045" s="32"/>
      <c r="E2045" s="33"/>
      <c r="F2045" s="43" t="s">
        <v>522</v>
      </c>
      <c r="G2045" s="31" t="str">
        <f t="shared" si="32"/>
        <v/>
      </c>
      <c r="H2045" s="35"/>
      <c r="I2045" s="31"/>
      <c r="J2045" s="102">
        <v>0</v>
      </c>
    </row>
    <row r="2046" spans="1:10" ht="38.25" hidden="1" x14ac:dyDescent="0.25">
      <c r="A2046" s="219"/>
      <c r="B2046" s="237"/>
      <c r="C2046" s="36" t="s">
        <v>647</v>
      </c>
      <c r="D2046" s="47" t="s">
        <v>93</v>
      </c>
      <c r="E2046" s="37">
        <v>1.0210999999999999</v>
      </c>
      <c r="F2046" s="34" t="s">
        <v>522</v>
      </c>
      <c r="G2046" s="34" t="str">
        <f t="shared" si="32"/>
        <v/>
      </c>
      <c r="H2046" s="39">
        <f>SUM(G2046:G2048)</f>
        <v>0.58613099999999996</v>
      </c>
      <c r="I2046" s="40"/>
      <c r="J2046" s="102">
        <v>0</v>
      </c>
    </row>
    <row r="2047" spans="1:10" ht="25.5" hidden="1" x14ac:dyDescent="0.25">
      <c r="A2047" s="219"/>
      <c r="B2047" s="237"/>
      <c r="C2047" s="36" t="s">
        <v>107</v>
      </c>
      <c r="D2047" s="47" t="s">
        <v>12</v>
      </c>
      <c r="E2047" s="37">
        <f>0.052*0.3</f>
        <v>1.5599999999999999E-2</v>
      </c>
      <c r="F2047" s="31">
        <v>16.672499999999999</v>
      </c>
      <c r="G2047" s="34">
        <f t="shared" si="32"/>
        <v>0.26009099999999996</v>
      </c>
      <c r="H2047" s="35"/>
      <c r="I2047" s="31"/>
      <c r="J2047" s="102">
        <v>0</v>
      </c>
    </row>
    <row r="2048" spans="1:10" hidden="1" x14ac:dyDescent="0.25">
      <c r="A2048" s="219"/>
      <c r="B2048" s="237"/>
      <c r="C2048" s="36" t="s">
        <v>39</v>
      </c>
      <c r="D2048" s="47" t="s">
        <v>12</v>
      </c>
      <c r="E2048" s="37">
        <f>0.052*0.3</f>
        <v>1.5599999999999999E-2</v>
      </c>
      <c r="F2048" s="31">
        <v>20.9</v>
      </c>
      <c r="G2048" s="34">
        <f t="shared" si="32"/>
        <v>0.32603999999999994</v>
      </c>
      <c r="H2048" s="35"/>
      <c r="I2048" s="31"/>
      <c r="J2048" s="102">
        <v>0</v>
      </c>
    </row>
    <row r="2049" spans="1:10" hidden="1" x14ac:dyDescent="0.25">
      <c r="A2049" s="219"/>
      <c r="B2049" s="237"/>
      <c r="C2049" s="36"/>
      <c r="D2049" s="47"/>
      <c r="E2049" s="37"/>
      <c r="F2049" s="34" t="s">
        <v>522</v>
      </c>
      <c r="G2049" s="34" t="str">
        <f t="shared" si="32"/>
        <v/>
      </c>
      <c r="H2049" s="35"/>
      <c r="I2049" s="31"/>
      <c r="J2049" s="102">
        <v>0</v>
      </c>
    </row>
    <row r="2050" spans="1:10" ht="38.25" hidden="1" x14ac:dyDescent="0.25">
      <c r="A2050" s="219"/>
      <c r="B2050" s="237"/>
      <c r="C2050" s="52" t="s">
        <v>643</v>
      </c>
      <c r="D2050" s="47"/>
      <c r="E2050" s="37"/>
      <c r="F2050" s="34" t="s">
        <v>522</v>
      </c>
      <c r="G2050" s="34" t="str">
        <f t="shared" si="32"/>
        <v/>
      </c>
      <c r="H2050" s="35"/>
      <c r="I2050" s="31"/>
      <c r="J2050" s="102">
        <v>0</v>
      </c>
    </row>
    <row r="2051" spans="1:10" ht="15.75" hidden="1" thickBot="1" x14ac:dyDescent="0.3">
      <c r="A2051" s="220"/>
      <c r="B2051" s="223"/>
      <c r="C2051" s="36"/>
      <c r="D2051" s="36"/>
      <c r="E2051" s="37"/>
      <c r="F2051" s="31" t="s">
        <v>522</v>
      </c>
      <c r="G2051" s="31" t="str">
        <f t="shared" si="32"/>
        <v/>
      </c>
      <c r="H2051" s="35"/>
      <c r="I2051" s="31"/>
      <c r="J2051" s="102">
        <v>0</v>
      </c>
    </row>
    <row r="2052" spans="1:10" ht="15.75" hidden="1" thickBot="1" x14ac:dyDescent="0.3">
      <c r="A2052" s="218" t="s">
        <v>648</v>
      </c>
      <c r="B2052" s="221" t="e">
        <f>INDEX(#REF!,MATCH(Composições!A2052,#REF!,0),2)</f>
        <v>#REF!</v>
      </c>
      <c r="C2052" s="41"/>
      <c r="D2052" s="26" t="s">
        <v>93</v>
      </c>
      <c r="E2052" s="27"/>
      <c r="F2052" s="42" t="s">
        <v>522</v>
      </c>
      <c r="G2052" s="28" t="str">
        <f t="shared" si="32"/>
        <v/>
      </c>
      <c r="H2052" s="29"/>
      <c r="I2052" s="30"/>
      <c r="J2052" s="102">
        <v>0</v>
      </c>
    </row>
    <row r="2053" spans="1:10" hidden="1" x14ac:dyDescent="0.25">
      <c r="A2053" s="219"/>
      <c r="B2053" s="237"/>
      <c r="C2053" s="32"/>
      <c r="D2053" s="32"/>
      <c r="E2053" s="33"/>
      <c r="F2053" s="43" t="s">
        <v>522</v>
      </c>
      <c r="G2053" s="31" t="str">
        <f t="shared" si="32"/>
        <v/>
      </c>
      <c r="H2053" s="35"/>
      <c r="I2053" s="31"/>
      <c r="J2053" s="102">
        <v>0</v>
      </c>
    </row>
    <row r="2054" spans="1:10" ht="38.25" hidden="1" x14ac:dyDescent="0.25">
      <c r="A2054" s="219"/>
      <c r="B2054" s="237"/>
      <c r="C2054" s="36" t="s">
        <v>649</v>
      </c>
      <c r="D2054" s="47" t="s">
        <v>93</v>
      </c>
      <c r="E2054" s="37">
        <v>1.0210999999999999</v>
      </c>
      <c r="F2054" s="34" t="s">
        <v>522</v>
      </c>
      <c r="G2054" s="34" t="str">
        <f t="shared" si="32"/>
        <v/>
      </c>
      <c r="H2054" s="39">
        <f>SUM(G2054:G2056)</f>
        <v>0.72139199999999981</v>
      </c>
      <c r="I2054" s="40"/>
      <c r="J2054" s="102">
        <v>0</v>
      </c>
    </row>
    <row r="2055" spans="1:10" ht="25.5" hidden="1" x14ac:dyDescent="0.25">
      <c r="A2055" s="219"/>
      <c r="B2055" s="237"/>
      <c r="C2055" s="36" t="s">
        <v>107</v>
      </c>
      <c r="D2055" s="47" t="s">
        <v>12</v>
      </c>
      <c r="E2055" s="37">
        <f>0.064*0.3</f>
        <v>1.9199999999999998E-2</v>
      </c>
      <c r="F2055" s="31">
        <v>16.672499999999999</v>
      </c>
      <c r="G2055" s="34">
        <f t="shared" si="32"/>
        <v>0.32011199999999995</v>
      </c>
      <c r="H2055" s="35"/>
      <c r="I2055" s="31"/>
      <c r="J2055" s="102">
        <v>0</v>
      </c>
    </row>
    <row r="2056" spans="1:10" hidden="1" x14ac:dyDescent="0.25">
      <c r="A2056" s="219"/>
      <c r="B2056" s="237"/>
      <c r="C2056" s="36" t="s">
        <v>39</v>
      </c>
      <c r="D2056" s="47" t="s">
        <v>12</v>
      </c>
      <c r="E2056" s="37">
        <f>0.064*0.3</f>
        <v>1.9199999999999998E-2</v>
      </c>
      <c r="F2056" s="31">
        <v>20.9</v>
      </c>
      <c r="G2056" s="34">
        <f t="shared" si="32"/>
        <v>0.40127999999999991</v>
      </c>
      <c r="H2056" s="35"/>
      <c r="I2056" s="31"/>
      <c r="J2056" s="102">
        <v>0</v>
      </c>
    </row>
    <row r="2057" spans="1:10" hidden="1" x14ac:dyDescent="0.25">
      <c r="A2057" s="219"/>
      <c r="B2057" s="237"/>
      <c r="C2057" s="36"/>
      <c r="D2057" s="47"/>
      <c r="E2057" s="37"/>
      <c r="F2057" s="34" t="s">
        <v>522</v>
      </c>
      <c r="G2057" s="34" t="str">
        <f t="shared" si="32"/>
        <v/>
      </c>
      <c r="H2057" s="35"/>
      <c r="I2057" s="31"/>
      <c r="J2057" s="102">
        <v>0</v>
      </c>
    </row>
    <row r="2058" spans="1:10" ht="38.25" hidden="1" x14ac:dyDescent="0.25">
      <c r="A2058" s="219"/>
      <c r="B2058" s="237"/>
      <c r="C2058" s="52" t="s">
        <v>643</v>
      </c>
      <c r="D2058" s="47"/>
      <c r="E2058" s="37"/>
      <c r="F2058" s="34" t="s">
        <v>522</v>
      </c>
      <c r="G2058" s="34" t="str">
        <f t="shared" si="32"/>
        <v/>
      </c>
      <c r="H2058" s="35"/>
      <c r="I2058" s="31"/>
      <c r="J2058" s="102">
        <v>0</v>
      </c>
    </row>
    <row r="2059" spans="1:10" ht="15.75" hidden="1" thickBot="1" x14ac:dyDescent="0.3">
      <c r="A2059" s="220"/>
      <c r="B2059" s="223"/>
      <c r="C2059" s="36"/>
      <c r="D2059" s="36"/>
      <c r="E2059" s="37"/>
      <c r="F2059" s="31" t="s">
        <v>522</v>
      </c>
      <c r="G2059" s="31" t="str">
        <f t="shared" si="32"/>
        <v/>
      </c>
      <c r="H2059" s="35"/>
      <c r="I2059" s="31"/>
      <c r="J2059" s="102">
        <v>0</v>
      </c>
    </row>
    <row r="2060" spans="1:10" ht="15.75" hidden="1" thickBot="1" x14ac:dyDescent="0.3">
      <c r="A2060" s="218" t="s">
        <v>650</v>
      </c>
      <c r="B2060" s="221" t="e">
        <f>INDEX(#REF!,MATCH(Composições!A2060,#REF!,0),2)</f>
        <v>#REF!</v>
      </c>
      <c r="C2060" s="41"/>
      <c r="D2060" s="26" t="s">
        <v>93</v>
      </c>
      <c r="E2060" s="27"/>
      <c r="F2060" s="42" t="s">
        <v>522</v>
      </c>
      <c r="G2060" s="28" t="str">
        <f t="shared" si="32"/>
        <v/>
      </c>
      <c r="H2060" s="29"/>
      <c r="I2060" s="30"/>
      <c r="J2060" s="102">
        <v>0</v>
      </c>
    </row>
    <row r="2061" spans="1:10" hidden="1" x14ac:dyDescent="0.25">
      <c r="A2061" s="219"/>
      <c r="B2061" s="237"/>
      <c r="C2061" s="32"/>
      <c r="D2061" s="32"/>
      <c r="E2061" s="33"/>
      <c r="F2061" s="43" t="s">
        <v>522</v>
      </c>
      <c r="G2061" s="31" t="str">
        <f t="shared" si="32"/>
        <v/>
      </c>
      <c r="H2061" s="35"/>
      <c r="I2061" s="31"/>
      <c r="J2061" s="102">
        <v>0</v>
      </c>
    </row>
    <row r="2062" spans="1:10" ht="38.25" hidden="1" x14ac:dyDescent="0.25">
      <c r="A2062" s="219"/>
      <c r="B2062" s="237"/>
      <c r="C2062" s="36" t="s">
        <v>651</v>
      </c>
      <c r="D2062" s="47" t="s">
        <v>93</v>
      </c>
      <c r="E2062" s="37">
        <v>1.0210999999999999</v>
      </c>
      <c r="F2062" s="34" t="s">
        <v>522</v>
      </c>
      <c r="G2062" s="34" t="str">
        <f t="shared" si="32"/>
        <v/>
      </c>
      <c r="H2062" s="39">
        <f>SUM(G2062:G2064)</f>
        <v>0.64248974999999997</v>
      </c>
      <c r="I2062" s="40"/>
      <c r="J2062" s="102">
        <v>0</v>
      </c>
    </row>
    <row r="2063" spans="1:10" ht="25.5" hidden="1" x14ac:dyDescent="0.25">
      <c r="A2063" s="219"/>
      <c r="B2063" s="237"/>
      <c r="C2063" s="36" t="s">
        <v>107</v>
      </c>
      <c r="D2063" s="47" t="s">
        <v>12</v>
      </c>
      <c r="E2063" s="37">
        <f>0.057*0.3</f>
        <v>1.7100000000000001E-2</v>
      </c>
      <c r="F2063" s="31">
        <v>16.672499999999999</v>
      </c>
      <c r="G2063" s="34">
        <f t="shared" si="32"/>
        <v>0.28509974999999999</v>
      </c>
      <c r="H2063" s="35"/>
      <c r="I2063" s="31"/>
      <c r="J2063" s="102">
        <v>0</v>
      </c>
    </row>
    <row r="2064" spans="1:10" hidden="1" x14ac:dyDescent="0.25">
      <c r="A2064" s="219"/>
      <c r="B2064" s="237"/>
      <c r="C2064" s="36" t="s">
        <v>39</v>
      </c>
      <c r="D2064" s="47" t="s">
        <v>12</v>
      </c>
      <c r="E2064" s="37">
        <f>0.057*0.3</f>
        <v>1.7100000000000001E-2</v>
      </c>
      <c r="F2064" s="31">
        <v>20.9</v>
      </c>
      <c r="G2064" s="34">
        <f t="shared" si="32"/>
        <v>0.35738999999999999</v>
      </c>
      <c r="H2064" s="35"/>
      <c r="I2064" s="31"/>
      <c r="J2064" s="102">
        <v>0</v>
      </c>
    </row>
    <row r="2065" spans="1:10" hidden="1" x14ac:dyDescent="0.25">
      <c r="A2065" s="219"/>
      <c r="B2065" s="237"/>
      <c r="C2065" s="36"/>
      <c r="D2065" s="47"/>
      <c r="E2065" s="37"/>
      <c r="F2065" s="34" t="s">
        <v>522</v>
      </c>
      <c r="G2065" s="34" t="str">
        <f t="shared" si="32"/>
        <v/>
      </c>
      <c r="H2065" s="35"/>
      <c r="I2065" s="31"/>
      <c r="J2065" s="102">
        <v>0</v>
      </c>
    </row>
    <row r="2066" spans="1:10" ht="38.25" hidden="1" x14ac:dyDescent="0.25">
      <c r="A2066" s="219"/>
      <c r="B2066" s="237"/>
      <c r="C2066" s="52" t="s">
        <v>643</v>
      </c>
      <c r="D2066" s="47"/>
      <c r="E2066" s="37"/>
      <c r="F2066" s="34" t="s">
        <v>522</v>
      </c>
      <c r="G2066" s="34" t="str">
        <f t="shared" ref="G2066:G2129" si="33">IF(ISNUMBER(F2066),E2066*F2066,"")</f>
        <v/>
      </c>
      <c r="H2066" s="35"/>
      <c r="I2066" s="31"/>
      <c r="J2066" s="102">
        <v>0</v>
      </c>
    </row>
    <row r="2067" spans="1:10" ht="15.75" hidden="1" thickBot="1" x14ac:dyDescent="0.3">
      <c r="A2067" s="220"/>
      <c r="B2067" s="223"/>
      <c r="C2067" s="36"/>
      <c r="D2067" s="36"/>
      <c r="E2067" s="37"/>
      <c r="F2067" s="31" t="s">
        <v>522</v>
      </c>
      <c r="G2067" s="31" t="str">
        <f t="shared" si="33"/>
        <v/>
      </c>
      <c r="H2067" s="35"/>
      <c r="I2067" s="31"/>
      <c r="J2067" s="102">
        <v>0</v>
      </c>
    </row>
    <row r="2068" spans="1:10" ht="15.75" hidden="1" thickBot="1" x14ac:dyDescent="0.3">
      <c r="A2068" s="218" t="s">
        <v>652</v>
      </c>
      <c r="B2068" s="221" t="e">
        <f>INDEX(#REF!,MATCH(Composições!A2068,#REF!,0),2)</f>
        <v>#REF!</v>
      </c>
      <c r="C2068" s="41"/>
      <c r="D2068" s="26" t="s">
        <v>93</v>
      </c>
      <c r="E2068" s="27"/>
      <c r="F2068" s="42" t="s">
        <v>522</v>
      </c>
      <c r="G2068" s="28" t="str">
        <f t="shared" si="33"/>
        <v/>
      </c>
      <c r="H2068" s="29"/>
      <c r="I2068" s="30"/>
      <c r="J2068" s="102">
        <v>0</v>
      </c>
    </row>
    <row r="2069" spans="1:10" hidden="1" x14ac:dyDescent="0.25">
      <c r="A2069" s="219"/>
      <c r="B2069" s="237"/>
      <c r="C2069" s="32"/>
      <c r="D2069" s="32"/>
      <c r="E2069" s="33"/>
      <c r="F2069" s="43" t="s">
        <v>522</v>
      </c>
      <c r="G2069" s="31" t="str">
        <f t="shared" si="33"/>
        <v/>
      </c>
      <c r="H2069" s="35"/>
      <c r="I2069" s="31"/>
      <c r="J2069" s="102">
        <v>0</v>
      </c>
    </row>
    <row r="2070" spans="1:10" ht="38.25" hidden="1" x14ac:dyDescent="0.25">
      <c r="A2070" s="219"/>
      <c r="B2070" s="237"/>
      <c r="C2070" s="36" t="s">
        <v>653</v>
      </c>
      <c r="D2070" s="47" t="s">
        <v>93</v>
      </c>
      <c r="E2070" s="37">
        <v>1.0210999999999999</v>
      </c>
      <c r="F2070" s="34" t="s">
        <v>522</v>
      </c>
      <c r="G2070" s="34" t="str">
        <f t="shared" si="33"/>
        <v/>
      </c>
      <c r="H2070" s="39">
        <f>SUM(G2070:G2072)</f>
        <v>0.72139199999999981</v>
      </c>
      <c r="I2070" s="40"/>
      <c r="J2070" s="102">
        <v>0</v>
      </c>
    </row>
    <row r="2071" spans="1:10" ht="25.5" hidden="1" x14ac:dyDescent="0.25">
      <c r="A2071" s="219"/>
      <c r="B2071" s="237"/>
      <c r="C2071" s="36" t="s">
        <v>107</v>
      </c>
      <c r="D2071" s="47" t="s">
        <v>12</v>
      </c>
      <c r="E2071" s="37">
        <f>0.064*0.3</f>
        <v>1.9199999999999998E-2</v>
      </c>
      <c r="F2071" s="31">
        <v>16.672499999999999</v>
      </c>
      <c r="G2071" s="34">
        <f t="shared" si="33"/>
        <v>0.32011199999999995</v>
      </c>
      <c r="H2071" s="35"/>
      <c r="I2071" s="31"/>
      <c r="J2071" s="102">
        <v>0</v>
      </c>
    </row>
    <row r="2072" spans="1:10" hidden="1" x14ac:dyDescent="0.25">
      <c r="A2072" s="219"/>
      <c r="B2072" s="237"/>
      <c r="C2072" s="36" t="s">
        <v>39</v>
      </c>
      <c r="D2072" s="47" t="s">
        <v>12</v>
      </c>
      <c r="E2072" s="37">
        <f>0.064*0.3</f>
        <v>1.9199999999999998E-2</v>
      </c>
      <c r="F2072" s="31">
        <v>20.9</v>
      </c>
      <c r="G2072" s="34">
        <f t="shared" si="33"/>
        <v>0.40127999999999991</v>
      </c>
      <c r="H2072" s="35"/>
      <c r="I2072" s="31"/>
      <c r="J2072" s="102">
        <v>0</v>
      </c>
    </row>
    <row r="2073" spans="1:10" hidden="1" x14ac:dyDescent="0.25">
      <c r="A2073" s="219"/>
      <c r="B2073" s="237"/>
      <c r="C2073" s="36"/>
      <c r="D2073" s="47"/>
      <c r="E2073" s="37"/>
      <c r="F2073" s="34" t="s">
        <v>522</v>
      </c>
      <c r="G2073" s="34" t="str">
        <f t="shared" si="33"/>
        <v/>
      </c>
      <c r="H2073" s="35"/>
      <c r="I2073" s="31"/>
      <c r="J2073" s="102">
        <v>0</v>
      </c>
    </row>
    <row r="2074" spans="1:10" ht="38.25" hidden="1" x14ac:dyDescent="0.25">
      <c r="A2074" s="219"/>
      <c r="B2074" s="237"/>
      <c r="C2074" s="52" t="s">
        <v>643</v>
      </c>
      <c r="D2074" s="47"/>
      <c r="E2074" s="37"/>
      <c r="F2074" s="34" t="s">
        <v>522</v>
      </c>
      <c r="G2074" s="34" t="str">
        <f t="shared" si="33"/>
        <v/>
      </c>
      <c r="H2074" s="35"/>
      <c r="I2074" s="31"/>
      <c r="J2074" s="102">
        <v>0</v>
      </c>
    </row>
    <row r="2075" spans="1:10" ht="15.75" hidden="1" thickBot="1" x14ac:dyDescent="0.3">
      <c r="A2075" s="220"/>
      <c r="B2075" s="223"/>
      <c r="C2075" s="36"/>
      <c r="D2075" s="36"/>
      <c r="E2075" s="37"/>
      <c r="F2075" s="31" t="s">
        <v>522</v>
      </c>
      <c r="G2075" s="31" t="str">
        <f t="shared" si="33"/>
        <v/>
      </c>
      <c r="H2075" s="35"/>
      <c r="I2075" s="31"/>
      <c r="J2075" s="102">
        <v>0</v>
      </c>
    </row>
    <row r="2076" spans="1:10" ht="15.75" hidden="1" thickBot="1" x14ac:dyDescent="0.3">
      <c r="A2076" s="218" t="s">
        <v>654</v>
      </c>
      <c r="B2076" s="221" t="e">
        <f>INDEX(#REF!,MATCH(Composições!A2076,#REF!,0),2)</f>
        <v>#REF!</v>
      </c>
      <c r="C2076" s="41"/>
      <c r="D2076" s="26" t="s">
        <v>93</v>
      </c>
      <c r="E2076" s="27"/>
      <c r="F2076" s="42" t="s">
        <v>522</v>
      </c>
      <c r="G2076" s="28" t="str">
        <f t="shared" si="33"/>
        <v/>
      </c>
      <c r="H2076" s="29"/>
      <c r="I2076" s="30"/>
      <c r="J2076" s="102">
        <v>0</v>
      </c>
    </row>
    <row r="2077" spans="1:10" hidden="1" x14ac:dyDescent="0.25">
      <c r="A2077" s="219"/>
      <c r="B2077" s="237"/>
      <c r="C2077" s="32"/>
      <c r="D2077" s="32"/>
      <c r="E2077" s="33"/>
      <c r="F2077" s="43" t="s">
        <v>522</v>
      </c>
      <c r="G2077" s="31" t="str">
        <f t="shared" si="33"/>
        <v/>
      </c>
      <c r="H2077" s="35"/>
      <c r="I2077" s="31"/>
      <c r="J2077" s="102">
        <v>0</v>
      </c>
    </row>
    <row r="2078" spans="1:10" ht="51" hidden="1" x14ac:dyDescent="0.25">
      <c r="A2078" s="219"/>
      <c r="B2078" s="237"/>
      <c r="C2078" s="36" t="s">
        <v>655</v>
      </c>
      <c r="D2078" s="47" t="s">
        <v>93</v>
      </c>
      <c r="E2078" s="37">
        <v>1.0210999999999999</v>
      </c>
      <c r="F2078" s="34" t="s">
        <v>522</v>
      </c>
      <c r="G2078" s="34" t="str">
        <f t="shared" si="33"/>
        <v/>
      </c>
      <c r="H2078" s="39">
        <f>SUM(G2078:G2080)</f>
        <v>0.72139199999999981</v>
      </c>
      <c r="I2078" s="40"/>
      <c r="J2078" s="102">
        <v>0</v>
      </c>
    </row>
    <row r="2079" spans="1:10" ht="25.5" hidden="1" x14ac:dyDescent="0.25">
      <c r="A2079" s="219"/>
      <c r="B2079" s="237"/>
      <c r="C2079" s="36" t="s">
        <v>107</v>
      </c>
      <c r="D2079" s="47" t="s">
        <v>12</v>
      </c>
      <c r="E2079" s="37">
        <f>0.064*0.3</f>
        <v>1.9199999999999998E-2</v>
      </c>
      <c r="F2079" s="31">
        <v>16.672499999999999</v>
      </c>
      <c r="G2079" s="34">
        <f t="shared" si="33"/>
        <v>0.32011199999999995</v>
      </c>
      <c r="H2079" s="35"/>
      <c r="I2079" s="31"/>
      <c r="J2079" s="102">
        <v>0</v>
      </c>
    </row>
    <row r="2080" spans="1:10" hidden="1" x14ac:dyDescent="0.25">
      <c r="A2080" s="219"/>
      <c r="B2080" s="237"/>
      <c r="C2080" s="36" t="s">
        <v>39</v>
      </c>
      <c r="D2080" s="47" t="s">
        <v>12</v>
      </c>
      <c r="E2080" s="37">
        <f>0.064*0.3</f>
        <v>1.9199999999999998E-2</v>
      </c>
      <c r="F2080" s="31">
        <v>20.9</v>
      </c>
      <c r="G2080" s="34">
        <f t="shared" si="33"/>
        <v>0.40127999999999991</v>
      </c>
      <c r="H2080" s="35"/>
      <c r="I2080" s="31"/>
      <c r="J2080" s="102">
        <v>0</v>
      </c>
    </row>
    <row r="2081" spans="1:10" hidden="1" x14ac:dyDescent="0.25">
      <c r="A2081" s="219"/>
      <c r="B2081" s="237"/>
      <c r="C2081" s="36"/>
      <c r="D2081" s="47"/>
      <c r="E2081" s="37"/>
      <c r="F2081" s="34" t="s">
        <v>522</v>
      </c>
      <c r="G2081" s="34" t="str">
        <f t="shared" si="33"/>
        <v/>
      </c>
      <c r="H2081" s="35"/>
      <c r="I2081" s="31"/>
      <c r="J2081" s="102">
        <v>0</v>
      </c>
    </row>
    <row r="2082" spans="1:10" ht="38.25" hidden="1" x14ac:dyDescent="0.25">
      <c r="A2082" s="219"/>
      <c r="B2082" s="237"/>
      <c r="C2082" s="52" t="s">
        <v>643</v>
      </c>
      <c r="D2082" s="47"/>
      <c r="E2082" s="37"/>
      <c r="F2082" s="34" t="s">
        <v>522</v>
      </c>
      <c r="G2082" s="34" t="str">
        <f t="shared" si="33"/>
        <v/>
      </c>
      <c r="H2082" s="35"/>
      <c r="I2082" s="31"/>
      <c r="J2082" s="102">
        <v>0</v>
      </c>
    </row>
    <row r="2083" spans="1:10" ht="15.75" hidden="1" thickBot="1" x14ac:dyDescent="0.3">
      <c r="A2083" s="220"/>
      <c r="B2083" s="223"/>
      <c r="C2083" s="36"/>
      <c r="D2083" s="36"/>
      <c r="E2083" s="37"/>
      <c r="F2083" s="31" t="s">
        <v>522</v>
      </c>
      <c r="G2083" s="31" t="str">
        <f t="shared" si="33"/>
        <v/>
      </c>
      <c r="H2083" s="35"/>
      <c r="I2083" s="31"/>
      <c r="J2083" s="102">
        <v>0</v>
      </c>
    </row>
    <row r="2084" spans="1:10" ht="15.75" hidden="1" thickBot="1" x14ac:dyDescent="0.3">
      <c r="A2084" s="218" t="s">
        <v>656</v>
      </c>
      <c r="B2084" s="221" t="e">
        <f>INDEX(#REF!,MATCH(Composições!A2084,#REF!,0),2)</f>
        <v>#REF!</v>
      </c>
      <c r="C2084" s="41"/>
      <c r="D2084" s="26" t="s">
        <v>93</v>
      </c>
      <c r="E2084" s="27"/>
      <c r="F2084" s="42" t="s">
        <v>522</v>
      </c>
      <c r="G2084" s="28" t="str">
        <f t="shared" si="33"/>
        <v/>
      </c>
      <c r="H2084" s="29"/>
      <c r="I2084" s="30"/>
      <c r="J2084" s="102">
        <v>0</v>
      </c>
    </row>
    <row r="2085" spans="1:10" hidden="1" x14ac:dyDescent="0.25">
      <c r="A2085" s="219"/>
      <c r="B2085" s="237"/>
      <c r="C2085" s="32"/>
      <c r="D2085" s="32"/>
      <c r="E2085" s="33"/>
      <c r="F2085" s="43" t="s">
        <v>522</v>
      </c>
      <c r="G2085" s="31" t="str">
        <f t="shared" si="33"/>
        <v/>
      </c>
      <c r="H2085" s="35"/>
      <c r="I2085" s="31"/>
      <c r="J2085" s="102">
        <v>0</v>
      </c>
    </row>
    <row r="2086" spans="1:10" ht="38.25" hidden="1" x14ac:dyDescent="0.25">
      <c r="A2086" s="219"/>
      <c r="B2086" s="237"/>
      <c r="C2086" s="36" t="s">
        <v>657</v>
      </c>
      <c r="D2086" s="47" t="s">
        <v>93</v>
      </c>
      <c r="E2086" s="37">
        <v>1.0210999999999999</v>
      </c>
      <c r="F2086" s="34" t="s">
        <v>522</v>
      </c>
      <c r="G2086" s="34" t="str">
        <f t="shared" si="33"/>
        <v/>
      </c>
      <c r="H2086" s="39">
        <f>SUM(G2086:G2088)</f>
        <v>0.72139199999999981</v>
      </c>
      <c r="I2086" s="40"/>
      <c r="J2086" s="102">
        <v>0</v>
      </c>
    </row>
    <row r="2087" spans="1:10" ht="25.5" hidden="1" x14ac:dyDescent="0.25">
      <c r="A2087" s="219"/>
      <c r="B2087" s="237"/>
      <c r="C2087" s="36" t="s">
        <v>107</v>
      </c>
      <c r="D2087" s="47" t="s">
        <v>12</v>
      </c>
      <c r="E2087" s="37">
        <f>0.064*0.3</f>
        <v>1.9199999999999998E-2</v>
      </c>
      <c r="F2087" s="31">
        <v>16.672499999999999</v>
      </c>
      <c r="G2087" s="34">
        <f t="shared" si="33"/>
        <v>0.32011199999999995</v>
      </c>
      <c r="H2087" s="35"/>
      <c r="I2087" s="31"/>
      <c r="J2087" s="102">
        <v>0</v>
      </c>
    </row>
    <row r="2088" spans="1:10" hidden="1" x14ac:dyDescent="0.25">
      <c r="A2088" s="219"/>
      <c r="B2088" s="237"/>
      <c r="C2088" s="36" t="s">
        <v>39</v>
      </c>
      <c r="D2088" s="47" t="s">
        <v>12</v>
      </c>
      <c r="E2088" s="37">
        <f>0.064*0.3</f>
        <v>1.9199999999999998E-2</v>
      </c>
      <c r="F2088" s="31">
        <v>20.9</v>
      </c>
      <c r="G2088" s="34">
        <f t="shared" si="33"/>
        <v>0.40127999999999991</v>
      </c>
      <c r="H2088" s="35"/>
      <c r="I2088" s="31"/>
      <c r="J2088" s="102">
        <v>0</v>
      </c>
    </row>
    <row r="2089" spans="1:10" hidden="1" x14ac:dyDescent="0.25">
      <c r="A2089" s="219"/>
      <c r="B2089" s="237"/>
      <c r="C2089" s="36"/>
      <c r="D2089" s="47"/>
      <c r="E2089" s="37"/>
      <c r="F2089" s="34" t="s">
        <v>522</v>
      </c>
      <c r="G2089" s="34" t="str">
        <f t="shared" si="33"/>
        <v/>
      </c>
      <c r="H2089" s="35"/>
      <c r="I2089" s="31"/>
      <c r="J2089" s="102">
        <v>0</v>
      </c>
    </row>
    <row r="2090" spans="1:10" ht="38.25" hidden="1" x14ac:dyDescent="0.25">
      <c r="A2090" s="219"/>
      <c r="B2090" s="237"/>
      <c r="C2090" s="52" t="s">
        <v>643</v>
      </c>
      <c r="D2090" s="47"/>
      <c r="E2090" s="37"/>
      <c r="F2090" s="34" t="s">
        <v>522</v>
      </c>
      <c r="G2090" s="34" t="str">
        <f t="shared" si="33"/>
        <v/>
      </c>
      <c r="H2090" s="35"/>
      <c r="I2090" s="31"/>
      <c r="J2090" s="102">
        <v>0</v>
      </c>
    </row>
    <row r="2091" spans="1:10" ht="15.75" hidden="1" thickBot="1" x14ac:dyDescent="0.3">
      <c r="A2091" s="220"/>
      <c r="B2091" s="223"/>
      <c r="C2091" s="36"/>
      <c r="D2091" s="36"/>
      <c r="E2091" s="37"/>
      <c r="F2091" s="31" t="s">
        <v>522</v>
      </c>
      <c r="G2091" s="31" t="str">
        <f t="shared" si="33"/>
        <v/>
      </c>
      <c r="H2091" s="35"/>
      <c r="I2091" s="31"/>
      <c r="J2091" s="102">
        <v>0</v>
      </c>
    </row>
    <row r="2092" spans="1:10" ht="15.75" hidden="1" thickBot="1" x14ac:dyDescent="0.3">
      <c r="A2092" s="218" t="s">
        <v>658</v>
      </c>
      <c r="B2092" s="221" t="e">
        <f>INDEX(#REF!,MATCH(Composições!A2092,#REF!,0),2)</f>
        <v>#REF!</v>
      </c>
      <c r="C2092" s="41"/>
      <c r="D2092" s="26" t="s">
        <v>93</v>
      </c>
      <c r="E2092" s="27"/>
      <c r="F2092" s="42" t="s">
        <v>522</v>
      </c>
      <c r="G2092" s="28" t="str">
        <f t="shared" si="33"/>
        <v/>
      </c>
      <c r="H2092" s="29"/>
      <c r="I2092" s="30"/>
      <c r="J2092" s="102">
        <v>0</v>
      </c>
    </row>
    <row r="2093" spans="1:10" hidden="1" x14ac:dyDescent="0.25">
      <c r="A2093" s="219"/>
      <c r="B2093" s="237"/>
      <c r="C2093" s="32"/>
      <c r="D2093" s="32"/>
      <c r="E2093" s="33"/>
      <c r="F2093" s="43" t="s">
        <v>522</v>
      </c>
      <c r="G2093" s="31" t="str">
        <f t="shared" si="33"/>
        <v/>
      </c>
      <c r="H2093" s="35"/>
      <c r="I2093" s="31"/>
      <c r="J2093" s="102">
        <v>0</v>
      </c>
    </row>
    <row r="2094" spans="1:10" ht="38.25" hidden="1" x14ac:dyDescent="0.25">
      <c r="A2094" s="219"/>
      <c r="B2094" s="237"/>
      <c r="C2094" s="36" t="s">
        <v>659</v>
      </c>
      <c r="D2094" s="47" t="s">
        <v>93</v>
      </c>
      <c r="E2094" s="37">
        <v>1.0210999999999999</v>
      </c>
      <c r="F2094" s="34" t="s">
        <v>522</v>
      </c>
      <c r="G2094" s="34" t="str">
        <f t="shared" si="33"/>
        <v/>
      </c>
      <c r="H2094" s="39">
        <f>SUM(G2094:G2096)</f>
        <v>0.72139199999999981</v>
      </c>
      <c r="I2094" s="40"/>
      <c r="J2094" s="102">
        <v>0</v>
      </c>
    </row>
    <row r="2095" spans="1:10" ht="25.5" hidden="1" x14ac:dyDescent="0.25">
      <c r="A2095" s="219"/>
      <c r="B2095" s="237"/>
      <c r="C2095" s="36" t="s">
        <v>107</v>
      </c>
      <c r="D2095" s="47" t="s">
        <v>12</v>
      </c>
      <c r="E2095" s="37">
        <f>0.064*0.3</f>
        <v>1.9199999999999998E-2</v>
      </c>
      <c r="F2095" s="31">
        <v>16.672499999999999</v>
      </c>
      <c r="G2095" s="34">
        <f t="shared" si="33"/>
        <v>0.32011199999999995</v>
      </c>
      <c r="H2095" s="35"/>
      <c r="I2095" s="31"/>
      <c r="J2095" s="102">
        <v>0</v>
      </c>
    </row>
    <row r="2096" spans="1:10" hidden="1" x14ac:dyDescent="0.25">
      <c r="A2096" s="219"/>
      <c r="B2096" s="237"/>
      <c r="C2096" s="36" t="s">
        <v>39</v>
      </c>
      <c r="D2096" s="47" t="s">
        <v>12</v>
      </c>
      <c r="E2096" s="37">
        <f>0.064*0.3</f>
        <v>1.9199999999999998E-2</v>
      </c>
      <c r="F2096" s="31">
        <v>20.9</v>
      </c>
      <c r="G2096" s="34">
        <f t="shared" si="33"/>
        <v>0.40127999999999991</v>
      </c>
      <c r="H2096" s="35"/>
      <c r="I2096" s="31"/>
      <c r="J2096" s="102">
        <v>0</v>
      </c>
    </row>
    <row r="2097" spans="1:10" hidden="1" x14ac:dyDescent="0.25">
      <c r="A2097" s="219"/>
      <c r="B2097" s="237"/>
      <c r="C2097" s="36"/>
      <c r="D2097" s="47"/>
      <c r="E2097" s="37"/>
      <c r="F2097" s="34" t="s">
        <v>522</v>
      </c>
      <c r="G2097" s="34" t="str">
        <f t="shared" si="33"/>
        <v/>
      </c>
      <c r="H2097" s="35"/>
      <c r="I2097" s="31"/>
      <c r="J2097" s="102">
        <v>0</v>
      </c>
    </row>
    <row r="2098" spans="1:10" ht="38.25" hidden="1" x14ac:dyDescent="0.25">
      <c r="A2098" s="219"/>
      <c r="B2098" s="237"/>
      <c r="C2098" s="52" t="s">
        <v>643</v>
      </c>
      <c r="D2098" s="47"/>
      <c r="E2098" s="37"/>
      <c r="F2098" s="34" t="s">
        <v>522</v>
      </c>
      <c r="G2098" s="34" t="str">
        <f t="shared" si="33"/>
        <v/>
      </c>
      <c r="H2098" s="35"/>
      <c r="I2098" s="31"/>
      <c r="J2098" s="102">
        <v>0</v>
      </c>
    </row>
    <row r="2099" spans="1:10" ht="15.75" hidden="1" thickBot="1" x14ac:dyDescent="0.3">
      <c r="A2099" s="220"/>
      <c r="B2099" s="223"/>
      <c r="C2099" s="36"/>
      <c r="D2099" s="36"/>
      <c r="E2099" s="37"/>
      <c r="F2099" s="31" t="s">
        <v>522</v>
      </c>
      <c r="G2099" s="31" t="str">
        <f t="shared" si="33"/>
        <v/>
      </c>
      <c r="H2099" s="35"/>
      <c r="I2099" s="31"/>
      <c r="J2099" s="102">
        <v>0</v>
      </c>
    </row>
    <row r="2100" spans="1:10" ht="15.75" hidden="1" thickBot="1" x14ac:dyDescent="0.3">
      <c r="A2100" s="218" t="s">
        <v>660</v>
      </c>
      <c r="B2100" s="221" t="e">
        <f>INDEX(#REF!,MATCH(Composições!A2100,#REF!,0),2)</f>
        <v>#REF!</v>
      </c>
      <c r="C2100" s="41"/>
      <c r="D2100" s="26" t="s">
        <v>93</v>
      </c>
      <c r="E2100" s="27"/>
      <c r="F2100" s="42" t="s">
        <v>522</v>
      </c>
      <c r="G2100" s="28" t="str">
        <f t="shared" si="33"/>
        <v/>
      </c>
      <c r="H2100" s="29"/>
      <c r="I2100" s="30"/>
      <c r="J2100" s="102">
        <v>0</v>
      </c>
    </row>
    <row r="2101" spans="1:10" hidden="1" x14ac:dyDescent="0.25">
      <c r="A2101" s="219"/>
      <c r="B2101" s="237"/>
      <c r="C2101" s="32"/>
      <c r="D2101" s="32"/>
      <c r="E2101" s="33"/>
      <c r="F2101" s="43" t="s">
        <v>522</v>
      </c>
      <c r="G2101" s="31" t="str">
        <f t="shared" si="33"/>
        <v/>
      </c>
      <c r="H2101" s="35"/>
      <c r="I2101" s="31"/>
      <c r="J2101" s="102">
        <v>0</v>
      </c>
    </row>
    <row r="2102" spans="1:10" ht="38.25" hidden="1" x14ac:dyDescent="0.25">
      <c r="A2102" s="219"/>
      <c r="B2102" s="237"/>
      <c r="C2102" s="36" t="s">
        <v>661</v>
      </c>
      <c r="D2102" s="47" t="s">
        <v>93</v>
      </c>
      <c r="E2102" s="37">
        <v>1.0210999999999999</v>
      </c>
      <c r="F2102" s="34" t="s">
        <v>522</v>
      </c>
      <c r="G2102" s="34" t="str">
        <f t="shared" si="33"/>
        <v/>
      </c>
      <c r="H2102" s="39">
        <f>SUM(G2102:G2104)</f>
        <v>0.72139199999999981</v>
      </c>
      <c r="I2102" s="40"/>
      <c r="J2102" s="102">
        <v>0</v>
      </c>
    </row>
    <row r="2103" spans="1:10" ht="25.5" hidden="1" x14ac:dyDescent="0.25">
      <c r="A2103" s="219"/>
      <c r="B2103" s="237"/>
      <c r="C2103" s="36" t="s">
        <v>107</v>
      </c>
      <c r="D2103" s="47" t="s">
        <v>12</v>
      </c>
      <c r="E2103" s="37">
        <f>0.064*0.3</f>
        <v>1.9199999999999998E-2</v>
      </c>
      <c r="F2103" s="31">
        <v>16.672499999999999</v>
      </c>
      <c r="G2103" s="34">
        <f t="shared" si="33"/>
        <v>0.32011199999999995</v>
      </c>
      <c r="H2103" s="35"/>
      <c r="I2103" s="31"/>
      <c r="J2103" s="102">
        <v>0</v>
      </c>
    </row>
    <row r="2104" spans="1:10" hidden="1" x14ac:dyDescent="0.25">
      <c r="A2104" s="219"/>
      <c r="B2104" s="237"/>
      <c r="C2104" s="36" t="s">
        <v>39</v>
      </c>
      <c r="D2104" s="47" t="s">
        <v>12</v>
      </c>
      <c r="E2104" s="37">
        <f>0.064*0.3</f>
        <v>1.9199999999999998E-2</v>
      </c>
      <c r="F2104" s="31">
        <v>20.9</v>
      </c>
      <c r="G2104" s="34">
        <f t="shared" si="33"/>
        <v>0.40127999999999991</v>
      </c>
      <c r="H2104" s="35"/>
      <c r="I2104" s="31"/>
      <c r="J2104" s="102">
        <v>0</v>
      </c>
    </row>
    <row r="2105" spans="1:10" hidden="1" x14ac:dyDescent="0.25">
      <c r="A2105" s="219"/>
      <c r="B2105" s="237"/>
      <c r="C2105" s="36"/>
      <c r="D2105" s="47"/>
      <c r="E2105" s="37"/>
      <c r="F2105" s="34" t="s">
        <v>522</v>
      </c>
      <c r="G2105" s="34" t="str">
        <f t="shared" si="33"/>
        <v/>
      </c>
      <c r="H2105" s="35"/>
      <c r="I2105" s="31"/>
      <c r="J2105" s="102">
        <v>0</v>
      </c>
    </row>
    <row r="2106" spans="1:10" ht="38.25" hidden="1" x14ac:dyDescent="0.25">
      <c r="A2106" s="219"/>
      <c r="B2106" s="237"/>
      <c r="C2106" s="52" t="s">
        <v>643</v>
      </c>
      <c r="D2106" s="47"/>
      <c r="E2106" s="37"/>
      <c r="F2106" s="34" t="s">
        <v>522</v>
      </c>
      <c r="G2106" s="34" t="str">
        <f t="shared" si="33"/>
        <v/>
      </c>
      <c r="H2106" s="35"/>
      <c r="I2106" s="31"/>
      <c r="J2106" s="102">
        <v>0</v>
      </c>
    </row>
    <row r="2107" spans="1:10" ht="15.75" hidden="1" thickBot="1" x14ac:dyDescent="0.3">
      <c r="A2107" s="220"/>
      <c r="B2107" s="223"/>
      <c r="C2107" s="36"/>
      <c r="D2107" s="36"/>
      <c r="E2107" s="37"/>
      <c r="F2107" s="31" t="s">
        <v>522</v>
      </c>
      <c r="G2107" s="31" t="str">
        <f t="shared" si="33"/>
        <v/>
      </c>
      <c r="H2107" s="35"/>
      <c r="I2107" s="31"/>
      <c r="J2107" s="102">
        <v>0</v>
      </c>
    </row>
    <row r="2108" spans="1:10" ht="15.75" hidden="1" thickBot="1" x14ac:dyDescent="0.3">
      <c r="A2108" s="218" t="s">
        <v>662</v>
      </c>
      <c r="B2108" s="221" t="e">
        <f>INDEX(#REF!,MATCH(Composições!A2108,#REF!,0),2)</f>
        <v>#REF!</v>
      </c>
      <c r="C2108" s="41"/>
      <c r="D2108" s="26" t="s">
        <v>93</v>
      </c>
      <c r="E2108" s="27"/>
      <c r="F2108" s="42" t="s">
        <v>522</v>
      </c>
      <c r="G2108" s="28" t="str">
        <f t="shared" si="33"/>
        <v/>
      </c>
      <c r="H2108" s="29"/>
      <c r="I2108" s="30"/>
      <c r="J2108" s="102">
        <v>0</v>
      </c>
    </row>
    <row r="2109" spans="1:10" hidden="1" x14ac:dyDescent="0.25">
      <c r="A2109" s="219"/>
      <c r="B2109" s="237"/>
      <c r="C2109" s="32"/>
      <c r="D2109" s="32"/>
      <c r="E2109" s="33"/>
      <c r="F2109" s="43" t="s">
        <v>522</v>
      </c>
      <c r="G2109" s="31" t="str">
        <f t="shared" si="33"/>
        <v/>
      </c>
      <c r="H2109" s="35"/>
      <c r="I2109" s="31"/>
      <c r="J2109" s="102">
        <v>0</v>
      </c>
    </row>
    <row r="2110" spans="1:10" ht="38.25" hidden="1" x14ac:dyDescent="0.25">
      <c r="A2110" s="219"/>
      <c r="B2110" s="237"/>
      <c r="C2110" s="36" t="s">
        <v>663</v>
      </c>
      <c r="D2110" s="47" t="s">
        <v>93</v>
      </c>
      <c r="E2110" s="37">
        <v>1.0210999999999999</v>
      </c>
      <c r="F2110" s="34" t="s">
        <v>522</v>
      </c>
      <c r="G2110" s="34" t="str">
        <f t="shared" si="33"/>
        <v/>
      </c>
      <c r="H2110" s="39">
        <f>SUM(G2110:G2112)</f>
        <v>0.72139199999999981</v>
      </c>
      <c r="I2110" s="40"/>
      <c r="J2110" s="102">
        <v>0</v>
      </c>
    </row>
    <row r="2111" spans="1:10" ht="25.5" hidden="1" x14ac:dyDescent="0.25">
      <c r="A2111" s="219"/>
      <c r="B2111" s="237"/>
      <c r="C2111" s="36" t="s">
        <v>107</v>
      </c>
      <c r="D2111" s="47" t="s">
        <v>12</v>
      </c>
      <c r="E2111" s="37">
        <f>0.064*0.3</f>
        <v>1.9199999999999998E-2</v>
      </c>
      <c r="F2111" s="31">
        <v>16.672499999999999</v>
      </c>
      <c r="G2111" s="34">
        <f t="shared" si="33"/>
        <v>0.32011199999999995</v>
      </c>
      <c r="H2111" s="35"/>
      <c r="I2111" s="31"/>
      <c r="J2111" s="102">
        <v>0</v>
      </c>
    </row>
    <row r="2112" spans="1:10" hidden="1" x14ac:dyDescent="0.25">
      <c r="A2112" s="219"/>
      <c r="B2112" s="237"/>
      <c r="C2112" s="36" t="s">
        <v>39</v>
      </c>
      <c r="D2112" s="47" t="s">
        <v>12</v>
      </c>
      <c r="E2112" s="37">
        <f>0.064*0.3</f>
        <v>1.9199999999999998E-2</v>
      </c>
      <c r="F2112" s="31">
        <v>20.9</v>
      </c>
      <c r="G2112" s="34">
        <f t="shared" si="33"/>
        <v>0.40127999999999991</v>
      </c>
      <c r="H2112" s="35"/>
      <c r="I2112" s="31"/>
      <c r="J2112" s="102">
        <v>0</v>
      </c>
    </row>
    <row r="2113" spans="1:10" hidden="1" x14ac:dyDescent="0.25">
      <c r="A2113" s="219"/>
      <c r="B2113" s="237"/>
      <c r="C2113" s="36"/>
      <c r="D2113" s="47"/>
      <c r="E2113" s="37"/>
      <c r="F2113" s="34" t="s">
        <v>522</v>
      </c>
      <c r="G2113" s="34" t="str">
        <f t="shared" si="33"/>
        <v/>
      </c>
      <c r="H2113" s="35"/>
      <c r="I2113" s="31"/>
      <c r="J2113" s="102">
        <v>0</v>
      </c>
    </row>
    <row r="2114" spans="1:10" ht="38.25" hidden="1" x14ac:dyDescent="0.25">
      <c r="A2114" s="219"/>
      <c r="B2114" s="237"/>
      <c r="C2114" s="52" t="s">
        <v>643</v>
      </c>
      <c r="D2114" s="47"/>
      <c r="E2114" s="37"/>
      <c r="F2114" s="34" t="s">
        <v>522</v>
      </c>
      <c r="G2114" s="34" t="str">
        <f t="shared" si="33"/>
        <v/>
      </c>
      <c r="H2114" s="35"/>
      <c r="I2114" s="31"/>
      <c r="J2114" s="102">
        <v>0</v>
      </c>
    </row>
    <row r="2115" spans="1:10" ht="15.75" hidden="1" thickBot="1" x14ac:dyDescent="0.3">
      <c r="A2115" s="220"/>
      <c r="B2115" s="223"/>
      <c r="C2115" s="36"/>
      <c r="D2115" s="36"/>
      <c r="E2115" s="37"/>
      <c r="F2115" s="31" t="s">
        <v>522</v>
      </c>
      <c r="G2115" s="31" t="str">
        <f t="shared" si="33"/>
        <v/>
      </c>
      <c r="H2115" s="35"/>
      <c r="I2115" s="31"/>
      <c r="J2115" s="102">
        <v>0</v>
      </c>
    </row>
    <row r="2116" spans="1:10" ht="15.75" hidden="1" thickBot="1" x14ac:dyDescent="0.3">
      <c r="A2116" s="218" t="s">
        <v>664</v>
      </c>
      <c r="B2116" s="221" t="e">
        <f>INDEX(#REF!,MATCH(Composições!A2116,#REF!,0),2)</f>
        <v>#REF!</v>
      </c>
      <c r="C2116" s="41"/>
      <c r="D2116" s="26" t="s">
        <v>95</v>
      </c>
      <c r="E2116" s="27"/>
      <c r="F2116" s="42" t="s">
        <v>522</v>
      </c>
      <c r="G2116" s="28" t="str">
        <f t="shared" si="33"/>
        <v/>
      </c>
      <c r="H2116" s="29"/>
      <c r="I2116" s="30"/>
      <c r="J2116" s="102">
        <v>0</v>
      </c>
    </row>
    <row r="2117" spans="1:10" hidden="1" x14ac:dyDescent="0.25">
      <c r="A2117" s="219"/>
      <c r="B2117" s="237"/>
      <c r="C2117" s="32"/>
      <c r="D2117" s="32"/>
      <c r="E2117" s="33"/>
      <c r="F2117" s="43" t="s">
        <v>522</v>
      </c>
      <c r="G2117" s="31" t="str">
        <f t="shared" si="33"/>
        <v/>
      </c>
      <c r="H2117" s="35"/>
      <c r="I2117" s="31"/>
      <c r="J2117" s="102">
        <v>0</v>
      </c>
    </row>
    <row r="2118" spans="1:10" ht="25.5" hidden="1" x14ac:dyDescent="0.25">
      <c r="A2118" s="219"/>
      <c r="B2118" s="237"/>
      <c r="C2118" s="36" t="s">
        <v>107</v>
      </c>
      <c r="D2118" s="47" t="s">
        <v>12</v>
      </c>
      <c r="E2118" s="37">
        <v>0.2</v>
      </c>
      <c r="F2118" s="31">
        <v>16.672499999999999</v>
      </c>
      <c r="G2118" s="34">
        <f t="shared" si="33"/>
        <v>3.3345000000000002</v>
      </c>
      <c r="H2118" s="39">
        <f>SUM(G2118:G2120)</f>
        <v>7.5145</v>
      </c>
      <c r="I2118" s="40"/>
      <c r="J2118" s="102">
        <v>0</v>
      </c>
    </row>
    <row r="2119" spans="1:10" hidden="1" x14ac:dyDescent="0.25">
      <c r="A2119" s="219"/>
      <c r="B2119" s="237"/>
      <c r="C2119" s="36" t="s">
        <v>39</v>
      </c>
      <c r="D2119" s="47" t="s">
        <v>12</v>
      </c>
      <c r="E2119" s="37">
        <v>0.2</v>
      </c>
      <c r="F2119" s="31">
        <v>20.9</v>
      </c>
      <c r="G2119" s="34">
        <f t="shared" si="33"/>
        <v>4.18</v>
      </c>
      <c r="H2119" s="35"/>
      <c r="I2119" s="31"/>
      <c r="J2119" s="102">
        <v>0</v>
      </c>
    </row>
    <row r="2120" spans="1:10" hidden="1" x14ac:dyDescent="0.25">
      <c r="A2120" s="219"/>
      <c r="B2120" s="237"/>
      <c r="C2120" s="36" t="s">
        <v>665</v>
      </c>
      <c r="D2120" s="47" t="s">
        <v>95</v>
      </c>
      <c r="E2120" s="37">
        <v>1.05</v>
      </c>
      <c r="F2120" s="34" t="s">
        <v>522</v>
      </c>
      <c r="G2120" s="34" t="str">
        <f t="shared" si="33"/>
        <v/>
      </c>
      <c r="H2120" s="35"/>
      <c r="I2120" s="31"/>
      <c r="J2120" s="102">
        <v>0</v>
      </c>
    </row>
    <row r="2121" spans="1:10" ht="15.75" hidden="1" thickBot="1" x14ac:dyDescent="0.3">
      <c r="A2121" s="220"/>
      <c r="B2121" s="223"/>
      <c r="C2121" s="36"/>
      <c r="D2121" s="36"/>
      <c r="E2121" s="37"/>
      <c r="F2121" s="31" t="s">
        <v>522</v>
      </c>
      <c r="G2121" s="31" t="str">
        <f t="shared" si="33"/>
        <v/>
      </c>
      <c r="H2121" s="35"/>
      <c r="I2121" s="31"/>
      <c r="J2121" s="102">
        <v>0</v>
      </c>
    </row>
    <row r="2122" spans="1:10" ht="15.75" hidden="1" thickBot="1" x14ac:dyDescent="0.3">
      <c r="A2122" s="218" t="s">
        <v>666</v>
      </c>
      <c r="B2122" s="221" t="e">
        <f>INDEX(#REF!,MATCH(Composições!A2122,#REF!,0),2)</f>
        <v>#REF!</v>
      </c>
      <c r="C2122" s="41"/>
      <c r="D2122" s="26" t="s">
        <v>93</v>
      </c>
      <c r="E2122" s="27"/>
      <c r="F2122" s="42" t="s">
        <v>522</v>
      </c>
      <c r="G2122" s="28" t="str">
        <f t="shared" si="33"/>
        <v/>
      </c>
      <c r="H2122" s="29"/>
      <c r="I2122" s="30"/>
      <c r="J2122" s="102">
        <v>0</v>
      </c>
    </row>
    <row r="2123" spans="1:10" hidden="1" x14ac:dyDescent="0.25">
      <c r="A2123" s="219"/>
      <c r="B2123" s="237"/>
      <c r="C2123" s="32"/>
      <c r="D2123" s="32"/>
      <c r="E2123" s="33"/>
      <c r="F2123" s="43" t="s">
        <v>522</v>
      </c>
      <c r="G2123" s="31" t="str">
        <f t="shared" si="33"/>
        <v/>
      </c>
      <c r="H2123" s="35"/>
      <c r="I2123" s="31"/>
      <c r="J2123" s="102">
        <v>0</v>
      </c>
    </row>
    <row r="2124" spans="1:10" hidden="1" x14ac:dyDescent="0.25">
      <c r="A2124" s="219"/>
      <c r="B2124" s="237"/>
      <c r="C2124" s="36" t="s">
        <v>39</v>
      </c>
      <c r="D2124" s="47" t="s">
        <v>12</v>
      </c>
      <c r="E2124" s="37">
        <v>0.29199999999999998</v>
      </c>
      <c r="F2124" s="31">
        <v>20.9</v>
      </c>
      <c r="G2124" s="31">
        <f t="shared" si="33"/>
        <v>6.1027999999999993</v>
      </c>
      <c r="H2124" s="39">
        <f>SUM(G2124:G2126)</f>
        <v>83.430510499999983</v>
      </c>
      <c r="I2124" s="40"/>
      <c r="J2124" s="102">
        <v>0</v>
      </c>
    </row>
    <row r="2125" spans="1:10" ht="25.5" hidden="1" x14ac:dyDescent="0.25">
      <c r="A2125" s="219"/>
      <c r="B2125" s="237"/>
      <c r="C2125" s="36" t="s">
        <v>107</v>
      </c>
      <c r="D2125" s="47" t="s">
        <v>12</v>
      </c>
      <c r="E2125" s="37">
        <v>0.29199999999999998</v>
      </c>
      <c r="F2125" s="31">
        <v>16.672499999999999</v>
      </c>
      <c r="G2125" s="31">
        <f t="shared" si="33"/>
        <v>4.8683699999999996</v>
      </c>
      <c r="H2125" s="35"/>
      <c r="I2125" s="31"/>
      <c r="J2125" s="102">
        <v>0</v>
      </c>
    </row>
    <row r="2126" spans="1:10" ht="25.5" hidden="1" x14ac:dyDescent="0.25">
      <c r="A2126" s="219"/>
      <c r="B2126" s="237"/>
      <c r="C2126" s="36" t="s">
        <v>667</v>
      </c>
      <c r="D2126" s="47" t="s">
        <v>93</v>
      </c>
      <c r="E2126" s="37">
        <v>1.0389999999999999</v>
      </c>
      <c r="F2126" s="34">
        <v>69.739499999999992</v>
      </c>
      <c r="G2126" s="31">
        <f t="shared" si="33"/>
        <v>72.459340499999982</v>
      </c>
      <c r="H2126" s="35"/>
      <c r="I2126" s="31"/>
      <c r="J2126" s="102">
        <v>0</v>
      </c>
    </row>
    <row r="2127" spans="1:10" ht="15.75" hidden="1" thickBot="1" x14ac:dyDescent="0.3">
      <c r="A2127" s="220"/>
      <c r="B2127" s="223"/>
      <c r="C2127" s="36"/>
      <c r="D2127" s="36"/>
      <c r="E2127" s="37"/>
      <c r="F2127" s="31" t="s">
        <v>522</v>
      </c>
      <c r="G2127" s="31" t="str">
        <f t="shared" si="33"/>
        <v/>
      </c>
      <c r="H2127" s="35"/>
      <c r="I2127" s="31"/>
      <c r="J2127" s="102">
        <v>0</v>
      </c>
    </row>
    <row r="2128" spans="1:10" ht="15.75" hidden="1" thickBot="1" x14ac:dyDescent="0.3">
      <c r="A2128" s="218" t="s">
        <v>668</v>
      </c>
      <c r="B2128" s="221" t="e">
        <f>INDEX(#REF!,MATCH(Composições!A2128,#REF!,0),2)</f>
        <v>#REF!</v>
      </c>
      <c r="C2128" s="41"/>
      <c r="D2128" s="26" t="s">
        <v>93</v>
      </c>
      <c r="E2128" s="27"/>
      <c r="F2128" s="42" t="s">
        <v>522</v>
      </c>
      <c r="G2128" s="28" t="str">
        <f t="shared" si="33"/>
        <v/>
      </c>
      <c r="H2128" s="29"/>
      <c r="I2128" s="30"/>
      <c r="J2128" s="102">
        <v>0</v>
      </c>
    </row>
    <row r="2129" spans="1:10" hidden="1" x14ac:dyDescent="0.25">
      <c r="A2129" s="219"/>
      <c r="B2129" s="237"/>
      <c r="C2129" s="32"/>
      <c r="D2129" s="32"/>
      <c r="E2129" s="33"/>
      <c r="F2129" s="43" t="s">
        <v>522</v>
      </c>
      <c r="G2129" s="31" t="str">
        <f t="shared" si="33"/>
        <v/>
      </c>
      <c r="H2129" s="35"/>
      <c r="I2129" s="31"/>
      <c r="J2129" s="102">
        <v>0</v>
      </c>
    </row>
    <row r="2130" spans="1:10" hidden="1" x14ac:dyDescent="0.25">
      <c r="A2130" s="219"/>
      <c r="B2130" s="237"/>
      <c r="C2130" s="36" t="s">
        <v>39</v>
      </c>
      <c r="D2130" s="47" t="s">
        <v>12</v>
      </c>
      <c r="E2130" s="37">
        <v>0.27500000000000002</v>
      </c>
      <c r="F2130" s="31">
        <v>20.9</v>
      </c>
      <c r="G2130" s="31">
        <f t="shared" ref="G2130:G2193" si="34">IF(ISNUMBER(F2130),E2130*F2130,"")</f>
        <v>5.7475000000000005</v>
      </c>
      <c r="H2130" s="39">
        <f>SUM(G2130:G2132)</f>
        <v>76.820125499999989</v>
      </c>
      <c r="I2130" s="40"/>
      <c r="J2130" s="102">
        <v>0</v>
      </c>
    </row>
    <row r="2131" spans="1:10" ht="25.5" hidden="1" x14ac:dyDescent="0.25">
      <c r="A2131" s="219"/>
      <c r="B2131" s="237"/>
      <c r="C2131" s="36" t="s">
        <v>107</v>
      </c>
      <c r="D2131" s="47" t="s">
        <v>12</v>
      </c>
      <c r="E2131" s="37">
        <v>0.27500000000000002</v>
      </c>
      <c r="F2131" s="31">
        <v>16.672499999999999</v>
      </c>
      <c r="G2131" s="31">
        <f t="shared" si="34"/>
        <v>4.5849375000000006</v>
      </c>
      <c r="H2131" s="35"/>
      <c r="I2131" s="31"/>
      <c r="J2131" s="102">
        <v>0</v>
      </c>
    </row>
    <row r="2132" spans="1:10" ht="25.5" hidden="1" x14ac:dyDescent="0.25">
      <c r="A2132" s="219"/>
      <c r="B2132" s="237"/>
      <c r="C2132" s="36" t="s">
        <v>1908</v>
      </c>
      <c r="D2132" s="47" t="s">
        <v>93</v>
      </c>
      <c r="E2132" s="37">
        <v>1.0389999999999999</v>
      </c>
      <c r="F2132" s="31">
        <v>63.991999999999997</v>
      </c>
      <c r="G2132" s="31">
        <f t="shared" si="34"/>
        <v>66.487687999999991</v>
      </c>
      <c r="H2132" s="35"/>
      <c r="I2132" s="31"/>
      <c r="J2132" s="102">
        <v>0</v>
      </c>
    </row>
    <row r="2133" spans="1:10" ht="15.75" hidden="1" thickBot="1" x14ac:dyDescent="0.3">
      <c r="A2133" s="220"/>
      <c r="B2133" s="223"/>
      <c r="C2133" s="36"/>
      <c r="D2133" s="36"/>
      <c r="E2133" s="37"/>
      <c r="F2133" s="31" t="s">
        <v>522</v>
      </c>
      <c r="G2133" s="31" t="str">
        <f t="shared" si="34"/>
        <v/>
      </c>
      <c r="H2133" s="35"/>
      <c r="I2133" s="31"/>
      <c r="J2133" s="102">
        <v>0</v>
      </c>
    </row>
    <row r="2134" spans="1:10" ht="15.75" hidden="1" thickBot="1" x14ac:dyDescent="0.3">
      <c r="A2134" s="218" t="s">
        <v>669</v>
      </c>
      <c r="B2134" s="221" t="e">
        <f>INDEX(#REF!,MATCH(Composições!A2134,#REF!,0),2)</f>
        <v>#REF!</v>
      </c>
      <c r="C2134" s="41"/>
      <c r="D2134" s="26" t="s">
        <v>93</v>
      </c>
      <c r="E2134" s="27"/>
      <c r="F2134" s="42" t="s">
        <v>522</v>
      </c>
      <c r="G2134" s="28" t="str">
        <f t="shared" si="34"/>
        <v/>
      </c>
      <c r="H2134" s="29"/>
      <c r="I2134" s="30"/>
      <c r="J2134" s="102">
        <v>0</v>
      </c>
    </row>
    <row r="2135" spans="1:10" hidden="1" x14ac:dyDescent="0.25">
      <c r="A2135" s="219"/>
      <c r="B2135" s="237"/>
      <c r="C2135" s="32"/>
      <c r="D2135" s="32"/>
      <c r="E2135" s="33"/>
      <c r="F2135" s="43" t="s">
        <v>522</v>
      </c>
      <c r="G2135" s="31" t="str">
        <f t="shared" si="34"/>
        <v/>
      </c>
      <c r="H2135" s="35"/>
      <c r="I2135" s="31"/>
      <c r="J2135" s="102">
        <v>0</v>
      </c>
    </row>
    <row r="2136" spans="1:10" hidden="1" x14ac:dyDescent="0.25">
      <c r="A2136" s="219"/>
      <c r="B2136" s="237"/>
      <c r="C2136" s="36" t="s">
        <v>39</v>
      </c>
      <c r="D2136" s="47" t="s">
        <v>12</v>
      </c>
      <c r="E2136" s="37">
        <v>0.29699999999999999</v>
      </c>
      <c r="F2136" s="31">
        <v>20.9</v>
      </c>
      <c r="G2136" s="34">
        <f t="shared" si="34"/>
        <v>6.2072999999999992</v>
      </c>
      <c r="H2136" s="39">
        <f>SUM(G2136:G2138)</f>
        <v>60.778036</v>
      </c>
      <c r="I2136" s="40"/>
      <c r="J2136" s="102">
        <v>0</v>
      </c>
    </row>
    <row r="2137" spans="1:10" ht="25.5" hidden="1" x14ac:dyDescent="0.25">
      <c r="A2137" s="219"/>
      <c r="B2137" s="237"/>
      <c r="C2137" s="36" t="s">
        <v>107</v>
      </c>
      <c r="D2137" s="47" t="s">
        <v>12</v>
      </c>
      <c r="E2137" s="37">
        <v>0.29699999999999999</v>
      </c>
      <c r="F2137" s="31">
        <v>16.672499999999999</v>
      </c>
      <c r="G2137" s="34">
        <f t="shared" si="34"/>
        <v>4.9517324999999994</v>
      </c>
      <c r="H2137" s="35"/>
      <c r="I2137" s="31"/>
      <c r="J2137" s="102">
        <v>0</v>
      </c>
    </row>
    <row r="2138" spans="1:10" ht="25.5" hidden="1" x14ac:dyDescent="0.25">
      <c r="A2138" s="219"/>
      <c r="B2138" s="237"/>
      <c r="C2138" s="36" t="s">
        <v>1909</v>
      </c>
      <c r="D2138" s="47" t="s">
        <v>93</v>
      </c>
      <c r="E2138" s="37">
        <v>1.0389999999999999</v>
      </c>
      <c r="F2138" s="31">
        <v>47.756500000000003</v>
      </c>
      <c r="G2138" s="34">
        <f t="shared" si="34"/>
        <v>49.619003499999998</v>
      </c>
      <c r="H2138" s="35"/>
      <c r="I2138" s="31"/>
      <c r="J2138" s="102">
        <v>0</v>
      </c>
    </row>
    <row r="2139" spans="1:10" ht="15.75" hidden="1" thickBot="1" x14ac:dyDescent="0.3">
      <c r="A2139" s="220"/>
      <c r="B2139" s="223"/>
      <c r="C2139" s="36"/>
      <c r="D2139" s="36"/>
      <c r="E2139" s="37"/>
      <c r="F2139" s="31" t="s">
        <v>522</v>
      </c>
      <c r="G2139" s="31" t="str">
        <f t="shared" si="34"/>
        <v/>
      </c>
      <c r="H2139" s="35"/>
      <c r="I2139" s="31"/>
      <c r="J2139" s="102">
        <v>0</v>
      </c>
    </row>
    <row r="2140" spans="1:10" ht="15.75" hidden="1" thickBot="1" x14ac:dyDescent="0.3">
      <c r="A2140" s="218" t="s">
        <v>670</v>
      </c>
      <c r="B2140" s="221" t="e">
        <f>INDEX(#REF!,MATCH(Composições!A2140,#REF!,0),2)</f>
        <v>#REF!</v>
      </c>
      <c r="C2140" s="41"/>
      <c r="D2140" s="26" t="s">
        <v>93</v>
      </c>
      <c r="E2140" s="27"/>
      <c r="F2140" s="42" t="s">
        <v>522</v>
      </c>
      <c r="G2140" s="28" t="str">
        <f t="shared" si="34"/>
        <v/>
      </c>
      <c r="H2140" s="29"/>
      <c r="I2140" s="30"/>
      <c r="J2140" s="102">
        <v>0</v>
      </c>
    </row>
    <row r="2141" spans="1:10" hidden="1" x14ac:dyDescent="0.25">
      <c r="A2141" s="219"/>
      <c r="B2141" s="237"/>
      <c r="C2141" s="32"/>
      <c r="D2141" s="32"/>
      <c r="E2141" s="33"/>
      <c r="F2141" s="43" t="s">
        <v>522</v>
      </c>
      <c r="G2141" s="31" t="str">
        <f t="shared" si="34"/>
        <v/>
      </c>
      <c r="H2141" s="35"/>
      <c r="I2141" s="31"/>
      <c r="J2141" s="102">
        <v>0</v>
      </c>
    </row>
    <row r="2142" spans="1:10" hidden="1" x14ac:dyDescent="0.25">
      <c r="A2142" s="219"/>
      <c r="B2142" s="237"/>
      <c r="C2142" s="36" t="s">
        <v>39</v>
      </c>
      <c r="D2142" s="47" t="s">
        <v>12</v>
      </c>
      <c r="E2142" s="37">
        <v>0.29699999999999999</v>
      </c>
      <c r="F2142" s="31">
        <v>20.9</v>
      </c>
      <c r="G2142" s="31">
        <f t="shared" si="34"/>
        <v>6.2072999999999992</v>
      </c>
      <c r="H2142" s="39">
        <f>SUM(G2142:G2144)</f>
        <v>55.240685499999984</v>
      </c>
      <c r="I2142" s="40"/>
      <c r="J2142" s="102">
        <v>0</v>
      </c>
    </row>
    <row r="2143" spans="1:10" ht="25.5" hidden="1" x14ac:dyDescent="0.25">
      <c r="A2143" s="219"/>
      <c r="B2143" s="237"/>
      <c r="C2143" s="36" t="s">
        <v>107</v>
      </c>
      <c r="D2143" s="47" t="s">
        <v>12</v>
      </c>
      <c r="E2143" s="37">
        <v>0.29699999999999999</v>
      </c>
      <c r="F2143" s="31">
        <v>16.672499999999999</v>
      </c>
      <c r="G2143" s="31">
        <f t="shared" si="34"/>
        <v>4.9517324999999994</v>
      </c>
      <c r="H2143" s="35"/>
      <c r="I2143" s="31"/>
      <c r="J2143" s="102">
        <v>0</v>
      </c>
    </row>
    <row r="2144" spans="1:10" ht="25.5" hidden="1" x14ac:dyDescent="0.25">
      <c r="A2144" s="219"/>
      <c r="B2144" s="237"/>
      <c r="C2144" s="36" t="s">
        <v>671</v>
      </c>
      <c r="D2144" s="47" t="s">
        <v>93</v>
      </c>
      <c r="E2144" s="37">
        <v>1.0389999999999999</v>
      </c>
      <c r="F2144" s="34">
        <v>42.426999999999992</v>
      </c>
      <c r="G2144" s="31">
        <f t="shared" si="34"/>
        <v>44.081652999999989</v>
      </c>
      <c r="H2144" s="35"/>
      <c r="I2144" s="31"/>
      <c r="J2144" s="102">
        <v>0</v>
      </c>
    </row>
    <row r="2145" spans="1:10" ht="15.75" hidden="1" thickBot="1" x14ac:dyDescent="0.3">
      <c r="A2145" s="220"/>
      <c r="B2145" s="223"/>
      <c r="C2145" s="36"/>
      <c r="D2145" s="36"/>
      <c r="E2145" s="37"/>
      <c r="F2145" s="31" t="s">
        <v>522</v>
      </c>
      <c r="G2145" s="31" t="str">
        <f t="shared" si="34"/>
        <v/>
      </c>
      <c r="H2145" s="35"/>
      <c r="I2145" s="31"/>
      <c r="J2145" s="102">
        <v>0</v>
      </c>
    </row>
    <row r="2146" spans="1:10" ht="15.75" hidden="1" thickBot="1" x14ac:dyDescent="0.3">
      <c r="A2146" s="218" t="s">
        <v>672</v>
      </c>
      <c r="B2146" s="221" t="e">
        <f>INDEX(#REF!,MATCH(Composições!A2146,#REF!,0),2)</f>
        <v>#REF!</v>
      </c>
      <c r="C2146" s="41"/>
      <c r="D2146" s="26" t="s">
        <v>93</v>
      </c>
      <c r="E2146" s="27"/>
      <c r="F2146" s="42" t="s">
        <v>522</v>
      </c>
      <c r="G2146" s="28" t="str">
        <f t="shared" si="34"/>
        <v/>
      </c>
      <c r="H2146" s="29"/>
      <c r="I2146" s="30"/>
      <c r="J2146" s="102">
        <v>0</v>
      </c>
    </row>
    <row r="2147" spans="1:10" hidden="1" x14ac:dyDescent="0.25">
      <c r="A2147" s="219"/>
      <c r="B2147" s="237"/>
      <c r="C2147" s="32"/>
      <c r="D2147" s="32"/>
      <c r="E2147" s="33"/>
      <c r="F2147" s="43" t="s">
        <v>522</v>
      </c>
      <c r="G2147" s="31" t="str">
        <f t="shared" si="34"/>
        <v/>
      </c>
      <c r="H2147" s="35"/>
      <c r="I2147" s="31"/>
      <c r="J2147" s="102">
        <v>0</v>
      </c>
    </row>
    <row r="2148" spans="1:10" ht="25.5" hidden="1" x14ac:dyDescent="0.25">
      <c r="A2148" s="219"/>
      <c r="B2148" s="237"/>
      <c r="C2148" s="36" t="s">
        <v>673</v>
      </c>
      <c r="D2148" s="47" t="s">
        <v>93</v>
      </c>
      <c r="E2148" s="37">
        <v>1.0210999999999999</v>
      </c>
      <c r="F2148" s="34">
        <v>44.203499999999998</v>
      </c>
      <c r="G2148" s="34">
        <f t="shared" si="34"/>
        <v>45.136193849999991</v>
      </c>
      <c r="H2148" s="39">
        <f>SUM(G2148:G2150)</f>
        <v>46.740539599999991</v>
      </c>
      <c r="I2148" s="40"/>
      <c r="J2148" s="102">
        <v>0</v>
      </c>
    </row>
    <row r="2149" spans="1:10" ht="25.5" hidden="1" x14ac:dyDescent="0.25">
      <c r="A2149" s="219"/>
      <c r="B2149" s="237"/>
      <c r="C2149" s="36" t="s">
        <v>107</v>
      </c>
      <c r="D2149" s="47" t="s">
        <v>12</v>
      </c>
      <c r="E2149" s="37">
        <f>0.061*0.7</f>
        <v>4.2699999999999995E-2</v>
      </c>
      <c r="F2149" s="31">
        <v>16.672499999999999</v>
      </c>
      <c r="G2149" s="34">
        <f t="shared" si="34"/>
        <v>0.71191574999999985</v>
      </c>
      <c r="H2149" s="35"/>
      <c r="I2149" s="31"/>
      <c r="J2149" s="102">
        <v>0</v>
      </c>
    </row>
    <row r="2150" spans="1:10" hidden="1" x14ac:dyDescent="0.25">
      <c r="A2150" s="219"/>
      <c r="B2150" s="237"/>
      <c r="C2150" s="36" t="s">
        <v>39</v>
      </c>
      <c r="D2150" s="47" t="s">
        <v>12</v>
      </c>
      <c r="E2150" s="37">
        <f>0.061*0.7</f>
        <v>4.2699999999999995E-2</v>
      </c>
      <c r="F2150" s="31">
        <v>20.9</v>
      </c>
      <c r="G2150" s="34">
        <f t="shared" si="34"/>
        <v>0.89242999999999983</v>
      </c>
      <c r="H2150" s="35"/>
      <c r="I2150" s="31"/>
      <c r="J2150" s="102">
        <v>0</v>
      </c>
    </row>
    <row r="2151" spans="1:10" hidden="1" x14ac:dyDescent="0.25">
      <c r="A2151" s="219"/>
      <c r="B2151" s="237"/>
      <c r="C2151" s="36"/>
      <c r="D2151" s="47"/>
      <c r="E2151" s="37"/>
      <c r="F2151" s="31" t="s">
        <v>522</v>
      </c>
      <c r="G2151" s="34" t="str">
        <f t="shared" si="34"/>
        <v/>
      </c>
      <c r="H2151" s="35"/>
      <c r="I2151" s="31"/>
      <c r="J2151" s="102">
        <v>0</v>
      </c>
    </row>
    <row r="2152" spans="1:10" ht="38.25" hidden="1" x14ac:dyDescent="0.25">
      <c r="A2152" s="219"/>
      <c r="B2152" s="237"/>
      <c r="C2152" s="52" t="s">
        <v>643</v>
      </c>
      <c r="D2152" s="47"/>
      <c r="E2152" s="37"/>
      <c r="F2152" s="31" t="s">
        <v>522</v>
      </c>
      <c r="G2152" s="34" t="str">
        <f t="shared" si="34"/>
        <v/>
      </c>
      <c r="H2152" s="35"/>
      <c r="I2152" s="31"/>
      <c r="J2152" s="102">
        <v>0</v>
      </c>
    </row>
    <row r="2153" spans="1:10" ht="15.75" hidden="1" thickBot="1" x14ac:dyDescent="0.3">
      <c r="A2153" s="220"/>
      <c r="B2153" s="223"/>
      <c r="C2153" s="36"/>
      <c r="D2153" s="36"/>
      <c r="E2153" s="37"/>
      <c r="F2153" s="31" t="s">
        <v>522</v>
      </c>
      <c r="G2153" s="31" t="str">
        <f t="shared" si="34"/>
        <v/>
      </c>
      <c r="H2153" s="35"/>
      <c r="I2153" s="31"/>
      <c r="J2153" s="102">
        <v>0</v>
      </c>
    </row>
    <row r="2154" spans="1:10" ht="15.75" hidden="1" thickBot="1" x14ac:dyDescent="0.3">
      <c r="A2154" s="218" t="s">
        <v>674</v>
      </c>
      <c r="B2154" s="221" t="e">
        <f>INDEX(#REF!,MATCH(Composições!A2154,#REF!,0),2)</f>
        <v>#REF!</v>
      </c>
      <c r="C2154" s="41"/>
      <c r="D2154" s="26" t="s">
        <v>93</v>
      </c>
      <c r="E2154" s="27"/>
      <c r="F2154" s="42" t="s">
        <v>522</v>
      </c>
      <c r="G2154" s="28" t="str">
        <f t="shared" si="34"/>
        <v/>
      </c>
      <c r="H2154" s="29"/>
      <c r="I2154" s="30"/>
      <c r="J2154" s="102">
        <v>0</v>
      </c>
    </row>
    <row r="2155" spans="1:10" hidden="1" x14ac:dyDescent="0.25">
      <c r="A2155" s="219"/>
      <c r="B2155" s="237"/>
      <c r="C2155" s="32"/>
      <c r="D2155" s="32"/>
      <c r="E2155" s="33"/>
      <c r="F2155" s="43" t="s">
        <v>522</v>
      </c>
      <c r="G2155" s="31" t="str">
        <f t="shared" si="34"/>
        <v/>
      </c>
      <c r="H2155" s="35"/>
      <c r="I2155" s="31"/>
      <c r="J2155" s="102">
        <v>0</v>
      </c>
    </row>
    <row r="2156" spans="1:10" ht="25.5" hidden="1" x14ac:dyDescent="0.25">
      <c r="A2156" s="219"/>
      <c r="B2156" s="237"/>
      <c r="C2156" s="36" t="s">
        <v>675</v>
      </c>
      <c r="D2156" s="47" t="s">
        <v>93</v>
      </c>
      <c r="E2156" s="37">
        <v>1.0210999999999999</v>
      </c>
      <c r="F2156" s="34">
        <v>21.184999999999999</v>
      </c>
      <c r="G2156" s="34">
        <f t="shared" si="34"/>
        <v>21.632003499999996</v>
      </c>
      <c r="H2156" s="39">
        <f>SUM(G2156:G2158)</f>
        <v>22.999642499999997</v>
      </c>
      <c r="I2156" s="40"/>
      <c r="J2156" s="102">
        <v>0</v>
      </c>
    </row>
    <row r="2157" spans="1:10" ht="25.5" hidden="1" x14ac:dyDescent="0.25">
      <c r="A2157" s="219"/>
      <c r="B2157" s="237"/>
      <c r="C2157" s="36" t="s">
        <v>107</v>
      </c>
      <c r="D2157" s="47" t="s">
        <v>12</v>
      </c>
      <c r="E2157" s="37">
        <f>0.052*0.7</f>
        <v>3.6399999999999995E-2</v>
      </c>
      <c r="F2157" s="31">
        <v>16.672499999999999</v>
      </c>
      <c r="G2157" s="34">
        <f t="shared" si="34"/>
        <v>0.60687899999999995</v>
      </c>
      <c r="H2157" s="35"/>
      <c r="I2157" s="31"/>
      <c r="J2157" s="102">
        <v>0</v>
      </c>
    </row>
    <row r="2158" spans="1:10" hidden="1" x14ac:dyDescent="0.25">
      <c r="A2158" s="219"/>
      <c r="B2158" s="237"/>
      <c r="C2158" s="36" t="s">
        <v>39</v>
      </c>
      <c r="D2158" s="47" t="s">
        <v>12</v>
      </c>
      <c r="E2158" s="37">
        <f>0.052*0.7</f>
        <v>3.6399999999999995E-2</v>
      </c>
      <c r="F2158" s="31">
        <v>20.9</v>
      </c>
      <c r="G2158" s="34">
        <f t="shared" si="34"/>
        <v>0.76075999999999988</v>
      </c>
      <c r="H2158" s="35"/>
      <c r="I2158" s="31"/>
      <c r="J2158" s="102">
        <v>0</v>
      </c>
    </row>
    <row r="2159" spans="1:10" hidden="1" x14ac:dyDescent="0.25">
      <c r="A2159" s="219"/>
      <c r="B2159" s="237"/>
      <c r="C2159" s="36"/>
      <c r="D2159" s="47"/>
      <c r="E2159" s="37"/>
      <c r="F2159" s="34" t="s">
        <v>522</v>
      </c>
      <c r="G2159" s="34" t="str">
        <f t="shared" si="34"/>
        <v/>
      </c>
      <c r="H2159" s="35"/>
      <c r="I2159" s="31"/>
      <c r="J2159" s="102">
        <v>0</v>
      </c>
    </row>
    <row r="2160" spans="1:10" ht="38.25" hidden="1" x14ac:dyDescent="0.25">
      <c r="A2160" s="219"/>
      <c r="B2160" s="237"/>
      <c r="C2160" s="52" t="s">
        <v>643</v>
      </c>
      <c r="D2160" s="47"/>
      <c r="E2160" s="37"/>
      <c r="F2160" s="34" t="s">
        <v>522</v>
      </c>
      <c r="G2160" s="34" t="str">
        <f t="shared" si="34"/>
        <v/>
      </c>
      <c r="H2160" s="35"/>
      <c r="I2160" s="31"/>
      <c r="J2160" s="102">
        <v>0</v>
      </c>
    </row>
    <row r="2161" spans="1:10" ht="15.75" hidden="1" thickBot="1" x14ac:dyDescent="0.3">
      <c r="A2161" s="220"/>
      <c r="B2161" s="223"/>
      <c r="C2161" s="36"/>
      <c r="D2161" s="36"/>
      <c r="E2161" s="37"/>
      <c r="F2161" s="31" t="s">
        <v>522</v>
      </c>
      <c r="G2161" s="31" t="str">
        <f t="shared" si="34"/>
        <v/>
      </c>
      <c r="H2161" s="35"/>
      <c r="I2161" s="31"/>
      <c r="J2161" s="102">
        <v>0</v>
      </c>
    </row>
    <row r="2162" spans="1:10" ht="15.75" hidden="1" thickBot="1" x14ac:dyDescent="0.3">
      <c r="A2162" s="218" t="s">
        <v>676</v>
      </c>
      <c r="B2162" s="221" t="e">
        <f>INDEX(#REF!,MATCH(Composições!A2162,#REF!,0),2)</f>
        <v>#REF!</v>
      </c>
      <c r="C2162" s="41"/>
      <c r="D2162" s="26" t="s">
        <v>93</v>
      </c>
      <c r="E2162" s="27"/>
      <c r="F2162" s="42" t="s">
        <v>522</v>
      </c>
      <c r="G2162" s="28" t="str">
        <f t="shared" si="34"/>
        <v/>
      </c>
      <c r="H2162" s="29"/>
      <c r="I2162" s="30"/>
      <c r="J2162" s="102">
        <v>0</v>
      </c>
    </row>
    <row r="2163" spans="1:10" hidden="1" x14ac:dyDescent="0.25">
      <c r="A2163" s="219"/>
      <c r="B2163" s="237"/>
      <c r="C2163" s="32"/>
      <c r="D2163" s="32"/>
      <c r="E2163" s="33"/>
      <c r="F2163" s="43" t="s">
        <v>522</v>
      </c>
      <c r="G2163" s="31" t="str">
        <f t="shared" si="34"/>
        <v/>
      </c>
      <c r="H2163" s="35"/>
      <c r="I2163" s="31"/>
      <c r="J2163" s="102">
        <v>0</v>
      </c>
    </row>
    <row r="2164" spans="1:10" ht="25.5" hidden="1" x14ac:dyDescent="0.25">
      <c r="A2164" s="219"/>
      <c r="B2164" s="237"/>
      <c r="C2164" s="36" t="s">
        <v>677</v>
      </c>
      <c r="D2164" s="47" t="s">
        <v>93</v>
      </c>
      <c r="E2164" s="37">
        <v>1.0210999999999999</v>
      </c>
      <c r="F2164" s="34">
        <v>66.5</v>
      </c>
      <c r="G2164" s="34">
        <f t="shared" si="34"/>
        <v>67.903149999999997</v>
      </c>
      <c r="H2164" s="39">
        <f>SUM(G2164:G2166)</f>
        <v>69.586397999999988</v>
      </c>
      <c r="I2164" s="40"/>
      <c r="J2164" s="102">
        <v>0</v>
      </c>
    </row>
    <row r="2165" spans="1:10" ht="25.5" hidden="1" x14ac:dyDescent="0.25">
      <c r="A2165" s="219"/>
      <c r="B2165" s="237"/>
      <c r="C2165" s="36" t="s">
        <v>107</v>
      </c>
      <c r="D2165" s="47" t="s">
        <v>12</v>
      </c>
      <c r="E2165" s="37">
        <f>0.064*0.7</f>
        <v>4.48E-2</v>
      </c>
      <c r="F2165" s="31">
        <v>16.672499999999999</v>
      </c>
      <c r="G2165" s="34">
        <f t="shared" si="34"/>
        <v>0.74692799999999993</v>
      </c>
      <c r="H2165" s="35"/>
      <c r="I2165" s="31"/>
      <c r="J2165" s="102">
        <v>0</v>
      </c>
    </row>
    <row r="2166" spans="1:10" hidden="1" x14ac:dyDescent="0.25">
      <c r="A2166" s="219"/>
      <c r="B2166" s="237"/>
      <c r="C2166" s="36" t="s">
        <v>39</v>
      </c>
      <c r="D2166" s="47" t="s">
        <v>12</v>
      </c>
      <c r="E2166" s="37">
        <f>0.064*0.7</f>
        <v>4.48E-2</v>
      </c>
      <c r="F2166" s="31">
        <v>20.9</v>
      </c>
      <c r="G2166" s="34">
        <f t="shared" si="34"/>
        <v>0.93631999999999993</v>
      </c>
      <c r="H2166" s="35"/>
      <c r="I2166" s="31"/>
      <c r="J2166" s="102">
        <v>0</v>
      </c>
    </row>
    <row r="2167" spans="1:10" hidden="1" x14ac:dyDescent="0.25">
      <c r="A2167" s="219"/>
      <c r="B2167" s="237"/>
      <c r="C2167" s="36"/>
      <c r="D2167" s="47"/>
      <c r="E2167" s="37"/>
      <c r="F2167" s="34" t="s">
        <v>522</v>
      </c>
      <c r="G2167" s="34" t="str">
        <f t="shared" si="34"/>
        <v/>
      </c>
      <c r="H2167" s="35"/>
      <c r="I2167" s="31"/>
      <c r="J2167" s="102">
        <v>0</v>
      </c>
    </row>
    <row r="2168" spans="1:10" ht="38.25" hidden="1" x14ac:dyDescent="0.25">
      <c r="A2168" s="219"/>
      <c r="B2168" s="237"/>
      <c r="C2168" s="52" t="s">
        <v>643</v>
      </c>
      <c r="D2168" s="47"/>
      <c r="E2168" s="37"/>
      <c r="F2168" s="34" t="s">
        <v>522</v>
      </c>
      <c r="G2168" s="34" t="str">
        <f t="shared" si="34"/>
        <v/>
      </c>
      <c r="H2168" s="35"/>
      <c r="I2168" s="31"/>
      <c r="J2168" s="102">
        <v>0</v>
      </c>
    </row>
    <row r="2169" spans="1:10" ht="15.75" hidden="1" thickBot="1" x14ac:dyDescent="0.3">
      <c r="A2169" s="220"/>
      <c r="B2169" s="223"/>
      <c r="C2169" s="36"/>
      <c r="D2169" s="36"/>
      <c r="E2169" s="37"/>
      <c r="F2169" s="31" t="s">
        <v>522</v>
      </c>
      <c r="G2169" s="31" t="str">
        <f t="shared" si="34"/>
        <v/>
      </c>
      <c r="H2169" s="35"/>
      <c r="I2169" s="31"/>
      <c r="J2169" s="102">
        <v>0</v>
      </c>
    </row>
    <row r="2170" spans="1:10" ht="15.75" hidden="1" thickBot="1" x14ac:dyDescent="0.3">
      <c r="A2170" s="218" t="s">
        <v>678</v>
      </c>
      <c r="B2170" s="221" t="e">
        <f>INDEX(#REF!,MATCH(Composições!A2170,#REF!,0),2)</f>
        <v>#REF!</v>
      </c>
      <c r="C2170" s="41"/>
      <c r="D2170" s="26" t="s">
        <v>93</v>
      </c>
      <c r="E2170" s="27"/>
      <c r="F2170" s="42" t="s">
        <v>522</v>
      </c>
      <c r="G2170" s="28" t="str">
        <f t="shared" si="34"/>
        <v/>
      </c>
      <c r="H2170" s="29"/>
      <c r="I2170" s="30"/>
      <c r="J2170" s="102">
        <v>0</v>
      </c>
    </row>
    <row r="2171" spans="1:10" hidden="1" x14ac:dyDescent="0.25">
      <c r="A2171" s="219"/>
      <c r="B2171" s="237"/>
      <c r="C2171" s="32"/>
      <c r="D2171" s="32"/>
      <c r="E2171" s="33"/>
      <c r="F2171" s="43" t="s">
        <v>522</v>
      </c>
      <c r="G2171" s="31" t="str">
        <f t="shared" si="34"/>
        <v/>
      </c>
      <c r="H2171" s="35"/>
      <c r="I2171" s="31"/>
      <c r="J2171" s="102">
        <v>0</v>
      </c>
    </row>
    <row r="2172" spans="1:10" ht="25.5" hidden="1" x14ac:dyDescent="0.25">
      <c r="A2172" s="219"/>
      <c r="B2172" s="237"/>
      <c r="C2172" s="36" t="s">
        <v>679</v>
      </c>
      <c r="D2172" s="47" t="s">
        <v>93</v>
      </c>
      <c r="E2172" s="37">
        <v>1.0210999999999999</v>
      </c>
      <c r="F2172" s="34">
        <v>32.594500000000004</v>
      </c>
      <c r="G2172" s="34">
        <f t="shared" si="34"/>
        <v>33.282243950000002</v>
      </c>
      <c r="H2172" s="39">
        <f>SUM(G2172:G2174)</f>
        <v>34.781386700000006</v>
      </c>
      <c r="I2172" s="40"/>
      <c r="J2172" s="102">
        <v>0</v>
      </c>
    </row>
    <row r="2173" spans="1:10" ht="25.5" hidden="1" x14ac:dyDescent="0.25">
      <c r="A2173" s="219"/>
      <c r="B2173" s="237"/>
      <c r="C2173" s="36" t="s">
        <v>107</v>
      </c>
      <c r="D2173" s="47" t="s">
        <v>12</v>
      </c>
      <c r="E2173" s="37">
        <f>0.057*0.7</f>
        <v>3.9899999999999998E-2</v>
      </c>
      <c r="F2173" s="31">
        <v>16.672499999999999</v>
      </c>
      <c r="G2173" s="34">
        <f t="shared" si="34"/>
        <v>0.66523274999999993</v>
      </c>
      <c r="H2173" s="35"/>
      <c r="I2173" s="31"/>
      <c r="J2173" s="102">
        <v>0</v>
      </c>
    </row>
    <row r="2174" spans="1:10" hidden="1" x14ac:dyDescent="0.25">
      <c r="A2174" s="219"/>
      <c r="B2174" s="237"/>
      <c r="C2174" s="36" t="s">
        <v>39</v>
      </c>
      <c r="D2174" s="47" t="s">
        <v>12</v>
      </c>
      <c r="E2174" s="37">
        <f>0.057*0.7</f>
        <v>3.9899999999999998E-2</v>
      </c>
      <c r="F2174" s="31">
        <v>20.9</v>
      </c>
      <c r="G2174" s="34">
        <f t="shared" si="34"/>
        <v>0.83390999999999993</v>
      </c>
      <c r="H2174" s="35"/>
      <c r="I2174" s="31"/>
      <c r="J2174" s="102">
        <v>0</v>
      </c>
    </row>
    <row r="2175" spans="1:10" hidden="1" x14ac:dyDescent="0.25">
      <c r="A2175" s="219"/>
      <c r="B2175" s="237"/>
      <c r="C2175" s="36"/>
      <c r="D2175" s="47"/>
      <c r="E2175" s="37"/>
      <c r="F2175" s="34" t="s">
        <v>522</v>
      </c>
      <c r="G2175" s="34" t="str">
        <f t="shared" si="34"/>
        <v/>
      </c>
      <c r="H2175" s="35"/>
      <c r="I2175" s="31"/>
      <c r="J2175" s="102">
        <v>0</v>
      </c>
    </row>
    <row r="2176" spans="1:10" ht="38.25" hidden="1" x14ac:dyDescent="0.25">
      <c r="A2176" s="219"/>
      <c r="B2176" s="237"/>
      <c r="C2176" s="52" t="s">
        <v>643</v>
      </c>
      <c r="D2176" s="47"/>
      <c r="E2176" s="37"/>
      <c r="F2176" s="34" t="s">
        <v>522</v>
      </c>
      <c r="G2176" s="34" t="str">
        <f t="shared" si="34"/>
        <v/>
      </c>
      <c r="H2176" s="35"/>
      <c r="I2176" s="31"/>
      <c r="J2176" s="102">
        <v>0</v>
      </c>
    </row>
    <row r="2177" spans="1:10" ht="15.75" hidden="1" thickBot="1" x14ac:dyDescent="0.3">
      <c r="A2177" s="220"/>
      <c r="B2177" s="223"/>
      <c r="C2177" s="36"/>
      <c r="D2177" s="36"/>
      <c r="E2177" s="37"/>
      <c r="F2177" s="31" t="s">
        <v>522</v>
      </c>
      <c r="G2177" s="31" t="str">
        <f t="shared" si="34"/>
        <v/>
      </c>
      <c r="H2177" s="35"/>
      <c r="I2177" s="31"/>
      <c r="J2177" s="102">
        <v>0</v>
      </c>
    </row>
    <row r="2178" spans="1:10" ht="15.75" hidden="1" thickBot="1" x14ac:dyDescent="0.3">
      <c r="A2178" s="218" t="s">
        <v>680</v>
      </c>
      <c r="B2178" s="221" t="e">
        <f>INDEX(#REF!,MATCH(Composições!A2178,#REF!,0),2)</f>
        <v>#REF!</v>
      </c>
      <c r="C2178" s="41"/>
      <c r="D2178" s="26" t="s">
        <v>93</v>
      </c>
      <c r="E2178" s="27"/>
      <c r="F2178" s="42" t="s">
        <v>522</v>
      </c>
      <c r="G2178" s="28" t="str">
        <f t="shared" si="34"/>
        <v/>
      </c>
      <c r="H2178" s="29"/>
      <c r="I2178" s="30"/>
      <c r="J2178" s="102">
        <v>0</v>
      </c>
    </row>
    <row r="2179" spans="1:10" hidden="1" x14ac:dyDescent="0.25">
      <c r="A2179" s="219"/>
      <c r="B2179" s="237"/>
      <c r="C2179" s="32"/>
      <c r="D2179" s="32"/>
      <c r="E2179" s="33"/>
      <c r="F2179" s="43" t="s">
        <v>522</v>
      </c>
      <c r="G2179" s="31" t="str">
        <f t="shared" si="34"/>
        <v/>
      </c>
      <c r="H2179" s="35"/>
      <c r="I2179" s="31"/>
      <c r="J2179" s="102">
        <v>0</v>
      </c>
    </row>
    <row r="2180" spans="1:10" ht="25.5" hidden="1" x14ac:dyDescent="0.25">
      <c r="A2180" s="219"/>
      <c r="B2180" s="237"/>
      <c r="C2180" s="36" t="s">
        <v>681</v>
      </c>
      <c r="D2180" s="47" t="s">
        <v>93</v>
      </c>
      <c r="E2180" s="37">
        <v>1.0210999999999999</v>
      </c>
      <c r="F2180" s="34">
        <v>54.985999999999997</v>
      </c>
      <c r="G2180" s="34">
        <f t="shared" si="34"/>
        <v>56.14620459999999</v>
      </c>
      <c r="H2180" s="39">
        <f>SUM(G2180:G2182)</f>
        <v>57.829452599999989</v>
      </c>
      <c r="I2180" s="40"/>
      <c r="J2180" s="102">
        <v>0</v>
      </c>
    </row>
    <row r="2181" spans="1:10" ht="25.5" hidden="1" x14ac:dyDescent="0.25">
      <c r="A2181" s="219"/>
      <c r="B2181" s="237"/>
      <c r="C2181" s="36" t="s">
        <v>107</v>
      </c>
      <c r="D2181" s="47" t="s">
        <v>12</v>
      </c>
      <c r="E2181" s="37">
        <f>0.064*0.7</f>
        <v>4.48E-2</v>
      </c>
      <c r="F2181" s="31">
        <v>16.672499999999999</v>
      </c>
      <c r="G2181" s="34">
        <f t="shared" si="34"/>
        <v>0.74692799999999993</v>
      </c>
      <c r="H2181" s="35"/>
      <c r="I2181" s="31"/>
      <c r="J2181" s="102">
        <v>0</v>
      </c>
    </row>
    <row r="2182" spans="1:10" hidden="1" x14ac:dyDescent="0.25">
      <c r="A2182" s="219"/>
      <c r="B2182" s="237"/>
      <c r="C2182" s="36" t="s">
        <v>39</v>
      </c>
      <c r="D2182" s="47" t="s">
        <v>12</v>
      </c>
      <c r="E2182" s="37">
        <f>0.064*0.7</f>
        <v>4.48E-2</v>
      </c>
      <c r="F2182" s="31">
        <v>20.9</v>
      </c>
      <c r="G2182" s="34">
        <f t="shared" si="34"/>
        <v>0.93631999999999993</v>
      </c>
      <c r="H2182" s="35"/>
      <c r="I2182" s="31"/>
      <c r="J2182" s="102">
        <v>0</v>
      </c>
    </row>
    <row r="2183" spans="1:10" hidden="1" x14ac:dyDescent="0.25">
      <c r="A2183" s="219"/>
      <c r="B2183" s="237"/>
      <c r="C2183" s="36"/>
      <c r="D2183" s="47"/>
      <c r="E2183" s="37"/>
      <c r="F2183" s="34" t="s">
        <v>522</v>
      </c>
      <c r="G2183" s="34" t="str">
        <f t="shared" si="34"/>
        <v/>
      </c>
      <c r="H2183" s="35"/>
      <c r="I2183" s="31"/>
      <c r="J2183" s="102">
        <v>0</v>
      </c>
    </row>
    <row r="2184" spans="1:10" ht="38.25" hidden="1" x14ac:dyDescent="0.25">
      <c r="A2184" s="219"/>
      <c r="B2184" s="237"/>
      <c r="C2184" s="52" t="s">
        <v>643</v>
      </c>
      <c r="D2184" s="47"/>
      <c r="E2184" s="37"/>
      <c r="F2184" s="34" t="s">
        <v>522</v>
      </c>
      <c r="G2184" s="34" t="str">
        <f t="shared" si="34"/>
        <v/>
      </c>
      <c r="H2184" s="35"/>
      <c r="I2184" s="31"/>
      <c r="J2184" s="102">
        <v>0</v>
      </c>
    </row>
    <row r="2185" spans="1:10" ht="15.75" hidden="1" thickBot="1" x14ac:dyDescent="0.3">
      <c r="A2185" s="220"/>
      <c r="B2185" s="223"/>
      <c r="C2185" s="36"/>
      <c r="D2185" s="36"/>
      <c r="E2185" s="37"/>
      <c r="F2185" s="31" t="s">
        <v>522</v>
      </c>
      <c r="G2185" s="31" t="str">
        <f t="shared" si="34"/>
        <v/>
      </c>
      <c r="H2185" s="35"/>
      <c r="I2185" s="31"/>
      <c r="J2185" s="102">
        <v>0</v>
      </c>
    </row>
    <row r="2186" spans="1:10" ht="15.75" hidden="1" thickBot="1" x14ac:dyDescent="0.3">
      <c r="A2186" s="218" t="s">
        <v>682</v>
      </c>
      <c r="B2186" s="221" t="e">
        <f>INDEX(#REF!,MATCH(Composições!A2186,#REF!,0),2)</f>
        <v>#REF!</v>
      </c>
      <c r="C2186" s="41"/>
      <c r="D2186" s="26" t="s">
        <v>93</v>
      </c>
      <c r="E2186" s="27"/>
      <c r="F2186" s="42" t="s">
        <v>522</v>
      </c>
      <c r="G2186" s="28" t="str">
        <f t="shared" si="34"/>
        <v/>
      </c>
      <c r="H2186" s="29"/>
      <c r="I2186" s="30"/>
      <c r="J2186" s="102">
        <v>0</v>
      </c>
    </row>
    <row r="2187" spans="1:10" hidden="1" x14ac:dyDescent="0.25">
      <c r="A2187" s="219"/>
      <c r="B2187" s="237"/>
      <c r="C2187" s="32"/>
      <c r="D2187" s="32"/>
      <c r="E2187" s="33"/>
      <c r="F2187" s="43" t="s">
        <v>522</v>
      </c>
      <c r="G2187" s="31" t="str">
        <f t="shared" si="34"/>
        <v/>
      </c>
      <c r="H2187" s="35"/>
      <c r="I2187" s="31"/>
      <c r="J2187" s="102">
        <v>0</v>
      </c>
    </row>
    <row r="2188" spans="1:10" ht="25.5" hidden="1" x14ac:dyDescent="0.25">
      <c r="A2188" s="219"/>
      <c r="B2188" s="237"/>
      <c r="C2188" s="36" t="s">
        <v>683</v>
      </c>
      <c r="D2188" s="47" t="s">
        <v>93</v>
      </c>
      <c r="E2188" s="37">
        <v>1.0210999999999999</v>
      </c>
      <c r="F2188" s="34">
        <v>0.95</v>
      </c>
      <c r="G2188" s="34">
        <f t="shared" si="34"/>
        <v>0.97004499999999982</v>
      </c>
      <c r="H2188" s="39">
        <f>SUM(G2188:G2190)</f>
        <v>2.6532929999999997</v>
      </c>
      <c r="I2188" s="40"/>
      <c r="J2188" s="102">
        <v>0</v>
      </c>
    </row>
    <row r="2189" spans="1:10" ht="25.5" hidden="1" x14ac:dyDescent="0.25">
      <c r="A2189" s="219"/>
      <c r="B2189" s="237"/>
      <c r="C2189" s="36" t="s">
        <v>107</v>
      </c>
      <c r="D2189" s="47" t="s">
        <v>12</v>
      </c>
      <c r="E2189" s="37">
        <f>0.064*0.7</f>
        <v>4.48E-2</v>
      </c>
      <c r="F2189" s="31">
        <v>16.672499999999999</v>
      </c>
      <c r="G2189" s="34">
        <f t="shared" si="34"/>
        <v>0.74692799999999993</v>
      </c>
      <c r="H2189" s="35"/>
      <c r="I2189" s="31"/>
      <c r="J2189" s="102">
        <v>0</v>
      </c>
    </row>
    <row r="2190" spans="1:10" hidden="1" x14ac:dyDescent="0.25">
      <c r="A2190" s="219"/>
      <c r="B2190" s="237"/>
      <c r="C2190" s="36" t="s">
        <v>39</v>
      </c>
      <c r="D2190" s="47" t="s">
        <v>12</v>
      </c>
      <c r="E2190" s="37">
        <f>0.064*0.7</f>
        <v>4.48E-2</v>
      </c>
      <c r="F2190" s="31">
        <v>20.9</v>
      </c>
      <c r="G2190" s="34">
        <f t="shared" si="34"/>
        <v>0.93631999999999993</v>
      </c>
      <c r="H2190" s="35"/>
      <c r="I2190" s="31"/>
      <c r="J2190" s="102">
        <v>0</v>
      </c>
    </row>
    <row r="2191" spans="1:10" hidden="1" x14ac:dyDescent="0.25">
      <c r="A2191" s="219"/>
      <c r="B2191" s="237"/>
      <c r="C2191" s="36"/>
      <c r="D2191" s="47"/>
      <c r="E2191" s="37"/>
      <c r="F2191" s="34" t="s">
        <v>522</v>
      </c>
      <c r="G2191" s="34" t="str">
        <f t="shared" si="34"/>
        <v/>
      </c>
      <c r="H2191" s="35"/>
      <c r="I2191" s="31"/>
      <c r="J2191" s="102">
        <v>0</v>
      </c>
    </row>
    <row r="2192" spans="1:10" ht="38.25" hidden="1" x14ac:dyDescent="0.25">
      <c r="A2192" s="219"/>
      <c r="B2192" s="237"/>
      <c r="C2192" s="52" t="s">
        <v>643</v>
      </c>
      <c r="D2192" s="47"/>
      <c r="E2192" s="37"/>
      <c r="F2192" s="34" t="s">
        <v>522</v>
      </c>
      <c r="G2192" s="34" t="str">
        <f t="shared" si="34"/>
        <v/>
      </c>
      <c r="H2192" s="35"/>
      <c r="I2192" s="31"/>
      <c r="J2192" s="102">
        <v>0</v>
      </c>
    </row>
    <row r="2193" spans="1:10" ht="15.75" hidden="1" thickBot="1" x14ac:dyDescent="0.3">
      <c r="A2193" s="220"/>
      <c r="B2193" s="223"/>
      <c r="C2193" s="36"/>
      <c r="D2193" s="36"/>
      <c r="E2193" s="37"/>
      <c r="F2193" s="31" t="s">
        <v>522</v>
      </c>
      <c r="G2193" s="31" t="str">
        <f t="shared" si="34"/>
        <v/>
      </c>
      <c r="H2193" s="35"/>
      <c r="I2193" s="31"/>
      <c r="J2193" s="102">
        <v>0</v>
      </c>
    </row>
    <row r="2194" spans="1:10" ht="15.75" hidden="1" thickBot="1" x14ac:dyDescent="0.3">
      <c r="A2194" s="218" t="s">
        <v>684</v>
      </c>
      <c r="B2194" s="221" t="e">
        <f>INDEX(#REF!,MATCH(Composições!A2194,#REF!,0),2)</f>
        <v>#REF!</v>
      </c>
      <c r="C2194" s="41"/>
      <c r="D2194" s="26" t="s">
        <v>93</v>
      </c>
      <c r="E2194" s="27"/>
      <c r="F2194" s="42" t="s">
        <v>522</v>
      </c>
      <c r="G2194" s="28" t="str">
        <f t="shared" ref="G2194:G2251" si="35">IF(ISNUMBER(F2194),E2194*F2194,"")</f>
        <v/>
      </c>
      <c r="H2194" s="29"/>
      <c r="I2194" s="30"/>
      <c r="J2194" s="102">
        <v>0</v>
      </c>
    </row>
    <row r="2195" spans="1:10" hidden="1" x14ac:dyDescent="0.25">
      <c r="A2195" s="219"/>
      <c r="B2195" s="237"/>
      <c r="C2195" s="32"/>
      <c r="D2195" s="32"/>
      <c r="E2195" s="33"/>
      <c r="F2195" s="43" t="s">
        <v>522</v>
      </c>
      <c r="G2195" s="31" t="str">
        <f t="shared" si="35"/>
        <v/>
      </c>
      <c r="H2195" s="35"/>
      <c r="I2195" s="31"/>
      <c r="J2195" s="102">
        <v>0</v>
      </c>
    </row>
    <row r="2196" spans="1:10" ht="25.5" hidden="1" x14ac:dyDescent="0.25">
      <c r="A2196" s="219"/>
      <c r="B2196" s="237"/>
      <c r="C2196" s="36" t="s">
        <v>685</v>
      </c>
      <c r="D2196" s="47" t="s">
        <v>93</v>
      </c>
      <c r="E2196" s="37">
        <v>1.0210999999999999</v>
      </c>
      <c r="F2196" s="34">
        <v>0.95</v>
      </c>
      <c r="G2196" s="34">
        <f t="shared" si="35"/>
        <v>0.97004499999999982</v>
      </c>
      <c r="H2196" s="39">
        <f>SUM(G2196:G2198)</f>
        <v>2.6532929999999997</v>
      </c>
      <c r="I2196" s="40"/>
      <c r="J2196" s="102">
        <v>0</v>
      </c>
    </row>
    <row r="2197" spans="1:10" ht="25.5" hidden="1" x14ac:dyDescent="0.25">
      <c r="A2197" s="219"/>
      <c r="B2197" s="237"/>
      <c r="C2197" s="36" t="s">
        <v>107</v>
      </c>
      <c r="D2197" s="47" t="s">
        <v>12</v>
      </c>
      <c r="E2197" s="37">
        <f>0.064*0.7</f>
        <v>4.48E-2</v>
      </c>
      <c r="F2197" s="31">
        <v>16.672499999999999</v>
      </c>
      <c r="G2197" s="34">
        <f t="shared" si="35"/>
        <v>0.74692799999999993</v>
      </c>
      <c r="H2197" s="35"/>
      <c r="I2197" s="31"/>
      <c r="J2197" s="102">
        <v>0</v>
      </c>
    </row>
    <row r="2198" spans="1:10" hidden="1" x14ac:dyDescent="0.25">
      <c r="A2198" s="219"/>
      <c r="B2198" s="237"/>
      <c r="C2198" s="36" t="s">
        <v>39</v>
      </c>
      <c r="D2198" s="47" t="s">
        <v>12</v>
      </c>
      <c r="E2198" s="37">
        <f>0.064*0.7</f>
        <v>4.48E-2</v>
      </c>
      <c r="F2198" s="31">
        <v>20.9</v>
      </c>
      <c r="G2198" s="34">
        <f t="shared" si="35"/>
        <v>0.93631999999999993</v>
      </c>
      <c r="H2198" s="35"/>
      <c r="I2198" s="31"/>
      <c r="J2198" s="102">
        <v>0</v>
      </c>
    </row>
    <row r="2199" spans="1:10" hidden="1" x14ac:dyDescent="0.25">
      <c r="A2199" s="219"/>
      <c r="B2199" s="237"/>
      <c r="C2199" s="36"/>
      <c r="D2199" s="47"/>
      <c r="E2199" s="37"/>
      <c r="F2199" s="34" t="s">
        <v>522</v>
      </c>
      <c r="G2199" s="34" t="str">
        <f t="shared" si="35"/>
        <v/>
      </c>
      <c r="H2199" s="35"/>
      <c r="I2199" s="31"/>
      <c r="J2199" s="102">
        <v>0</v>
      </c>
    </row>
    <row r="2200" spans="1:10" ht="38.25" hidden="1" x14ac:dyDescent="0.25">
      <c r="A2200" s="219"/>
      <c r="B2200" s="237"/>
      <c r="C2200" s="52" t="s">
        <v>643</v>
      </c>
      <c r="D2200" s="47"/>
      <c r="E2200" s="37"/>
      <c r="F2200" s="34" t="s">
        <v>522</v>
      </c>
      <c r="G2200" s="34" t="str">
        <f t="shared" si="35"/>
        <v/>
      </c>
      <c r="H2200" s="35"/>
      <c r="I2200" s="31"/>
      <c r="J2200" s="102">
        <v>0</v>
      </c>
    </row>
    <row r="2201" spans="1:10" ht="15.75" hidden="1" thickBot="1" x14ac:dyDescent="0.3">
      <c r="A2201" s="220"/>
      <c r="B2201" s="223"/>
      <c r="C2201" s="36"/>
      <c r="D2201" s="36"/>
      <c r="E2201" s="37"/>
      <c r="F2201" s="31" t="s">
        <v>522</v>
      </c>
      <c r="G2201" s="31" t="str">
        <f t="shared" si="35"/>
        <v/>
      </c>
      <c r="H2201" s="35"/>
      <c r="I2201" s="31"/>
      <c r="J2201" s="102">
        <v>0</v>
      </c>
    </row>
    <row r="2202" spans="1:10" ht="15.75" hidden="1" thickBot="1" x14ac:dyDescent="0.3">
      <c r="A2202" s="218" t="s">
        <v>686</v>
      </c>
      <c r="B2202" s="221" t="e">
        <f>INDEX(#REF!,MATCH(Composições!A2202,#REF!,0),2)</f>
        <v>#REF!</v>
      </c>
      <c r="C2202" s="41"/>
      <c r="D2202" s="26" t="s">
        <v>93</v>
      </c>
      <c r="E2202" s="27"/>
      <c r="F2202" s="42" t="s">
        <v>522</v>
      </c>
      <c r="G2202" s="28" t="str">
        <f t="shared" si="35"/>
        <v/>
      </c>
      <c r="H2202" s="29"/>
      <c r="I2202" s="30"/>
      <c r="J2202" s="102">
        <v>0</v>
      </c>
    </row>
    <row r="2203" spans="1:10" hidden="1" x14ac:dyDescent="0.25">
      <c r="A2203" s="219"/>
      <c r="B2203" s="237"/>
      <c r="C2203" s="32"/>
      <c r="D2203" s="32"/>
      <c r="E2203" s="33"/>
      <c r="F2203" s="43" t="s">
        <v>522</v>
      </c>
      <c r="G2203" s="31" t="str">
        <f t="shared" si="35"/>
        <v/>
      </c>
      <c r="H2203" s="35"/>
      <c r="I2203" s="31"/>
      <c r="J2203" s="102">
        <v>0</v>
      </c>
    </row>
    <row r="2204" spans="1:10" ht="25.5" hidden="1" x14ac:dyDescent="0.25">
      <c r="A2204" s="219"/>
      <c r="B2204" s="237"/>
      <c r="C2204" s="36" t="s">
        <v>687</v>
      </c>
      <c r="D2204" s="47" t="s">
        <v>93</v>
      </c>
      <c r="E2204" s="37">
        <v>1.0210999999999999</v>
      </c>
      <c r="F2204" s="34">
        <v>0</v>
      </c>
      <c r="G2204" s="34">
        <f t="shared" si="35"/>
        <v>0</v>
      </c>
      <c r="H2204" s="39">
        <f>SUM(G2204:G2206)</f>
        <v>1.6832479999999999</v>
      </c>
      <c r="I2204" s="40"/>
      <c r="J2204" s="102">
        <v>0</v>
      </c>
    </row>
    <row r="2205" spans="1:10" ht="25.5" hidden="1" x14ac:dyDescent="0.25">
      <c r="A2205" s="219"/>
      <c r="B2205" s="237"/>
      <c r="C2205" s="36" t="s">
        <v>107</v>
      </c>
      <c r="D2205" s="47" t="s">
        <v>12</v>
      </c>
      <c r="E2205" s="37">
        <f>0.064*0.7</f>
        <v>4.48E-2</v>
      </c>
      <c r="F2205" s="31">
        <v>16.672499999999999</v>
      </c>
      <c r="G2205" s="34">
        <f t="shared" si="35"/>
        <v>0.74692799999999993</v>
      </c>
      <c r="H2205" s="35"/>
      <c r="I2205" s="31"/>
      <c r="J2205" s="102">
        <v>0</v>
      </c>
    </row>
    <row r="2206" spans="1:10" hidden="1" x14ac:dyDescent="0.25">
      <c r="A2206" s="219"/>
      <c r="B2206" s="237"/>
      <c r="C2206" s="36" t="s">
        <v>39</v>
      </c>
      <c r="D2206" s="47" t="s">
        <v>12</v>
      </c>
      <c r="E2206" s="37">
        <f>0.064*0.7</f>
        <v>4.48E-2</v>
      </c>
      <c r="F2206" s="31">
        <v>20.9</v>
      </c>
      <c r="G2206" s="34">
        <f t="shared" si="35"/>
        <v>0.93631999999999993</v>
      </c>
      <c r="H2206" s="35"/>
      <c r="I2206" s="31"/>
      <c r="J2206" s="102">
        <v>0</v>
      </c>
    </row>
    <row r="2207" spans="1:10" hidden="1" x14ac:dyDescent="0.25">
      <c r="A2207" s="219"/>
      <c r="B2207" s="237"/>
      <c r="C2207" s="36"/>
      <c r="D2207" s="47"/>
      <c r="E2207" s="37"/>
      <c r="F2207" s="34" t="s">
        <v>522</v>
      </c>
      <c r="G2207" s="34" t="str">
        <f t="shared" si="35"/>
        <v/>
      </c>
      <c r="H2207" s="35"/>
      <c r="I2207" s="31"/>
      <c r="J2207" s="102">
        <v>0</v>
      </c>
    </row>
    <row r="2208" spans="1:10" ht="38.25" hidden="1" x14ac:dyDescent="0.25">
      <c r="A2208" s="219"/>
      <c r="B2208" s="237"/>
      <c r="C2208" s="52" t="s">
        <v>643</v>
      </c>
      <c r="D2208" s="47"/>
      <c r="E2208" s="37"/>
      <c r="F2208" s="34" t="s">
        <v>522</v>
      </c>
      <c r="G2208" s="34" t="str">
        <f t="shared" si="35"/>
        <v/>
      </c>
      <c r="H2208" s="35"/>
      <c r="I2208" s="31"/>
      <c r="J2208" s="102">
        <v>0</v>
      </c>
    </row>
    <row r="2209" spans="1:10" ht="15.75" hidden="1" thickBot="1" x14ac:dyDescent="0.3">
      <c r="A2209" s="220"/>
      <c r="B2209" s="223"/>
      <c r="C2209" s="36"/>
      <c r="D2209" s="36"/>
      <c r="E2209" s="37"/>
      <c r="F2209" s="31" t="s">
        <v>522</v>
      </c>
      <c r="G2209" s="31" t="str">
        <f t="shared" si="35"/>
        <v/>
      </c>
      <c r="H2209" s="35"/>
      <c r="I2209" s="31"/>
      <c r="J2209" s="102">
        <v>0</v>
      </c>
    </row>
    <row r="2210" spans="1:10" ht="15.75" hidden="1" thickBot="1" x14ac:dyDescent="0.3">
      <c r="A2210" s="218" t="s">
        <v>688</v>
      </c>
      <c r="B2210" s="221" t="e">
        <f>INDEX(#REF!,MATCH(Composições!A2210,#REF!,0),2)</f>
        <v>#REF!</v>
      </c>
      <c r="C2210" s="41"/>
      <c r="D2210" s="26" t="s">
        <v>95</v>
      </c>
      <c r="E2210" s="27"/>
      <c r="F2210" s="42" t="s">
        <v>522</v>
      </c>
      <c r="G2210" s="28" t="str">
        <f t="shared" si="35"/>
        <v/>
      </c>
      <c r="H2210" s="29"/>
      <c r="I2210" s="30"/>
      <c r="J2210" s="102">
        <v>0</v>
      </c>
    </row>
    <row r="2211" spans="1:10" hidden="1" x14ac:dyDescent="0.25">
      <c r="A2211" s="219"/>
      <c r="B2211" s="237"/>
      <c r="C2211" s="32"/>
      <c r="D2211" s="32"/>
      <c r="E2211" s="33"/>
      <c r="F2211" s="43" t="s">
        <v>522</v>
      </c>
      <c r="G2211" s="31" t="str">
        <f t="shared" si="35"/>
        <v/>
      </c>
      <c r="H2211" s="35"/>
      <c r="I2211" s="31"/>
      <c r="J2211" s="102">
        <v>0</v>
      </c>
    </row>
    <row r="2212" spans="1:10" hidden="1" x14ac:dyDescent="0.25">
      <c r="A2212" s="219"/>
      <c r="B2212" s="237"/>
      <c r="C2212" s="36" t="s">
        <v>607</v>
      </c>
      <c r="D2212" s="36" t="s">
        <v>12</v>
      </c>
      <c r="E2212" s="37">
        <v>1.8</v>
      </c>
      <c r="F2212" s="31">
        <v>20.196999999999999</v>
      </c>
      <c r="G2212" s="31">
        <f t="shared" si="35"/>
        <v>36.354599999999998</v>
      </c>
      <c r="H2212" s="39">
        <f>SUM(G2212:G2213)</f>
        <v>90.129824999999983</v>
      </c>
      <c r="I2212" s="40"/>
      <c r="J2212" s="102">
        <v>0</v>
      </c>
    </row>
    <row r="2213" spans="1:10" hidden="1" x14ac:dyDescent="0.25">
      <c r="A2213" s="219"/>
      <c r="B2213" s="237"/>
      <c r="C2213" s="36" t="s">
        <v>128</v>
      </c>
      <c r="D2213" s="36" t="s">
        <v>12</v>
      </c>
      <c r="E2213" s="37">
        <v>3.15</v>
      </c>
      <c r="F2213" s="31">
        <v>17.071499999999997</v>
      </c>
      <c r="G2213" s="31">
        <f t="shared" si="35"/>
        <v>53.775224999999992</v>
      </c>
      <c r="H2213" s="35"/>
      <c r="I2213" s="31"/>
      <c r="J2213" s="102">
        <v>0</v>
      </c>
    </row>
    <row r="2214" spans="1:10" ht="15.75" hidden="1" thickBot="1" x14ac:dyDescent="0.3">
      <c r="A2214" s="220"/>
      <c r="B2214" s="223"/>
      <c r="C2214" s="36"/>
      <c r="D2214" s="36"/>
      <c r="E2214" s="37"/>
      <c r="F2214" s="31" t="s">
        <v>522</v>
      </c>
      <c r="G2214" s="31" t="str">
        <f t="shared" si="35"/>
        <v/>
      </c>
      <c r="H2214" s="35"/>
      <c r="I2214" s="31"/>
      <c r="J2214" s="102">
        <v>0</v>
      </c>
    </row>
    <row r="2215" spans="1:10" ht="15.75" hidden="1" thickBot="1" x14ac:dyDescent="0.3">
      <c r="A2215" s="218" t="s">
        <v>689</v>
      </c>
      <c r="B2215" s="221" t="e">
        <f>INDEX(#REF!,MATCH(Composições!A2215,#REF!,0),2)</f>
        <v>#REF!</v>
      </c>
      <c r="C2215" s="41"/>
      <c r="D2215" s="26" t="s">
        <v>95</v>
      </c>
      <c r="E2215" s="27"/>
      <c r="F2215" s="42" t="s">
        <v>522</v>
      </c>
      <c r="G2215" s="28" t="str">
        <f t="shared" si="35"/>
        <v/>
      </c>
      <c r="H2215" s="29"/>
      <c r="I2215" s="30"/>
      <c r="J2215" s="102">
        <v>0</v>
      </c>
    </row>
    <row r="2216" spans="1:10" hidden="1" x14ac:dyDescent="0.25">
      <c r="A2216" s="219"/>
      <c r="B2216" s="237"/>
      <c r="C2216" s="32"/>
      <c r="D2216" s="32"/>
      <c r="E2216" s="33"/>
      <c r="F2216" s="43" t="s">
        <v>522</v>
      </c>
      <c r="G2216" s="31" t="str">
        <f t="shared" si="35"/>
        <v/>
      </c>
      <c r="H2216" s="35"/>
      <c r="I2216" s="31"/>
      <c r="J2216" s="102">
        <v>0</v>
      </c>
    </row>
    <row r="2217" spans="1:10" hidden="1" x14ac:dyDescent="0.25">
      <c r="A2217" s="219"/>
      <c r="B2217" s="237"/>
      <c r="C2217" s="36" t="s">
        <v>607</v>
      </c>
      <c r="D2217" s="36" t="s">
        <v>12</v>
      </c>
      <c r="E2217" s="37">
        <v>1.8</v>
      </c>
      <c r="F2217" s="31">
        <v>20.196999999999999</v>
      </c>
      <c r="G2217" s="31">
        <f t="shared" si="35"/>
        <v>36.354599999999998</v>
      </c>
      <c r="H2217" s="39">
        <f>SUM(G2217:G2220)</f>
        <v>208.59221249999999</v>
      </c>
      <c r="I2217" s="40"/>
      <c r="J2217" s="102">
        <v>0</v>
      </c>
    </row>
    <row r="2218" spans="1:10" hidden="1" x14ac:dyDescent="0.25">
      <c r="A2218" s="219"/>
      <c r="B2218" s="237"/>
      <c r="C2218" s="36" t="s">
        <v>128</v>
      </c>
      <c r="D2218" s="36" t="s">
        <v>12</v>
      </c>
      <c r="E2218" s="37">
        <f>3.15/2</f>
        <v>1.575</v>
      </c>
      <c r="F2218" s="31">
        <v>17.071499999999997</v>
      </c>
      <c r="G2218" s="34">
        <f t="shared" si="35"/>
        <v>26.887612499999996</v>
      </c>
      <c r="H2218" s="44"/>
      <c r="I2218" s="40"/>
      <c r="J2218" s="102">
        <v>0</v>
      </c>
    </row>
    <row r="2219" spans="1:10" ht="25.5" hidden="1" x14ac:dyDescent="0.25">
      <c r="A2219" s="219"/>
      <c r="B2219" s="237"/>
      <c r="C2219" s="36" t="s">
        <v>690</v>
      </c>
      <c r="D2219" s="36" t="s">
        <v>20</v>
      </c>
      <c r="E2219" s="37">
        <v>2</v>
      </c>
      <c r="F2219" s="34">
        <v>24.643000000000001</v>
      </c>
      <c r="G2219" s="31">
        <f t="shared" si="35"/>
        <v>49.286000000000001</v>
      </c>
      <c r="H2219" s="44"/>
      <c r="I2219" s="40"/>
      <c r="J2219" s="102">
        <v>0</v>
      </c>
    </row>
    <row r="2220" spans="1:10" hidden="1" x14ac:dyDescent="0.25">
      <c r="A2220" s="219"/>
      <c r="B2220" s="237"/>
      <c r="C2220" s="36" t="s">
        <v>691</v>
      </c>
      <c r="D2220" s="36" t="s">
        <v>95</v>
      </c>
      <c r="E2220" s="37">
        <v>1</v>
      </c>
      <c r="F2220" s="34">
        <v>96.063999999999993</v>
      </c>
      <c r="G2220" s="31">
        <f t="shared" si="35"/>
        <v>96.063999999999993</v>
      </c>
      <c r="H2220" s="35"/>
      <c r="I2220" s="31"/>
      <c r="J2220" s="102">
        <v>0</v>
      </c>
    </row>
    <row r="2221" spans="1:10" ht="15.75" hidden="1" thickBot="1" x14ac:dyDescent="0.3">
      <c r="A2221" s="220"/>
      <c r="B2221" s="223"/>
      <c r="C2221" s="36"/>
      <c r="D2221" s="36"/>
      <c r="E2221" s="37"/>
      <c r="F2221" s="31" t="s">
        <v>522</v>
      </c>
      <c r="G2221" s="31" t="str">
        <f t="shared" si="35"/>
        <v/>
      </c>
      <c r="H2221" s="35"/>
      <c r="I2221" s="31"/>
      <c r="J2221" s="102">
        <v>0</v>
      </c>
    </row>
    <row r="2222" spans="1:10" ht="15.75" hidden="1" thickBot="1" x14ac:dyDescent="0.3">
      <c r="A2222" s="232" t="s">
        <v>692</v>
      </c>
      <c r="B2222" s="229" t="e">
        <f>INDEX(#REF!,MATCH(Composições!A2222,#REF!,0),2)</f>
        <v>#REF!</v>
      </c>
      <c r="C2222" s="41"/>
      <c r="D2222" s="26" t="s">
        <v>95</v>
      </c>
      <c r="E2222" s="27"/>
      <c r="F2222" s="42" t="s">
        <v>522</v>
      </c>
      <c r="G2222" s="28" t="str">
        <f t="shared" si="35"/>
        <v/>
      </c>
      <c r="H2222" s="29"/>
      <c r="I2222" s="30"/>
      <c r="J2222" s="102">
        <v>0</v>
      </c>
    </row>
    <row r="2223" spans="1:10" hidden="1" x14ac:dyDescent="0.25">
      <c r="A2223" s="233"/>
      <c r="B2223" s="238"/>
      <c r="C2223" s="32"/>
      <c r="D2223" s="32"/>
      <c r="E2223" s="33"/>
      <c r="F2223" s="43" t="s">
        <v>522</v>
      </c>
      <c r="G2223" s="31" t="str">
        <f t="shared" si="35"/>
        <v/>
      </c>
      <c r="H2223" s="35"/>
      <c r="I2223" s="31"/>
      <c r="J2223" s="102">
        <v>0</v>
      </c>
    </row>
    <row r="2224" spans="1:10" hidden="1" x14ac:dyDescent="0.25">
      <c r="A2224" s="233"/>
      <c r="B2224" s="238"/>
      <c r="C2224" s="36" t="s">
        <v>607</v>
      </c>
      <c r="D2224" s="36" t="s">
        <v>12</v>
      </c>
      <c r="E2224" s="37">
        <v>2</v>
      </c>
      <c r="F2224" s="31">
        <v>20.196999999999999</v>
      </c>
      <c r="G2224" s="34">
        <f t="shared" si="35"/>
        <v>40.393999999999998</v>
      </c>
      <c r="H2224" s="39">
        <f>SUM(G2224:G2227)</f>
        <v>238.51459999999997</v>
      </c>
      <c r="I2224" s="40"/>
      <c r="J2224" s="102">
        <v>0</v>
      </c>
    </row>
    <row r="2225" spans="1:10" hidden="1" x14ac:dyDescent="0.25">
      <c r="A2225" s="233"/>
      <c r="B2225" s="238"/>
      <c r="C2225" s="36" t="s">
        <v>128</v>
      </c>
      <c r="D2225" s="36" t="s">
        <v>12</v>
      </c>
      <c r="E2225" s="37">
        <v>2</v>
      </c>
      <c r="F2225" s="31">
        <v>17.071499999999997</v>
      </c>
      <c r="G2225" s="34">
        <f t="shared" si="35"/>
        <v>34.142999999999994</v>
      </c>
      <c r="H2225" s="44"/>
      <c r="I2225" s="40"/>
      <c r="J2225" s="102">
        <v>0</v>
      </c>
    </row>
    <row r="2226" spans="1:10" ht="25.5" hidden="1" x14ac:dyDescent="0.25">
      <c r="A2226" s="233"/>
      <c r="B2226" s="238"/>
      <c r="C2226" s="113" t="s">
        <v>2446</v>
      </c>
      <c r="D2226" s="36" t="s">
        <v>95</v>
      </c>
      <c r="E2226" s="37">
        <v>1.2</v>
      </c>
      <c r="F2226" s="34">
        <v>136.648</v>
      </c>
      <c r="G2226" s="31">
        <f t="shared" si="35"/>
        <v>163.9776</v>
      </c>
      <c r="H2226" s="35"/>
      <c r="I2226" s="31"/>
      <c r="J2226" s="102">
        <v>0</v>
      </c>
    </row>
    <row r="2227" spans="1:10" hidden="1" x14ac:dyDescent="0.25">
      <c r="A2227" s="233"/>
      <c r="B2227" s="238"/>
      <c r="C2227" s="113" t="s">
        <v>2445</v>
      </c>
      <c r="D2227" s="36" t="s">
        <v>95</v>
      </c>
      <c r="E2227" s="37">
        <v>1</v>
      </c>
      <c r="F2227" s="34" t="s">
        <v>522</v>
      </c>
      <c r="G2227" s="31" t="str">
        <f t="shared" si="35"/>
        <v/>
      </c>
      <c r="H2227" s="35"/>
      <c r="I2227" s="31"/>
      <c r="J2227" s="102">
        <v>0</v>
      </c>
    </row>
    <row r="2228" spans="1:10" ht="15.75" hidden="1" thickBot="1" x14ac:dyDescent="0.3">
      <c r="A2228" s="234"/>
      <c r="B2228" s="231"/>
      <c r="C2228" s="36"/>
      <c r="D2228" s="36"/>
      <c r="E2228" s="37"/>
      <c r="F2228" s="31" t="s">
        <v>522</v>
      </c>
      <c r="G2228" s="31" t="str">
        <f t="shared" si="35"/>
        <v/>
      </c>
      <c r="H2228" s="35"/>
      <c r="I2228" s="31"/>
      <c r="J2228" s="102">
        <v>0</v>
      </c>
    </row>
    <row r="2229" spans="1:10" ht="15.75" hidden="1" thickBot="1" x14ac:dyDescent="0.3">
      <c r="A2229" s="232" t="s">
        <v>693</v>
      </c>
      <c r="B2229" s="229" t="e">
        <f>INDEX(#REF!,MATCH(Composições!A2229,#REF!,0),2)</f>
        <v>#REF!</v>
      </c>
      <c r="C2229" s="41"/>
      <c r="D2229" s="26" t="s">
        <v>95</v>
      </c>
      <c r="E2229" s="27"/>
      <c r="F2229" s="42" t="s">
        <v>522</v>
      </c>
      <c r="G2229" s="28" t="str">
        <f t="shared" si="35"/>
        <v/>
      </c>
      <c r="H2229" s="29"/>
      <c r="I2229" s="30"/>
      <c r="J2229" s="102">
        <v>0</v>
      </c>
    </row>
    <row r="2230" spans="1:10" hidden="1" x14ac:dyDescent="0.25">
      <c r="A2230" s="233"/>
      <c r="B2230" s="238"/>
      <c r="C2230" s="32"/>
      <c r="D2230" s="32"/>
      <c r="E2230" s="33"/>
      <c r="F2230" s="43" t="s">
        <v>522</v>
      </c>
      <c r="G2230" s="31" t="str">
        <f t="shared" si="35"/>
        <v/>
      </c>
      <c r="H2230" s="35"/>
      <c r="I2230" s="31"/>
      <c r="J2230" s="102">
        <v>0</v>
      </c>
    </row>
    <row r="2231" spans="1:10" hidden="1" x14ac:dyDescent="0.25">
      <c r="A2231" s="233"/>
      <c r="B2231" s="238"/>
      <c r="C2231" s="36" t="s">
        <v>607</v>
      </c>
      <c r="D2231" s="36" t="s">
        <v>12</v>
      </c>
      <c r="E2231" s="37">
        <v>2</v>
      </c>
      <c r="F2231" s="31">
        <v>20.196999999999999</v>
      </c>
      <c r="G2231" s="34">
        <f t="shared" si="35"/>
        <v>40.393999999999998</v>
      </c>
      <c r="H2231" s="39">
        <f>SUM(G2231:G2233)</f>
        <v>149.8682</v>
      </c>
      <c r="I2231" s="40"/>
      <c r="J2231" s="102">
        <v>0</v>
      </c>
    </row>
    <row r="2232" spans="1:10" hidden="1" x14ac:dyDescent="0.25">
      <c r="A2232" s="233"/>
      <c r="B2232" s="238"/>
      <c r="C2232" s="36" t="s">
        <v>128</v>
      </c>
      <c r="D2232" s="36" t="s">
        <v>12</v>
      </c>
      <c r="E2232" s="37">
        <v>2</v>
      </c>
      <c r="F2232" s="31">
        <v>17.071499999999997</v>
      </c>
      <c r="G2232" s="34">
        <f t="shared" si="35"/>
        <v>34.142999999999994</v>
      </c>
      <c r="H2232" s="35"/>
      <c r="I2232" s="31"/>
      <c r="J2232" s="102">
        <v>0</v>
      </c>
    </row>
    <row r="2233" spans="1:10" hidden="1" x14ac:dyDescent="0.25">
      <c r="A2233" s="233"/>
      <c r="B2233" s="238"/>
      <c r="C2233" s="113" t="s">
        <v>2424</v>
      </c>
      <c r="D2233" s="36" t="s">
        <v>95</v>
      </c>
      <c r="E2233" s="37">
        <v>1.2</v>
      </c>
      <c r="F2233" s="34">
        <v>62.775999999999996</v>
      </c>
      <c r="G2233" s="31">
        <f t="shared" si="35"/>
        <v>75.331199999999995</v>
      </c>
      <c r="H2233" s="35"/>
      <c r="I2233" s="31"/>
      <c r="J2233" s="102">
        <v>0</v>
      </c>
    </row>
    <row r="2234" spans="1:10" ht="15.75" hidden="1" thickBot="1" x14ac:dyDescent="0.3">
      <c r="A2234" s="234"/>
      <c r="B2234" s="231"/>
      <c r="C2234" s="36"/>
      <c r="D2234" s="36"/>
      <c r="E2234" s="37"/>
      <c r="F2234" s="31" t="s">
        <v>522</v>
      </c>
      <c r="G2234" s="31" t="str">
        <f t="shared" si="35"/>
        <v/>
      </c>
      <c r="H2234" s="35"/>
      <c r="I2234" s="31"/>
      <c r="J2234" s="102">
        <v>0</v>
      </c>
    </row>
    <row r="2235" spans="1:10" ht="15.75" hidden="1" thickBot="1" x14ac:dyDescent="0.3">
      <c r="A2235" s="218" t="s">
        <v>694</v>
      </c>
      <c r="B2235" s="221" t="e">
        <f>INDEX(#REF!,MATCH(Composições!A2235,#REF!,0),2)</f>
        <v>#REF!</v>
      </c>
      <c r="C2235" s="41"/>
      <c r="D2235" s="26" t="s">
        <v>20</v>
      </c>
      <c r="E2235" s="27"/>
      <c r="F2235" s="42" t="s">
        <v>522</v>
      </c>
      <c r="G2235" s="28" t="str">
        <f t="shared" si="35"/>
        <v/>
      </c>
      <c r="H2235" s="29"/>
      <c r="I2235" s="30"/>
      <c r="J2235" s="102">
        <v>0</v>
      </c>
    </row>
    <row r="2236" spans="1:10" hidden="1" x14ac:dyDescent="0.25">
      <c r="A2236" s="219"/>
      <c r="B2236" s="237"/>
      <c r="C2236" s="32"/>
      <c r="D2236" s="32"/>
      <c r="E2236" s="33"/>
      <c r="F2236" s="43" t="s">
        <v>522</v>
      </c>
      <c r="G2236" s="31" t="str">
        <f t="shared" si="35"/>
        <v/>
      </c>
      <c r="H2236" s="35"/>
      <c r="I2236" s="31"/>
      <c r="J2236" s="102">
        <v>0</v>
      </c>
    </row>
    <row r="2237" spans="1:10" hidden="1" x14ac:dyDescent="0.25">
      <c r="A2237" s="219"/>
      <c r="B2237" s="237"/>
      <c r="C2237" s="36" t="s">
        <v>607</v>
      </c>
      <c r="D2237" s="36" t="s">
        <v>12</v>
      </c>
      <c r="E2237" s="37">
        <v>1</v>
      </c>
      <c r="F2237" s="31">
        <v>20.196999999999999</v>
      </c>
      <c r="G2237" s="34">
        <f t="shared" si="35"/>
        <v>20.196999999999999</v>
      </c>
      <c r="H2237" s="39">
        <f>SUM(G2237:G2239)</f>
        <v>37.268499999999996</v>
      </c>
      <c r="I2237" s="40"/>
      <c r="J2237" s="102">
        <v>0</v>
      </c>
    </row>
    <row r="2238" spans="1:10" hidden="1" x14ac:dyDescent="0.25">
      <c r="A2238" s="219"/>
      <c r="B2238" s="237"/>
      <c r="C2238" s="36" t="s">
        <v>128</v>
      </c>
      <c r="D2238" s="36" t="s">
        <v>12</v>
      </c>
      <c r="E2238" s="37">
        <v>1</v>
      </c>
      <c r="F2238" s="31">
        <v>17.071499999999997</v>
      </c>
      <c r="G2238" s="34">
        <f t="shared" si="35"/>
        <v>17.071499999999997</v>
      </c>
      <c r="H2238" s="35"/>
      <c r="I2238" s="31"/>
      <c r="J2238" s="102">
        <v>0</v>
      </c>
    </row>
    <row r="2239" spans="1:10" ht="25.5" hidden="1" x14ac:dyDescent="0.25">
      <c r="A2239" s="219"/>
      <c r="B2239" s="237"/>
      <c r="C2239" s="36" t="s">
        <v>695</v>
      </c>
      <c r="D2239" s="36" t="s">
        <v>20</v>
      </c>
      <c r="E2239" s="37">
        <v>1</v>
      </c>
      <c r="F2239" s="34" t="s">
        <v>522</v>
      </c>
      <c r="G2239" s="31" t="str">
        <f t="shared" si="35"/>
        <v/>
      </c>
      <c r="H2239" s="35"/>
      <c r="I2239" s="31"/>
      <c r="J2239" s="102">
        <v>0</v>
      </c>
    </row>
    <row r="2240" spans="1:10" ht="15.75" hidden="1" thickBot="1" x14ac:dyDescent="0.3">
      <c r="A2240" s="220"/>
      <c r="B2240" s="223"/>
      <c r="C2240" s="36"/>
      <c r="D2240" s="36"/>
      <c r="E2240" s="37"/>
      <c r="F2240" s="31" t="s">
        <v>522</v>
      </c>
      <c r="G2240" s="31" t="str">
        <f t="shared" si="35"/>
        <v/>
      </c>
      <c r="H2240" s="35"/>
      <c r="I2240" s="31"/>
      <c r="J2240" s="102">
        <v>0</v>
      </c>
    </row>
    <row r="2241" spans="1:10" ht="15.75" hidden="1" thickBot="1" x14ac:dyDescent="0.3">
      <c r="A2241" s="218" t="s">
        <v>696</v>
      </c>
      <c r="B2241" s="221" t="e">
        <f>INDEX(#REF!,MATCH(Composições!A2241,#REF!,0),2)</f>
        <v>#REF!</v>
      </c>
      <c r="C2241" s="41"/>
      <c r="D2241" s="26" t="s">
        <v>20</v>
      </c>
      <c r="E2241" s="27"/>
      <c r="F2241" s="42" t="s">
        <v>522</v>
      </c>
      <c r="G2241" s="28" t="str">
        <f t="shared" si="35"/>
        <v/>
      </c>
      <c r="H2241" s="29"/>
      <c r="I2241" s="30"/>
      <c r="J2241" s="102">
        <v>0</v>
      </c>
    </row>
    <row r="2242" spans="1:10" hidden="1" x14ac:dyDescent="0.25">
      <c r="A2242" s="219"/>
      <c r="B2242" s="237"/>
      <c r="C2242" s="32"/>
      <c r="D2242" s="32"/>
      <c r="E2242" s="33"/>
      <c r="F2242" s="43" t="s">
        <v>522</v>
      </c>
      <c r="G2242" s="31" t="str">
        <f t="shared" si="35"/>
        <v/>
      </c>
      <c r="H2242" s="35"/>
      <c r="I2242" s="31"/>
      <c r="J2242" s="102">
        <v>0</v>
      </c>
    </row>
    <row r="2243" spans="1:10" ht="51" hidden="1" x14ac:dyDescent="0.25">
      <c r="A2243" s="219"/>
      <c r="B2243" s="237"/>
      <c r="C2243" s="36" t="s">
        <v>2389</v>
      </c>
      <c r="D2243" s="47" t="s">
        <v>1415</v>
      </c>
      <c r="E2243" s="37">
        <v>1</v>
      </c>
      <c r="F2243" s="34">
        <v>168.86249999999998</v>
      </c>
      <c r="G2243" s="34">
        <f t="shared" si="35"/>
        <v>168.86249999999998</v>
      </c>
      <c r="H2243" s="39">
        <f>SUM(G2243:G2251)</f>
        <v>319.58961969999996</v>
      </c>
      <c r="I2243" s="40"/>
      <c r="J2243" s="102">
        <v>0</v>
      </c>
    </row>
    <row r="2244" spans="1:10" hidden="1" x14ac:dyDescent="0.25">
      <c r="A2244" s="219"/>
      <c r="B2244" s="237"/>
      <c r="C2244" s="36" t="s">
        <v>1416</v>
      </c>
      <c r="D2244" s="50" t="s">
        <v>898</v>
      </c>
      <c r="E2244" s="37">
        <v>1.0999999999999999E-2</v>
      </c>
      <c r="F2244" s="34">
        <v>29.1555</v>
      </c>
      <c r="G2244" s="34">
        <f t="shared" si="35"/>
        <v>0.32071049999999995</v>
      </c>
      <c r="H2244" s="35"/>
      <c r="I2244" s="31"/>
      <c r="J2244" s="102">
        <v>0</v>
      </c>
    </row>
    <row r="2245" spans="1:10" hidden="1" x14ac:dyDescent="0.25">
      <c r="A2245" s="219"/>
      <c r="B2245" s="237"/>
      <c r="C2245" s="36" t="s">
        <v>98</v>
      </c>
      <c r="D2245" s="47" t="s">
        <v>898</v>
      </c>
      <c r="E2245" s="37">
        <v>2.4E-2</v>
      </c>
      <c r="F2245" s="31">
        <v>22.134999999999998</v>
      </c>
      <c r="G2245" s="34">
        <f t="shared" si="35"/>
        <v>0.53123999999999993</v>
      </c>
      <c r="H2245" s="35"/>
      <c r="I2245" s="31"/>
      <c r="J2245" s="102">
        <v>0</v>
      </c>
    </row>
    <row r="2246" spans="1:10" hidden="1" x14ac:dyDescent="0.25">
      <c r="A2246" s="219"/>
      <c r="B2246" s="237"/>
      <c r="C2246" s="36" t="s">
        <v>702</v>
      </c>
      <c r="D2246" s="47" t="s">
        <v>703</v>
      </c>
      <c r="E2246" s="37">
        <f>2.741+0.068</f>
        <v>2.8090000000000002</v>
      </c>
      <c r="F2246" s="31">
        <v>20.425000000000001</v>
      </c>
      <c r="G2246" s="34">
        <f t="shared" si="35"/>
        <v>57.373825000000004</v>
      </c>
      <c r="H2246" s="35"/>
      <c r="I2246" s="31"/>
      <c r="J2246" s="102">
        <v>0</v>
      </c>
    </row>
    <row r="2247" spans="1:10" hidden="1" x14ac:dyDescent="0.25">
      <c r="A2247" s="219"/>
      <c r="B2247" s="237"/>
      <c r="C2247" s="36" t="s">
        <v>704</v>
      </c>
      <c r="D2247" s="47" t="s">
        <v>703</v>
      </c>
      <c r="E2247" s="37">
        <f>1.375+0.034</f>
        <v>1.409</v>
      </c>
      <c r="F2247" s="31">
        <v>16.1785</v>
      </c>
      <c r="G2247" s="34">
        <f t="shared" si="35"/>
        <v>22.795506499999998</v>
      </c>
      <c r="H2247" s="35"/>
      <c r="I2247" s="31"/>
      <c r="J2247" s="102">
        <v>0</v>
      </c>
    </row>
    <row r="2248" spans="1:10" hidden="1" x14ac:dyDescent="0.25">
      <c r="A2248" s="219"/>
      <c r="B2248" s="237"/>
      <c r="C2248" s="36" t="s">
        <v>1798</v>
      </c>
      <c r="D2248" s="47" t="s">
        <v>898</v>
      </c>
      <c r="E2248" s="37">
        <v>6.0000000000000001E-3</v>
      </c>
      <c r="F2248" s="31">
        <v>24.880500000000001</v>
      </c>
      <c r="G2248" s="34">
        <f t="shared" si="35"/>
        <v>0.149283</v>
      </c>
      <c r="H2248" s="35"/>
      <c r="I2248" s="31"/>
      <c r="J2248" s="102">
        <v>0</v>
      </c>
    </row>
    <row r="2249" spans="1:10" ht="38.25" hidden="1" x14ac:dyDescent="0.25">
      <c r="A2249" s="219"/>
      <c r="B2249" s="237"/>
      <c r="C2249" s="36" t="s">
        <v>2390</v>
      </c>
      <c r="D2249" s="47" t="s">
        <v>479</v>
      </c>
      <c r="E2249" s="37">
        <f>(2.1*2+0.8)*1.163</f>
        <v>5.8150000000000004</v>
      </c>
      <c r="F2249" s="34">
        <v>9.9085000000000001</v>
      </c>
      <c r="G2249" s="34">
        <f t="shared" si="35"/>
        <v>57.617927500000008</v>
      </c>
      <c r="H2249" s="35"/>
      <c r="I2249" s="31"/>
      <c r="J2249" s="102">
        <v>0</v>
      </c>
    </row>
    <row r="2250" spans="1:10" hidden="1" x14ac:dyDescent="0.25">
      <c r="A2250" s="219"/>
      <c r="B2250" s="237"/>
      <c r="C2250" s="36" t="s">
        <v>203</v>
      </c>
      <c r="D2250" s="50" t="s">
        <v>102</v>
      </c>
      <c r="E2250" s="37">
        <f>ROUND(0.108*0.15*(2*2.1+0.8),4)</f>
        <v>8.1000000000000003E-2</v>
      </c>
      <c r="F2250" s="34" t="s">
        <v>522</v>
      </c>
      <c r="G2250" s="31" t="str">
        <f t="shared" si="35"/>
        <v/>
      </c>
      <c r="H2250" s="35"/>
      <c r="I2250" s="31"/>
      <c r="J2250" s="102">
        <v>0</v>
      </c>
    </row>
    <row r="2251" spans="1:10" hidden="1" x14ac:dyDescent="0.25">
      <c r="A2251" s="219"/>
      <c r="B2251" s="237"/>
      <c r="C2251" s="36" t="s">
        <v>100</v>
      </c>
      <c r="D2251" s="36" t="s">
        <v>12</v>
      </c>
      <c r="E2251" s="37">
        <f>ROUND(0.7076*0.15*(2*2.1+0.8),4)</f>
        <v>0.53069999999999995</v>
      </c>
      <c r="F2251" s="31">
        <v>22.495999999999999</v>
      </c>
      <c r="G2251" s="31">
        <f t="shared" si="35"/>
        <v>11.938627199999997</v>
      </c>
      <c r="H2251" s="35"/>
      <c r="I2251" s="31"/>
      <c r="J2251" s="102">
        <v>0</v>
      </c>
    </row>
    <row r="2252" spans="1:10" hidden="1" x14ac:dyDescent="0.25">
      <c r="A2252" s="219"/>
      <c r="B2252" s="237"/>
      <c r="C2252" s="36"/>
      <c r="D2252" s="36"/>
      <c r="E2252" s="37"/>
      <c r="F2252" s="31" t="s">
        <v>522</v>
      </c>
      <c r="G2252" s="31"/>
      <c r="H2252" s="35"/>
      <c r="I2252" s="31"/>
      <c r="J2252" s="102">
        <v>0</v>
      </c>
    </row>
    <row r="2253" spans="1:10" ht="38.25" hidden="1" x14ac:dyDescent="0.25">
      <c r="A2253" s="219"/>
      <c r="B2253" s="237"/>
      <c r="C2253" s="52" t="s">
        <v>1838</v>
      </c>
      <c r="D2253" s="36"/>
      <c r="E2253" s="37"/>
      <c r="F2253" s="31" t="s">
        <v>522</v>
      </c>
      <c r="G2253" s="31"/>
      <c r="H2253" s="35"/>
      <c r="I2253" s="31"/>
      <c r="J2253" s="102">
        <v>0</v>
      </c>
    </row>
    <row r="2254" spans="1:10" ht="15.75" hidden="1" thickBot="1" x14ac:dyDescent="0.3">
      <c r="A2254" s="220"/>
      <c r="B2254" s="223"/>
      <c r="C2254" s="36"/>
      <c r="D2254" s="36"/>
      <c r="E2254" s="37"/>
      <c r="F2254" s="31" t="s">
        <v>522</v>
      </c>
      <c r="G2254" s="31" t="str">
        <f t="shared" ref="G2254:G2267" si="36">IF(ISNUMBER(F2254),E2254*F2254,"")</f>
        <v/>
      </c>
      <c r="H2254" s="35"/>
      <c r="I2254" s="31"/>
      <c r="J2254" s="102">
        <v>0</v>
      </c>
    </row>
    <row r="2255" spans="1:10" ht="15.75" hidden="1" thickBot="1" x14ac:dyDescent="0.3">
      <c r="A2255" s="218" t="s">
        <v>697</v>
      </c>
      <c r="B2255" s="221" t="e">
        <f>INDEX(#REF!,MATCH(Composições!A2255,#REF!,0),2)</f>
        <v>#REF!</v>
      </c>
      <c r="C2255" s="95"/>
      <c r="D2255" s="26" t="s">
        <v>95</v>
      </c>
      <c r="E2255" s="27"/>
      <c r="F2255" s="42" t="s">
        <v>522</v>
      </c>
      <c r="G2255" s="28" t="str">
        <f t="shared" si="36"/>
        <v/>
      </c>
      <c r="H2255" s="29"/>
      <c r="I2255" s="30"/>
      <c r="J2255" s="102">
        <v>0</v>
      </c>
    </row>
    <row r="2256" spans="1:10" hidden="1" x14ac:dyDescent="0.25">
      <c r="A2256" s="219"/>
      <c r="B2256" s="237"/>
      <c r="C2256" s="32"/>
      <c r="D2256" s="32"/>
      <c r="E2256" s="33"/>
      <c r="F2256" s="43" t="s">
        <v>522</v>
      </c>
      <c r="G2256" s="31" t="str">
        <f t="shared" si="36"/>
        <v/>
      </c>
      <c r="H2256" s="35"/>
      <c r="I2256" s="31"/>
      <c r="J2256" s="102">
        <v>0</v>
      </c>
    </row>
    <row r="2257" spans="1:10" hidden="1" x14ac:dyDescent="0.25">
      <c r="A2257" s="219"/>
      <c r="B2257" s="237"/>
      <c r="C2257" s="36" t="s">
        <v>23</v>
      </c>
      <c r="D2257" s="36" t="s">
        <v>12</v>
      </c>
      <c r="E2257" s="37">
        <v>0.3</v>
      </c>
      <c r="F2257" s="31">
        <v>16.1785</v>
      </c>
      <c r="G2257" s="34">
        <f t="shared" si="36"/>
        <v>4.8535499999999994</v>
      </c>
      <c r="H2257" s="39">
        <f>SUM(G2257:G2259)</f>
        <v>10.912649999999999</v>
      </c>
      <c r="I2257" s="40"/>
      <c r="J2257" s="102">
        <v>0</v>
      </c>
    </row>
    <row r="2258" spans="1:10" hidden="1" x14ac:dyDescent="0.25">
      <c r="A2258" s="219"/>
      <c r="B2258" s="237"/>
      <c r="C2258" s="36" t="s">
        <v>607</v>
      </c>
      <c r="D2258" s="36" t="s">
        <v>12</v>
      </c>
      <c r="E2258" s="37">
        <v>0.3</v>
      </c>
      <c r="F2258" s="31">
        <v>20.196999999999999</v>
      </c>
      <c r="G2258" s="34">
        <f t="shared" si="36"/>
        <v>6.0590999999999999</v>
      </c>
      <c r="H2258" s="45"/>
      <c r="I2258" s="46"/>
      <c r="J2258" s="102">
        <v>0</v>
      </c>
    </row>
    <row r="2259" spans="1:10" ht="25.5" hidden="1" x14ac:dyDescent="0.25">
      <c r="A2259" s="219"/>
      <c r="B2259" s="237"/>
      <c r="C2259" s="36" t="s">
        <v>698</v>
      </c>
      <c r="D2259" s="47" t="s">
        <v>95</v>
      </c>
      <c r="E2259" s="37">
        <v>1</v>
      </c>
      <c r="F2259" s="34" t="s">
        <v>522</v>
      </c>
      <c r="G2259" s="34" t="str">
        <f t="shared" si="36"/>
        <v/>
      </c>
      <c r="H2259" s="35"/>
      <c r="I2259" s="31"/>
      <c r="J2259" s="102">
        <v>0</v>
      </c>
    </row>
    <row r="2260" spans="1:10" ht="15.75" hidden="1" thickBot="1" x14ac:dyDescent="0.3">
      <c r="A2260" s="220"/>
      <c r="B2260" s="223"/>
      <c r="C2260" s="36"/>
      <c r="D2260" s="36"/>
      <c r="E2260" s="37"/>
      <c r="F2260" s="31" t="s">
        <v>522</v>
      </c>
      <c r="G2260" s="31" t="str">
        <f t="shared" si="36"/>
        <v/>
      </c>
      <c r="H2260" s="35"/>
      <c r="I2260" s="31"/>
      <c r="J2260" s="102">
        <v>0</v>
      </c>
    </row>
    <row r="2261" spans="1:10" ht="15.75" hidden="1" thickBot="1" x14ac:dyDescent="0.3">
      <c r="A2261" s="232" t="s">
        <v>699</v>
      </c>
      <c r="B2261" s="229" t="e">
        <f>INDEX(#REF!,MATCH(Composições!A2261,#REF!,0),2)</f>
        <v>#REF!</v>
      </c>
      <c r="C2261" s="41"/>
      <c r="D2261" s="26" t="s">
        <v>20</v>
      </c>
      <c r="E2261" s="27"/>
      <c r="F2261" s="42" t="s">
        <v>522</v>
      </c>
      <c r="G2261" s="28" t="str">
        <f t="shared" si="36"/>
        <v/>
      </c>
      <c r="H2261" s="29"/>
      <c r="I2261" s="30"/>
      <c r="J2261" s="102">
        <v>0</v>
      </c>
    </row>
    <row r="2262" spans="1:10" hidden="1" x14ac:dyDescent="0.25">
      <c r="A2262" s="233"/>
      <c r="B2262" s="238"/>
      <c r="C2262" s="32"/>
      <c r="D2262" s="32"/>
      <c r="E2262" s="33"/>
      <c r="F2262" s="43" t="s">
        <v>522</v>
      </c>
      <c r="G2262" s="31" t="str">
        <f t="shared" si="36"/>
        <v/>
      </c>
      <c r="H2262" s="35"/>
      <c r="I2262" s="31"/>
      <c r="J2262" s="102">
        <v>0</v>
      </c>
    </row>
    <row r="2263" spans="1:10" ht="51" hidden="1" x14ac:dyDescent="0.25">
      <c r="A2263" s="233"/>
      <c r="B2263" s="238"/>
      <c r="C2263" s="36" t="s">
        <v>2034</v>
      </c>
      <c r="D2263" s="47" t="s">
        <v>279</v>
      </c>
      <c r="E2263" s="37">
        <v>1</v>
      </c>
      <c r="F2263" s="34">
        <v>227.107</v>
      </c>
      <c r="G2263" s="34">
        <f t="shared" si="36"/>
        <v>227.107</v>
      </c>
      <c r="H2263" s="39">
        <f>SUM(G2263:G2267)</f>
        <v>296.46608199999997</v>
      </c>
      <c r="I2263" s="40"/>
      <c r="J2263" s="102">
        <v>0</v>
      </c>
    </row>
    <row r="2264" spans="1:10" hidden="1" x14ac:dyDescent="0.25">
      <c r="A2264" s="233"/>
      <c r="B2264" s="238"/>
      <c r="C2264" s="36" t="s">
        <v>702</v>
      </c>
      <c r="D2264" s="47" t="s">
        <v>703</v>
      </c>
      <c r="E2264" s="37">
        <f>ROUND(1.282*0.8,4)</f>
        <v>1.0256000000000001</v>
      </c>
      <c r="F2264" s="31">
        <v>20.425000000000001</v>
      </c>
      <c r="G2264" s="34">
        <f t="shared" si="36"/>
        <v>20.947880000000001</v>
      </c>
      <c r="H2264" s="35"/>
      <c r="I2264" s="31"/>
      <c r="J2264" s="102">
        <v>0</v>
      </c>
    </row>
    <row r="2265" spans="1:10" hidden="1" x14ac:dyDescent="0.25">
      <c r="A2265" s="233"/>
      <c r="B2265" s="238"/>
      <c r="C2265" s="36" t="s">
        <v>704</v>
      </c>
      <c r="D2265" s="47" t="s">
        <v>703</v>
      </c>
      <c r="E2265" s="37">
        <f>ROUND(0.641*0.8,4)</f>
        <v>0.51280000000000003</v>
      </c>
      <c r="F2265" s="31">
        <v>16.1785</v>
      </c>
      <c r="G2265" s="34">
        <f t="shared" si="36"/>
        <v>8.2963348000000003</v>
      </c>
      <c r="H2265" s="35"/>
      <c r="I2265" s="31"/>
      <c r="J2265" s="102">
        <v>0</v>
      </c>
    </row>
    <row r="2266" spans="1:10" hidden="1" x14ac:dyDescent="0.25">
      <c r="A2266" s="233"/>
      <c r="B2266" s="238"/>
      <c r="C2266" s="36" t="s">
        <v>203</v>
      </c>
      <c r="D2266" s="50" t="s">
        <v>102</v>
      </c>
      <c r="E2266" s="37">
        <f>ROUND(0.108*(2*0.6*2.1),4)</f>
        <v>0.2722</v>
      </c>
      <c r="F2266" s="34" t="s">
        <v>522</v>
      </c>
      <c r="G2266" s="31" t="str">
        <f t="shared" si="36"/>
        <v/>
      </c>
      <c r="H2266" s="35"/>
      <c r="I2266" s="31"/>
      <c r="J2266" s="102">
        <v>0</v>
      </c>
    </row>
    <row r="2267" spans="1:10" hidden="1" x14ac:dyDescent="0.25">
      <c r="A2267" s="233"/>
      <c r="B2267" s="238"/>
      <c r="C2267" s="36" t="s">
        <v>100</v>
      </c>
      <c r="D2267" s="36" t="s">
        <v>12</v>
      </c>
      <c r="E2267" s="37">
        <f>ROUND(0.7076*(2*0.6*2.1),4)</f>
        <v>1.7831999999999999</v>
      </c>
      <c r="F2267" s="31">
        <v>22.495999999999999</v>
      </c>
      <c r="G2267" s="31">
        <f t="shared" si="36"/>
        <v>40.114867199999992</v>
      </c>
      <c r="H2267" s="35"/>
      <c r="I2267" s="31"/>
      <c r="J2267" s="102">
        <v>0</v>
      </c>
    </row>
    <row r="2268" spans="1:10" hidden="1" x14ac:dyDescent="0.25">
      <c r="A2268" s="233"/>
      <c r="B2268" s="238"/>
      <c r="C2268" s="36"/>
      <c r="D2268" s="36"/>
      <c r="E2268" s="37"/>
      <c r="F2268" s="31" t="s">
        <v>522</v>
      </c>
      <c r="G2268" s="31"/>
      <c r="H2268" s="35"/>
      <c r="I2268" s="31"/>
      <c r="J2268" s="102">
        <v>0</v>
      </c>
    </row>
    <row r="2269" spans="1:10" ht="38.25" hidden="1" x14ac:dyDescent="0.25">
      <c r="A2269" s="233"/>
      <c r="B2269" s="238"/>
      <c r="C2269" s="52" t="s">
        <v>1838</v>
      </c>
      <c r="D2269" s="36"/>
      <c r="E2269" s="37"/>
      <c r="F2269" s="31" t="s">
        <v>522</v>
      </c>
      <c r="G2269" s="31"/>
      <c r="H2269" s="35"/>
      <c r="I2269" s="31"/>
      <c r="J2269" s="102">
        <v>0</v>
      </c>
    </row>
    <row r="2270" spans="1:10" hidden="1" x14ac:dyDescent="0.25">
      <c r="A2270" s="233"/>
      <c r="B2270" s="238"/>
      <c r="C2270" s="36"/>
      <c r="D2270" s="47"/>
      <c r="E2270" s="37"/>
      <c r="F2270" s="34" t="s">
        <v>522</v>
      </c>
      <c r="G2270" s="34" t="str">
        <f t="shared" ref="G2270:G2277" si="37">IF(ISNUMBER(F2270),E2270*F2270,"")</f>
        <v/>
      </c>
      <c r="H2270" s="35"/>
      <c r="I2270" s="31"/>
      <c r="J2270" s="102">
        <v>0</v>
      </c>
    </row>
    <row r="2271" spans="1:10" ht="15.75" hidden="1" thickBot="1" x14ac:dyDescent="0.3">
      <c r="A2271" s="232" t="s">
        <v>705</v>
      </c>
      <c r="B2271" s="229" t="e">
        <f>INDEX(#REF!,MATCH(Composições!A2271,#REF!,0),2)</f>
        <v>#REF!</v>
      </c>
      <c r="C2271" s="41"/>
      <c r="D2271" s="26" t="s">
        <v>20</v>
      </c>
      <c r="E2271" s="27"/>
      <c r="F2271" s="42" t="s">
        <v>522</v>
      </c>
      <c r="G2271" s="28" t="str">
        <f t="shared" si="37"/>
        <v/>
      </c>
      <c r="H2271" s="29"/>
      <c r="I2271" s="30"/>
      <c r="J2271" s="102">
        <v>0</v>
      </c>
    </row>
    <row r="2272" spans="1:10" hidden="1" x14ac:dyDescent="0.25">
      <c r="A2272" s="233"/>
      <c r="B2272" s="238"/>
      <c r="C2272" s="32"/>
      <c r="D2272" s="32"/>
      <c r="E2272" s="33"/>
      <c r="F2272" s="43" t="s">
        <v>522</v>
      </c>
      <c r="G2272" s="31" t="str">
        <f t="shared" si="37"/>
        <v/>
      </c>
      <c r="H2272" s="35"/>
      <c r="I2272" s="31"/>
      <c r="J2272" s="102">
        <v>0</v>
      </c>
    </row>
    <row r="2273" spans="1:10" ht="51" hidden="1" x14ac:dyDescent="0.25">
      <c r="A2273" s="233"/>
      <c r="B2273" s="238"/>
      <c r="C2273" s="36" t="s">
        <v>2029</v>
      </c>
      <c r="D2273" s="47" t="s">
        <v>279</v>
      </c>
      <c r="E2273" s="37">
        <v>1</v>
      </c>
      <c r="F2273" s="34">
        <v>229.5675</v>
      </c>
      <c r="G2273" s="34">
        <f t="shared" si="37"/>
        <v>229.5675</v>
      </c>
      <c r="H2273" s="39">
        <f>SUM(G2273:G2277)</f>
        <v>308.62124840000001</v>
      </c>
      <c r="I2273" s="40"/>
      <c r="J2273" s="102">
        <v>0</v>
      </c>
    </row>
    <row r="2274" spans="1:10" hidden="1" x14ac:dyDescent="0.25">
      <c r="A2274" s="233"/>
      <c r="B2274" s="238"/>
      <c r="C2274" s="36" t="s">
        <v>702</v>
      </c>
      <c r="D2274" s="47" t="s">
        <v>703</v>
      </c>
      <c r="E2274" s="37">
        <f>ROUND(1.414*0.8,4)</f>
        <v>1.1312</v>
      </c>
      <c r="F2274" s="31">
        <v>20.425000000000001</v>
      </c>
      <c r="G2274" s="34">
        <f t="shared" si="37"/>
        <v>23.104759999999999</v>
      </c>
      <c r="H2274" s="35"/>
      <c r="I2274" s="31"/>
      <c r="J2274" s="102">
        <v>0</v>
      </c>
    </row>
    <row r="2275" spans="1:10" hidden="1" x14ac:dyDescent="0.25">
      <c r="A2275" s="233"/>
      <c r="B2275" s="238"/>
      <c r="C2275" s="36" t="s">
        <v>704</v>
      </c>
      <c r="D2275" s="47" t="s">
        <v>703</v>
      </c>
      <c r="E2275" s="37">
        <f>ROUND(0.707*0.8,4)</f>
        <v>0.56559999999999999</v>
      </c>
      <c r="F2275" s="31">
        <v>16.1785</v>
      </c>
      <c r="G2275" s="34">
        <f t="shared" si="37"/>
        <v>9.1505595999999993</v>
      </c>
      <c r="H2275" s="35"/>
      <c r="I2275" s="31"/>
      <c r="J2275" s="102">
        <v>0</v>
      </c>
    </row>
    <row r="2276" spans="1:10" hidden="1" x14ac:dyDescent="0.25">
      <c r="A2276" s="233"/>
      <c r="B2276" s="238"/>
      <c r="C2276" s="36" t="s">
        <v>203</v>
      </c>
      <c r="D2276" s="50" t="s">
        <v>102</v>
      </c>
      <c r="E2276" s="37">
        <f>ROUND(0.108*(2*0.7*2.1),4)</f>
        <v>0.3175</v>
      </c>
      <c r="F2276" s="34" t="s">
        <v>522</v>
      </c>
      <c r="G2276" s="31" t="str">
        <f t="shared" si="37"/>
        <v/>
      </c>
      <c r="H2276" s="35"/>
      <c r="I2276" s="31"/>
      <c r="J2276" s="102">
        <v>0</v>
      </c>
    </row>
    <row r="2277" spans="1:10" hidden="1" x14ac:dyDescent="0.25">
      <c r="A2277" s="233"/>
      <c r="B2277" s="238"/>
      <c r="C2277" s="36" t="s">
        <v>100</v>
      </c>
      <c r="D2277" s="36" t="s">
        <v>12</v>
      </c>
      <c r="E2277" s="37">
        <f>ROUND(0.7076*(2*0.7*2.1),4)</f>
        <v>2.0802999999999998</v>
      </c>
      <c r="F2277" s="31">
        <v>22.495999999999999</v>
      </c>
      <c r="G2277" s="31">
        <f t="shared" si="37"/>
        <v>46.798428799999996</v>
      </c>
      <c r="H2277" s="35"/>
      <c r="I2277" s="31"/>
      <c r="J2277" s="102">
        <v>0</v>
      </c>
    </row>
    <row r="2278" spans="1:10" hidden="1" x14ac:dyDescent="0.25">
      <c r="A2278" s="233"/>
      <c r="B2278" s="238"/>
      <c r="C2278" s="36"/>
      <c r="D2278" s="36"/>
      <c r="E2278" s="37"/>
      <c r="F2278" s="31" t="s">
        <v>522</v>
      </c>
      <c r="G2278" s="31"/>
      <c r="H2278" s="35"/>
      <c r="I2278" s="31"/>
      <c r="J2278" s="102">
        <v>0</v>
      </c>
    </row>
    <row r="2279" spans="1:10" ht="38.25" hidden="1" x14ac:dyDescent="0.25">
      <c r="A2279" s="233"/>
      <c r="B2279" s="238"/>
      <c r="C2279" s="52" t="s">
        <v>1838</v>
      </c>
      <c r="D2279" s="36"/>
      <c r="E2279" s="37"/>
      <c r="F2279" s="31" t="s">
        <v>522</v>
      </c>
      <c r="G2279" s="31"/>
      <c r="H2279" s="35"/>
      <c r="I2279" s="31"/>
      <c r="J2279" s="102">
        <v>0</v>
      </c>
    </row>
    <row r="2280" spans="1:10" hidden="1" x14ac:dyDescent="0.25">
      <c r="A2280" s="233"/>
      <c r="B2280" s="238"/>
      <c r="C2280" s="36"/>
      <c r="D2280" s="47"/>
      <c r="E2280" s="37"/>
      <c r="F2280" s="34" t="s">
        <v>522</v>
      </c>
      <c r="G2280" s="34" t="str">
        <f t="shared" ref="G2280:G2287" si="38">IF(ISNUMBER(F2280),E2280*F2280,"")</f>
        <v/>
      </c>
      <c r="H2280" s="35"/>
      <c r="I2280" s="31"/>
      <c r="J2280" s="102">
        <v>0</v>
      </c>
    </row>
    <row r="2281" spans="1:10" ht="15.75" hidden="1" thickBot="1" x14ac:dyDescent="0.3">
      <c r="A2281" s="232" t="s">
        <v>706</v>
      </c>
      <c r="B2281" s="229" t="e">
        <f>INDEX(#REF!,MATCH(Composições!A2281,#REF!,0),2)</f>
        <v>#REF!</v>
      </c>
      <c r="C2281" s="41"/>
      <c r="D2281" s="26" t="s">
        <v>20</v>
      </c>
      <c r="E2281" s="27"/>
      <c r="F2281" s="42" t="s">
        <v>522</v>
      </c>
      <c r="G2281" s="28" t="str">
        <f t="shared" si="38"/>
        <v/>
      </c>
      <c r="H2281" s="29"/>
      <c r="I2281" s="30"/>
      <c r="J2281" s="102">
        <v>0</v>
      </c>
    </row>
    <row r="2282" spans="1:10" hidden="1" x14ac:dyDescent="0.25">
      <c r="A2282" s="233"/>
      <c r="B2282" s="238"/>
      <c r="C2282" s="32"/>
      <c r="D2282" s="32"/>
      <c r="E2282" s="33"/>
      <c r="F2282" s="43" t="s">
        <v>522</v>
      </c>
      <c r="G2282" s="31" t="str">
        <f t="shared" si="38"/>
        <v/>
      </c>
      <c r="H2282" s="35"/>
      <c r="I2282" s="31"/>
      <c r="J2282" s="102">
        <v>0</v>
      </c>
    </row>
    <row r="2283" spans="1:10" ht="51" hidden="1" x14ac:dyDescent="0.25">
      <c r="A2283" s="233"/>
      <c r="B2283" s="238"/>
      <c r="C2283" s="36" t="s">
        <v>2031</v>
      </c>
      <c r="D2283" s="47" t="s">
        <v>279</v>
      </c>
      <c r="E2283" s="37">
        <v>1</v>
      </c>
      <c r="F2283" s="34">
        <v>284.48699999999997</v>
      </c>
      <c r="G2283" s="34">
        <f t="shared" si="38"/>
        <v>284.48699999999997</v>
      </c>
      <c r="H2283" s="39">
        <f>SUM(G2283:G2287)</f>
        <v>373.23766439999997</v>
      </c>
      <c r="I2283" s="40"/>
      <c r="J2283" s="102">
        <v>0</v>
      </c>
    </row>
    <row r="2284" spans="1:10" hidden="1" x14ac:dyDescent="0.25">
      <c r="A2284" s="233"/>
      <c r="B2284" s="238"/>
      <c r="C2284" s="36" t="s">
        <v>702</v>
      </c>
      <c r="D2284" s="47" t="s">
        <v>703</v>
      </c>
      <c r="E2284" s="37">
        <f>ROUND(1.546*0.8,4)</f>
        <v>1.2367999999999999</v>
      </c>
      <c r="F2284" s="31">
        <v>20.425000000000001</v>
      </c>
      <c r="G2284" s="34">
        <f t="shared" si="38"/>
        <v>25.26164</v>
      </c>
      <c r="H2284" s="35"/>
      <c r="I2284" s="31"/>
      <c r="J2284" s="102">
        <v>0</v>
      </c>
    </row>
    <row r="2285" spans="1:10" hidden="1" x14ac:dyDescent="0.25">
      <c r="A2285" s="233"/>
      <c r="B2285" s="238"/>
      <c r="C2285" s="36" t="s">
        <v>704</v>
      </c>
      <c r="D2285" s="47" t="s">
        <v>703</v>
      </c>
      <c r="E2285" s="37">
        <f>ROUND(0.773*0.8,4)</f>
        <v>0.61839999999999995</v>
      </c>
      <c r="F2285" s="31">
        <v>16.1785</v>
      </c>
      <c r="G2285" s="34">
        <f t="shared" si="38"/>
        <v>10.004784399999998</v>
      </c>
      <c r="H2285" s="35"/>
      <c r="I2285" s="31"/>
      <c r="J2285" s="102">
        <v>0</v>
      </c>
    </row>
    <row r="2286" spans="1:10" hidden="1" x14ac:dyDescent="0.25">
      <c r="A2286" s="233"/>
      <c r="B2286" s="238"/>
      <c r="C2286" s="36" t="s">
        <v>203</v>
      </c>
      <c r="D2286" s="50" t="s">
        <v>102</v>
      </c>
      <c r="E2286" s="37">
        <f>ROUND(0.108*(2*0.8*2.1),4)</f>
        <v>0.3629</v>
      </c>
      <c r="F2286" s="34" t="s">
        <v>522</v>
      </c>
      <c r="G2286" s="31" t="str">
        <f t="shared" si="38"/>
        <v/>
      </c>
      <c r="H2286" s="35"/>
      <c r="I2286" s="31"/>
      <c r="J2286" s="102">
        <v>0</v>
      </c>
    </row>
    <row r="2287" spans="1:10" hidden="1" x14ac:dyDescent="0.25">
      <c r="A2287" s="233"/>
      <c r="B2287" s="238"/>
      <c r="C2287" s="36" t="s">
        <v>100</v>
      </c>
      <c r="D2287" s="36" t="s">
        <v>12</v>
      </c>
      <c r="E2287" s="37">
        <f>ROUND(0.7076*(2*0.8*2.1),4)</f>
        <v>2.3774999999999999</v>
      </c>
      <c r="F2287" s="31">
        <v>22.495999999999999</v>
      </c>
      <c r="G2287" s="31">
        <f t="shared" si="38"/>
        <v>53.484239999999993</v>
      </c>
      <c r="H2287" s="35"/>
      <c r="I2287" s="31"/>
      <c r="J2287" s="102">
        <v>0</v>
      </c>
    </row>
    <row r="2288" spans="1:10" hidden="1" x14ac:dyDescent="0.25">
      <c r="A2288" s="233"/>
      <c r="B2288" s="238"/>
      <c r="C2288" s="36"/>
      <c r="D2288" s="36"/>
      <c r="E2288" s="37"/>
      <c r="F2288" s="31" t="s">
        <v>522</v>
      </c>
      <c r="G2288" s="31"/>
      <c r="H2288" s="35"/>
      <c r="I2288" s="31"/>
      <c r="J2288" s="102">
        <v>0</v>
      </c>
    </row>
    <row r="2289" spans="1:10" ht="38.25" hidden="1" x14ac:dyDescent="0.25">
      <c r="A2289" s="233"/>
      <c r="B2289" s="238"/>
      <c r="C2289" s="52" t="s">
        <v>1838</v>
      </c>
      <c r="D2289" s="36"/>
      <c r="E2289" s="37"/>
      <c r="F2289" s="31" t="s">
        <v>522</v>
      </c>
      <c r="G2289" s="31"/>
      <c r="H2289" s="35"/>
      <c r="I2289" s="31"/>
      <c r="J2289" s="102">
        <v>0</v>
      </c>
    </row>
    <row r="2290" spans="1:10" hidden="1" x14ac:dyDescent="0.25">
      <c r="A2290" s="233"/>
      <c r="B2290" s="238"/>
      <c r="C2290" s="36"/>
      <c r="D2290" s="47"/>
      <c r="E2290" s="37"/>
      <c r="F2290" s="34" t="s">
        <v>522</v>
      </c>
      <c r="G2290" s="34" t="str">
        <f t="shared" ref="G2290:G2297" si="39">IF(ISNUMBER(F2290),E2290*F2290,"")</f>
        <v/>
      </c>
      <c r="H2290" s="35"/>
      <c r="I2290" s="31"/>
      <c r="J2290" s="102">
        <v>0</v>
      </c>
    </row>
    <row r="2291" spans="1:10" ht="15.75" hidden="1" thickBot="1" x14ac:dyDescent="0.3">
      <c r="A2291" s="232" t="s">
        <v>707</v>
      </c>
      <c r="B2291" s="229" t="e">
        <f>INDEX(#REF!,MATCH(Composições!A2291,#REF!,0),2)</f>
        <v>#REF!</v>
      </c>
      <c r="C2291" s="41"/>
      <c r="D2291" s="26" t="s">
        <v>20</v>
      </c>
      <c r="E2291" s="27"/>
      <c r="F2291" s="42" t="s">
        <v>522</v>
      </c>
      <c r="G2291" s="28" t="str">
        <f t="shared" si="39"/>
        <v/>
      </c>
      <c r="H2291" s="29"/>
      <c r="I2291" s="30"/>
      <c r="J2291" s="102">
        <v>0</v>
      </c>
    </row>
    <row r="2292" spans="1:10" hidden="1" x14ac:dyDescent="0.25">
      <c r="A2292" s="233"/>
      <c r="B2292" s="238"/>
      <c r="C2292" s="32"/>
      <c r="D2292" s="32"/>
      <c r="E2292" s="33"/>
      <c r="F2292" s="43" t="s">
        <v>522</v>
      </c>
      <c r="G2292" s="31" t="str">
        <f t="shared" si="39"/>
        <v/>
      </c>
      <c r="H2292" s="35"/>
      <c r="I2292" s="31"/>
      <c r="J2292" s="102">
        <v>0</v>
      </c>
    </row>
    <row r="2293" spans="1:10" ht="51" hidden="1" x14ac:dyDescent="0.25">
      <c r="A2293" s="233"/>
      <c r="B2293" s="238"/>
      <c r="C2293" s="36" t="s">
        <v>2032</v>
      </c>
      <c r="D2293" s="47" t="s">
        <v>279</v>
      </c>
      <c r="E2293" s="37">
        <v>1</v>
      </c>
      <c r="F2293" s="34">
        <v>325.47000000000003</v>
      </c>
      <c r="G2293" s="34">
        <f t="shared" si="39"/>
        <v>325.47000000000003</v>
      </c>
      <c r="H2293" s="39">
        <f>SUM(G2293:G2297)</f>
        <v>423.91758040000002</v>
      </c>
      <c r="I2293" s="40"/>
      <c r="J2293" s="102">
        <v>0</v>
      </c>
    </row>
    <row r="2294" spans="1:10" hidden="1" x14ac:dyDescent="0.25">
      <c r="A2294" s="233"/>
      <c r="B2294" s="238"/>
      <c r="C2294" s="36" t="s">
        <v>702</v>
      </c>
      <c r="D2294" s="47" t="s">
        <v>703</v>
      </c>
      <c r="E2294" s="37">
        <f>ROUND(1.678*0.8,4)</f>
        <v>1.3424</v>
      </c>
      <c r="F2294" s="31">
        <v>20.425000000000001</v>
      </c>
      <c r="G2294" s="34">
        <f t="shared" si="39"/>
        <v>27.418520000000001</v>
      </c>
      <c r="H2294" s="35"/>
      <c r="I2294" s="31"/>
      <c r="J2294" s="102">
        <v>0</v>
      </c>
    </row>
    <row r="2295" spans="1:10" hidden="1" x14ac:dyDescent="0.25">
      <c r="A2295" s="233"/>
      <c r="B2295" s="238"/>
      <c r="C2295" s="36" t="s">
        <v>704</v>
      </c>
      <c r="D2295" s="47" t="s">
        <v>703</v>
      </c>
      <c r="E2295" s="37">
        <f>ROUND(0.839*0.8,4)</f>
        <v>0.67120000000000002</v>
      </c>
      <c r="F2295" s="31">
        <v>16.1785</v>
      </c>
      <c r="G2295" s="34">
        <f t="shared" si="39"/>
        <v>10.859009200000001</v>
      </c>
      <c r="H2295" s="35"/>
      <c r="I2295" s="31"/>
      <c r="J2295" s="102">
        <v>0</v>
      </c>
    </row>
    <row r="2296" spans="1:10" hidden="1" x14ac:dyDescent="0.25">
      <c r="A2296" s="233"/>
      <c r="B2296" s="238"/>
      <c r="C2296" s="36" t="s">
        <v>203</v>
      </c>
      <c r="D2296" s="50" t="s">
        <v>102</v>
      </c>
      <c r="E2296" s="37">
        <f>ROUND(0.108*(2*0.9*2.1),4)</f>
        <v>0.40820000000000001</v>
      </c>
      <c r="F2296" s="34" t="s">
        <v>522</v>
      </c>
      <c r="G2296" s="31" t="str">
        <f t="shared" si="39"/>
        <v/>
      </c>
      <c r="H2296" s="35"/>
      <c r="I2296" s="31"/>
      <c r="J2296" s="102">
        <v>0</v>
      </c>
    </row>
    <row r="2297" spans="1:10" hidden="1" x14ac:dyDescent="0.25">
      <c r="A2297" s="233"/>
      <c r="B2297" s="238"/>
      <c r="C2297" s="36" t="s">
        <v>100</v>
      </c>
      <c r="D2297" s="36" t="s">
        <v>12</v>
      </c>
      <c r="E2297" s="37">
        <f>ROUND(0.7076*(2*0.9*2.1),4)</f>
        <v>2.6747000000000001</v>
      </c>
      <c r="F2297" s="31">
        <v>22.495999999999999</v>
      </c>
      <c r="G2297" s="31">
        <f t="shared" si="39"/>
        <v>60.170051199999996</v>
      </c>
      <c r="H2297" s="35"/>
      <c r="I2297" s="31"/>
      <c r="J2297" s="102">
        <v>0</v>
      </c>
    </row>
    <row r="2298" spans="1:10" hidden="1" x14ac:dyDescent="0.25">
      <c r="A2298" s="233"/>
      <c r="B2298" s="238"/>
      <c r="C2298" s="36"/>
      <c r="D2298" s="36"/>
      <c r="E2298" s="37"/>
      <c r="F2298" s="31" t="s">
        <v>522</v>
      </c>
      <c r="G2298" s="31"/>
      <c r="H2298" s="35"/>
      <c r="I2298" s="31"/>
      <c r="J2298" s="102">
        <v>0</v>
      </c>
    </row>
    <row r="2299" spans="1:10" ht="38.25" hidden="1" x14ac:dyDescent="0.25">
      <c r="A2299" s="233"/>
      <c r="B2299" s="238"/>
      <c r="C2299" s="52" t="s">
        <v>1838</v>
      </c>
      <c r="D2299" s="36"/>
      <c r="E2299" s="37"/>
      <c r="F2299" s="31" t="s">
        <v>522</v>
      </c>
      <c r="G2299" s="31"/>
      <c r="H2299" s="35"/>
      <c r="I2299" s="31"/>
      <c r="J2299" s="102">
        <v>0</v>
      </c>
    </row>
    <row r="2300" spans="1:10" hidden="1" x14ac:dyDescent="0.25">
      <c r="A2300" s="233"/>
      <c r="B2300" s="238"/>
      <c r="C2300" s="36"/>
      <c r="D2300" s="47"/>
      <c r="E2300" s="37"/>
      <c r="F2300" s="34" t="s">
        <v>522</v>
      </c>
      <c r="G2300" s="34" t="str">
        <f t="shared" ref="G2300:G2307" si="40">IF(ISNUMBER(F2300),E2300*F2300,"")</f>
        <v/>
      </c>
      <c r="H2300" s="35"/>
      <c r="I2300" s="31"/>
      <c r="J2300" s="102">
        <v>0</v>
      </c>
    </row>
    <row r="2301" spans="1:10" ht="15.75" hidden="1" thickBot="1" x14ac:dyDescent="0.3">
      <c r="A2301" s="232" t="s">
        <v>708</v>
      </c>
      <c r="B2301" s="229" t="e">
        <f>INDEX(#REF!,MATCH(Composições!A2301,#REF!,0),2)</f>
        <v>#REF!</v>
      </c>
      <c r="C2301" s="41"/>
      <c r="D2301" s="26" t="s">
        <v>20</v>
      </c>
      <c r="E2301" s="27"/>
      <c r="F2301" s="42" t="s">
        <v>522</v>
      </c>
      <c r="G2301" s="28" t="str">
        <f t="shared" si="40"/>
        <v/>
      </c>
      <c r="H2301" s="29"/>
      <c r="I2301" s="30"/>
      <c r="J2301" s="102">
        <v>0</v>
      </c>
    </row>
    <row r="2302" spans="1:10" hidden="1" x14ac:dyDescent="0.25">
      <c r="A2302" s="233"/>
      <c r="B2302" s="238"/>
      <c r="C2302" s="32"/>
      <c r="D2302" s="32"/>
      <c r="E2302" s="33"/>
      <c r="F2302" s="43" t="s">
        <v>522</v>
      </c>
      <c r="G2302" s="31" t="str">
        <f t="shared" si="40"/>
        <v/>
      </c>
      <c r="H2302" s="35"/>
      <c r="I2302" s="31"/>
      <c r="J2302" s="102">
        <v>0</v>
      </c>
    </row>
    <row r="2303" spans="1:10" ht="51" hidden="1" x14ac:dyDescent="0.25">
      <c r="A2303" s="233"/>
      <c r="B2303" s="238"/>
      <c r="C2303" s="36" t="s">
        <v>2027</v>
      </c>
      <c r="D2303" s="47" t="s">
        <v>279</v>
      </c>
      <c r="E2303" s="37">
        <v>1</v>
      </c>
      <c r="F2303" s="34">
        <v>348.61199999999997</v>
      </c>
      <c r="G2303" s="34">
        <f t="shared" si="40"/>
        <v>348.61199999999997</v>
      </c>
      <c r="H2303" s="39">
        <f>SUM(G2303:G2307)</f>
        <v>453.74539159999995</v>
      </c>
      <c r="I2303" s="40"/>
      <c r="J2303" s="102">
        <v>0</v>
      </c>
    </row>
    <row r="2304" spans="1:10" hidden="1" x14ac:dyDescent="0.25">
      <c r="A2304" s="233"/>
      <c r="B2304" s="238"/>
      <c r="C2304" s="36" t="s">
        <v>702</v>
      </c>
      <c r="D2304" s="47" t="s">
        <v>703</v>
      </c>
      <c r="E2304" s="37">
        <f>ROUND(1.678*0.8,4)</f>
        <v>1.3424</v>
      </c>
      <c r="F2304" s="31">
        <v>20.425000000000001</v>
      </c>
      <c r="G2304" s="34">
        <f t="shared" si="40"/>
        <v>27.418520000000001</v>
      </c>
      <c r="H2304" s="35"/>
      <c r="I2304" s="31"/>
      <c r="J2304" s="102">
        <v>0</v>
      </c>
    </row>
    <row r="2305" spans="1:10" hidden="1" x14ac:dyDescent="0.25">
      <c r="A2305" s="233"/>
      <c r="B2305" s="238"/>
      <c r="C2305" s="36" t="s">
        <v>704</v>
      </c>
      <c r="D2305" s="47" t="s">
        <v>703</v>
      </c>
      <c r="E2305" s="37">
        <f>ROUND(0.839*0.8,4)</f>
        <v>0.67120000000000002</v>
      </c>
      <c r="F2305" s="31">
        <v>16.1785</v>
      </c>
      <c r="G2305" s="34">
        <f t="shared" si="40"/>
        <v>10.859009200000001</v>
      </c>
      <c r="H2305" s="35"/>
      <c r="I2305" s="31"/>
      <c r="J2305" s="102">
        <v>0</v>
      </c>
    </row>
    <row r="2306" spans="1:10" hidden="1" x14ac:dyDescent="0.25">
      <c r="A2306" s="233"/>
      <c r="B2306" s="238"/>
      <c r="C2306" s="36" t="s">
        <v>203</v>
      </c>
      <c r="D2306" s="50" t="s">
        <v>102</v>
      </c>
      <c r="E2306" s="37">
        <f>ROUND(0.108*(2*1*2.1),4)</f>
        <v>0.4536</v>
      </c>
      <c r="F2306" s="34" t="s">
        <v>522</v>
      </c>
      <c r="G2306" s="31" t="str">
        <f t="shared" si="40"/>
        <v/>
      </c>
      <c r="H2306" s="35"/>
      <c r="I2306" s="31"/>
      <c r="J2306" s="102">
        <v>0</v>
      </c>
    </row>
    <row r="2307" spans="1:10" hidden="1" x14ac:dyDescent="0.25">
      <c r="A2307" s="233"/>
      <c r="B2307" s="238"/>
      <c r="C2307" s="36" t="s">
        <v>100</v>
      </c>
      <c r="D2307" s="36" t="s">
        <v>12</v>
      </c>
      <c r="E2307" s="37">
        <f>ROUND(0.7076*(2*1*2.1),4)</f>
        <v>2.9719000000000002</v>
      </c>
      <c r="F2307" s="31">
        <v>22.495999999999999</v>
      </c>
      <c r="G2307" s="31">
        <f t="shared" si="40"/>
        <v>66.855862400000007</v>
      </c>
      <c r="H2307" s="35"/>
      <c r="I2307" s="31"/>
      <c r="J2307" s="102">
        <v>0</v>
      </c>
    </row>
    <row r="2308" spans="1:10" hidden="1" x14ac:dyDescent="0.25">
      <c r="A2308" s="233"/>
      <c r="B2308" s="238"/>
      <c r="C2308" s="36"/>
      <c r="D2308" s="36"/>
      <c r="E2308" s="37"/>
      <c r="F2308" s="31" t="s">
        <v>522</v>
      </c>
      <c r="G2308" s="31"/>
      <c r="H2308" s="35"/>
      <c r="I2308" s="31"/>
      <c r="J2308" s="102">
        <v>0</v>
      </c>
    </row>
    <row r="2309" spans="1:10" ht="38.25" hidden="1" x14ac:dyDescent="0.25">
      <c r="A2309" s="233"/>
      <c r="B2309" s="238"/>
      <c r="C2309" s="52" t="s">
        <v>1838</v>
      </c>
      <c r="D2309" s="36"/>
      <c r="E2309" s="37"/>
      <c r="F2309" s="31" t="s">
        <v>522</v>
      </c>
      <c r="G2309" s="31"/>
      <c r="H2309" s="35"/>
      <c r="I2309" s="31"/>
      <c r="J2309" s="102">
        <v>0</v>
      </c>
    </row>
    <row r="2310" spans="1:10" hidden="1" x14ac:dyDescent="0.25">
      <c r="A2310" s="233"/>
      <c r="B2310" s="238"/>
      <c r="C2310" s="36"/>
      <c r="D2310" s="47"/>
      <c r="E2310" s="37"/>
      <c r="F2310" s="34" t="s">
        <v>522</v>
      </c>
      <c r="G2310" s="34" t="str">
        <f t="shared" ref="G2310:G2373" si="41">IF(ISNUMBER(F2310),E2310*F2310,"")</f>
        <v/>
      </c>
      <c r="H2310" s="35"/>
      <c r="I2310" s="31"/>
      <c r="J2310" s="102">
        <v>0</v>
      </c>
    </row>
    <row r="2311" spans="1:10" ht="15.75" hidden="1" thickBot="1" x14ac:dyDescent="0.3">
      <c r="A2311" s="232" t="s">
        <v>709</v>
      </c>
      <c r="B2311" s="229" t="e">
        <f>INDEX(#REF!,MATCH(Composições!A2311,#REF!,0),2)</f>
        <v>#REF!</v>
      </c>
      <c r="C2311" s="41"/>
      <c r="D2311" s="26" t="s">
        <v>20</v>
      </c>
      <c r="E2311" s="27"/>
      <c r="F2311" s="42" t="s">
        <v>522</v>
      </c>
      <c r="G2311" s="28" t="str">
        <f t="shared" si="41"/>
        <v/>
      </c>
      <c r="H2311" s="29"/>
      <c r="I2311" s="30"/>
      <c r="J2311" s="102">
        <v>0</v>
      </c>
    </row>
    <row r="2312" spans="1:10" hidden="1" x14ac:dyDescent="0.25">
      <c r="A2312" s="233"/>
      <c r="B2312" s="238"/>
      <c r="C2312" s="32"/>
      <c r="D2312" s="32"/>
      <c r="E2312" s="33"/>
      <c r="F2312" s="43" t="s">
        <v>522</v>
      </c>
      <c r="G2312" s="31" t="str">
        <f t="shared" si="41"/>
        <v/>
      </c>
      <c r="H2312" s="35"/>
      <c r="I2312" s="31"/>
      <c r="J2312" s="102">
        <v>0</v>
      </c>
    </row>
    <row r="2313" spans="1:10" hidden="1" x14ac:dyDescent="0.25">
      <c r="A2313" s="233"/>
      <c r="B2313" s="238"/>
      <c r="C2313" s="36" t="s">
        <v>1416</v>
      </c>
      <c r="D2313" s="47" t="s">
        <v>898</v>
      </c>
      <c r="E2313" s="37">
        <v>1.0999999999999999E-2</v>
      </c>
      <c r="F2313" s="34">
        <v>29.1555</v>
      </c>
      <c r="G2313" s="31">
        <f t="shared" si="41"/>
        <v>0.32071049999999995</v>
      </c>
      <c r="H2313" s="39">
        <f>SUM(G2313:G2316)</f>
        <v>78.7911</v>
      </c>
      <c r="I2313" s="40"/>
      <c r="J2313" s="102">
        <v>0</v>
      </c>
    </row>
    <row r="2314" spans="1:10" hidden="1" x14ac:dyDescent="0.25">
      <c r="A2314" s="233"/>
      <c r="B2314" s="238"/>
      <c r="C2314" s="36" t="s">
        <v>98</v>
      </c>
      <c r="D2314" s="50" t="s">
        <v>898</v>
      </c>
      <c r="E2314" s="37">
        <v>2.4E-2</v>
      </c>
      <c r="F2314" s="34">
        <v>22.134999999999998</v>
      </c>
      <c r="G2314" s="31">
        <f t="shared" si="41"/>
        <v>0.53123999999999993</v>
      </c>
      <c r="H2314" s="35"/>
      <c r="I2314" s="31"/>
      <c r="J2314" s="102">
        <v>0</v>
      </c>
    </row>
    <row r="2315" spans="1:10" hidden="1" x14ac:dyDescent="0.25">
      <c r="A2315" s="233"/>
      <c r="B2315" s="238"/>
      <c r="C2315" s="36" t="s">
        <v>702</v>
      </c>
      <c r="D2315" s="47" t="s">
        <v>703</v>
      </c>
      <c r="E2315" s="37">
        <v>2.7410000000000001</v>
      </c>
      <c r="F2315" s="31">
        <v>20.425000000000001</v>
      </c>
      <c r="G2315" s="31">
        <f t="shared" si="41"/>
        <v>55.984925000000004</v>
      </c>
      <c r="H2315" s="35"/>
      <c r="I2315" s="31"/>
      <c r="J2315" s="102">
        <v>0</v>
      </c>
    </row>
    <row r="2316" spans="1:10" hidden="1" x14ac:dyDescent="0.25">
      <c r="A2316" s="233"/>
      <c r="B2316" s="238"/>
      <c r="C2316" s="36" t="s">
        <v>704</v>
      </c>
      <c r="D2316" s="47" t="s">
        <v>703</v>
      </c>
      <c r="E2316" s="37">
        <v>1.357</v>
      </c>
      <c r="F2316" s="31">
        <v>16.1785</v>
      </c>
      <c r="G2316" s="31">
        <f t="shared" si="41"/>
        <v>21.954224499999999</v>
      </c>
      <c r="H2316" s="35"/>
      <c r="I2316" s="31"/>
      <c r="J2316" s="102">
        <v>0</v>
      </c>
    </row>
    <row r="2317" spans="1:10" hidden="1" x14ac:dyDescent="0.25">
      <c r="A2317" s="233"/>
      <c r="B2317" s="238"/>
      <c r="C2317" s="36"/>
      <c r="D2317" s="36"/>
      <c r="E2317" s="37"/>
      <c r="F2317" s="31" t="s">
        <v>522</v>
      </c>
      <c r="G2317" s="34" t="str">
        <f t="shared" si="41"/>
        <v/>
      </c>
      <c r="H2317" s="35"/>
      <c r="I2317" s="31"/>
      <c r="J2317" s="102">
        <v>0</v>
      </c>
    </row>
    <row r="2318" spans="1:10" ht="15.75" hidden="1" thickBot="1" x14ac:dyDescent="0.3">
      <c r="A2318" s="232" t="s">
        <v>710</v>
      </c>
      <c r="B2318" s="229" t="e">
        <f>INDEX(#REF!,MATCH(Composições!A2318,#REF!,0),2)</f>
        <v>#REF!</v>
      </c>
      <c r="C2318" s="41"/>
      <c r="D2318" s="26" t="s">
        <v>20</v>
      </c>
      <c r="E2318" s="27"/>
      <c r="F2318" s="42" t="s">
        <v>522</v>
      </c>
      <c r="G2318" s="28" t="str">
        <f t="shared" si="41"/>
        <v/>
      </c>
      <c r="H2318" s="29"/>
      <c r="I2318" s="30"/>
      <c r="J2318" s="102">
        <v>0</v>
      </c>
    </row>
    <row r="2319" spans="1:10" hidden="1" x14ac:dyDescent="0.25">
      <c r="A2319" s="233"/>
      <c r="B2319" s="238"/>
      <c r="C2319" s="32"/>
      <c r="D2319" s="32"/>
      <c r="E2319" s="33"/>
      <c r="F2319" s="43" t="s">
        <v>522</v>
      </c>
      <c r="G2319" s="34" t="str">
        <f t="shared" si="41"/>
        <v/>
      </c>
      <c r="H2319" s="35"/>
      <c r="I2319" s="31"/>
      <c r="J2319" s="102">
        <v>0</v>
      </c>
    </row>
    <row r="2320" spans="1:10" ht="25.5" hidden="1" x14ac:dyDescent="0.25">
      <c r="A2320" s="233"/>
      <c r="B2320" s="238"/>
      <c r="C2320" s="36" t="s">
        <v>701</v>
      </c>
      <c r="D2320" s="36" t="s">
        <v>279</v>
      </c>
      <c r="E2320" s="37">
        <v>19.8</v>
      </c>
      <c r="F2320" s="31">
        <v>8.5499999999999993E-2</v>
      </c>
      <c r="G2320" s="34">
        <f t="shared" si="41"/>
        <v>1.6928999999999998</v>
      </c>
      <c r="H2320" s="39">
        <f>SUM(G2320:G2323)</f>
        <v>57.544369000000003</v>
      </c>
      <c r="I2320" s="40"/>
      <c r="J2320" s="102">
        <v>0</v>
      </c>
    </row>
    <row r="2321" spans="1:10" hidden="1" x14ac:dyDescent="0.25">
      <c r="A2321" s="233"/>
      <c r="B2321" s="238"/>
      <c r="C2321" s="36" t="s">
        <v>702</v>
      </c>
      <c r="D2321" s="36" t="s">
        <v>703</v>
      </c>
      <c r="E2321" s="37">
        <v>1.546</v>
      </c>
      <c r="F2321" s="31">
        <v>20.425000000000001</v>
      </c>
      <c r="G2321" s="34">
        <f t="shared" si="41"/>
        <v>31.577050000000003</v>
      </c>
      <c r="H2321" s="35"/>
      <c r="I2321" s="31"/>
      <c r="J2321" s="102">
        <v>0</v>
      </c>
    </row>
    <row r="2322" spans="1:10" hidden="1" x14ac:dyDescent="0.25">
      <c r="A2322" s="233"/>
      <c r="B2322" s="238"/>
      <c r="C2322" s="36" t="s">
        <v>711</v>
      </c>
      <c r="D2322" s="36" t="s">
        <v>703</v>
      </c>
      <c r="E2322" s="37">
        <v>0.221</v>
      </c>
      <c r="F2322" s="31">
        <v>21.479499999999998</v>
      </c>
      <c r="G2322" s="34">
        <f t="shared" si="41"/>
        <v>4.7469694999999996</v>
      </c>
      <c r="H2322" s="35"/>
      <c r="I2322" s="31"/>
      <c r="J2322" s="102">
        <v>0</v>
      </c>
    </row>
    <row r="2323" spans="1:10" hidden="1" x14ac:dyDescent="0.25">
      <c r="A2323" s="233"/>
      <c r="B2323" s="238"/>
      <c r="C2323" s="36" t="s">
        <v>704</v>
      </c>
      <c r="D2323" s="36" t="s">
        <v>703</v>
      </c>
      <c r="E2323" s="37">
        <v>1.2070000000000001</v>
      </c>
      <c r="F2323" s="31">
        <v>16.1785</v>
      </c>
      <c r="G2323" s="34">
        <f t="shared" si="41"/>
        <v>19.527449499999999</v>
      </c>
      <c r="H2323" s="35"/>
      <c r="I2323" s="31"/>
      <c r="J2323" s="102">
        <v>0</v>
      </c>
    </row>
    <row r="2324" spans="1:10" hidden="1" x14ac:dyDescent="0.25">
      <c r="A2324" s="233"/>
      <c r="B2324" s="238"/>
      <c r="C2324" s="36"/>
      <c r="D2324" s="36"/>
      <c r="E2324" s="37"/>
      <c r="F2324" s="31" t="s">
        <v>522</v>
      </c>
      <c r="G2324" s="34" t="str">
        <f t="shared" si="41"/>
        <v/>
      </c>
      <c r="H2324" s="35"/>
      <c r="I2324" s="31"/>
      <c r="J2324" s="102">
        <v>0</v>
      </c>
    </row>
    <row r="2325" spans="1:10" ht="15.75" hidden="1" thickBot="1" x14ac:dyDescent="0.3">
      <c r="A2325" s="218" t="s">
        <v>712</v>
      </c>
      <c r="B2325" s="221" t="e">
        <f>INDEX(#REF!,MATCH(Composições!A2325,#REF!,0),2)</f>
        <v>#REF!</v>
      </c>
      <c r="C2325" s="41"/>
      <c r="D2325" s="26" t="s">
        <v>20</v>
      </c>
      <c r="E2325" s="27"/>
      <c r="F2325" s="42" t="s">
        <v>522</v>
      </c>
      <c r="G2325" s="28" t="str">
        <f t="shared" si="41"/>
        <v/>
      </c>
      <c r="H2325" s="29"/>
      <c r="I2325" s="30"/>
      <c r="J2325" s="102">
        <v>0</v>
      </c>
    </row>
    <row r="2326" spans="1:10" hidden="1" x14ac:dyDescent="0.25">
      <c r="A2326" s="219"/>
      <c r="B2326" s="237"/>
      <c r="C2326" s="32"/>
      <c r="D2326" s="32"/>
      <c r="E2326" s="33"/>
      <c r="F2326" s="43" t="s">
        <v>522</v>
      </c>
      <c r="G2326" s="34" t="str">
        <f t="shared" si="41"/>
        <v/>
      </c>
      <c r="H2326" s="35"/>
      <c r="I2326" s="31"/>
      <c r="J2326" s="102">
        <v>0</v>
      </c>
    </row>
    <row r="2327" spans="1:10" ht="25.5" hidden="1" x14ac:dyDescent="0.25">
      <c r="A2327" s="219"/>
      <c r="B2327" s="237"/>
      <c r="C2327" s="36" t="s">
        <v>700</v>
      </c>
      <c r="D2327" s="47" t="s">
        <v>279</v>
      </c>
      <c r="E2327" s="37">
        <v>1</v>
      </c>
      <c r="F2327" s="34">
        <v>24.224999999999998</v>
      </c>
      <c r="G2327" s="34">
        <f t="shared" si="41"/>
        <v>24.224999999999998</v>
      </c>
      <c r="H2327" s="39">
        <f>SUM(G2327:G2329)</f>
        <v>50.344053000000002</v>
      </c>
      <c r="I2327" s="40"/>
      <c r="J2327" s="102">
        <v>0</v>
      </c>
    </row>
    <row r="2328" spans="1:10" hidden="1" x14ac:dyDescent="0.25">
      <c r="A2328" s="219"/>
      <c r="B2328" s="237"/>
      <c r="C2328" s="36" t="s">
        <v>704</v>
      </c>
      <c r="D2328" s="47" t="s">
        <v>12</v>
      </c>
      <c r="E2328" s="37">
        <v>0.45800000000000002</v>
      </c>
      <c r="F2328" s="31">
        <v>16.1785</v>
      </c>
      <c r="G2328" s="34">
        <f t="shared" si="41"/>
        <v>7.4097530000000003</v>
      </c>
      <c r="H2328" s="35"/>
      <c r="I2328" s="31"/>
      <c r="J2328" s="102">
        <v>0</v>
      </c>
    </row>
    <row r="2329" spans="1:10" hidden="1" x14ac:dyDescent="0.25">
      <c r="A2329" s="219"/>
      <c r="B2329" s="237"/>
      <c r="C2329" s="36" t="s">
        <v>44</v>
      </c>
      <c r="D2329" s="47" t="s">
        <v>12</v>
      </c>
      <c r="E2329" s="37">
        <v>0.91600000000000004</v>
      </c>
      <c r="F2329" s="31">
        <v>20.425000000000001</v>
      </c>
      <c r="G2329" s="34">
        <f t="shared" si="41"/>
        <v>18.709300000000002</v>
      </c>
      <c r="H2329" s="35"/>
      <c r="I2329" s="31"/>
      <c r="J2329" s="102">
        <v>0</v>
      </c>
    </row>
    <row r="2330" spans="1:10" ht="15.75" hidden="1" thickBot="1" x14ac:dyDescent="0.3">
      <c r="A2330" s="220"/>
      <c r="B2330" s="223"/>
      <c r="C2330" s="36"/>
      <c r="D2330" s="36"/>
      <c r="E2330" s="37"/>
      <c r="F2330" s="31" t="s">
        <v>522</v>
      </c>
      <c r="G2330" s="34" t="str">
        <f t="shared" si="41"/>
        <v/>
      </c>
      <c r="H2330" s="35"/>
      <c r="I2330" s="31"/>
      <c r="J2330" s="102">
        <v>0</v>
      </c>
    </row>
    <row r="2331" spans="1:10" ht="15.75" hidden="1" thickBot="1" x14ac:dyDescent="0.3">
      <c r="A2331" s="218" t="s">
        <v>713</v>
      </c>
      <c r="B2331" s="221" t="e">
        <f>INDEX(#REF!,MATCH(Composições!A2331,#REF!,0),2)</f>
        <v>#REF!</v>
      </c>
      <c r="C2331" s="41"/>
      <c r="D2331" s="26" t="s">
        <v>20</v>
      </c>
      <c r="E2331" s="27"/>
      <c r="F2331" s="42" t="s">
        <v>522</v>
      </c>
      <c r="G2331" s="28" t="str">
        <f t="shared" si="41"/>
        <v/>
      </c>
      <c r="H2331" s="29"/>
      <c r="I2331" s="30"/>
      <c r="J2331" s="102">
        <v>0</v>
      </c>
    </row>
    <row r="2332" spans="1:10" hidden="1" x14ac:dyDescent="0.25">
      <c r="A2332" s="219"/>
      <c r="B2332" s="237"/>
      <c r="C2332" s="32"/>
      <c r="D2332" s="32"/>
      <c r="E2332" s="33"/>
      <c r="F2332" s="43" t="s">
        <v>522</v>
      </c>
      <c r="G2332" s="34" t="str">
        <f t="shared" si="41"/>
        <v/>
      </c>
      <c r="H2332" s="35"/>
      <c r="I2332" s="31"/>
      <c r="J2332" s="102">
        <v>0</v>
      </c>
    </row>
    <row r="2333" spans="1:10" ht="38.25" hidden="1" x14ac:dyDescent="0.25">
      <c r="A2333" s="219"/>
      <c r="B2333" s="237"/>
      <c r="C2333" s="36" t="s">
        <v>714</v>
      </c>
      <c r="D2333" s="47" t="s">
        <v>144</v>
      </c>
      <c r="E2333" s="37">
        <v>1</v>
      </c>
      <c r="F2333" s="34" t="s">
        <v>522</v>
      </c>
      <c r="G2333" s="34" t="str">
        <f t="shared" si="41"/>
        <v/>
      </c>
      <c r="H2333" s="39">
        <f>SUM(G2333:G2335)</f>
        <v>21.878519000000001</v>
      </c>
      <c r="I2333" s="40"/>
      <c r="J2333" s="102">
        <v>0</v>
      </c>
    </row>
    <row r="2334" spans="1:10" hidden="1" x14ac:dyDescent="0.25">
      <c r="A2334" s="219"/>
      <c r="B2334" s="237"/>
      <c r="C2334" s="36" t="s">
        <v>44</v>
      </c>
      <c r="D2334" s="47" t="s">
        <v>12</v>
      </c>
      <c r="E2334" s="37">
        <v>0.76700000000000002</v>
      </c>
      <c r="F2334" s="31">
        <v>20.425000000000001</v>
      </c>
      <c r="G2334" s="34">
        <f t="shared" si="41"/>
        <v>15.665975000000001</v>
      </c>
      <c r="H2334" s="35"/>
      <c r="I2334" s="31"/>
      <c r="J2334" s="102">
        <v>0</v>
      </c>
    </row>
    <row r="2335" spans="1:10" hidden="1" x14ac:dyDescent="0.25">
      <c r="A2335" s="219"/>
      <c r="B2335" s="237"/>
      <c r="C2335" s="36" t="s">
        <v>23</v>
      </c>
      <c r="D2335" s="47" t="s">
        <v>12</v>
      </c>
      <c r="E2335" s="37">
        <v>0.38400000000000001</v>
      </c>
      <c r="F2335" s="31">
        <v>16.1785</v>
      </c>
      <c r="G2335" s="34">
        <f t="shared" si="41"/>
        <v>6.2125440000000003</v>
      </c>
      <c r="H2335" s="35"/>
      <c r="I2335" s="31"/>
      <c r="J2335" s="102">
        <v>0</v>
      </c>
    </row>
    <row r="2336" spans="1:10" ht="15.75" hidden="1" thickBot="1" x14ac:dyDescent="0.3">
      <c r="A2336" s="220"/>
      <c r="B2336" s="223"/>
      <c r="C2336" s="36"/>
      <c r="D2336" s="36"/>
      <c r="E2336" s="37"/>
      <c r="F2336" s="31" t="s">
        <v>522</v>
      </c>
      <c r="G2336" s="34" t="str">
        <f t="shared" si="41"/>
        <v/>
      </c>
      <c r="H2336" s="35"/>
      <c r="I2336" s="31"/>
      <c r="J2336" s="102">
        <v>0</v>
      </c>
    </row>
    <row r="2337" spans="1:10" ht="15.75" hidden="1" thickBot="1" x14ac:dyDescent="0.3">
      <c r="A2337" s="218" t="s">
        <v>715</v>
      </c>
      <c r="B2337" s="221" t="e">
        <f>INDEX(#REF!,MATCH(Composições!A2337,#REF!,0),2)</f>
        <v>#REF!</v>
      </c>
      <c r="C2337" s="41"/>
      <c r="D2337" s="26" t="s">
        <v>20</v>
      </c>
      <c r="E2337" s="27"/>
      <c r="F2337" s="42" t="s">
        <v>522</v>
      </c>
      <c r="G2337" s="28" t="str">
        <f t="shared" si="41"/>
        <v/>
      </c>
      <c r="H2337" s="29"/>
      <c r="I2337" s="30"/>
      <c r="J2337" s="102">
        <v>0</v>
      </c>
    </row>
    <row r="2338" spans="1:10" hidden="1" x14ac:dyDescent="0.25">
      <c r="A2338" s="219"/>
      <c r="B2338" s="237"/>
      <c r="C2338" s="32"/>
      <c r="D2338" s="32"/>
      <c r="E2338" s="33"/>
      <c r="F2338" s="43" t="s">
        <v>522</v>
      </c>
      <c r="G2338" s="34" t="str">
        <f t="shared" si="41"/>
        <v/>
      </c>
      <c r="H2338" s="35"/>
      <c r="I2338" s="31"/>
      <c r="J2338" s="102">
        <v>0</v>
      </c>
    </row>
    <row r="2339" spans="1:10" ht="38.25" hidden="1" x14ac:dyDescent="0.25">
      <c r="A2339" s="219"/>
      <c r="B2339" s="237"/>
      <c r="C2339" s="36" t="s">
        <v>716</v>
      </c>
      <c r="D2339" s="47" t="s">
        <v>144</v>
      </c>
      <c r="E2339" s="37">
        <v>1</v>
      </c>
      <c r="F2339" s="34" t="s">
        <v>522</v>
      </c>
      <c r="G2339" s="34" t="str">
        <f t="shared" si="41"/>
        <v/>
      </c>
      <c r="H2339" s="39">
        <f>SUM(G2339:G2341)</f>
        <v>28.571278499999998</v>
      </c>
      <c r="I2339" s="40"/>
      <c r="J2339" s="102">
        <v>0</v>
      </c>
    </row>
    <row r="2340" spans="1:10" hidden="1" x14ac:dyDescent="0.25">
      <c r="A2340" s="219"/>
      <c r="B2340" s="237"/>
      <c r="C2340" s="36" t="s">
        <v>44</v>
      </c>
      <c r="D2340" s="47" t="s">
        <v>12</v>
      </c>
      <c r="E2340" s="37">
        <v>1.002</v>
      </c>
      <c r="F2340" s="31">
        <v>20.425000000000001</v>
      </c>
      <c r="G2340" s="34">
        <f t="shared" si="41"/>
        <v>20.46585</v>
      </c>
      <c r="H2340" s="35"/>
      <c r="I2340" s="31"/>
      <c r="J2340" s="102">
        <v>0</v>
      </c>
    </row>
    <row r="2341" spans="1:10" hidden="1" x14ac:dyDescent="0.25">
      <c r="A2341" s="219"/>
      <c r="B2341" s="237"/>
      <c r="C2341" s="36" t="s">
        <v>23</v>
      </c>
      <c r="D2341" s="47" t="s">
        <v>12</v>
      </c>
      <c r="E2341" s="37">
        <v>0.501</v>
      </c>
      <c r="F2341" s="31">
        <v>16.1785</v>
      </c>
      <c r="G2341" s="34">
        <f t="shared" si="41"/>
        <v>8.1054285000000004</v>
      </c>
      <c r="H2341" s="35"/>
      <c r="I2341" s="31"/>
      <c r="J2341" s="102">
        <v>0</v>
      </c>
    </row>
    <row r="2342" spans="1:10" ht="15.75" hidden="1" thickBot="1" x14ac:dyDescent="0.3">
      <c r="A2342" s="220"/>
      <c r="B2342" s="223"/>
      <c r="C2342" s="36"/>
      <c r="D2342" s="36"/>
      <c r="E2342" s="37"/>
      <c r="F2342" s="31" t="s">
        <v>522</v>
      </c>
      <c r="G2342" s="34" t="str">
        <f t="shared" si="41"/>
        <v/>
      </c>
      <c r="H2342" s="35"/>
      <c r="I2342" s="31"/>
      <c r="J2342" s="102">
        <v>0</v>
      </c>
    </row>
    <row r="2343" spans="1:10" ht="15.75" hidden="1" thickBot="1" x14ac:dyDescent="0.3">
      <c r="A2343" s="218" t="s">
        <v>717</v>
      </c>
      <c r="B2343" s="221" t="e">
        <f>INDEX(#REF!,MATCH(Composições!A2343,#REF!,0),2)</f>
        <v>#REF!</v>
      </c>
      <c r="C2343" s="41"/>
      <c r="D2343" s="26" t="s">
        <v>20</v>
      </c>
      <c r="E2343" s="27"/>
      <c r="F2343" s="42" t="s">
        <v>522</v>
      </c>
      <c r="G2343" s="28" t="str">
        <f t="shared" si="41"/>
        <v/>
      </c>
      <c r="H2343" s="29"/>
      <c r="I2343" s="30"/>
      <c r="J2343" s="102">
        <v>0</v>
      </c>
    </row>
    <row r="2344" spans="1:10" hidden="1" x14ac:dyDescent="0.25">
      <c r="A2344" s="219"/>
      <c r="B2344" s="237"/>
      <c r="C2344" s="32"/>
      <c r="D2344" s="32"/>
      <c r="E2344" s="33"/>
      <c r="F2344" s="43" t="s">
        <v>522</v>
      </c>
      <c r="G2344" s="34" t="str">
        <f t="shared" si="41"/>
        <v/>
      </c>
      <c r="H2344" s="35"/>
      <c r="I2344" s="31"/>
      <c r="J2344" s="102">
        <v>0</v>
      </c>
    </row>
    <row r="2345" spans="1:10" ht="38.25" hidden="1" x14ac:dyDescent="0.25">
      <c r="A2345" s="219"/>
      <c r="B2345" s="237"/>
      <c r="C2345" s="36" t="s">
        <v>718</v>
      </c>
      <c r="D2345" s="47" t="s">
        <v>144</v>
      </c>
      <c r="E2345" s="37">
        <v>1</v>
      </c>
      <c r="F2345" s="34" t="s">
        <v>522</v>
      </c>
      <c r="G2345" s="34" t="str">
        <f t="shared" si="41"/>
        <v/>
      </c>
      <c r="H2345" s="39">
        <f>SUM(G2345:G2347)</f>
        <v>28.571278499999998</v>
      </c>
      <c r="I2345" s="40"/>
      <c r="J2345" s="102">
        <v>0</v>
      </c>
    </row>
    <row r="2346" spans="1:10" hidden="1" x14ac:dyDescent="0.25">
      <c r="A2346" s="219"/>
      <c r="B2346" s="237"/>
      <c r="C2346" s="36" t="s">
        <v>44</v>
      </c>
      <c r="D2346" s="47" t="s">
        <v>12</v>
      </c>
      <c r="E2346" s="37">
        <v>1.002</v>
      </c>
      <c r="F2346" s="31">
        <v>20.425000000000001</v>
      </c>
      <c r="G2346" s="34">
        <f t="shared" si="41"/>
        <v>20.46585</v>
      </c>
      <c r="H2346" s="35"/>
      <c r="I2346" s="31"/>
      <c r="J2346" s="102">
        <v>0</v>
      </c>
    </row>
    <row r="2347" spans="1:10" hidden="1" x14ac:dyDescent="0.25">
      <c r="A2347" s="219"/>
      <c r="B2347" s="237"/>
      <c r="C2347" s="36" t="s">
        <v>23</v>
      </c>
      <c r="D2347" s="47" t="s">
        <v>12</v>
      </c>
      <c r="E2347" s="37">
        <v>0.501</v>
      </c>
      <c r="F2347" s="31">
        <v>16.1785</v>
      </c>
      <c r="G2347" s="34">
        <f t="shared" si="41"/>
        <v>8.1054285000000004</v>
      </c>
      <c r="H2347" s="35"/>
      <c r="I2347" s="31"/>
      <c r="J2347" s="102">
        <v>0</v>
      </c>
    </row>
    <row r="2348" spans="1:10" ht="15.75" hidden="1" thickBot="1" x14ac:dyDescent="0.3">
      <c r="A2348" s="220"/>
      <c r="B2348" s="223"/>
      <c r="C2348" s="36"/>
      <c r="D2348" s="36"/>
      <c r="E2348" s="37"/>
      <c r="F2348" s="31" t="s">
        <v>522</v>
      </c>
      <c r="G2348" s="34" t="str">
        <f t="shared" si="41"/>
        <v/>
      </c>
      <c r="H2348" s="35"/>
      <c r="I2348" s="31"/>
      <c r="J2348" s="102">
        <v>0</v>
      </c>
    </row>
    <row r="2349" spans="1:10" ht="15.75" hidden="1" thickBot="1" x14ac:dyDescent="0.3">
      <c r="A2349" s="218" t="s">
        <v>719</v>
      </c>
      <c r="B2349" s="221" t="e">
        <f>INDEX(#REF!,MATCH(Composições!A2349,#REF!,0),2)</f>
        <v>#REF!</v>
      </c>
      <c r="C2349" s="41"/>
      <c r="D2349" s="26" t="s">
        <v>20</v>
      </c>
      <c r="E2349" s="27"/>
      <c r="F2349" s="42" t="s">
        <v>522</v>
      </c>
      <c r="G2349" s="28" t="str">
        <f t="shared" si="41"/>
        <v/>
      </c>
      <c r="H2349" s="29"/>
      <c r="I2349" s="30"/>
      <c r="J2349" s="102">
        <v>0</v>
      </c>
    </row>
    <row r="2350" spans="1:10" hidden="1" x14ac:dyDescent="0.25">
      <c r="A2350" s="219"/>
      <c r="B2350" s="237"/>
      <c r="C2350" s="32"/>
      <c r="D2350" s="32"/>
      <c r="E2350" s="33"/>
      <c r="F2350" s="43" t="s">
        <v>522</v>
      </c>
      <c r="G2350" s="34" t="str">
        <f t="shared" si="41"/>
        <v/>
      </c>
      <c r="H2350" s="35"/>
      <c r="I2350" s="31"/>
      <c r="J2350" s="102">
        <v>0</v>
      </c>
    </row>
    <row r="2351" spans="1:10" hidden="1" x14ac:dyDescent="0.25">
      <c r="A2351" s="219"/>
      <c r="B2351" s="237"/>
      <c r="C2351" s="36" t="s">
        <v>44</v>
      </c>
      <c r="D2351" s="36" t="s">
        <v>12</v>
      </c>
      <c r="E2351" s="37">
        <v>1.002</v>
      </c>
      <c r="F2351" s="31">
        <v>20.425000000000001</v>
      </c>
      <c r="G2351" s="34">
        <f t="shared" si="41"/>
        <v>20.46585</v>
      </c>
      <c r="H2351" s="39">
        <f>SUM(G2351:G2352)</f>
        <v>28.571278499999998</v>
      </c>
      <c r="I2351" s="40"/>
      <c r="J2351" s="102">
        <v>0</v>
      </c>
    </row>
    <row r="2352" spans="1:10" hidden="1" x14ac:dyDescent="0.25">
      <c r="A2352" s="219"/>
      <c r="B2352" s="237"/>
      <c r="C2352" s="36" t="s">
        <v>23</v>
      </c>
      <c r="D2352" s="36" t="s">
        <v>12</v>
      </c>
      <c r="E2352" s="37">
        <v>0.501</v>
      </c>
      <c r="F2352" s="31">
        <v>16.1785</v>
      </c>
      <c r="G2352" s="34">
        <f t="shared" si="41"/>
        <v>8.1054285000000004</v>
      </c>
      <c r="H2352" s="35"/>
      <c r="I2352" s="31"/>
      <c r="J2352" s="102">
        <v>0</v>
      </c>
    </row>
    <row r="2353" spans="1:10" ht="15.75" hidden="1" thickBot="1" x14ac:dyDescent="0.3">
      <c r="A2353" s="220"/>
      <c r="B2353" s="223"/>
      <c r="C2353" s="36"/>
      <c r="D2353" s="36"/>
      <c r="E2353" s="37"/>
      <c r="F2353" s="31" t="s">
        <v>522</v>
      </c>
      <c r="G2353" s="34" t="str">
        <f t="shared" si="41"/>
        <v/>
      </c>
      <c r="H2353" s="35"/>
      <c r="I2353" s="31"/>
      <c r="J2353" s="102">
        <v>0</v>
      </c>
    </row>
    <row r="2354" spans="1:10" ht="15.75" hidden="1" thickBot="1" x14ac:dyDescent="0.3">
      <c r="A2354" s="218" t="s">
        <v>720</v>
      </c>
      <c r="B2354" s="221" t="e">
        <f>INDEX(#REF!,MATCH(Composições!A2354,#REF!,0),2)</f>
        <v>#REF!</v>
      </c>
      <c r="C2354" s="41"/>
      <c r="D2354" s="26" t="s">
        <v>20</v>
      </c>
      <c r="E2354" s="27"/>
      <c r="F2354" s="42" t="s">
        <v>522</v>
      </c>
      <c r="G2354" s="28" t="str">
        <f t="shared" si="41"/>
        <v/>
      </c>
      <c r="H2354" s="29"/>
      <c r="I2354" s="30"/>
      <c r="J2354" s="102">
        <v>0</v>
      </c>
    </row>
    <row r="2355" spans="1:10" hidden="1" x14ac:dyDescent="0.25">
      <c r="A2355" s="219"/>
      <c r="B2355" s="237"/>
      <c r="C2355" s="32"/>
      <c r="D2355" s="32"/>
      <c r="E2355" s="33"/>
      <c r="F2355" s="43" t="s">
        <v>522</v>
      </c>
      <c r="G2355" s="34" t="str">
        <f t="shared" si="41"/>
        <v/>
      </c>
      <c r="H2355" s="35"/>
      <c r="I2355" s="31"/>
      <c r="J2355" s="102">
        <v>0</v>
      </c>
    </row>
    <row r="2356" spans="1:10" hidden="1" x14ac:dyDescent="0.25">
      <c r="A2356" s="219"/>
      <c r="B2356" s="237"/>
      <c r="C2356" s="36" t="s">
        <v>607</v>
      </c>
      <c r="D2356" s="36" t="s">
        <v>12</v>
      </c>
      <c r="E2356" s="37">
        <v>1</v>
      </c>
      <c r="F2356" s="31">
        <v>20.196999999999999</v>
      </c>
      <c r="G2356" s="34">
        <f t="shared" si="41"/>
        <v>20.196999999999999</v>
      </c>
      <c r="H2356" s="39">
        <f>SUM(G2356:G2357)</f>
        <v>20.196999999999999</v>
      </c>
      <c r="I2356" s="40"/>
      <c r="J2356" s="102">
        <v>0</v>
      </c>
    </row>
    <row r="2357" spans="1:10" ht="25.5" hidden="1" x14ac:dyDescent="0.25">
      <c r="A2357" s="219"/>
      <c r="B2357" s="237"/>
      <c r="C2357" s="36" t="s">
        <v>721</v>
      </c>
      <c r="D2357" s="36" t="s">
        <v>20</v>
      </c>
      <c r="E2357" s="37">
        <v>1</v>
      </c>
      <c r="F2357" s="34" t="s">
        <v>522</v>
      </c>
      <c r="G2357" s="34" t="str">
        <f t="shared" si="41"/>
        <v/>
      </c>
      <c r="H2357" s="35"/>
      <c r="I2357" s="31"/>
      <c r="J2357" s="102">
        <v>0</v>
      </c>
    </row>
    <row r="2358" spans="1:10" ht="15.75" hidden="1" thickBot="1" x14ac:dyDescent="0.3">
      <c r="A2358" s="220"/>
      <c r="B2358" s="223"/>
      <c r="C2358" s="36"/>
      <c r="D2358" s="36"/>
      <c r="E2358" s="37"/>
      <c r="F2358" s="31" t="s">
        <v>522</v>
      </c>
      <c r="G2358" s="34" t="str">
        <f t="shared" si="41"/>
        <v/>
      </c>
      <c r="H2358" s="35"/>
      <c r="I2358" s="31"/>
      <c r="J2358" s="102">
        <v>0</v>
      </c>
    </row>
    <row r="2359" spans="1:10" ht="15.75" hidden="1" thickBot="1" x14ac:dyDescent="0.3">
      <c r="A2359" s="218" t="s">
        <v>722</v>
      </c>
      <c r="B2359" s="221" t="e">
        <f>INDEX(#REF!,MATCH(Composições!A2359,#REF!,0),2)</f>
        <v>#REF!</v>
      </c>
      <c r="C2359" s="41"/>
      <c r="D2359" s="26" t="s">
        <v>20</v>
      </c>
      <c r="E2359" s="27"/>
      <c r="F2359" s="42" t="s">
        <v>522</v>
      </c>
      <c r="G2359" s="28" t="str">
        <f t="shared" si="41"/>
        <v/>
      </c>
      <c r="H2359" s="29"/>
      <c r="I2359" s="30"/>
      <c r="J2359" s="102">
        <v>0</v>
      </c>
    </row>
    <row r="2360" spans="1:10" hidden="1" x14ac:dyDescent="0.25">
      <c r="A2360" s="219"/>
      <c r="B2360" s="237"/>
      <c r="C2360" s="32"/>
      <c r="D2360" s="32"/>
      <c r="E2360" s="33"/>
      <c r="F2360" s="43" t="s">
        <v>522</v>
      </c>
      <c r="G2360" s="34" t="str">
        <f t="shared" si="41"/>
        <v/>
      </c>
      <c r="H2360" s="35"/>
      <c r="I2360" s="31"/>
      <c r="J2360" s="102">
        <v>0</v>
      </c>
    </row>
    <row r="2361" spans="1:10" hidden="1" x14ac:dyDescent="0.25">
      <c r="A2361" s="219"/>
      <c r="B2361" s="237"/>
      <c r="C2361" s="36" t="s">
        <v>607</v>
      </c>
      <c r="D2361" s="36" t="s">
        <v>12</v>
      </c>
      <c r="E2361" s="37">
        <f>1/2</f>
        <v>0.5</v>
      </c>
      <c r="F2361" s="31">
        <v>20.196999999999999</v>
      </c>
      <c r="G2361" s="34">
        <f t="shared" si="41"/>
        <v>10.0985</v>
      </c>
      <c r="H2361" s="39">
        <f>SUM(G2361:G2362)</f>
        <v>10.0985</v>
      </c>
      <c r="I2361" s="40"/>
      <c r="J2361" s="102">
        <v>0</v>
      </c>
    </row>
    <row r="2362" spans="1:10" ht="38.25" hidden="1" x14ac:dyDescent="0.25">
      <c r="A2362" s="219"/>
      <c r="B2362" s="237"/>
      <c r="C2362" s="36" t="s">
        <v>723</v>
      </c>
      <c r="D2362" s="36" t="s">
        <v>20</v>
      </c>
      <c r="E2362" s="37">
        <v>1</v>
      </c>
      <c r="F2362" s="34" t="s">
        <v>522</v>
      </c>
      <c r="G2362" s="34" t="str">
        <f t="shared" si="41"/>
        <v/>
      </c>
      <c r="H2362" s="35"/>
      <c r="I2362" s="31"/>
      <c r="J2362" s="102">
        <v>0</v>
      </c>
    </row>
    <row r="2363" spans="1:10" ht="15.75" hidden="1" thickBot="1" x14ac:dyDescent="0.3">
      <c r="A2363" s="220"/>
      <c r="B2363" s="223"/>
      <c r="C2363" s="36"/>
      <c r="D2363" s="36"/>
      <c r="E2363" s="37"/>
      <c r="F2363" s="31" t="s">
        <v>522</v>
      </c>
      <c r="G2363" s="34" t="str">
        <f t="shared" si="41"/>
        <v/>
      </c>
      <c r="H2363" s="35"/>
      <c r="I2363" s="31"/>
      <c r="J2363" s="102">
        <v>0</v>
      </c>
    </row>
    <row r="2364" spans="1:10" ht="15.75" hidden="1" thickBot="1" x14ac:dyDescent="0.3">
      <c r="A2364" s="218" t="s">
        <v>724</v>
      </c>
      <c r="B2364" s="221" t="e">
        <f>INDEX(#REF!,MATCH(Composições!A2364,#REF!,0),2)</f>
        <v>#REF!</v>
      </c>
      <c r="C2364" s="41"/>
      <c r="D2364" s="26" t="s">
        <v>93</v>
      </c>
      <c r="E2364" s="27"/>
      <c r="F2364" s="42" t="s">
        <v>522</v>
      </c>
      <c r="G2364" s="28" t="str">
        <f t="shared" si="41"/>
        <v/>
      </c>
      <c r="H2364" s="29"/>
      <c r="I2364" s="30"/>
      <c r="J2364" s="102">
        <v>0</v>
      </c>
    </row>
    <row r="2365" spans="1:10" hidden="1" x14ac:dyDescent="0.25">
      <c r="A2365" s="219"/>
      <c r="B2365" s="237"/>
      <c r="C2365" s="32"/>
      <c r="D2365" s="32"/>
      <c r="E2365" s="33"/>
      <c r="F2365" s="43" t="s">
        <v>522</v>
      </c>
      <c r="G2365" s="34" t="str">
        <f t="shared" si="41"/>
        <v/>
      </c>
      <c r="H2365" s="35"/>
      <c r="I2365" s="31"/>
      <c r="J2365" s="102">
        <v>0</v>
      </c>
    </row>
    <row r="2366" spans="1:10" hidden="1" x14ac:dyDescent="0.25">
      <c r="A2366" s="219"/>
      <c r="B2366" s="237"/>
      <c r="C2366" s="36" t="s">
        <v>74</v>
      </c>
      <c r="D2366" s="36" t="s">
        <v>12</v>
      </c>
      <c r="E2366" s="37">
        <v>2.8E-3</v>
      </c>
      <c r="F2366" s="31">
        <v>17.024000000000001</v>
      </c>
      <c r="G2366" s="34">
        <f t="shared" si="41"/>
        <v>4.76672E-2</v>
      </c>
      <c r="H2366" s="39">
        <f>SUM(G2366:G2368)</f>
        <v>0.10839499999999999</v>
      </c>
      <c r="I2366" s="40"/>
      <c r="J2366" s="102">
        <v>0</v>
      </c>
    </row>
    <row r="2367" spans="1:10" hidden="1" x14ac:dyDescent="0.25">
      <c r="A2367" s="219"/>
      <c r="B2367" s="237"/>
      <c r="C2367" s="36" t="s">
        <v>30</v>
      </c>
      <c r="D2367" s="36" t="s">
        <v>12</v>
      </c>
      <c r="E2367" s="37">
        <v>2.8E-3</v>
      </c>
      <c r="F2367" s="31">
        <v>21.688499999999998</v>
      </c>
      <c r="G2367" s="34">
        <f t="shared" si="41"/>
        <v>6.0727799999999992E-2</v>
      </c>
      <c r="H2367" s="35"/>
      <c r="I2367" s="31"/>
      <c r="J2367" s="102">
        <v>0</v>
      </c>
    </row>
    <row r="2368" spans="1:10" ht="25.5" hidden="1" x14ac:dyDescent="0.25">
      <c r="A2368" s="219"/>
      <c r="B2368" s="237"/>
      <c r="C2368" s="36" t="s">
        <v>725</v>
      </c>
      <c r="D2368" s="36" t="s">
        <v>93</v>
      </c>
      <c r="E2368" s="37">
        <v>1.05</v>
      </c>
      <c r="F2368" s="34" t="s">
        <v>522</v>
      </c>
      <c r="G2368" s="34" t="str">
        <f t="shared" si="41"/>
        <v/>
      </c>
      <c r="H2368" s="35"/>
      <c r="I2368" s="31"/>
      <c r="J2368" s="102">
        <v>0</v>
      </c>
    </row>
    <row r="2369" spans="1:10" ht="15.75" hidden="1" thickBot="1" x14ac:dyDescent="0.3">
      <c r="A2369" s="220"/>
      <c r="B2369" s="223"/>
      <c r="C2369" s="36"/>
      <c r="D2369" s="36"/>
      <c r="E2369" s="37"/>
      <c r="F2369" s="31" t="s">
        <v>522</v>
      </c>
      <c r="G2369" s="34" t="str">
        <f t="shared" si="41"/>
        <v/>
      </c>
      <c r="H2369" s="35"/>
      <c r="I2369" s="31"/>
      <c r="J2369" s="102">
        <v>0</v>
      </c>
    </row>
    <row r="2370" spans="1:10" ht="15.75" hidden="1" thickBot="1" x14ac:dyDescent="0.3">
      <c r="A2370" s="218" t="s">
        <v>726</v>
      </c>
      <c r="B2370" s="221" t="e">
        <f>INDEX(#REF!,MATCH(Composições!A2370,#REF!,0),2)</f>
        <v>#REF!</v>
      </c>
      <c r="C2370" s="41"/>
      <c r="D2370" s="26" t="s">
        <v>20</v>
      </c>
      <c r="E2370" s="27"/>
      <c r="F2370" s="42" t="s">
        <v>522</v>
      </c>
      <c r="G2370" s="28" t="str">
        <f t="shared" si="41"/>
        <v/>
      </c>
      <c r="H2370" s="29"/>
      <c r="I2370" s="30"/>
      <c r="J2370" s="102">
        <v>0</v>
      </c>
    </row>
    <row r="2371" spans="1:10" hidden="1" x14ac:dyDescent="0.25">
      <c r="A2371" s="219"/>
      <c r="B2371" s="237"/>
      <c r="C2371" s="32"/>
      <c r="D2371" s="32"/>
      <c r="E2371" s="33"/>
      <c r="F2371" s="43" t="s">
        <v>522</v>
      </c>
      <c r="G2371" s="34" t="str">
        <f t="shared" si="41"/>
        <v/>
      </c>
      <c r="H2371" s="35"/>
      <c r="I2371" s="31"/>
      <c r="J2371" s="102">
        <v>0</v>
      </c>
    </row>
    <row r="2372" spans="1:10" ht="25.5" hidden="1" x14ac:dyDescent="0.25">
      <c r="A2372" s="219"/>
      <c r="B2372" s="237"/>
      <c r="C2372" s="36" t="s">
        <v>727</v>
      </c>
      <c r="D2372" s="36" t="s">
        <v>144</v>
      </c>
      <c r="E2372" s="37">
        <v>1</v>
      </c>
      <c r="F2372" s="34" t="s">
        <v>522</v>
      </c>
      <c r="G2372" s="34" t="str">
        <f t="shared" si="41"/>
        <v/>
      </c>
      <c r="H2372" s="39">
        <f>SUM(G2372:G2376)</f>
        <v>15.965034999999999</v>
      </c>
      <c r="I2372" s="40"/>
      <c r="J2372" s="102">
        <v>0</v>
      </c>
    </row>
    <row r="2373" spans="1:10" hidden="1" x14ac:dyDescent="0.25">
      <c r="A2373" s="219"/>
      <c r="B2373" s="237"/>
      <c r="C2373" s="36" t="s">
        <v>728</v>
      </c>
      <c r="D2373" s="36" t="s">
        <v>144</v>
      </c>
      <c r="E2373" s="37">
        <v>1</v>
      </c>
      <c r="F2373" s="34" t="s">
        <v>522</v>
      </c>
      <c r="G2373" s="34" t="str">
        <f t="shared" si="41"/>
        <v/>
      </c>
      <c r="H2373" s="35"/>
      <c r="I2373" s="31"/>
      <c r="J2373" s="102">
        <v>0</v>
      </c>
    </row>
    <row r="2374" spans="1:10" hidden="1" x14ac:dyDescent="0.25">
      <c r="A2374" s="219"/>
      <c r="B2374" s="237"/>
      <c r="C2374" s="36" t="s">
        <v>729</v>
      </c>
      <c r="D2374" s="36" t="s">
        <v>144</v>
      </c>
      <c r="E2374" s="37">
        <v>1</v>
      </c>
      <c r="F2374" s="34" t="s">
        <v>522</v>
      </c>
      <c r="G2374" s="34" t="str">
        <f t="shared" ref="G2374:G2437" si="42">IF(ISNUMBER(F2374),E2374*F2374,"")</f>
        <v/>
      </c>
      <c r="H2374" s="35"/>
      <c r="I2374" s="31"/>
      <c r="J2374" s="102">
        <v>0</v>
      </c>
    </row>
    <row r="2375" spans="1:10" hidden="1" x14ac:dyDescent="0.25">
      <c r="A2375" s="219"/>
      <c r="B2375" s="237"/>
      <c r="C2375" s="36" t="s">
        <v>74</v>
      </c>
      <c r="D2375" s="47" t="s">
        <v>12</v>
      </c>
      <c r="E2375" s="37">
        <f>0.2062*2</f>
        <v>0.41239999999999999</v>
      </c>
      <c r="F2375" s="31">
        <v>17.024000000000001</v>
      </c>
      <c r="G2375" s="34">
        <f t="shared" si="42"/>
        <v>7.0206976000000001</v>
      </c>
      <c r="H2375" s="35"/>
      <c r="I2375" s="31"/>
      <c r="J2375" s="102">
        <v>0</v>
      </c>
    </row>
    <row r="2376" spans="1:10" hidden="1" x14ac:dyDescent="0.25">
      <c r="A2376" s="219"/>
      <c r="B2376" s="237"/>
      <c r="C2376" s="36" t="s">
        <v>30</v>
      </c>
      <c r="D2376" s="36" t="s">
        <v>12</v>
      </c>
      <c r="E2376" s="37">
        <f>0.2062*2</f>
        <v>0.41239999999999999</v>
      </c>
      <c r="F2376" s="31">
        <v>21.688499999999998</v>
      </c>
      <c r="G2376" s="34">
        <f t="shared" si="42"/>
        <v>8.9443373999999984</v>
      </c>
      <c r="H2376" s="35"/>
      <c r="I2376" s="31"/>
      <c r="J2376" s="102">
        <v>0</v>
      </c>
    </row>
    <row r="2377" spans="1:10" ht="15.75" hidden="1" thickBot="1" x14ac:dyDescent="0.3">
      <c r="A2377" s="220"/>
      <c r="B2377" s="223"/>
      <c r="C2377" s="36"/>
      <c r="D2377" s="36"/>
      <c r="E2377" s="37"/>
      <c r="F2377" s="31" t="s">
        <v>522</v>
      </c>
      <c r="G2377" s="34" t="str">
        <f t="shared" si="42"/>
        <v/>
      </c>
      <c r="H2377" s="35"/>
      <c r="I2377" s="31"/>
      <c r="J2377" s="102">
        <v>0</v>
      </c>
    </row>
    <row r="2378" spans="1:10" ht="15.75" hidden="1" thickBot="1" x14ac:dyDescent="0.3">
      <c r="A2378" s="218" t="s">
        <v>730</v>
      </c>
      <c r="B2378" s="221" t="e">
        <f>INDEX(#REF!,MATCH(Composições!A2378,#REF!,0),2)</f>
        <v>#REF!</v>
      </c>
      <c r="C2378" s="41"/>
      <c r="D2378" s="26" t="s">
        <v>20</v>
      </c>
      <c r="E2378" s="27"/>
      <c r="F2378" s="42" t="s">
        <v>522</v>
      </c>
      <c r="G2378" s="28" t="str">
        <f t="shared" si="42"/>
        <v/>
      </c>
      <c r="H2378" s="29"/>
      <c r="I2378" s="30"/>
      <c r="J2378" s="102">
        <v>0</v>
      </c>
    </row>
    <row r="2379" spans="1:10" hidden="1" x14ac:dyDescent="0.25">
      <c r="A2379" s="219"/>
      <c r="B2379" s="237"/>
      <c r="C2379" s="32"/>
      <c r="D2379" s="32"/>
      <c r="E2379" s="33"/>
      <c r="F2379" s="43" t="s">
        <v>522</v>
      </c>
      <c r="G2379" s="34" t="str">
        <f t="shared" si="42"/>
        <v/>
      </c>
      <c r="H2379" s="35"/>
      <c r="I2379" s="31"/>
      <c r="J2379" s="102">
        <v>0</v>
      </c>
    </row>
    <row r="2380" spans="1:10" hidden="1" x14ac:dyDescent="0.25">
      <c r="A2380" s="219"/>
      <c r="B2380" s="237"/>
      <c r="C2380" s="36" t="s">
        <v>74</v>
      </c>
      <c r="D2380" s="47" t="s">
        <v>12</v>
      </c>
      <c r="E2380" s="37">
        <f>6.2007</f>
        <v>6.2007000000000003</v>
      </c>
      <c r="F2380" s="31">
        <v>17.024000000000001</v>
      </c>
      <c r="G2380" s="34">
        <f t="shared" si="42"/>
        <v>105.56071680000001</v>
      </c>
      <c r="H2380" s="39">
        <f>SUM(G2380:G2383)</f>
        <v>240.04459874999998</v>
      </c>
      <c r="I2380" s="40"/>
      <c r="J2380" s="102">
        <v>0</v>
      </c>
    </row>
    <row r="2381" spans="1:10" hidden="1" x14ac:dyDescent="0.25">
      <c r="A2381" s="219"/>
      <c r="B2381" s="237"/>
      <c r="C2381" s="36" t="s">
        <v>30</v>
      </c>
      <c r="D2381" s="36" t="s">
        <v>12</v>
      </c>
      <c r="E2381" s="37">
        <f>6.2007</f>
        <v>6.2007000000000003</v>
      </c>
      <c r="F2381" s="31">
        <v>21.688499999999998</v>
      </c>
      <c r="G2381" s="34">
        <f t="shared" si="42"/>
        <v>134.48388194999998</v>
      </c>
      <c r="H2381" s="35"/>
      <c r="I2381" s="31"/>
      <c r="J2381" s="102">
        <v>0</v>
      </c>
    </row>
    <row r="2382" spans="1:10" ht="25.5" hidden="1" x14ac:dyDescent="0.25">
      <c r="A2382" s="219"/>
      <c r="B2382" s="237"/>
      <c r="C2382" s="36" t="s">
        <v>731</v>
      </c>
      <c r="D2382" s="36" t="s">
        <v>20</v>
      </c>
      <c r="E2382" s="37">
        <v>1</v>
      </c>
      <c r="F2382" s="34" t="s">
        <v>522</v>
      </c>
      <c r="G2382" s="34" t="str">
        <f t="shared" si="42"/>
        <v/>
      </c>
      <c r="H2382" s="35"/>
      <c r="I2382" s="31"/>
      <c r="J2382" s="102">
        <v>0</v>
      </c>
    </row>
    <row r="2383" spans="1:10" hidden="1" x14ac:dyDescent="0.25">
      <c r="A2383" s="219"/>
      <c r="B2383" s="237"/>
      <c r="C2383" s="36" t="s">
        <v>728</v>
      </c>
      <c r="D2383" s="36" t="s">
        <v>144</v>
      </c>
      <c r="E2383" s="37">
        <v>24</v>
      </c>
      <c r="F2383" s="34" t="s">
        <v>522</v>
      </c>
      <c r="G2383" s="34" t="str">
        <f t="shared" si="42"/>
        <v/>
      </c>
      <c r="H2383" s="35"/>
      <c r="I2383" s="31"/>
      <c r="J2383" s="102">
        <v>0</v>
      </c>
    </row>
    <row r="2384" spans="1:10" ht="15.75" hidden="1" thickBot="1" x14ac:dyDescent="0.3">
      <c r="A2384" s="220"/>
      <c r="B2384" s="223"/>
      <c r="C2384" s="36"/>
      <c r="D2384" s="36"/>
      <c r="E2384" s="37"/>
      <c r="F2384" s="31" t="s">
        <v>522</v>
      </c>
      <c r="G2384" s="34" t="str">
        <f t="shared" si="42"/>
        <v/>
      </c>
      <c r="H2384" s="35"/>
      <c r="I2384" s="31"/>
      <c r="J2384" s="102">
        <v>0</v>
      </c>
    </row>
    <row r="2385" spans="1:10" ht="15.75" hidden="1" thickBot="1" x14ac:dyDescent="0.3">
      <c r="A2385" s="218" t="s">
        <v>732</v>
      </c>
      <c r="B2385" s="221" t="e">
        <f>INDEX(#REF!,MATCH(Composições!A2385,#REF!,0),2)</f>
        <v>#REF!</v>
      </c>
      <c r="C2385" s="41"/>
      <c r="D2385" s="26" t="s">
        <v>93</v>
      </c>
      <c r="E2385" s="27"/>
      <c r="F2385" s="42" t="s">
        <v>522</v>
      </c>
      <c r="G2385" s="28" t="str">
        <f t="shared" si="42"/>
        <v/>
      </c>
      <c r="H2385" s="29"/>
      <c r="I2385" s="30"/>
      <c r="J2385" s="102">
        <v>0</v>
      </c>
    </row>
    <row r="2386" spans="1:10" hidden="1" x14ac:dyDescent="0.25">
      <c r="A2386" s="224"/>
      <c r="B2386" s="237"/>
      <c r="C2386" s="32"/>
      <c r="D2386" s="32"/>
      <c r="E2386" s="33"/>
      <c r="F2386" s="43" t="s">
        <v>522</v>
      </c>
      <c r="G2386" s="34" t="str">
        <f t="shared" si="42"/>
        <v/>
      </c>
      <c r="H2386" s="35"/>
      <c r="I2386" s="31"/>
      <c r="J2386" s="102">
        <v>0</v>
      </c>
    </row>
    <row r="2387" spans="1:10" hidden="1" x14ac:dyDescent="0.25">
      <c r="A2387" s="224"/>
      <c r="B2387" s="237"/>
      <c r="C2387" s="36" t="s">
        <v>74</v>
      </c>
      <c r="D2387" s="47" t="s">
        <v>12</v>
      </c>
      <c r="E2387" s="37">
        <v>6.4100000000000004E-2</v>
      </c>
      <c r="F2387" s="31">
        <v>17.024000000000001</v>
      </c>
      <c r="G2387" s="34">
        <f t="shared" si="42"/>
        <v>1.0912384000000002</v>
      </c>
      <c r="H2387" s="39">
        <f>SUM(G2387:G2389)</f>
        <v>4.1871962500000004</v>
      </c>
      <c r="I2387" s="40"/>
      <c r="J2387" s="102">
        <v>0</v>
      </c>
    </row>
    <row r="2388" spans="1:10" hidden="1" x14ac:dyDescent="0.25">
      <c r="A2388" s="224"/>
      <c r="B2388" s="237"/>
      <c r="C2388" s="36" t="s">
        <v>30</v>
      </c>
      <c r="D2388" s="36" t="s">
        <v>12</v>
      </c>
      <c r="E2388" s="37">
        <v>6.4100000000000004E-2</v>
      </c>
      <c r="F2388" s="31">
        <v>21.688499999999998</v>
      </c>
      <c r="G2388" s="34">
        <f t="shared" si="42"/>
        <v>1.3902328499999999</v>
      </c>
      <c r="H2388" s="35"/>
      <c r="I2388" s="31"/>
      <c r="J2388" s="102">
        <v>0</v>
      </c>
    </row>
    <row r="2389" spans="1:10" ht="25.5" hidden="1" x14ac:dyDescent="0.25">
      <c r="A2389" s="224"/>
      <c r="B2389" s="237"/>
      <c r="C2389" s="36" t="s">
        <v>733</v>
      </c>
      <c r="D2389" s="36" t="s">
        <v>93</v>
      </c>
      <c r="E2389" s="37">
        <v>1.05</v>
      </c>
      <c r="F2389" s="34">
        <v>1.6244999999999998</v>
      </c>
      <c r="G2389" s="34">
        <f t="shared" si="42"/>
        <v>1.7057249999999999</v>
      </c>
      <c r="H2389" s="35"/>
      <c r="I2389" s="31"/>
      <c r="J2389" s="102">
        <v>0</v>
      </c>
    </row>
    <row r="2390" spans="1:10" ht="15.75" hidden="1" thickBot="1" x14ac:dyDescent="0.3">
      <c r="A2390" s="225"/>
      <c r="B2390" s="223"/>
      <c r="C2390" s="36"/>
      <c r="D2390" s="36"/>
      <c r="E2390" s="37"/>
      <c r="F2390" s="34" t="s">
        <v>522</v>
      </c>
      <c r="G2390" s="34" t="str">
        <f t="shared" si="42"/>
        <v/>
      </c>
      <c r="H2390" s="35"/>
      <c r="I2390" s="31"/>
      <c r="J2390" s="102">
        <v>0</v>
      </c>
    </row>
    <row r="2391" spans="1:10" ht="15.75" hidden="1" thickBot="1" x14ac:dyDescent="0.3">
      <c r="A2391" s="218" t="s">
        <v>734</v>
      </c>
      <c r="B2391" s="221" t="e">
        <f>INDEX(#REF!,MATCH(Composições!A2391,#REF!,0),2)</f>
        <v>#REF!</v>
      </c>
      <c r="C2391" s="41"/>
      <c r="D2391" s="26" t="s">
        <v>20</v>
      </c>
      <c r="E2391" s="27"/>
      <c r="F2391" s="42" t="s">
        <v>522</v>
      </c>
      <c r="G2391" s="28" t="str">
        <f t="shared" si="42"/>
        <v/>
      </c>
      <c r="H2391" s="29"/>
      <c r="I2391" s="30"/>
      <c r="J2391" s="102">
        <v>0</v>
      </c>
    </row>
    <row r="2392" spans="1:10" hidden="1" x14ac:dyDescent="0.25">
      <c r="A2392" s="219"/>
      <c r="B2392" s="237"/>
      <c r="C2392" s="32"/>
      <c r="D2392" s="32"/>
      <c r="E2392" s="33"/>
      <c r="F2392" s="43" t="s">
        <v>522</v>
      </c>
      <c r="G2392" s="34" t="str">
        <f t="shared" si="42"/>
        <v/>
      </c>
      <c r="H2392" s="35"/>
      <c r="I2392" s="31"/>
      <c r="J2392" s="102">
        <v>0</v>
      </c>
    </row>
    <row r="2393" spans="1:10" ht="25.5" hidden="1" x14ac:dyDescent="0.25">
      <c r="A2393" s="219"/>
      <c r="B2393" s="237"/>
      <c r="C2393" s="36" t="s">
        <v>735</v>
      </c>
      <c r="D2393" s="36" t="s">
        <v>144</v>
      </c>
      <c r="E2393" s="37">
        <v>1</v>
      </c>
      <c r="F2393" s="34" t="s">
        <v>522</v>
      </c>
      <c r="G2393" s="34" t="str">
        <f t="shared" si="42"/>
        <v/>
      </c>
      <c r="H2393" s="39">
        <f>SUM(G2393:G2396)</f>
        <v>49.583017499999997</v>
      </c>
      <c r="I2393" s="40"/>
      <c r="J2393" s="102">
        <v>0</v>
      </c>
    </row>
    <row r="2394" spans="1:10" hidden="1" x14ac:dyDescent="0.25">
      <c r="A2394" s="219"/>
      <c r="B2394" s="237"/>
      <c r="C2394" s="36" t="s">
        <v>736</v>
      </c>
      <c r="D2394" s="36" t="s">
        <v>279</v>
      </c>
      <c r="E2394" s="37">
        <v>1</v>
      </c>
      <c r="F2394" s="34">
        <v>41.600499999999997</v>
      </c>
      <c r="G2394" s="34">
        <f t="shared" si="42"/>
        <v>41.600499999999997</v>
      </c>
      <c r="H2394" s="35"/>
      <c r="I2394" s="31"/>
      <c r="J2394" s="102">
        <v>0</v>
      </c>
    </row>
    <row r="2395" spans="1:10" hidden="1" x14ac:dyDescent="0.25">
      <c r="A2395" s="219"/>
      <c r="B2395" s="237"/>
      <c r="C2395" s="36" t="s">
        <v>74</v>
      </c>
      <c r="D2395" s="47" t="s">
        <v>12</v>
      </c>
      <c r="E2395" s="37">
        <v>0.20619999999999999</v>
      </c>
      <c r="F2395" s="31">
        <v>17.024000000000001</v>
      </c>
      <c r="G2395" s="34">
        <f t="shared" si="42"/>
        <v>3.5103488</v>
      </c>
      <c r="H2395" s="35"/>
      <c r="I2395" s="31"/>
      <c r="J2395" s="102">
        <v>0</v>
      </c>
    </row>
    <row r="2396" spans="1:10" hidden="1" x14ac:dyDescent="0.25">
      <c r="A2396" s="219"/>
      <c r="B2396" s="237"/>
      <c r="C2396" s="36" t="s">
        <v>30</v>
      </c>
      <c r="D2396" s="36" t="s">
        <v>12</v>
      </c>
      <c r="E2396" s="37">
        <v>0.20619999999999999</v>
      </c>
      <c r="F2396" s="31">
        <v>21.688499999999998</v>
      </c>
      <c r="G2396" s="34">
        <f t="shared" si="42"/>
        <v>4.4721686999999992</v>
      </c>
      <c r="H2396" s="35"/>
      <c r="I2396" s="31"/>
      <c r="J2396" s="102">
        <v>0</v>
      </c>
    </row>
    <row r="2397" spans="1:10" ht="15.75" hidden="1" thickBot="1" x14ac:dyDescent="0.3">
      <c r="A2397" s="220"/>
      <c r="B2397" s="223"/>
      <c r="C2397" s="36"/>
      <c r="D2397" s="36"/>
      <c r="E2397" s="37"/>
      <c r="F2397" s="31" t="s">
        <v>522</v>
      </c>
      <c r="G2397" s="34" t="str">
        <f t="shared" si="42"/>
        <v/>
      </c>
      <c r="H2397" s="35"/>
      <c r="I2397" s="31"/>
      <c r="J2397" s="102">
        <v>0</v>
      </c>
    </row>
    <row r="2398" spans="1:10" ht="15.75" hidden="1" thickBot="1" x14ac:dyDescent="0.3">
      <c r="A2398" s="218" t="s">
        <v>737</v>
      </c>
      <c r="B2398" s="221" t="e">
        <f>INDEX(#REF!,MATCH(Composições!A2398,#REF!,0),2)</f>
        <v>#REF!</v>
      </c>
      <c r="C2398" s="41"/>
      <c r="D2398" s="26" t="s">
        <v>20</v>
      </c>
      <c r="E2398" s="27"/>
      <c r="F2398" s="42" t="s">
        <v>522</v>
      </c>
      <c r="G2398" s="28" t="str">
        <f t="shared" si="42"/>
        <v/>
      </c>
      <c r="H2398" s="29"/>
      <c r="I2398" s="30"/>
      <c r="J2398" s="102">
        <v>0</v>
      </c>
    </row>
    <row r="2399" spans="1:10" hidden="1" x14ac:dyDescent="0.25">
      <c r="A2399" s="219"/>
      <c r="B2399" s="237"/>
      <c r="C2399" s="32"/>
      <c r="D2399" s="32"/>
      <c r="E2399" s="33"/>
      <c r="F2399" s="43" t="s">
        <v>522</v>
      </c>
      <c r="G2399" s="34" t="str">
        <f t="shared" si="42"/>
        <v/>
      </c>
      <c r="H2399" s="35"/>
      <c r="I2399" s="31"/>
      <c r="J2399" s="102">
        <v>0</v>
      </c>
    </row>
    <row r="2400" spans="1:10" hidden="1" x14ac:dyDescent="0.25">
      <c r="A2400" s="219"/>
      <c r="B2400" s="237"/>
      <c r="C2400" s="36" t="s">
        <v>52</v>
      </c>
      <c r="D2400" s="47" t="s">
        <v>12</v>
      </c>
      <c r="E2400" s="37">
        <v>3.5</v>
      </c>
      <c r="F2400" s="31">
        <v>18.458499999999997</v>
      </c>
      <c r="G2400" s="34">
        <f t="shared" si="42"/>
        <v>64.604749999999996</v>
      </c>
      <c r="H2400" s="39">
        <f>SUM(G2400:G2402)</f>
        <v>144.172</v>
      </c>
      <c r="I2400" s="40"/>
      <c r="J2400" s="102">
        <v>0</v>
      </c>
    </row>
    <row r="2401" spans="1:10" ht="25.5" hidden="1" x14ac:dyDescent="0.25">
      <c r="A2401" s="219"/>
      <c r="B2401" s="237"/>
      <c r="C2401" s="36" t="s">
        <v>570</v>
      </c>
      <c r="D2401" s="47" t="s">
        <v>12</v>
      </c>
      <c r="E2401" s="37">
        <v>3.5</v>
      </c>
      <c r="F2401" s="31">
        <v>22.733499999999999</v>
      </c>
      <c r="G2401" s="34">
        <f t="shared" si="42"/>
        <v>79.567250000000001</v>
      </c>
      <c r="H2401" s="35"/>
      <c r="I2401" s="31"/>
      <c r="J2401" s="102">
        <v>0</v>
      </c>
    </row>
    <row r="2402" spans="1:10" ht="25.5" hidden="1" x14ac:dyDescent="0.25">
      <c r="A2402" s="219"/>
      <c r="B2402" s="237"/>
      <c r="C2402" s="36" t="s">
        <v>738</v>
      </c>
      <c r="D2402" s="36" t="s">
        <v>144</v>
      </c>
      <c r="E2402" s="37">
        <v>1</v>
      </c>
      <c r="F2402" s="34" t="s">
        <v>522</v>
      </c>
      <c r="G2402" s="34" t="str">
        <f t="shared" si="42"/>
        <v/>
      </c>
      <c r="H2402" s="35"/>
      <c r="I2402" s="31"/>
      <c r="J2402" s="102">
        <v>0</v>
      </c>
    </row>
    <row r="2403" spans="1:10" ht="15.75" hidden="1" thickBot="1" x14ac:dyDescent="0.3">
      <c r="A2403" s="220"/>
      <c r="B2403" s="223"/>
      <c r="C2403" s="36"/>
      <c r="D2403" s="36"/>
      <c r="E2403" s="37"/>
      <c r="F2403" s="31" t="s">
        <v>522</v>
      </c>
      <c r="G2403" s="34" t="str">
        <f t="shared" si="42"/>
        <v/>
      </c>
      <c r="H2403" s="35"/>
      <c r="I2403" s="31"/>
      <c r="J2403" s="102">
        <v>0</v>
      </c>
    </row>
    <row r="2404" spans="1:10" ht="15.75" hidden="1" thickBot="1" x14ac:dyDescent="0.3">
      <c r="A2404" s="218" t="s">
        <v>1470</v>
      </c>
      <c r="B2404" s="221" t="e">
        <f>INDEX(#REF!,MATCH(Composições!A2404,#REF!,0),2)</f>
        <v>#REF!</v>
      </c>
      <c r="C2404" s="41"/>
      <c r="D2404" s="26" t="s">
        <v>20</v>
      </c>
      <c r="E2404" s="27"/>
      <c r="F2404" s="42" t="s">
        <v>522</v>
      </c>
      <c r="G2404" s="28" t="str">
        <f t="shared" si="42"/>
        <v/>
      </c>
      <c r="H2404" s="29"/>
      <c r="I2404" s="30"/>
      <c r="J2404" s="102">
        <v>0</v>
      </c>
    </row>
    <row r="2405" spans="1:10" hidden="1" x14ac:dyDescent="0.25">
      <c r="A2405" s="219"/>
      <c r="B2405" s="237"/>
      <c r="C2405" s="32"/>
      <c r="D2405" s="32"/>
      <c r="E2405" s="33"/>
      <c r="F2405" s="43" t="s">
        <v>522</v>
      </c>
      <c r="G2405" s="34" t="str">
        <f t="shared" si="42"/>
        <v/>
      </c>
      <c r="H2405" s="35"/>
      <c r="I2405" s="31"/>
      <c r="J2405" s="102">
        <v>0</v>
      </c>
    </row>
    <row r="2406" spans="1:10" ht="25.5" hidden="1" x14ac:dyDescent="0.25">
      <c r="A2406" s="219"/>
      <c r="B2406" s="237"/>
      <c r="C2406" s="36" t="s">
        <v>2391</v>
      </c>
      <c r="D2406" s="36" t="s">
        <v>279</v>
      </c>
      <c r="E2406" s="37">
        <v>1</v>
      </c>
      <c r="F2406" s="31">
        <v>21.070999999999998</v>
      </c>
      <c r="G2406" s="34">
        <f t="shared" si="42"/>
        <v>21.070999999999998</v>
      </c>
      <c r="H2406" s="39">
        <f>SUM(G2406:G2406)</f>
        <v>21.070999999999998</v>
      </c>
      <c r="I2406" s="40"/>
      <c r="J2406" s="102">
        <v>0</v>
      </c>
    </row>
    <row r="2407" spans="1:10" ht="15.75" hidden="1" thickBot="1" x14ac:dyDescent="0.3">
      <c r="A2407" s="220"/>
      <c r="B2407" s="223"/>
      <c r="C2407" s="36"/>
      <c r="D2407" s="36"/>
      <c r="E2407" s="37"/>
      <c r="F2407" s="31" t="s">
        <v>522</v>
      </c>
      <c r="G2407" s="34" t="str">
        <f t="shared" si="42"/>
        <v/>
      </c>
      <c r="H2407" s="35"/>
      <c r="I2407" s="31"/>
      <c r="J2407" s="102">
        <v>0</v>
      </c>
    </row>
    <row r="2408" spans="1:10" ht="15.75" hidden="1" thickBot="1" x14ac:dyDescent="0.3">
      <c r="A2408" s="218" t="s">
        <v>1471</v>
      </c>
      <c r="B2408" s="221" t="e">
        <f>INDEX(#REF!,MATCH(Composições!A2408,#REF!,0),2)</f>
        <v>#REF!</v>
      </c>
      <c r="C2408" s="41"/>
      <c r="D2408" s="26" t="s">
        <v>20</v>
      </c>
      <c r="E2408" s="27"/>
      <c r="F2408" s="42" t="s">
        <v>522</v>
      </c>
      <c r="G2408" s="28" t="str">
        <f t="shared" si="42"/>
        <v/>
      </c>
      <c r="H2408" s="29"/>
      <c r="I2408" s="30"/>
      <c r="J2408" s="102">
        <v>0</v>
      </c>
    </row>
    <row r="2409" spans="1:10" hidden="1" x14ac:dyDescent="0.25">
      <c r="A2409" s="219"/>
      <c r="B2409" s="237"/>
      <c r="C2409" s="32"/>
      <c r="D2409" s="32"/>
      <c r="E2409" s="33"/>
      <c r="F2409" s="43" t="s">
        <v>522</v>
      </c>
      <c r="G2409" s="34" t="str">
        <f t="shared" si="42"/>
        <v/>
      </c>
      <c r="H2409" s="35"/>
      <c r="I2409" s="31"/>
      <c r="J2409" s="102">
        <v>0</v>
      </c>
    </row>
    <row r="2410" spans="1:10" ht="51" hidden="1" x14ac:dyDescent="0.25">
      <c r="A2410" s="219"/>
      <c r="B2410" s="237"/>
      <c r="C2410" s="36" t="s">
        <v>2024</v>
      </c>
      <c r="D2410" s="47" t="s">
        <v>740</v>
      </c>
      <c r="E2410" s="37">
        <v>1</v>
      </c>
      <c r="F2410" s="31">
        <v>54.15</v>
      </c>
      <c r="G2410" s="34">
        <f t="shared" si="42"/>
        <v>54.15</v>
      </c>
      <c r="H2410" s="39">
        <f>SUM(G2410:G2410)</f>
        <v>54.15</v>
      </c>
      <c r="I2410" s="40"/>
      <c r="J2410" s="102">
        <v>0</v>
      </c>
    </row>
    <row r="2411" spans="1:10" ht="15.75" hidden="1" thickBot="1" x14ac:dyDescent="0.3">
      <c r="A2411" s="220"/>
      <c r="B2411" s="223"/>
      <c r="C2411" s="36"/>
      <c r="D2411" s="36"/>
      <c r="E2411" s="37"/>
      <c r="F2411" s="31" t="s">
        <v>522</v>
      </c>
      <c r="G2411" s="34" t="str">
        <f t="shared" si="42"/>
        <v/>
      </c>
      <c r="H2411" s="35"/>
      <c r="I2411" s="31"/>
      <c r="J2411" s="102">
        <v>0</v>
      </c>
    </row>
    <row r="2412" spans="1:10" ht="15.75" hidden="1" thickBot="1" x14ac:dyDescent="0.3">
      <c r="A2412" s="218" t="s">
        <v>739</v>
      </c>
      <c r="B2412" s="221" t="e">
        <f>INDEX(#REF!,MATCH(Composições!A2412,#REF!,0),2)</f>
        <v>#REF!</v>
      </c>
      <c r="C2412" s="41"/>
      <c r="D2412" s="26" t="s">
        <v>20</v>
      </c>
      <c r="E2412" s="27"/>
      <c r="F2412" s="42" t="s">
        <v>522</v>
      </c>
      <c r="G2412" s="28" t="str">
        <f t="shared" si="42"/>
        <v/>
      </c>
      <c r="H2412" s="29"/>
      <c r="I2412" s="30"/>
      <c r="J2412" s="102">
        <v>0</v>
      </c>
    </row>
    <row r="2413" spans="1:10" hidden="1" x14ac:dyDescent="0.25">
      <c r="A2413" s="219"/>
      <c r="B2413" s="237"/>
      <c r="C2413" s="32"/>
      <c r="D2413" s="32"/>
      <c r="E2413" s="33"/>
      <c r="F2413" s="43" t="s">
        <v>522</v>
      </c>
      <c r="G2413" s="34" t="str">
        <f t="shared" si="42"/>
        <v/>
      </c>
      <c r="H2413" s="35"/>
      <c r="I2413" s="31"/>
      <c r="J2413" s="102">
        <v>0</v>
      </c>
    </row>
    <row r="2414" spans="1:10" ht="51" hidden="1" x14ac:dyDescent="0.25">
      <c r="A2414" s="219"/>
      <c r="B2414" s="237"/>
      <c r="C2414" s="36" t="s">
        <v>2025</v>
      </c>
      <c r="D2414" s="47" t="s">
        <v>740</v>
      </c>
      <c r="E2414" s="37">
        <v>1</v>
      </c>
      <c r="F2414" s="31">
        <v>70.375999999999991</v>
      </c>
      <c r="G2414" s="34">
        <f t="shared" si="42"/>
        <v>70.375999999999991</v>
      </c>
      <c r="H2414" s="39">
        <f>SUM(G2414:G2414)</f>
        <v>70.375999999999991</v>
      </c>
      <c r="I2414" s="40"/>
      <c r="J2414" s="102">
        <v>0</v>
      </c>
    </row>
    <row r="2415" spans="1:10" ht="15.75" hidden="1" thickBot="1" x14ac:dyDescent="0.3">
      <c r="A2415" s="220"/>
      <c r="B2415" s="223"/>
      <c r="C2415" s="36"/>
      <c r="D2415" s="36"/>
      <c r="E2415" s="37"/>
      <c r="F2415" s="31" t="s">
        <v>522</v>
      </c>
      <c r="G2415" s="34" t="str">
        <f t="shared" si="42"/>
        <v/>
      </c>
      <c r="H2415" s="35"/>
      <c r="I2415" s="31"/>
      <c r="J2415" s="102">
        <v>0</v>
      </c>
    </row>
    <row r="2416" spans="1:10" ht="15.75" hidden="1" thickBot="1" x14ac:dyDescent="0.3">
      <c r="A2416" s="218" t="s">
        <v>1472</v>
      </c>
      <c r="B2416" s="221" t="e">
        <f>INDEX(#REF!,MATCH(Composições!A2416,#REF!,0),2)</f>
        <v>#REF!</v>
      </c>
      <c r="C2416" s="41"/>
      <c r="D2416" s="26" t="s">
        <v>20</v>
      </c>
      <c r="E2416" s="27"/>
      <c r="F2416" s="42" t="s">
        <v>522</v>
      </c>
      <c r="G2416" s="28" t="str">
        <f t="shared" si="42"/>
        <v/>
      </c>
      <c r="H2416" s="29"/>
      <c r="I2416" s="30"/>
      <c r="J2416" s="102">
        <v>0</v>
      </c>
    </row>
    <row r="2417" spans="1:10" hidden="1" x14ac:dyDescent="0.25">
      <c r="A2417" s="219"/>
      <c r="B2417" s="237"/>
      <c r="C2417" s="32"/>
      <c r="D2417" s="32"/>
      <c r="E2417" s="33"/>
      <c r="F2417" s="43" t="s">
        <v>522</v>
      </c>
      <c r="G2417" s="34" t="str">
        <f t="shared" si="42"/>
        <v/>
      </c>
      <c r="H2417" s="35"/>
      <c r="I2417" s="31"/>
      <c r="J2417" s="102">
        <v>0</v>
      </c>
    </row>
    <row r="2418" spans="1:10" ht="51" hidden="1" x14ac:dyDescent="0.25">
      <c r="A2418" s="219"/>
      <c r="B2418" s="237"/>
      <c r="C2418" s="36" t="s">
        <v>2023</v>
      </c>
      <c r="D2418" s="47" t="s">
        <v>740</v>
      </c>
      <c r="E2418" s="37">
        <v>1</v>
      </c>
      <c r="F2418" s="31">
        <v>42.579000000000001</v>
      </c>
      <c r="G2418" s="34">
        <f t="shared" si="42"/>
        <v>42.579000000000001</v>
      </c>
      <c r="H2418" s="39">
        <f>SUM(G2418:G2418)</f>
        <v>42.579000000000001</v>
      </c>
      <c r="I2418" s="40"/>
      <c r="J2418" s="102">
        <v>0</v>
      </c>
    </row>
    <row r="2419" spans="1:10" ht="15.75" hidden="1" thickBot="1" x14ac:dyDescent="0.3">
      <c r="A2419" s="220"/>
      <c r="B2419" s="223"/>
      <c r="C2419" s="36"/>
      <c r="D2419" s="36"/>
      <c r="E2419" s="37"/>
      <c r="F2419" s="31" t="s">
        <v>522</v>
      </c>
      <c r="G2419" s="34" t="str">
        <f t="shared" si="42"/>
        <v/>
      </c>
      <c r="H2419" s="35"/>
      <c r="I2419" s="31"/>
      <c r="J2419" s="102">
        <v>0</v>
      </c>
    </row>
    <row r="2420" spans="1:10" ht="15.75" hidden="1" thickBot="1" x14ac:dyDescent="0.3">
      <c r="A2420" s="218" t="s">
        <v>1473</v>
      </c>
      <c r="B2420" s="221" t="e">
        <f>INDEX(#REF!,MATCH(Composições!A2420,#REF!,0),2)</f>
        <v>#REF!</v>
      </c>
      <c r="C2420" s="41"/>
      <c r="D2420" s="26" t="s">
        <v>20</v>
      </c>
      <c r="E2420" s="27"/>
      <c r="F2420" s="42" t="s">
        <v>522</v>
      </c>
      <c r="G2420" s="28" t="str">
        <f t="shared" si="42"/>
        <v/>
      </c>
      <c r="H2420" s="29"/>
      <c r="I2420" s="30"/>
      <c r="J2420" s="102">
        <v>0</v>
      </c>
    </row>
    <row r="2421" spans="1:10" hidden="1" x14ac:dyDescent="0.25">
      <c r="A2421" s="219"/>
      <c r="B2421" s="237"/>
      <c r="C2421" s="32"/>
      <c r="D2421" s="32"/>
      <c r="E2421" s="33"/>
      <c r="F2421" s="43" t="s">
        <v>522</v>
      </c>
      <c r="G2421" s="34" t="str">
        <f t="shared" si="42"/>
        <v/>
      </c>
      <c r="H2421" s="35"/>
      <c r="I2421" s="31"/>
      <c r="J2421" s="102">
        <v>0</v>
      </c>
    </row>
    <row r="2422" spans="1:10" ht="25.5" hidden="1" x14ac:dyDescent="0.25">
      <c r="A2422" s="219"/>
      <c r="B2422" s="237"/>
      <c r="C2422" s="36" t="s">
        <v>2036</v>
      </c>
      <c r="D2422" s="36" t="s">
        <v>279</v>
      </c>
      <c r="E2422" s="37">
        <v>1</v>
      </c>
      <c r="F2422" s="31">
        <v>42.958999999999996</v>
      </c>
      <c r="G2422" s="34">
        <f t="shared" si="42"/>
        <v>42.958999999999996</v>
      </c>
      <c r="H2422" s="39">
        <f>SUM(G2422:G2422)</f>
        <v>42.958999999999996</v>
      </c>
      <c r="I2422" s="40"/>
      <c r="J2422" s="102">
        <v>0</v>
      </c>
    </row>
    <row r="2423" spans="1:10" ht="15.75" hidden="1" thickBot="1" x14ac:dyDescent="0.3">
      <c r="A2423" s="220"/>
      <c r="B2423" s="223"/>
      <c r="C2423" s="36"/>
      <c r="D2423" s="36"/>
      <c r="E2423" s="37"/>
      <c r="F2423" s="31" t="s">
        <v>522</v>
      </c>
      <c r="G2423" s="34" t="str">
        <f t="shared" si="42"/>
        <v/>
      </c>
      <c r="H2423" s="35"/>
      <c r="I2423" s="31"/>
      <c r="J2423" s="102">
        <v>0</v>
      </c>
    </row>
    <row r="2424" spans="1:10" ht="15.75" hidden="1" thickBot="1" x14ac:dyDescent="0.3">
      <c r="A2424" s="218" t="s">
        <v>1474</v>
      </c>
      <c r="B2424" s="221" t="e">
        <f>INDEX(#REF!,MATCH(Composições!A2424,#REF!,0),2)</f>
        <v>#REF!</v>
      </c>
      <c r="C2424" s="41"/>
      <c r="D2424" s="26" t="s">
        <v>20</v>
      </c>
      <c r="E2424" s="27"/>
      <c r="F2424" s="42" t="s">
        <v>522</v>
      </c>
      <c r="G2424" s="28" t="str">
        <f t="shared" si="42"/>
        <v/>
      </c>
      <c r="H2424" s="29"/>
      <c r="I2424" s="30"/>
      <c r="J2424" s="102">
        <v>0</v>
      </c>
    </row>
    <row r="2425" spans="1:10" hidden="1" x14ac:dyDescent="0.25">
      <c r="A2425" s="219"/>
      <c r="B2425" s="237"/>
      <c r="C2425" s="32"/>
      <c r="D2425" s="32"/>
      <c r="E2425" s="33"/>
      <c r="F2425" s="43" t="s">
        <v>522</v>
      </c>
      <c r="G2425" s="34" t="str">
        <f t="shared" si="42"/>
        <v/>
      </c>
      <c r="H2425" s="35"/>
      <c r="I2425" s="31"/>
      <c r="J2425" s="102">
        <v>0</v>
      </c>
    </row>
    <row r="2426" spans="1:10" ht="38.25" hidden="1" x14ac:dyDescent="0.25">
      <c r="A2426" s="219"/>
      <c r="B2426" s="237"/>
      <c r="C2426" s="36" t="s">
        <v>2021</v>
      </c>
      <c r="D2426" s="36" t="s">
        <v>279</v>
      </c>
      <c r="E2426" s="37">
        <v>1</v>
      </c>
      <c r="F2426" s="31">
        <v>10.696999999999999</v>
      </c>
      <c r="G2426" s="34">
        <f t="shared" si="42"/>
        <v>10.696999999999999</v>
      </c>
      <c r="H2426" s="39">
        <f>SUM(G2426:G2426)</f>
        <v>10.696999999999999</v>
      </c>
      <c r="I2426" s="40"/>
      <c r="J2426" s="102">
        <v>0</v>
      </c>
    </row>
    <row r="2427" spans="1:10" ht="39" hidden="1" thickBot="1" x14ac:dyDescent="0.3">
      <c r="A2427" s="220"/>
      <c r="B2427" s="223"/>
      <c r="C2427" s="36" t="s">
        <v>2022</v>
      </c>
      <c r="D2427" s="36"/>
      <c r="E2427" s="37"/>
      <c r="F2427" s="31" t="s">
        <v>522</v>
      </c>
      <c r="G2427" s="34" t="str">
        <f t="shared" si="42"/>
        <v/>
      </c>
      <c r="H2427" s="35"/>
      <c r="I2427" s="31"/>
      <c r="J2427" s="102">
        <v>0</v>
      </c>
    </row>
    <row r="2428" spans="1:10" ht="15.75" hidden="1" thickBot="1" x14ac:dyDescent="0.3">
      <c r="A2428" s="218" t="s">
        <v>1475</v>
      </c>
      <c r="B2428" s="221" t="e">
        <f>INDEX(#REF!,MATCH(Composições!A2428,#REF!,0),2)</f>
        <v>#REF!</v>
      </c>
      <c r="C2428" s="41"/>
      <c r="D2428" s="26" t="s">
        <v>20</v>
      </c>
      <c r="E2428" s="27"/>
      <c r="F2428" s="42" t="s">
        <v>522</v>
      </c>
      <c r="G2428" s="28" t="str">
        <f t="shared" si="42"/>
        <v/>
      </c>
      <c r="H2428" s="29"/>
      <c r="I2428" s="30"/>
      <c r="J2428" s="102">
        <v>0</v>
      </c>
    </row>
    <row r="2429" spans="1:10" hidden="1" x14ac:dyDescent="0.25">
      <c r="A2429" s="219"/>
      <c r="B2429" s="237"/>
      <c r="C2429" s="32"/>
      <c r="D2429" s="32"/>
      <c r="E2429" s="33"/>
      <c r="F2429" s="43" t="s">
        <v>522</v>
      </c>
      <c r="G2429" s="34" t="str">
        <f t="shared" si="42"/>
        <v/>
      </c>
      <c r="H2429" s="35"/>
      <c r="I2429" s="31"/>
      <c r="J2429" s="102">
        <v>0</v>
      </c>
    </row>
    <row r="2430" spans="1:10" ht="51" hidden="1" x14ac:dyDescent="0.25">
      <c r="A2430" s="219"/>
      <c r="B2430" s="237"/>
      <c r="C2430" s="36" t="s">
        <v>2020</v>
      </c>
      <c r="D2430" s="36" t="s">
        <v>279</v>
      </c>
      <c r="E2430" s="37">
        <v>1</v>
      </c>
      <c r="F2430" s="31">
        <v>10.6875</v>
      </c>
      <c r="G2430" s="34">
        <f t="shared" si="42"/>
        <v>10.6875</v>
      </c>
      <c r="H2430" s="39">
        <f>SUM(G2430:G2430)</f>
        <v>10.6875</v>
      </c>
      <c r="I2430" s="40"/>
      <c r="J2430" s="102">
        <v>0</v>
      </c>
    </row>
    <row r="2431" spans="1:10" ht="15.75" hidden="1" thickBot="1" x14ac:dyDescent="0.3">
      <c r="A2431" s="220"/>
      <c r="B2431" s="223"/>
      <c r="C2431" s="36"/>
      <c r="D2431" s="36"/>
      <c r="E2431" s="37"/>
      <c r="F2431" s="31" t="s">
        <v>522</v>
      </c>
      <c r="G2431" s="34" t="str">
        <f t="shared" si="42"/>
        <v/>
      </c>
      <c r="H2431" s="35"/>
      <c r="I2431" s="31"/>
      <c r="J2431" s="102">
        <v>0</v>
      </c>
    </row>
    <row r="2432" spans="1:10" ht="15.75" hidden="1" thickBot="1" x14ac:dyDescent="0.3">
      <c r="A2432" s="218" t="s">
        <v>1476</v>
      </c>
      <c r="B2432" s="221" t="e">
        <f>INDEX(#REF!,MATCH(Composições!A2432,#REF!,0),2)</f>
        <v>#REF!</v>
      </c>
      <c r="C2432" s="41"/>
      <c r="D2432" s="26" t="s">
        <v>20</v>
      </c>
      <c r="E2432" s="27"/>
      <c r="F2432" s="42" t="s">
        <v>522</v>
      </c>
      <c r="G2432" s="28" t="str">
        <f t="shared" si="42"/>
        <v/>
      </c>
      <c r="H2432" s="29"/>
      <c r="I2432" s="30"/>
      <c r="J2432" s="102">
        <v>0</v>
      </c>
    </row>
    <row r="2433" spans="1:10" hidden="1" x14ac:dyDescent="0.25">
      <c r="A2433" s="219"/>
      <c r="B2433" s="237"/>
      <c r="C2433" s="32"/>
      <c r="D2433" s="32"/>
      <c r="E2433" s="33"/>
      <c r="F2433" s="43" t="s">
        <v>522</v>
      </c>
      <c r="G2433" s="34" t="str">
        <f t="shared" si="42"/>
        <v/>
      </c>
      <c r="H2433" s="35"/>
      <c r="I2433" s="31"/>
      <c r="J2433" s="102">
        <v>0</v>
      </c>
    </row>
    <row r="2434" spans="1:10" ht="51" hidden="1" x14ac:dyDescent="0.25">
      <c r="A2434" s="219"/>
      <c r="B2434" s="237"/>
      <c r="C2434" s="36" t="s">
        <v>2020</v>
      </c>
      <c r="D2434" s="36" t="s">
        <v>279</v>
      </c>
      <c r="E2434" s="37">
        <v>1</v>
      </c>
      <c r="F2434" s="31">
        <v>10.6875</v>
      </c>
      <c r="G2434" s="34">
        <f t="shared" si="42"/>
        <v>10.6875</v>
      </c>
      <c r="H2434" s="39">
        <f>SUM(G2434:G2434)</f>
        <v>10.6875</v>
      </c>
      <c r="I2434" s="40"/>
      <c r="J2434" s="102">
        <v>0</v>
      </c>
    </row>
    <row r="2435" spans="1:10" ht="15.75" hidden="1" thickBot="1" x14ac:dyDescent="0.3">
      <c r="A2435" s="220"/>
      <c r="B2435" s="223"/>
      <c r="C2435" s="36"/>
      <c r="D2435" s="36"/>
      <c r="E2435" s="37"/>
      <c r="F2435" s="31" t="s">
        <v>522</v>
      </c>
      <c r="G2435" s="34" t="str">
        <f t="shared" si="42"/>
        <v/>
      </c>
      <c r="H2435" s="35"/>
      <c r="I2435" s="31"/>
      <c r="J2435" s="102">
        <v>0</v>
      </c>
    </row>
    <row r="2436" spans="1:10" ht="15.75" hidden="1" thickBot="1" x14ac:dyDescent="0.3">
      <c r="A2436" s="218" t="s">
        <v>1478</v>
      </c>
      <c r="B2436" s="221" t="e">
        <f>INDEX(#REF!,MATCH(Composições!A2436,#REF!,0),2)</f>
        <v>#REF!</v>
      </c>
      <c r="C2436" s="41"/>
      <c r="D2436" s="26" t="s">
        <v>20</v>
      </c>
      <c r="E2436" s="27"/>
      <c r="F2436" s="42" t="s">
        <v>522</v>
      </c>
      <c r="G2436" s="28" t="str">
        <f t="shared" si="42"/>
        <v/>
      </c>
      <c r="H2436" s="29"/>
      <c r="I2436" s="30"/>
      <c r="J2436" s="102">
        <v>0</v>
      </c>
    </row>
    <row r="2437" spans="1:10" hidden="1" x14ac:dyDescent="0.25">
      <c r="A2437" s="219"/>
      <c r="B2437" s="237"/>
      <c r="C2437" s="32"/>
      <c r="D2437" s="32"/>
      <c r="E2437" s="33"/>
      <c r="F2437" s="43" t="s">
        <v>522</v>
      </c>
      <c r="G2437" s="34" t="str">
        <f t="shared" si="42"/>
        <v/>
      </c>
      <c r="H2437" s="35"/>
      <c r="I2437" s="31"/>
      <c r="J2437" s="102">
        <v>0</v>
      </c>
    </row>
    <row r="2438" spans="1:10" ht="38.25" hidden="1" x14ac:dyDescent="0.25">
      <c r="A2438" s="219"/>
      <c r="B2438" s="237"/>
      <c r="C2438" s="36" t="s">
        <v>2035</v>
      </c>
      <c r="D2438" s="36" t="s">
        <v>279</v>
      </c>
      <c r="E2438" s="37">
        <v>1</v>
      </c>
      <c r="F2438" s="31">
        <v>19.028500000000001</v>
      </c>
      <c r="G2438" s="34">
        <f t="shared" ref="G2438:G2501" si="43">IF(ISNUMBER(F2438),E2438*F2438,"")</f>
        <v>19.028500000000001</v>
      </c>
      <c r="H2438" s="39">
        <f>SUM(G2438:G2438)</f>
        <v>19.028500000000001</v>
      </c>
      <c r="I2438" s="40"/>
      <c r="J2438" s="102">
        <v>0</v>
      </c>
    </row>
    <row r="2439" spans="1:10" ht="15.75" hidden="1" thickBot="1" x14ac:dyDescent="0.3">
      <c r="A2439" s="220"/>
      <c r="B2439" s="223"/>
      <c r="C2439" s="36"/>
      <c r="D2439" s="36"/>
      <c r="E2439" s="37"/>
      <c r="F2439" s="31" t="s">
        <v>522</v>
      </c>
      <c r="G2439" s="34" t="str">
        <f t="shared" si="43"/>
        <v/>
      </c>
      <c r="H2439" s="35"/>
      <c r="I2439" s="31"/>
      <c r="J2439" s="102">
        <v>0</v>
      </c>
    </row>
    <row r="2440" spans="1:10" ht="15.75" hidden="1" thickBot="1" x14ac:dyDescent="0.3">
      <c r="A2440" s="218" t="s">
        <v>741</v>
      </c>
      <c r="B2440" s="221" t="e">
        <f>INDEX(#REF!,MATCH(Composições!A2440,#REF!,0),2)</f>
        <v>#REF!</v>
      </c>
      <c r="C2440" s="41"/>
      <c r="D2440" s="26" t="s">
        <v>1479</v>
      </c>
      <c r="E2440" s="27"/>
      <c r="F2440" s="42" t="s">
        <v>522</v>
      </c>
      <c r="G2440" s="28" t="str">
        <f t="shared" si="43"/>
        <v/>
      </c>
      <c r="H2440" s="29"/>
      <c r="I2440" s="30"/>
      <c r="J2440" s="102">
        <v>0</v>
      </c>
    </row>
    <row r="2441" spans="1:10" hidden="1" x14ac:dyDescent="0.25">
      <c r="A2441" s="219"/>
      <c r="B2441" s="237"/>
      <c r="C2441" s="32"/>
      <c r="D2441" s="32"/>
      <c r="E2441" s="33"/>
      <c r="F2441" s="43" t="s">
        <v>522</v>
      </c>
      <c r="G2441" s="34" t="str">
        <f t="shared" si="43"/>
        <v/>
      </c>
      <c r="H2441" s="35"/>
      <c r="I2441" s="31"/>
      <c r="J2441" s="102">
        <v>0</v>
      </c>
    </row>
    <row r="2442" spans="1:10" ht="25.5" hidden="1" x14ac:dyDescent="0.25">
      <c r="A2442" s="219"/>
      <c r="B2442" s="237"/>
      <c r="C2442" s="36" t="s">
        <v>742</v>
      </c>
      <c r="D2442" s="47" t="s">
        <v>279</v>
      </c>
      <c r="E2442" s="37">
        <v>1</v>
      </c>
      <c r="F2442" s="31">
        <v>27.797000000000001</v>
      </c>
      <c r="G2442" s="34">
        <f t="shared" si="43"/>
        <v>27.797000000000001</v>
      </c>
      <c r="H2442" s="39">
        <f>SUM(G2442:G2442)</f>
        <v>27.797000000000001</v>
      </c>
      <c r="I2442" s="40"/>
      <c r="J2442" s="102">
        <v>0</v>
      </c>
    </row>
    <row r="2443" spans="1:10" ht="15.75" hidden="1" thickBot="1" x14ac:dyDescent="0.3">
      <c r="A2443" s="220"/>
      <c r="B2443" s="223"/>
      <c r="C2443" s="36"/>
      <c r="D2443" s="36"/>
      <c r="E2443" s="37"/>
      <c r="F2443" s="31" t="s">
        <v>522</v>
      </c>
      <c r="G2443" s="34" t="str">
        <f t="shared" si="43"/>
        <v/>
      </c>
      <c r="H2443" s="35"/>
      <c r="I2443" s="31"/>
      <c r="J2443" s="102">
        <v>0</v>
      </c>
    </row>
    <row r="2444" spans="1:10" ht="15.75" hidden="1" thickBot="1" x14ac:dyDescent="0.3">
      <c r="A2444" s="218" t="s">
        <v>1480</v>
      </c>
      <c r="B2444" s="221" t="e">
        <f>INDEX(#REF!,MATCH(Composições!A2444,#REF!,0),2)</f>
        <v>#REF!</v>
      </c>
      <c r="C2444" s="41"/>
      <c r="D2444" s="26" t="s">
        <v>42</v>
      </c>
      <c r="E2444" s="27"/>
      <c r="F2444" s="42" t="s">
        <v>522</v>
      </c>
      <c r="G2444" s="28" t="str">
        <f t="shared" si="43"/>
        <v/>
      </c>
      <c r="H2444" s="29"/>
      <c r="I2444" s="30"/>
      <c r="J2444" s="102">
        <v>0</v>
      </c>
    </row>
    <row r="2445" spans="1:10" hidden="1" x14ac:dyDescent="0.25">
      <c r="A2445" s="219"/>
      <c r="B2445" s="237"/>
      <c r="C2445" s="32"/>
      <c r="D2445" s="32"/>
      <c r="E2445" s="33"/>
      <c r="F2445" s="43" t="s">
        <v>522</v>
      </c>
      <c r="G2445" s="34" t="str">
        <f t="shared" si="43"/>
        <v/>
      </c>
      <c r="H2445" s="35"/>
      <c r="I2445" s="31"/>
      <c r="J2445" s="102">
        <v>0</v>
      </c>
    </row>
    <row r="2446" spans="1:10" hidden="1" x14ac:dyDescent="0.25">
      <c r="A2446" s="219"/>
      <c r="B2446" s="237"/>
      <c r="C2446" s="36" t="s">
        <v>2376</v>
      </c>
      <c r="D2446" s="47" t="s">
        <v>898</v>
      </c>
      <c r="E2446" s="37">
        <v>1</v>
      </c>
      <c r="F2446" s="31">
        <v>45.751999999999995</v>
      </c>
      <c r="G2446" s="34">
        <f t="shared" si="43"/>
        <v>45.751999999999995</v>
      </c>
      <c r="H2446" s="39">
        <f>SUM(G2446:G2446)</f>
        <v>45.751999999999995</v>
      </c>
      <c r="I2446" s="40"/>
      <c r="J2446" s="102">
        <v>0</v>
      </c>
    </row>
    <row r="2447" spans="1:10" ht="15.75" hidden="1" thickBot="1" x14ac:dyDescent="0.3">
      <c r="A2447" s="220"/>
      <c r="B2447" s="223"/>
      <c r="C2447" s="36"/>
      <c r="D2447" s="36"/>
      <c r="E2447" s="37"/>
      <c r="F2447" s="31" t="s">
        <v>522</v>
      </c>
      <c r="G2447" s="34" t="str">
        <f t="shared" si="43"/>
        <v/>
      </c>
      <c r="H2447" s="35"/>
      <c r="I2447" s="31"/>
      <c r="J2447" s="102">
        <v>0</v>
      </c>
    </row>
    <row r="2448" spans="1:10" ht="15.75" hidden="1" thickBot="1" x14ac:dyDescent="0.3">
      <c r="A2448" s="218" t="s">
        <v>1481</v>
      </c>
      <c r="B2448" s="221" t="e">
        <f>INDEX(#REF!,MATCH(Composições!A2448,#REF!,0),2)</f>
        <v>#REF!</v>
      </c>
      <c r="C2448" s="41"/>
      <c r="D2448" s="26" t="s">
        <v>95</v>
      </c>
      <c r="E2448" s="27"/>
      <c r="F2448" s="42" t="s">
        <v>522</v>
      </c>
      <c r="G2448" s="28" t="str">
        <f t="shared" si="43"/>
        <v/>
      </c>
      <c r="H2448" s="29"/>
      <c r="I2448" s="30"/>
      <c r="J2448" s="102">
        <v>0</v>
      </c>
    </row>
    <row r="2449" spans="1:10" hidden="1" x14ac:dyDescent="0.25">
      <c r="A2449" s="219"/>
      <c r="B2449" s="237"/>
      <c r="C2449" s="32"/>
      <c r="D2449" s="32"/>
      <c r="E2449" s="33"/>
      <c r="F2449" s="43" t="s">
        <v>522</v>
      </c>
      <c r="G2449" s="34" t="str">
        <f t="shared" si="43"/>
        <v/>
      </c>
      <c r="H2449" s="35"/>
      <c r="I2449" s="31"/>
      <c r="J2449" s="102">
        <v>0</v>
      </c>
    </row>
    <row r="2450" spans="1:10" ht="25.5" hidden="1" x14ac:dyDescent="0.25">
      <c r="A2450" s="219"/>
      <c r="B2450" s="237"/>
      <c r="C2450" s="36" t="s">
        <v>1710</v>
      </c>
      <c r="D2450" s="47" t="s">
        <v>95</v>
      </c>
      <c r="E2450" s="37">
        <v>1</v>
      </c>
      <c r="F2450" s="31">
        <v>48.469000000000001</v>
      </c>
      <c r="G2450" s="34">
        <f t="shared" si="43"/>
        <v>48.469000000000001</v>
      </c>
      <c r="H2450" s="39">
        <f>SUM(G2450:G2450)</f>
        <v>48.469000000000001</v>
      </c>
      <c r="I2450" s="40"/>
      <c r="J2450" s="102">
        <v>0</v>
      </c>
    </row>
    <row r="2451" spans="1:10" ht="15.75" hidden="1" thickBot="1" x14ac:dyDescent="0.3">
      <c r="A2451" s="220"/>
      <c r="B2451" s="223"/>
      <c r="C2451" s="36"/>
      <c r="D2451" s="36"/>
      <c r="E2451" s="37"/>
      <c r="F2451" s="31" t="s">
        <v>522</v>
      </c>
      <c r="G2451" s="34" t="str">
        <f t="shared" si="43"/>
        <v/>
      </c>
      <c r="H2451" s="35"/>
      <c r="I2451" s="31"/>
      <c r="J2451" s="102">
        <v>0</v>
      </c>
    </row>
    <row r="2452" spans="1:10" ht="15.75" hidden="1" thickBot="1" x14ac:dyDescent="0.3">
      <c r="A2452" s="218" t="s">
        <v>1482</v>
      </c>
      <c r="B2452" s="221" t="e">
        <f>INDEX(#REF!,MATCH(Composições!A2452,#REF!,0),2)</f>
        <v>#REF!</v>
      </c>
      <c r="C2452" s="41"/>
      <c r="D2452" s="26" t="s">
        <v>95</v>
      </c>
      <c r="E2452" s="27"/>
      <c r="F2452" s="42" t="s">
        <v>522</v>
      </c>
      <c r="G2452" s="28" t="str">
        <f t="shared" si="43"/>
        <v/>
      </c>
      <c r="H2452" s="29"/>
      <c r="I2452" s="30"/>
      <c r="J2452" s="102">
        <v>0</v>
      </c>
    </row>
    <row r="2453" spans="1:10" hidden="1" x14ac:dyDescent="0.25">
      <c r="A2453" s="219"/>
      <c r="B2453" s="237"/>
      <c r="C2453" s="32"/>
      <c r="D2453" s="32"/>
      <c r="E2453" s="33"/>
      <c r="F2453" s="43" t="s">
        <v>522</v>
      </c>
      <c r="G2453" s="34" t="str">
        <f t="shared" si="43"/>
        <v/>
      </c>
      <c r="H2453" s="35"/>
      <c r="I2453" s="31"/>
      <c r="J2453" s="102">
        <v>0</v>
      </c>
    </row>
    <row r="2454" spans="1:10" ht="25.5" hidden="1" x14ac:dyDescent="0.25">
      <c r="A2454" s="219"/>
      <c r="B2454" s="237"/>
      <c r="C2454" s="36" t="s">
        <v>1710</v>
      </c>
      <c r="D2454" s="47" t="s">
        <v>95</v>
      </c>
      <c r="E2454" s="37">
        <v>1</v>
      </c>
      <c r="F2454" s="31">
        <v>48.469000000000001</v>
      </c>
      <c r="G2454" s="34">
        <f t="shared" si="43"/>
        <v>48.469000000000001</v>
      </c>
      <c r="H2454" s="39">
        <f>SUM(G2454:G2454)</f>
        <v>48.469000000000001</v>
      </c>
      <c r="I2454" s="40"/>
      <c r="J2454" s="102">
        <v>0</v>
      </c>
    </row>
    <row r="2455" spans="1:10" ht="15.75" hidden="1" thickBot="1" x14ac:dyDescent="0.3">
      <c r="A2455" s="220"/>
      <c r="B2455" s="223"/>
      <c r="C2455" s="36"/>
      <c r="D2455" s="36"/>
      <c r="E2455" s="37"/>
      <c r="F2455" s="31" t="s">
        <v>522</v>
      </c>
      <c r="G2455" s="34" t="str">
        <f t="shared" si="43"/>
        <v/>
      </c>
      <c r="H2455" s="35"/>
      <c r="I2455" s="31"/>
      <c r="J2455" s="102">
        <v>0</v>
      </c>
    </row>
    <row r="2456" spans="1:10" ht="15.75" hidden="1" thickBot="1" x14ac:dyDescent="0.3">
      <c r="A2456" s="218" t="s">
        <v>1483</v>
      </c>
      <c r="B2456" s="221" t="e">
        <f>INDEX(#REF!,MATCH(Composições!A2456,#REF!,0),2)</f>
        <v>#REF!</v>
      </c>
      <c r="C2456" s="41"/>
      <c r="D2456" s="26" t="s">
        <v>95</v>
      </c>
      <c r="E2456" s="27"/>
      <c r="F2456" s="42" t="s">
        <v>522</v>
      </c>
      <c r="G2456" s="28" t="str">
        <f t="shared" si="43"/>
        <v/>
      </c>
      <c r="H2456" s="29"/>
      <c r="I2456" s="30"/>
      <c r="J2456" s="102">
        <v>0</v>
      </c>
    </row>
    <row r="2457" spans="1:10" hidden="1" x14ac:dyDescent="0.25">
      <c r="A2457" s="219"/>
      <c r="B2457" s="237"/>
      <c r="C2457" s="32"/>
      <c r="D2457" s="32"/>
      <c r="E2457" s="33"/>
      <c r="F2457" s="43" t="s">
        <v>522</v>
      </c>
      <c r="G2457" s="34" t="str">
        <f t="shared" si="43"/>
        <v/>
      </c>
      <c r="H2457" s="35"/>
      <c r="I2457" s="31"/>
      <c r="J2457" s="102">
        <v>0</v>
      </c>
    </row>
    <row r="2458" spans="1:10" ht="25.5" hidden="1" x14ac:dyDescent="0.25">
      <c r="A2458" s="219"/>
      <c r="B2458" s="237"/>
      <c r="C2458" s="36" t="s">
        <v>1710</v>
      </c>
      <c r="D2458" s="47" t="s">
        <v>95</v>
      </c>
      <c r="E2458" s="37">
        <v>1</v>
      </c>
      <c r="F2458" s="31">
        <v>48.469000000000001</v>
      </c>
      <c r="G2458" s="34">
        <f t="shared" si="43"/>
        <v>48.469000000000001</v>
      </c>
      <c r="H2458" s="39">
        <f>SUM(G2458:G2458)</f>
        <v>48.469000000000001</v>
      </c>
      <c r="I2458" s="40"/>
      <c r="J2458" s="102">
        <v>0</v>
      </c>
    </row>
    <row r="2459" spans="1:10" ht="15.75" hidden="1" thickBot="1" x14ac:dyDescent="0.3">
      <c r="A2459" s="220"/>
      <c r="B2459" s="223"/>
      <c r="C2459" s="36"/>
      <c r="D2459" s="36"/>
      <c r="E2459" s="37"/>
      <c r="F2459" s="31" t="s">
        <v>522</v>
      </c>
      <c r="G2459" s="34" t="str">
        <f t="shared" si="43"/>
        <v/>
      </c>
      <c r="H2459" s="35"/>
      <c r="I2459" s="31"/>
      <c r="J2459" s="102">
        <v>0</v>
      </c>
    </row>
    <row r="2460" spans="1:10" ht="15.75" hidden="1" thickBot="1" x14ac:dyDescent="0.3">
      <c r="A2460" s="218" t="s">
        <v>1484</v>
      </c>
      <c r="B2460" s="221" t="e">
        <f>INDEX(#REF!,MATCH(Composições!A2460,#REF!,0),2)</f>
        <v>#REF!</v>
      </c>
      <c r="C2460" s="41"/>
      <c r="D2460" s="26" t="s">
        <v>109</v>
      </c>
      <c r="E2460" s="27"/>
      <c r="F2460" s="42" t="s">
        <v>522</v>
      </c>
      <c r="G2460" s="28" t="str">
        <f t="shared" si="43"/>
        <v/>
      </c>
      <c r="H2460" s="29"/>
      <c r="I2460" s="30"/>
      <c r="J2460" s="102">
        <v>0</v>
      </c>
    </row>
    <row r="2461" spans="1:10" hidden="1" x14ac:dyDescent="0.25">
      <c r="A2461" s="219"/>
      <c r="B2461" s="237"/>
      <c r="C2461" s="32"/>
      <c r="D2461" s="32"/>
      <c r="E2461" s="33"/>
      <c r="F2461" s="43" t="s">
        <v>522</v>
      </c>
      <c r="G2461" s="34" t="str">
        <f t="shared" si="43"/>
        <v/>
      </c>
      <c r="H2461" s="35"/>
      <c r="I2461" s="31"/>
      <c r="J2461" s="102">
        <v>0</v>
      </c>
    </row>
    <row r="2462" spans="1:10" ht="25.5" hidden="1" x14ac:dyDescent="0.25">
      <c r="A2462" s="219"/>
      <c r="B2462" s="237"/>
      <c r="C2462" s="36" t="s">
        <v>2017</v>
      </c>
      <c r="D2462" s="47" t="s">
        <v>93</v>
      </c>
      <c r="E2462" s="37">
        <f>1/(0.025*0.3)</f>
        <v>133.33333333333334</v>
      </c>
      <c r="F2462" s="31">
        <v>14.25</v>
      </c>
      <c r="G2462" s="34">
        <f t="shared" si="43"/>
        <v>1900.0000000000002</v>
      </c>
      <c r="H2462" s="39">
        <f>SUM(G2462:G2462)</f>
        <v>1900.0000000000002</v>
      </c>
      <c r="I2462" s="40"/>
      <c r="J2462" s="102">
        <v>0</v>
      </c>
    </row>
    <row r="2463" spans="1:10" ht="15.75" hidden="1" thickBot="1" x14ac:dyDescent="0.3">
      <c r="A2463" s="220"/>
      <c r="B2463" s="223"/>
      <c r="C2463" s="36"/>
      <c r="D2463" s="36"/>
      <c r="E2463" s="37"/>
      <c r="F2463" s="31" t="s">
        <v>522</v>
      </c>
      <c r="G2463" s="34" t="str">
        <f t="shared" si="43"/>
        <v/>
      </c>
      <c r="H2463" s="35"/>
      <c r="I2463" s="31"/>
      <c r="J2463" s="102">
        <v>0</v>
      </c>
    </row>
    <row r="2464" spans="1:10" ht="15.75" hidden="1" thickBot="1" x14ac:dyDescent="0.3">
      <c r="A2464" s="218" t="s">
        <v>1485</v>
      </c>
      <c r="B2464" s="221" t="e">
        <f>INDEX(#REF!,MATCH(Composições!A2464,#REF!,0),2)</f>
        <v>#REF!</v>
      </c>
      <c r="C2464" s="41"/>
      <c r="D2464" s="26" t="s">
        <v>93</v>
      </c>
      <c r="E2464" s="27"/>
      <c r="F2464" s="42" t="s">
        <v>522</v>
      </c>
      <c r="G2464" s="28" t="str">
        <f t="shared" si="43"/>
        <v/>
      </c>
      <c r="H2464" s="29"/>
      <c r="I2464" s="30"/>
      <c r="J2464" s="102">
        <v>0</v>
      </c>
    </row>
    <row r="2465" spans="1:10" hidden="1" x14ac:dyDescent="0.25">
      <c r="A2465" s="219"/>
      <c r="B2465" s="237"/>
      <c r="C2465" s="32"/>
      <c r="D2465" s="32"/>
      <c r="E2465" s="33"/>
      <c r="F2465" s="43" t="s">
        <v>522</v>
      </c>
      <c r="G2465" s="34" t="str">
        <f t="shared" si="43"/>
        <v/>
      </c>
      <c r="H2465" s="35"/>
      <c r="I2465" s="31"/>
      <c r="J2465" s="102">
        <v>0</v>
      </c>
    </row>
    <row r="2466" spans="1:10" ht="25.5" hidden="1" x14ac:dyDescent="0.25">
      <c r="A2466" s="219"/>
      <c r="B2466" s="237"/>
      <c r="C2466" s="36" t="s">
        <v>2014</v>
      </c>
      <c r="D2466" s="47" t="s">
        <v>93</v>
      </c>
      <c r="E2466" s="37">
        <v>1</v>
      </c>
      <c r="F2466" s="31">
        <v>4.3605</v>
      </c>
      <c r="G2466" s="34">
        <f t="shared" si="43"/>
        <v>4.3605</v>
      </c>
      <c r="H2466" s="39">
        <f>SUM(G2466:G2466)</f>
        <v>4.3605</v>
      </c>
      <c r="I2466" s="40"/>
      <c r="J2466" s="102">
        <v>0</v>
      </c>
    </row>
    <row r="2467" spans="1:10" ht="15.75" hidden="1" thickBot="1" x14ac:dyDescent="0.3">
      <c r="A2467" s="220"/>
      <c r="B2467" s="223"/>
      <c r="C2467" s="36"/>
      <c r="D2467" s="36"/>
      <c r="E2467" s="37"/>
      <c r="F2467" s="31" t="s">
        <v>522</v>
      </c>
      <c r="G2467" s="34" t="str">
        <f t="shared" si="43"/>
        <v/>
      </c>
      <c r="H2467" s="35"/>
      <c r="I2467" s="31"/>
      <c r="J2467" s="102">
        <v>0</v>
      </c>
    </row>
    <row r="2468" spans="1:10" ht="15.75" hidden="1" thickBot="1" x14ac:dyDescent="0.3">
      <c r="A2468" s="218" t="s">
        <v>1486</v>
      </c>
      <c r="B2468" s="221" t="e">
        <f>INDEX(#REF!,MATCH(Composições!A2468,#REF!,0),2)</f>
        <v>#REF!</v>
      </c>
      <c r="C2468" s="41"/>
      <c r="D2468" s="26" t="s">
        <v>93</v>
      </c>
      <c r="E2468" s="27"/>
      <c r="F2468" s="42" t="s">
        <v>522</v>
      </c>
      <c r="G2468" s="28" t="str">
        <f t="shared" si="43"/>
        <v/>
      </c>
      <c r="H2468" s="29"/>
      <c r="I2468" s="30"/>
      <c r="J2468" s="102">
        <v>0</v>
      </c>
    </row>
    <row r="2469" spans="1:10" hidden="1" x14ac:dyDescent="0.25">
      <c r="A2469" s="219"/>
      <c r="B2469" s="237"/>
      <c r="C2469" s="32"/>
      <c r="D2469" s="32"/>
      <c r="E2469" s="33"/>
      <c r="F2469" s="43" t="s">
        <v>522</v>
      </c>
      <c r="G2469" s="34" t="str">
        <f t="shared" si="43"/>
        <v/>
      </c>
      <c r="H2469" s="35"/>
      <c r="I2469" s="31"/>
      <c r="J2469" s="102">
        <v>0</v>
      </c>
    </row>
    <row r="2470" spans="1:10" ht="25.5" hidden="1" x14ac:dyDescent="0.25">
      <c r="A2470" s="219"/>
      <c r="B2470" s="237"/>
      <c r="C2470" s="36" t="s">
        <v>2006</v>
      </c>
      <c r="D2470" s="47" t="s">
        <v>93</v>
      </c>
      <c r="E2470" s="37">
        <v>1</v>
      </c>
      <c r="F2470" s="31">
        <v>6.0419999999999998</v>
      </c>
      <c r="G2470" s="34">
        <f t="shared" si="43"/>
        <v>6.0419999999999998</v>
      </c>
      <c r="H2470" s="39">
        <f>SUM(G2470:G2470)</f>
        <v>6.0419999999999998</v>
      </c>
      <c r="I2470" s="40"/>
      <c r="J2470" s="102">
        <v>0</v>
      </c>
    </row>
    <row r="2471" spans="1:10" ht="15.75" hidden="1" thickBot="1" x14ac:dyDescent="0.3">
      <c r="A2471" s="220"/>
      <c r="B2471" s="223"/>
      <c r="C2471" s="36"/>
      <c r="D2471" s="36"/>
      <c r="E2471" s="37"/>
      <c r="F2471" s="31" t="s">
        <v>522</v>
      </c>
      <c r="G2471" s="34" t="str">
        <f t="shared" si="43"/>
        <v/>
      </c>
      <c r="H2471" s="35"/>
      <c r="I2471" s="31"/>
      <c r="J2471" s="102">
        <v>0</v>
      </c>
    </row>
    <row r="2472" spans="1:10" ht="15.75" hidden="1" thickBot="1" x14ac:dyDescent="0.3">
      <c r="A2472" s="218" t="s">
        <v>1487</v>
      </c>
      <c r="B2472" s="221" t="e">
        <f>INDEX(#REF!,MATCH(Composições!A2472,#REF!,0),2)</f>
        <v>#REF!</v>
      </c>
      <c r="C2472" s="41"/>
      <c r="D2472" s="26" t="s">
        <v>95</v>
      </c>
      <c r="E2472" s="27"/>
      <c r="F2472" s="42" t="s">
        <v>522</v>
      </c>
      <c r="G2472" s="28" t="str">
        <f t="shared" si="43"/>
        <v/>
      </c>
      <c r="H2472" s="29"/>
      <c r="I2472" s="30"/>
      <c r="J2472" s="102">
        <v>0</v>
      </c>
    </row>
    <row r="2473" spans="1:10" hidden="1" x14ac:dyDescent="0.25">
      <c r="A2473" s="219"/>
      <c r="B2473" s="237"/>
      <c r="C2473" s="32"/>
      <c r="D2473" s="32"/>
      <c r="E2473" s="33"/>
      <c r="F2473" s="43" t="s">
        <v>522</v>
      </c>
      <c r="G2473" s="34" t="str">
        <f t="shared" si="43"/>
        <v/>
      </c>
      <c r="H2473" s="35"/>
      <c r="I2473" s="31"/>
      <c r="J2473" s="102">
        <v>0</v>
      </c>
    </row>
    <row r="2474" spans="1:10" hidden="1" x14ac:dyDescent="0.25">
      <c r="A2474" s="219"/>
      <c r="B2474" s="237"/>
      <c r="C2474" s="36" t="s">
        <v>1711</v>
      </c>
      <c r="D2474" s="47" t="s">
        <v>95</v>
      </c>
      <c r="E2474" s="37">
        <v>1</v>
      </c>
      <c r="F2474" s="31">
        <v>32.651499999999999</v>
      </c>
      <c r="G2474" s="34">
        <f t="shared" si="43"/>
        <v>32.651499999999999</v>
      </c>
      <c r="H2474" s="39">
        <f>SUM(G2474:G2474)</f>
        <v>32.651499999999999</v>
      </c>
      <c r="I2474" s="40"/>
      <c r="J2474" s="102">
        <v>0</v>
      </c>
    </row>
    <row r="2475" spans="1:10" ht="15.75" hidden="1" thickBot="1" x14ac:dyDescent="0.3">
      <c r="A2475" s="220"/>
      <c r="B2475" s="223"/>
      <c r="C2475" s="36"/>
      <c r="D2475" s="36"/>
      <c r="E2475" s="37"/>
      <c r="F2475" s="31" t="s">
        <v>522</v>
      </c>
      <c r="G2475" s="34" t="str">
        <f t="shared" si="43"/>
        <v/>
      </c>
      <c r="H2475" s="35"/>
      <c r="I2475" s="31"/>
      <c r="J2475" s="102">
        <v>0</v>
      </c>
    </row>
    <row r="2476" spans="1:10" ht="15.75" hidden="1" thickBot="1" x14ac:dyDescent="0.3">
      <c r="A2476" s="218" t="s">
        <v>1488</v>
      </c>
      <c r="B2476" s="221" t="e">
        <f>INDEX(#REF!,MATCH(Composições!A2476,#REF!,0),2)</f>
        <v>#REF!</v>
      </c>
      <c r="C2476" s="41"/>
      <c r="D2476" s="26" t="s">
        <v>95</v>
      </c>
      <c r="E2476" s="27"/>
      <c r="F2476" s="42" t="s">
        <v>522</v>
      </c>
      <c r="G2476" s="28" t="str">
        <f t="shared" si="43"/>
        <v/>
      </c>
      <c r="H2476" s="29"/>
      <c r="I2476" s="30"/>
      <c r="J2476" s="102">
        <v>0</v>
      </c>
    </row>
    <row r="2477" spans="1:10" hidden="1" x14ac:dyDescent="0.25">
      <c r="A2477" s="219"/>
      <c r="B2477" s="237"/>
      <c r="C2477" s="32"/>
      <c r="D2477" s="32"/>
      <c r="E2477" s="33"/>
      <c r="F2477" s="43" t="s">
        <v>522</v>
      </c>
      <c r="G2477" s="34" t="str">
        <f t="shared" si="43"/>
        <v/>
      </c>
      <c r="H2477" s="35"/>
      <c r="I2477" s="31"/>
      <c r="J2477" s="102">
        <v>0</v>
      </c>
    </row>
    <row r="2478" spans="1:10" ht="25.5" hidden="1" x14ac:dyDescent="0.25">
      <c r="A2478" s="219"/>
      <c r="B2478" s="237"/>
      <c r="C2478" s="36" t="s">
        <v>1712</v>
      </c>
      <c r="D2478" s="47" t="s">
        <v>95</v>
      </c>
      <c r="E2478" s="37">
        <v>1</v>
      </c>
      <c r="F2478" s="31">
        <v>51.233499999999999</v>
      </c>
      <c r="G2478" s="34">
        <f t="shared" si="43"/>
        <v>51.233499999999999</v>
      </c>
      <c r="H2478" s="39">
        <f>SUM(G2478:G2478)</f>
        <v>51.233499999999999</v>
      </c>
      <c r="I2478" s="40"/>
      <c r="J2478" s="102">
        <v>0</v>
      </c>
    </row>
    <row r="2479" spans="1:10" ht="15.75" hidden="1" thickBot="1" x14ac:dyDescent="0.3">
      <c r="A2479" s="220"/>
      <c r="B2479" s="223"/>
      <c r="C2479" s="36"/>
      <c r="D2479" s="36"/>
      <c r="E2479" s="37"/>
      <c r="F2479" s="31" t="s">
        <v>522</v>
      </c>
      <c r="G2479" s="34" t="str">
        <f t="shared" si="43"/>
        <v/>
      </c>
      <c r="H2479" s="35"/>
      <c r="I2479" s="31"/>
      <c r="J2479" s="102">
        <v>0</v>
      </c>
    </row>
    <row r="2480" spans="1:10" ht="15.75" hidden="1" thickBot="1" x14ac:dyDescent="0.3">
      <c r="A2480" s="218" t="s">
        <v>1489</v>
      </c>
      <c r="B2480" s="221" t="e">
        <f>INDEX(#REF!,MATCH(Composições!A2480,#REF!,0),2)</f>
        <v>#REF!</v>
      </c>
      <c r="C2480" s="41"/>
      <c r="D2480" s="26" t="s">
        <v>95</v>
      </c>
      <c r="E2480" s="27"/>
      <c r="F2480" s="42" t="s">
        <v>522</v>
      </c>
      <c r="G2480" s="28" t="str">
        <f t="shared" si="43"/>
        <v/>
      </c>
      <c r="H2480" s="29"/>
      <c r="I2480" s="30"/>
      <c r="J2480" s="102">
        <v>0</v>
      </c>
    </row>
    <row r="2481" spans="1:10" hidden="1" x14ac:dyDescent="0.25">
      <c r="A2481" s="219"/>
      <c r="B2481" s="237"/>
      <c r="C2481" s="32"/>
      <c r="D2481" s="32"/>
      <c r="E2481" s="33"/>
      <c r="F2481" s="43" t="s">
        <v>522</v>
      </c>
      <c r="G2481" s="34" t="str">
        <f t="shared" si="43"/>
        <v/>
      </c>
      <c r="H2481" s="35"/>
      <c r="I2481" s="31"/>
      <c r="J2481" s="102">
        <v>0</v>
      </c>
    </row>
    <row r="2482" spans="1:10" ht="25.5" hidden="1" x14ac:dyDescent="0.25">
      <c r="A2482" s="219"/>
      <c r="B2482" s="237"/>
      <c r="C2482" s="36" t="s">
        <v>1713</v>
      </c>
      <c r="D2482" s="47" t="s">
        <v>95</v>
      </c>
      <c r="E2482" s="37">
        <v>1</v>
      </c>
      <c r="F2482" s="31">
        <v>63.602499999999999</v>
      </c>
      <c r="G2482" s="34">
        <f t="shared" si="43"/>
        <v>63.602499999999999</v>
      </c>
      <c r="H2482" s="39">
        <f>SUM(G2482:G2482)</f>
        <v>63.602499999999999</v>
      </c>
      <c r="I2482" s="40"/>
      <c r="J2482" s="102">
        <v>0</v>
      </c>
    </row>
    <row r="2483" spans="1:10" ht="15.75" hidden="1" thickBot="1" x14ac:dyDescent="0.3">
      <c r="A2483" s="220"/>
      <c r="B2483" s="223"/>
      <c r="C2483" s="36"/>
      <c r="D2483" s="36"/>
      <c r="E2483" s="37"/>
      <c r="F2483" s="31" t="s">
        <v>522</v>
      </c>
      <c r="G2483" s="34" t="str">
        <f t="shared" si="43"/>
        <v/>
      </c>
      <c r="H2483" s="35"/>
      <c r="I2483" s="31"/>
      <c r="J2483" s="102">
        <v>0</v>
      </c>
    </row>
    <row r="2484" spans="1:10" ht="15.75" hidden="1" thickBot="1" x14ac:dyDescent="0.3">
      <c r="A2484" s="218" t="s">
        <v>1490</v>
      </c>
      <c r="B2484" s="221" t="e">
        <f>INDEX(#REF!,MATCH(Composições!A2484,#REF!,0),2)</f>
        <v>#REF!</v>
      </c>
      <c r="C2484" s="41"/>
      <c r="D2484" s="26" t="s">
        <v>93</v>
      </c>
      <c r="E2484" s="27"/>
      <c r="F2484" s="42" t="s">
        <v>522</v>
      </c>
      <c r="G2484" s="28" t="str">
        <f t="shared" si="43"/>
        <v/>
      </c>
      <c r="H2484" s="29"/>
      <c r="I2484" s="30"/>
      <c r="J2484" s="102">
        <v>0</v>
      </c>
    </row>
    <row r="2485" spans="1:10" hidden="1" x14ac:dyDescent="0.25">
      <c r="A2485" s="219"/>
      <c r="B2485" s="237"/>
      <c r="C2485" s="32"/>
      <c r="D2485" s="32"/>
      <c r="E2485" s="33"/>
      <c r="F2485" s="43" t="s">
        <v>522</v>
      </c>
      <c r="G2485" s="34" t="str">
        <f t="shared" si="43"/>
        <v/>
      </c>
      <c r="H2485" s="35"/>
      <c r="I2485" s="31"/>
      <c r="J2485" s="102">
        <v>0</v>
      </c>
    </row>
    <row r="2486" spans="1:10" ht="25.5" hidden="1" x14ac:dyDescent="0.25">
      <c r="A2486" s="219"/>
      <c r="B2486" s="237"/>
      <c r="C2486" s="36" t="s">
        <v>130</v>
      </c>
      <c r="D2486" s="47" t="s">
        <v>42</v>
      </c>
      <c r="E2486" s="37">
        <v>1.73</v>
      </c>
      <c r="F2486" s="31">
        <v>9.7564999999999991</v>
      </c>
      <c r="G2486" s="34">
        <f t="shared" si="43"/>
        <v>16.878744999999999</v>
      </c>
      <c r="H2486" s="39">
        <f>SUM(G2486:G2486)</f>
        <v>16.878744999999999</v>
      </c>
      <c r="I2486" s="40"/>
      <c r="J2486" s="102">
        <v>0</v>
      </c>
    </row>
    <row r="2487" spans="1:10" ht="15.75" hidden="1" thickBot="1" x14ac:dyDescent="0.3">
      <c r="A2487" s="220"/>
      <c r="B2487" s="223"/>
      <c r="C2487" s="36"/>
      <c r="D2487" s="36"/>
      <c r="E2487" s="37"/>
      <c r="F2487" s="31" t="s">
        <v>522</v>
      </c>
      <c r="G2487" s="34" t="str">
        <f t="shared" si="43"/>
        <v/>
      </c>
      <c r="H2487" s="35"/>
      <c r="I2487" s="31"/>
      <c r="J2487" s="102">
        <v>0</v>
      </c>
    </row>
    <row r="2488" spans="1:10" ht="15.75" hidden="1" thickBot="1" x14ac:dyDescent="0.3">
      <c r="A2488" s="218" t="s">
        <v>1491</v>
      </c>
      <c r="B2488" s="221" t="e">
        <f>INDEX(#REF!,MATCH(Composições!A2488,#REF!,0),2)</f>
        <v>#REF!</v>
      </c>
      <c r="C2488" s="41"/>
      <c r="D2488" s="26" t="s">
        <v>93</v>
      </c>
      <c r="E2488" s="27"/>
      <c r="F2488" s="42" t="s">
        <v>522</v>
      </c>
      <c r="G2488" s="28" t="str">
        <f t="shared" si="43"/>
        <v/>
      </c>
      <c r="H2488" s="29"/>
      <c r="I2488" s="30"/>
      <c r="J2488" s="102">
        <v>0</v>
      </c>
    </row>
    <row r="2489" spans="1:10" hidden="1" x14ac:dyDescent="0.25">
      <c r="A2489" s="219"/>
      <c r="B2489" s="237"/>
      <c r="C2489" s="32"/>
      <c r="D2489" s="32"/>
      <c r="E2489" s="33"/>
      <c r="F2489" s="43" t="s">
        <v>522</v>
      </c>
      <c r="G2489" s="34" t="str">
        <f t="shared" si="43"/>
        <v/>
      </c>
      <c r="H2489" s="35"/>
      <c r="I2489" s="31"/>
      <c r="J2489" s="102">
        <v>0</v>
      </c>
    </row>
    <row r="2490" spans="1:10" ht="25.5" hidden="1" x14ac:dyDescent="0.25">
      <c r="A2490" s="219"/>
      <c r="B2490" s="237"/>
      <c r="C2490" s="36" t="s">
        <v>130</v>
      </c>
      <c r="D2490" s="47" t="s">
        <v>42</v>
      </c>
      <c r="E2490" s="37">
        <v>2.2000000000000002</v>
      </c>
      <c r="F2490" s="31">
        <v>9.7564999999999991</v>
      </c>
      <c r="G2490" s="34">
        <f t="shared" si="43"/>
        <v>21.464299999999998</v>
      </c>
      <c r="H2490" s="39">
        <f>SUM(G2490:G2490)</f>
        <v>21.464299999999998</v>
      </c>
      <c r="I2490" s="40"/>
      <c r="J2490" s="102">
        <v>0</v>
      </c>
    </row>
    <row r="2491" spans="1:10" ht="15.75" hidden="1" thickBot="1" x14ac:dyDescent="0.3">
      <c r="A2491" s="220"/>
      <c r="B2491" s="223"/>
      <c r="C2491" s="36"/>
      <c r="D2491" s="36"/>
      <c r="E2491" s="37"/>
      <c r="F2491" s="31" t="s">
        <v>522</v>
      </c>
      <c r="G2491" s="34" t="str">
        <f t="shared" si="43"/>
        <v/>
      </c>
      <c r="H2491" s="35"/>
      <c r="I2491" s="31"/>
      <c r="J2491" s="102">
        <v>0</v>
      </c>
    </row>
    <row r="2492" spans="1:10" ht="15.75" hidden="1" thickBot="1" x14ac:dyDescent="0.3">
      <c r="A2492" s="218" t="s">
        <v>1492</v>
      </c>
      <c r="B2492" s="221" t="e">
        <f>INDEX(#REF!,MATCH(Composições!A2492,#REF!,0),2)</f>
        <v>#REF!</v>
      </c>
      <c r="C2492" s="41"/>
      <c r="D2492" s="26" t="s">
        <v>93</v>
      </c>
      <c r="E2492" s="27"/>
      <c r="F2492" s="42" t="s">
        <v>522</v>
      </c>
      <c r="G2492" s="28" t="str">
        <f t="shared" si="43"/>
        <v/>
      </c>
      <c r="H2492" s="29"/>
      <c r="I2492" s="30"/>
      <c r="J2492" s="102">
        <v>0</v>
      </c>
    </row>
    <row r="2493" spans="1:10" hidden="1" x14ac:dyDescent="0.25">
      <c r="A2493" s="219"/>
      <c r="B2493" s="237"/>
      <c r="C2493" s="32"/>
      <c r="D2493" s="32"/>
      <c r="E2493" s="33"/>
      <c r="F2493" s="43" t="s">
        <v>522</v>
      </c>
      <c r="G2493" s="34" t="str">
        <f t="shared" si="43"/>
        <v/>
      </c>
      <c r="H2493" s="35"/>
      <c r="I2493" s="31"/>
      <c r="J2493" s="102">
        <v>0</v>
      </c>
    </row>
    <row r="2494" spans="1:10" ht="25.5" hidden="1" x14ac:dyDescent="0.25">
      <c r="A2494" s="219"/>
      <c r="B2494" s="237"/>
      <c r="C2494" s="36" t="s">
        <v>130</v>
      </c>
      <c r="D2494" s="47" t="s">
        <v>42</v>
      </c>
      <c r="E2494" s="37">
        <v>2.46</v>
      </c>
      <c r="F2494" s="31">
        <v>9.7564999999999991</v>
      </c>
      <c r="G2494" s="34">
        <f t="shared" si="43"/>
        <v>24.000989999999998</v>
      </c>
      <c r="H2494" s="39">
        <f>SUM(G2494:G2494)</f>
        <v>24.000989999999998</v>
      </c>
      <c r="I2494" s="40"/>
      <c r="J2494" s="102">
        <v>0</v>
      </c>
    </row>
    <row r="2495" spans="1:10" ht="15.75" hidden="1" thickBot="1" x14ac:dyDescent="0.3">
      <c r="A2495" s="220"/>
      <c r="B2495" s="223"/>
      <c r="C2495" s="36"/>
      <c r="D2495" s="36"/>
      <c r="E2495" s="37"/>
      <c r="F2495" s="31" t="s">
        <v>522</v>
      </c>
      <c r="G2495" s="34" t="str">
        <f t="shared" si="43"/>
        <v/>
      </c>
      <c r="H2495" s="35"/>
      <c r="I2495" s="31"/>
      <c r="J2495" s="102">
        <v>0</v>
      </c>
    </row>
    <row r="2496" spans="1:10" ht="15.75" hidden="1" thickBot="1" x14ac:dyDescent="0.3">
      <c r="A2496" s="218" t="s">
        <v>1493</v>
      </c>
      <c r="B2496" s="221" t="e">
        <f>INDEX(#REF!,MATCH(Composições!A2496,#REF!,0),2)</f>
        <v>#REF!</v>
      </c>
      <c r="C2496" s="41"/>
      <c r="D2496" s="26" t="s">
        <v>93</v>
      </c>
      <c r="E2496" s="27"/>
      <c r="F2496" s="42" t="s">
        <v>522</v>
      </c>
      <c r="G2496" s="28" t="str">
        <f t="shared" si="43"/>
        <v/>
      </c>
      <c r="H2496" s="29"/>
      <c r="I2496" s="30"/>
      <c r="J2496" s="102">
        <v>0</v>
      </c>
    </row>
    <row r="2497" spans="1:10" hidden="1" x14ac:dyDescent="0.25">
      <c r="A2497" s="219"/>
      <c r="B2497" s="237"/>
      <c r="C2497" s="32"/>
      <c r="D2497" s="32"/>
      <c r="E2497" s="33"/>
      <c r="F2497" s="43" t="s">
        <v>522</v>
      </c>
      <c r="G2497" s="34" t="str">
        <f t="shared" si="43"/>
        <v/>
      </c>
      <c r="H2497" s="35"/>
      <c r="I2497" s="31"/>
      <c r="J2497" s="102">
        <v>0</v>
      </c>
    </row>
    <row r="2498" spans="1:10" ht="25.5" hidden="1" x14ac:dyDescent="0.25">
      <c r="A2498" s="219"/>
      <c r="B2498" s="237"/>
      <c r="C2498" s="36" t="s">
        <v>130</v>
      </c>
      <c r="D2498" s="47" t="s">
        <v>42</v>
      </c>
      <c r="E2498" s="37">
        <v>3.63</v>
      </c>
      <c r="F2498" s="31">
        <v>9.7564999999999991</v>
      </c>
      <c r="G2498" s="34">
        <f t="shared" si="43"/>
        <v>35.416094999999999</v>
      </c>
      <c r="H2498" s="39">
        <f>SUM(G2498:G2498)</f>
        <v>35.416094999999999</v>
      </c>
      <c r="I2498" s="40"/>
      <c r="J2498" s="102">
        <v>0</v>
      </c>
    </row>
    <row r="2499" spans="1:10" ht="15.75" hidden="1" thickBot="1" x14ac:dyDescent="0.3">
      <c r="A2499" s="220"/>
      <c r="B2499" s="223"/>
      <c r="C2499" s="36"/>
      <c r="D2499" s="36"/>
      <c r="E2499" s="37"/>
      <c r="F2499" s="31" t="s">
        <v>522</v>
      </c>
      <c r="G2499" s="34" t="str">
        <f t="shared" si="43"/>
        <v/>
      </c>
      <c r="H2499" s="35"/>
      <c r="I2499" s="31"/>
      <c r="J2499" s="102">
        <v>0</v>
      </c>
    </row>
    <row r="2500" spans="1:10" ht="15.75" hidden="1" thickBot="1" x14ac:dyDescent="0.3">
      <c r="A2500" s="218" t="s">
        <v>1494</v>
      </c>
      <c r="B2500" s="221" t="e">
        <f>INDEX(#REF!,MATCH(Composições!A2500,#REF!,0),2)</f>
        <v>#REF!</v>
      </c>
      <c r="C2500" s="41"/>
      <c r="D2500" s="26" t="s">
        <v>93</v>
      </c>
      <c r="E2500" s="27"/>
      <c r="F2500" s="42" t="s">
        <v>522</v>
      </c>
      <c r="G2500" s="28" t="str">
        <f t="shared" si="43"/>
        <v/>
      </c>
      <c r="H2500" s="29"/>
      <c r="I2500" s="30"/>
      <c r="J2500" s="102">
        <v>0</v>
      </c>
    </row>
    <row r="2501" spans="1:10" hidden="1" x14ac:dyDescent="0.25">
      <c r="A2501" s="219"/>
      <c r="B2501" s="237"/>
      <c r="C2501" s="32"/>
      <c r="D2501" s="32"/>
      <c r="E2501" s="33"/>
      <c r="F2501" s="43" t="s">
        <v>522</v>
      </c>
      <c r="G2501" s="34" t="str">
        <f t="shared" si="43"/>
        <v/>
      </c>
      <c r="H2501" s="35"/>
      <c r="I2501" s="31"/>
      <c r="J2501" s="102">
        <v>0</v>
      </c>
    </row>
    <row r="2502" spans="1:10" ht="25.5" hidden="1" x14ac:dyDescent="0.25">
      <c r="A2502" s="219"/>
      <c r="B2502" s="237"/>
      <c r="C2502" s="36" t="s">
        <v>130</v>
      </c>
      <c r="D2502" s="47" t="s">
        <v>42</v>
      </c>
      <c r="E2502" s="37">
        <v>0.71</v>
      </c>
      <c r="F2502" s="31">
        <v>9.7564999999999991</v>
      </c>
      <c r="G2502" s="34">
        <f t="shared" ref="G2502:G2565" si="44">IF(ISNUMBER(F2502),E2502*F2502,"")</f>
        <v>6.9271149999999988</v>
      </c>
      <c r="H2502" s="39">
        <f>SUM(G2502:G2502)</f>
        <v>6.9271149999999988</v>
      </c>
      <c r="I2502" s="40"/>
      <c r="J2502" s="102">
        <v>0</v>
      </c>
    </row>
    <row r="2503" spans="1:10" ht="15.75" hidden="1" thickBot="1" x14ac:dyDescent="0.3">
      <c r="A2503" s="220"/>
      <c r="B2503" s="223"/>
      <c r="C2503" s="36"/>
      <c r="D2503" s="36"/>
      <c r="E2503" s="37"/>
      <c r="F2503" s="31" t="s">
        <v>522</v>
      </c>
      <c r="G2503" s="34" t="str">
        <f t="shared" si="44"/>
        <v/>
      </c>
      <c r="H2503" s="35"/>
      <c r="I2503" s="31"/>
      <c r="J2503" s="102">
        <v>0</v>
      </c>
    </row>
    <row r="2504" spans="1:10" ht="15.75" hidden="1" thickBot="1" x14ac:dyDescent="0.3">
      <c r="A2504" s="218" t="s">
        <v>1495</v>
      </c>
      <c r="B2504" s="221" t="e">
        <f>INDEX(#REF!,MATCH(Composições!A2504,#REF!,0),2)</f>
        <v>#REF!</v>
      </c>
      <c r="C2504" s="41"/>
      <c r="D2504" s="26" t="s">
        <v>42</v>
      </c>
      <c r="E2504" s="27"/>
      <c r="F2504" s="42" t="s">
        <v>522</v>
      </c>
      <c r="G2504" s="28" t="str">
        <f t="shared" si="44"/>
        <v/>
      </c>
      <c r="H2504" s="29"/>
      <c r="I2504" s="30"/>
      <c r="J2504" s="102">
        <v>0</v>
      </c>
    </row>
    <row r="2505" spans="1:10" hidden="1" x14ac:dyDescent="0.25">
      <c r="A2505" s="219"/>
      <c r="B2505" s="237"/>
      <c r="C2505" s="32"/>
      <c r="D2505" s="32"/>
      <c r="E2505" s="33"/>
      <c r="F2505" s="43" t="s">
        <v>522</v>
      </c>
      <c r="G2505" s="34" t="str">
        <f t="shared" si="44"/>
        <v/>
      </c>
      <c r="H2505" s="35"/>
      <c r="I2505" s="31"/>
      <c r="J2505" s="102">
        <v>0</v>
      </c>
    </row>
    <row r="2506" spans="1:10" ht="25.5" hidden="1" x14ac:dyDescent="0.25">
      <c r="A2506" s="219"/>
      <c r="B2506" s="237"/>
      <c r="C2506" s="36" t="s">
        <v>1709</v>
      </c>
      <c r="D2506" s="47" t="s">
        <v>42</v>
      </c>
      <c r="E2506" s="37">
        <v>1</v>
      </c>
      <c r="F2506" s="31">
        <v>14.554</v>
      </c>
      <c r="G2506" s="34">
        <f t="shared" si="44"/>
        <v>14.554</v>
      </c>
      <c r="H2506" s="39">
        <f>SUM(G2506:G2506)</f>
        <v>14.554</v>
      </c>
      <c r="I2506" s="40"/>
      <c r="J2506" s="102">
        <v>0</v>
      </c>
    </row>
    <row r="2507" spans="1:10" ht="15.75" hidden="1" thickBot="1" x14ac:dyDescent="0.3">
      <c r="A2507" s="220"/>
      <c r="B2507" s="223"/>
      <c r="C2507" s="36"/>
      <c r="D2507" s="36"/>
      <c r="E2507" s="37"/>
      <c r="F2507" s="31" t="s">
        <v>522</v>
      </c>
      <c r="G2507" s="34" t="str">
        <f t="shared" si="44"/>
        <v/>
      </c>
      <c r="H2507" s="35"/>
      <c r="I2507" s="31"/>
      <c r="J2507" s="102">
        <v>0</v>
      </c>
    </row>
    <row r="2508" spans="1:10" ht="15.75" hidden="1" thickBot="1" x14ac:dyDescent="0.3">
      <c r="A2508" s="218" t="s">
        <v>1496</v>
      </c>
      <c r="B2508" s="221" t="e">
        <f>INDEX(#REF!,MATCH(Composições!A2508,#REF!,0),2)</f>
        <v>#REF!</v>
      </c>
      <c r="C2508" s="41"/>
      <c r="D2508" s="26" t="s">
        <v>93</v>
      </c>
      <c r="E2508" s="27"/>
      <c r="F2508" s="42" t="s">
        <v>522</v>
      </c>
      <c r="G2508" s="28" t="str">
        <f t="shared" si="44"/>
        <v/>
      </c>
      <c r="H2508" s="29"/>
      <c r="I2508" s="30"/>
      <c r="J2508" s="102">
        <v>0</v>
      </c>
    </row>
    <row r="2509" spans="1:10" hidden="1" x14ac:dyDescent="0.25">
      <c r="A2509" s="219"/>
      <c r="B2509" s="237"/>
      <c r="C2509" s="32"/>
      <c r="D2509" s="32"/>
      <c r="E2509" s="33"/>
      <c r="F2509" s="43" t="s">
        <v>522</v>
      </c>
      <c r="G2509" s="34" t="str">
        <f t="shared" si="44"/>
        <v/>
      </c>
      <c r="H2509" s="35"/>
      <c r="I2509" s="31"/>
      <c r="J2509" s="102">
        <v>0</v>
      </c>
    </row>
    <row r="2510" spans="1:10" hidden="1" x14ac:dyDescent="0.25">
      <c r="A2510" s="219"/>
      <c r="B2510" s="237"/>
      <c r="C2510" s="36" t="s">
        <v>2005</v>
      </c>
      <c r="D2510" s="47" t="s">
        <v>42</v>
      </c>
      <c r="E2510" s="37">
        <v>0.63</v>
      </c>
      <c r="F2510" s="31">
        <v>11.685</v>
      </c>
      <c r="G2510" s="34">
        <f t="shared" si="44"/>
        <v>7.3615500000000003</v>
      </c>
      <c r="H2510" s="39">
        <f>SUM(G2510:G2510)</f>
        <v>7.3615500000000003</v>
      </c>
      <c r="I2510" s="40"/>
      <c r="J2510" s="102">
        <v>0</v>
      </c>
    </row>
    <row r="2511" spans="1:10" ht="15.75" hidden="1" thickBot="1" x14ac:dyDescent="0.3">
      <c r="A2511" s="220"/>
      <c r="B2511" s="223"/>
      <c r="C2511" s="36"/>
      <c r="D2511" s="36"/>
      <c r="E2511" s="37"/>
      <c r="F2511" s="31" t="s">
        <v>522</v>
      </c>
      <c r="G2511" s="34" t="str">
        <f t="shared" si="44"/>
        <v/>
      </c>
      <c r="H2511" s="35"/>
      <c r="I2511" s="31"/>
      <c r="J2511" s="102">
        <v>0</v>
      </c>
    </row>
    <row r="2512" spans="1:10" ht="15.75" hidden="1" thickBot="1" x14ac:dyDescent="0.3">
      <c r="A2512" s="218" t="s">
        <v>1497</v>
      </c>
      <c r="B2512" s="221" t="e">
        <f>INDEX(#REF!,MATCH(Composições!A2512,#REF!,0),2)</f>
        <v>#REF!</v>
      </c>
      <c r="C2512" s="41"/>
      <c r="D2512" s="26" t="s">
        <v>93</v>
      </c>
      <c r="E2512" s="27"/>
      <c r="F2512" s="42" t="s">
        <v>522</v>
      </c>
      <c r="G2512" s="28" t="str">
        <f t="shared" si="44"/>
        <v/>
      </c>
      <c r="H2512" s="29"/>
      <c r="I2512" s="30"/>
      <c r="J2512" s="102">
        <v>0</v>
      </c>
    </row>
    <row r="2513" spans="1:10" hidden="1" x14ac:dyDescent="0.25">
      <c r="A2513" s="219"/>
      <c r="B2513" s="237"/>
      <c r="C2513" s="32"/>
      <c r="D2513" s="32"/>
      <c r="E2513" s="33"/>
      <c r="F2513" s="43" t="s">
        <v>522</v>
      </c>
      <c r="G2513" s="34" t="str">
        <f t="shared" si="44"/>
        <v/>
      </c>
      <c r="H2513" s="35"/>
      <c r="I2513" s="31"/>
      <c r="J2513" s="102">
        <v>0</v>
      </c>
    </row>
    <row r="2514" spans="1:10" hidden="1" x14ac:dyDescent="0.25">
      <c r="A2514" s="219"/>
      <c r="B2514" s="237"/>
      <c r="C2514" s="36" t="s">
        <v>2005</v>
      </c>
      <c r="D2514" s="47" t="s">
        <v>42</v>
      </c>
      <c r="E2514" s="37">
        <v>0.95</v>
      </c>
      <c r="F2514" s="31">
        <v>11.685</v>
      </c>
      <c r="G2514" s="34">
        <f t="shared" si="44"/>
        <v>11.10075</v>
      </c>
      <c r="H2514" s="39">
        <f>SUM(G2514:G2514)</f>
        <v>11.10075</v>
      </c>
      <c r="I2514" s="40"/>
      <c r="J2514" s="102">
        <v>0</v>
      </c>
    </row>
    <row r="2515" spans="1:10" ht="15.75" hidden="1" thickBot="1" x14ac:dyDescent="0.3">
      <c r="A2515" s="220"/>
      <c r="B2515" s="223"/>
      <c r="C2515" s="36"/>
      <c r="D2515" s="36"/>
      <c r="E2515" s="37"/>
      <c r="F2515" s="31" t="s">
        <v>522</v>
      </c>
      <c r="G2515" s="34" t="str">
        <f t="shared" si="44"/>
        <v/>
      </c>
      <c r="H2515" s="35"/>
      <c r="I2515" s="31"/>
      <c r="J2515" s="102">
        <v>0</v>
      </c>
    </row>
    <row r="2516" spans="1:10" ht="15.75" hidden="1" thickBot="1" x14ac:dyDescent="0.3">
      <c r="A2516" s="218" t="s">
        <v>1498</v>
      </c>
      <c r="B2516" s="221" t="e">
        <f>INDEX(#REF!,MATCH(Composições!A2516,#REF!,0),2)</f>
        <v>#REF!</v>
      </c>
      <c r="C2516" s="41"/>
      <c r="D2516" s="26" t="s">
        <v>93</v>
      </c>
      <c r="E2516" s="27"/>
      <c r="F2516" s="42" t="s">
        <v>522</v>
      </c>
      <c r="G2516" s="28" t="str">
        <f t="shared" si="44"/>
        <v/>
      </c>
      <c r="H2516" s="29"/>
      <c r="I2516" s="30"/>
      <c r="J2516" s="102">
        <v>0</v>
      </c>
    </row>
    <row r="2517" spans="1:10" hidden="1" x14ac:dyDescent="0.25">
      <c r="A2517" s="219"/>
      <c r="B2517" s="237"/>
      <c r="C2517" s="32"/>
      <c r="D2517" s="32"/>
      <c r="E2517" s="33"/>
      <c r="F2517" s="43" t="s">
        <v>522</v>
      </c>
      <c r="G2517" s="34" t="str">
        <f t="shared" si="44"/>
        <v/>
      </c>
      <c r="H2517" s="35"/>
      <c r="I2517" s="31"/>
      <c r="J2517" s="102">
        <v>0</v>
      </c>
    </row>
    <row r="2518" spans="1:10" hidden="1" x14ac:dyDescent="0.25">
      <c r="A2518" s="219"/>
      <c r="B2518" s="237"/>
      <c r="C2518" s="36" t="s">
        <v>2005</v>
      </c>
      <c r="D2518" s="47" t="s">
        <v>42</v>
      </c>
      <c r="E2518" s="37">
        <v>1.1100000000000001</v>
      </c>
      <c r="F2518" s="31">
        <v>11.685</v>
      </c>
      <c r="G2518" s="34">
        <f t="shared" si="44"/>
        <v>12.970350000000002</v>
      </c>
      <c r="H2518" s="39">
        <f>SUM(G2518:G2518)</f>
        <v>12.970350000000002</v>
      </c>
      <c r="I2518" s="40"/>
      <c r="J2518" s="102">
        <v>0</v>
      </c>
    </row>
    <row r="2519" spans="1:10" ht="15.75" hidden="1" thickBot="1" x14ac:dyDescent="0.3">
      <c r="A2519" s="220"/>
      <c r="B2519" s="223"/>
      <c r="C2519" s="36"/>
      <c r="D2519" s="36"/>
      <c r="E2519" s="37"/>
      <c r="F2519" s="31" t="s">
        <v>522</v>
      </c>
      <c r="G2519" s="34" t="str">
        <f t="shared" si="44"/>
        <v/>
      </c>
      <c r="H2519" s="35"/>
      <c r="I2519" s="31"/>
      <c r="J2519" s="102">
        <v>0</v>
      </c>
    </row>
    <row r="2520" spans="1:10" ht="15.75" hidden="1" thickBot="1" x14ac:dyDescent="0.3">
      <c r="A2520" s="218" t="s">
        <v>1499</v>
      </c>
      <c r="B2520" s="221" t="e">
        <f>INDEX(#REF!,MATCH(Composições!A2520,#REF!,0),2)</f>
        <v>#REF!</v>
      </c>
      <c r="C2520" s="41"/>
      <c r="D2520" s="26" t="s">
        <v>93</v>
      </c>
      <c r="E2520" s="27"/>
      <c r="F2520" s="42" t="s">
        <v>522</v>
      </c>
      <c r="G2520" s="28" t="str">
        <f t="shared" si="44"/>
        <v/>
      </c>
      <c r="H2520" s="29"/>
      <c r="I2520" s="30"/>
      <c r="J2520" s="102">
        <v>0</v>
      </c>
    </row>
    <row r="2521" spans="1:10" hidden="1" x14ac:dyDescent="0.25">
      <c r="A2521" s="219"/>
      <c r="B2521" s="237"/>
      <c r="C2521" s="32"/>
      <c r="D2521" s="32"/>
      <c r="E2521" s="33"/>
      <c r="F2521" s="43" t="s">
        <v>522</v>
      </c>
      <c r="G2521" s="34" t="str">
        <f t="shared" si="44"/>
        <v/>
      </c>
      <c r="H2521" s="35"/>
      <c r="I2521" s="31"/>
      <c r="J2521" s="102">
        <v>0</v>
      </c>
    </row>
    <row r="2522" spans="1:10" hidden="1" x14ac:dyDescent="0.25">
      <c r="A2522" s="219"/>
      <c r="B2522" s="237"/>
      <c r="C2522" s="36" t="s">
        <v>2005</v>
      </c>
      <c r="D2522" s="47" t="s">
        <v>42</v>
      </c>
      <c r="E2522" s="37">
        <v>0.48</v>
      </c>
      <c r="F2522" s="31">
        <v>11.685</v>
      </c>
      <c r="G2522" s="34">
        <f t="shared" si="44"/>
        <v>5.6088000000000005</v>
      </c>
      <c r="H2522" s="39">
        <f>SUM(G2522:G2522)</f>
        <v>5.6088000000000005</v>
      </c>
      <c r="I2522" s="40"/>
      <c r="J2522" s="102">
        <v>0</v>
      </c>
    </row>
    <row r="2523" spans="1:10" ht="15.75" hidden="1" thickBot="1" x14ac:dyDescent="0.3">
      <c r="A2523" s="220"/>
      <c r="B2523" s="223"/>
      <c r="C2523" s="36"/>
      <c r="D2523" s="36"/>
      <c r="E2523" s="37"/>
      <c r="F2523" s="31" t="s">
        <v>522</v>
      </c>
      <c r="G2523" s="34" t="str">
        <f t="shared" si="44"/>
        <v/>
      </c>
      <c r="H2523" s="35"/>
      <c r="I2523" s="31"/>
      <c r="J2523" s="102">
        <v>0</v>
      </c>
    </row>
    <row r="2524" spans="1:10" ht="15.75" hidden="1" thickBot="1" x14ac:dyDescent="0.3">
      <c r="A2524" s="218" t="s">
        <v>1500</v>
      </c>
      <c r="B2524" s="221" t="e">
        <f>INDEX(#REF!,MATCH(Composições!A2524,#REF!,0),2)</f>
        <v>#REF!</v>
      </c>
      <c r="C2524" s="41"/>
      <c r="D2524" s="26" t="s">
        <v>93</v>
      </c>
      <c r="E2524" s="27"/>
      <c r="F2524" s="42" t="s">
        <v>522</v>
      </c>
      <c r="G2524" s="28" t="str">
        <f t="shared" si="44"/>
        <v/>
      </c>
      <c r="H2524" s="29"/>
      <c r="I2524" s="30"/>
      <c r="J2524" s="102">
        <v>0</v>
      </c>
    </row>
    <row r="2525" spans="1:10" hidden="1" x14ac:dyDescent="0.25">
      <c r="A2525" s="219"/>
      <c r="B2525" s="237"/>
      <c r="C2525" s="32"/>
      <c r="D2525" s="32"/>
      <c r="E2525" s="33"/>
      <c r="F2525" s="43" t="s">
        <v>522</v>
      </c>
      <c r="G2525" s="34" t="str">
        <f t="shared" si="44"/>
        <v/>
      </c>
      <c r="H2525" s="35"/>
      <c r="I2525" s="31"/>
      <c r="J2525" s="102">
        <v>0</v>
      </c>
    </row>
    <row r="2526" spans="1:10" hidden="1" x14ac:dyDescent="0.25">
      <c r="A2526" s="219"/>
      <c r="B2526" s="237"/>
      <c r="C2526" s="36" t="s">
        <v>2005</v>
      </c>
      <c r="D2526" s="47" t="s">
        <v>42</v>
      </c>
      <c r="E2526" s="37">
        <v>0.71</v>
      </c>
      <c r="F2526" s="31">
        <v>11.685</v>
      </c>
      <c r="G2526" s="34">
        <f t="shared" si="44"/>
        <v>8.2963500000000003</v>
      </c>
      <c r="H2526" s="39">
        <f>SUM(G2526:G2526)</f>
        <v>8.2963500000000003</v>
      </c>
      <c r="I2526" s="40"/>
      <c r="J2526" s="102">
        <v>0</v>
      </c>
    </row>
    <row r="2527" spans="1:10" ht="15.75" hidden="1" thickBot="1" x14ac:dyDescent="0.3">
      <c r="A2527" s="220"/>
      <c r="B2527" s="223"/>
      <c r="C2527" s="36"/>
      <c r="D2527" s="36"/>
      <c r="E2527" s="37"/>
      <c r="F2527" s="31" t="s">
        <v>522</v>
      </c>
      <c r="G2527" s="34" t="str">
        <f t="shared" si="44"/>
        <v/>
      </c>
      <c r="H2527" s="35"/>
      <c r="I2527" s="31"/>
      <c r="J2527" s="102">
        <v>0</v>
      </c>
    </row>
    <row r="2528" spans="1:10" ht="15.75" hidden="1" thickBot="1" x14ac:dyDescent="0.3">
      <c r="A2528" s="218" t="s">
        <v>1501</v>
      </c>
      <c r="B2528" s="221" t="e">
        <f>INDEX(#REF!,MATCH(Composições!A2528,#REF!,0),2)</f>
        <v>#REF!</v>
      </c>
      <c r="C2528" s="41"/>
      <c r="D2528" s="26" t="s">
        <v>93</v>
      </c>
      <c r="E2528" s="27"/>
      <c r="F2528" s="42" t="s">
        <v>522</v>
      </c>
      <c r="G2528" s="28" t="str">
        <f t="shared" si="44"/>
        <v/>
      </c>
      <c r="H2528" s="29"/>
      <c r="I2528" s="30"/>
      <c r="J2528" s="102">
        <v>0</v>
      </c>
    </row>
    <row r="2529" spans="1:10" hidden="1" x14ac:dyDescent="0.25">
      <c r="A2529" s="219"/>
      <c r="B2529" s="237"/>
      <c r="C2529" s="32"/>
      <c r="D2529" s="32"/>
      <c r="E2529" s="33"/>
      <c r="F2529" s="43" t="s">
        <v>522</v>
      </c>
      <c r="G2529" s="34" t="str">
        <f t="shared" si="44"/>
        <v/>
      </c>
      <c r="H2529" s="35"/>
      <c r="I2529" s="31"/>
      <c r="J2529" s="102">
        <v>0</v>
      </c>
    </row>
    <row r="2530" spans="1:10" hidden="1" x14ac:dyDescent="0.25">
      <c r="A2530" s="219"/>
      <c r="B2530" s="237"/>
      <c r="C2530" s="36" t="s">
        <v>2005</v>
      </c>
      <c r="D2530" s="47" t="s">
        <v>42</v>
      </c>
      <c r="E2530" s="37">
        <v>0.4</v>
      </c>
      <c r="F2530" s="31">
        <v>11.685</v>
      </c>
      <c r="G2530" s="34">
        <f t="shared" si="44"/>
        <v>4.6740000000000004</v>
      </c>
      <c r="H2530" s="39">
        <f>SUM(G2530:G2530)</f>
        <v>4.6740000000000004</v>
      </c>
      <c r="I2530" s="40"/>
      <c r="J2530" s="102">
        <v>0</v>
      </c>
    </row>
    <row r="2531" spans="1:10" ht="15.75" hidden="1" thickBot="1" x14ac:dyDescent="0.3">
      <c r="A2531" s="220"/>
      <c r="B2531" s="223"/>
      <c r="C2531" s="36"/>
      <c r="D2531" s="36"/>
      <c r="E2531" s="37"/>
      <c r="F2531" s="31" t="s">
        <v>522</v>
      </c>
      <c r="G2531" s="34" t="str">
        <f t="shared" si="44"/>
        <v/>
      </c>
      <c r="H2531" s="35"/>
      <c r="I2531" s="31"/>
      <c r="J2531" s="102">
        <v>0</v>
      </c>
    </row>
    <row r="2532" spans="1:10" ht="15.75" hidden="1" thickBot="1" x14ac:dyDescent="0.3">
      <c r="A2532" s="218" t="s">
        <v>1502</v>
      </c>
      <c r="B2532" s="221" t="e">
        <f>INDEX(#REF!,MATCH(Composições!A2532,#REF!,0),2)</f>
        <v>#REF!</v>
      </c>
      <c r="C2532" s="41"/>
      <c r="D2532" s="26" t="s">
        <v>93</v>
      </c>
      <c r="E2532" s="27"/>
      <c r="F2532" s="42" t="s">
        <v>522</v>
      </c>
      <c r="G2532" s="28" t="str">
        <f t="shared" si="44"/>
        <v/>
      </c>
      <c r="H2532" s="29"/>
      <c r="I2532" s="30"/>
      <c r="J2532" s="102">
        <v>0</v>
      </c>
    </row>
    <row r="2533" spans="1:10" hidden="1" x14ac:dyDescent="0.25">
      <c r="A2533" s="219"/>
      <c r="B2533" s="237"/>
      <c r="C2533" s="32"/>
      <c r="D2533" s="32"/>
      <c r="E2533" s="33"/>
      <c r="F2533" s="43" t="s">
        <v>522</v>
      </c>
      <c r="G2533" s="34" t="str">
        <f t="shared" si="44"/>
        <v/>
      </c>
      <c r="H2533" s="35"/>
      <c r="I2533" s="31"/>
      <c r="J2533" s="102">
        <v>0</v>
      </c>
    </row>
    <row r="2534" spans="1:10" hidden="1" x14ac:dyDescent="0.25">
      <c r="A2534" s="219"/>
      <c r="B2534" s="237"/>
      <c r="C2534" s="36" t="s">
        <v>2005</v>
      </c>
      <c r="D2534" s="47" t="s">
        <v>42</v>
      </c>
      <c r="E2534" s="37">
        <v>0.79</v>
      </c>
      <c r="F2534" s="31">
        <v>11.685</v>
      </c>
      <c r="G2534" s="34">
        <f t="shared" si="44"/>
        <v>9.2311500000000013</v>
      </c>
      <c r="H2534" s="39">
        <f>SUM(G2534:G2534)</f>
        <v>9.2311500000000013</v>
      </c>
      <c r="I2534" s="40"/>
      <c r="J2534" s="102">
        <v>0</v>
      </c>
    </row>
    <row r="2535" spans="1:10" ht="15.75" hidden="1" thickBot="1" x14ac:dyDescent="0.3">
      <c r="A2535" s="220"/>
      <c r="B2535" s="223"/>
      <c r="C2535" s="36"/>
      <c r="D2535" s="36"/>
      <c r="E2535" s="37"/>
      <c r="F2535" s="31" t="s">
        <v>522</v>
      </c>
      <c r="G2535" s="34" t="str">
        <f t="shared" si="44"/>
        <v/>
      </c>
      <c r="H2535" s="35"/>
      <c r="I2535" s="31"/>
      <c r="J2535" s="102">
        <v>0</v>
      </c>
    </row>
    <row r="2536" spans="1:10" ht="15.75" hidden="1" thickBot="1" x14ac:dyDescent="0.3">
      <c r="A2536" s="218" t="s">
        <v>1503</v>
      </c>
      <c r="B2536" s="221" t="e">
        <f>INDEX(#REF!,MATCH(Composições!A2536,#REF!,0),2)</f>
        <v>#REF!</v>
      </c>
      <c r="C2536" s="41"/>
      <c r="D2536" s="26" t="s">
        <v>93</v>
      </c>
      <c r="E2536" s="27"/>
      <c r="F2536" s="42" t="s">
        <v>522</v>
      </c>
      <c r="G2536" s="28" t="str">
        <f t="shared" si="44"/>
        <v/>
      </c>
      <c r="H2536" s="29"/>
      <c r="I2536" s="30"/>
      <c r="J2536" s="102">
        <v>0</v>
      </c>
    </row>
    <row r="2537" spans="1:10" hidden="1" x14ac:dyDescent="0.25">
      <c r="A2537" s="219"/>
      <c r="B2537" s="237"/>
      <c r="C2537" s="32"/>
      <c r="D2537" s="32"/>
      <c r="E2537" s="33"/>
      <c r="F2537" s="43" t="s">
        <v>522</v>
      </c>
      <c r="G2537" s="34" t="str">
        <f t="shared" si="44"/>
        <v/>
      </c>
      <c r="H2537" s="35"/>
      <c r="I2537" s="31"/>
      <c r="J2537" s="102">
        <v>0</v>
      </c>
    </row>
    <row r="2538" spans="1:10" hidden="1" x14ac:dyDescent="0.25">
      <c r="A2538" s="219"/>
      <c r="B2538" s="237"/>
      <c r="C2538" s="36" t="s">
        <v>2005</v>
      </c>
      <c r="D2538" s="47" t="s">
        <v>42</v>
      </c>
      <c r="E2538" s="37">
        <v>0.55000000000000004</v>
      </c>
      <c r="F2538" s="31">
        <v>11.685</v>
      </c>
      <c r="G2538" s="34">
        <f t="shared" si="44"/>
        <v>6.4267500000000011</v>
      </c>
      <c r="H2538" s="39">
        <f>SUM(G2538:G2538)</f>
        <v>6.4267500000000011</v>
      </c>
      <c r="I2538" s="40"/>
      <c r="J2538" s="102">
        <v>0</v>
      </c>
    </row>
    <row r="2539" spans="1:10" ht="15.75" hidden="1" thickBot="1" x14ac:dyDescent="0.3">
      <c r="A2539" s="220"/>
      <c r="B2539" s="223"/>
      <c r="C2539" s="36"/>
      <c r="D2539" s="36"/>
      <c r="E2539" s="37"/>
      <c r="F2539" s="31" t="s">
        <v>522</v>
      </c>
      <c r="G2539" s="34" t="str">
        <f t="shared" si="44"/>
        <v/>
      </c>
      <c r="H2539" s="35"/>
      <c r="I2539" s="31"/>
      <c r="J2539" s="102">
        <v>0</v>
      </c>
    </row>
    <row r="2540" spans="1:10" ht="15.75" hidden="1" thickBot="1" x14ac:dyDescent="0.3">
      <c r="A2540" s="218" t="s">
        <v>1504</v>
      </c>
      <c r="B2540" s="221" t="e">
        <f>INDEX(#REF!,MATCH(Composições!A2540,#REF!,0),2)</f>
        <v>#REF!</v>
      </c>
      <c r="C2540" s="41"/>
      <c r="D2540" s="26" t="s">
        <v>93</v>
      </c>
      <c r="E2540" s="27"/>
      <c r="F2540" s="42" t="s">
        <v>522</v>
      </c>
      <c r="G2540" s="28" t="str">
        <f t="shared" si="44"/>
        <v/>
      </c>
      <c r="H2540" s="29"/>
      <c r="I2540" s="30"/>
      <c r="J2540" s="102">
        <v>0</v>
      </c>
    </row>
    <row r="2541" spans="1:10" hidden="1" x14ac:dyDescent="0.25">
      <c r="A2541" s="219"/>
      <c r="B2541" s="237"/>
      <c r="C2541" s="32"/>
      <c r="D2541" s="32"/>
      <c r="E2541" s="33"/>
      <c r="F2541" s="43" t="s">
        <v>522</v>
      </c>
      <c r="G2541" s="34" t="str">
        <f t="shared" si="44"/>
        <v/>
      </c>
      <c r="H2541" s="35"/>
      <c r="I2541" s="31"/>
      <c r="J2541" s="102">
        <v>0</v>
      </c>
    </row>
    <row r="2542" spans="1:10" hidden="1" x14ac:dyDescent="0.25">
      <c r="A2542" s="219"/>
      <c r="B2542" s="237"/>
      <c r="C2542" s="36" t="s">
        <v>2005</v>
      </c>
      <c r="D2542" s="47" t="s">
        <v>42</v>
      </c>
      <c r="E2542" s="37">
        <v>0.83</v>
      </c>
      <c r="F2542" s="31">
        <v>11.685</v>
      </c>
      <c r="G2542" s="34">
        <f t="shared" si="44"/>
        <v>9.6985499999999991</v>
      </c>
      <c r="H2542" s="39">
        <f>SUM(G2542:G2542)</f>
        <v>9.6985499999999991</v>
      </c>
      <c r="I2542" s="40"/>
      <c r="J2542" s="102">
        <v>0</v>
      </c>
    </row>
    <row r="2543" spans="1:10" ht="15.75" hidden="1" thickBot="1" x14ac:dyDescent="0.3">
      <c r="A2543" s="220"/>
      <c r="B2543" s="223"/>
      <c r="C2543" s="36"/>
      <c r="D2543" s="36"/>
      <c r="E2543" s="37"/>
      <c r="F2543" s="31" t="s">
        <v>522</v>
      </c>
      <c r="G2543" s="34" t="str">
        <f t="shared" si="44"/>
        <v/>
      </c>
      <c r="H2543" s="35"/>
      <c r="I2543" s="31"/>
      <c r="J2543" s="102">
        <v>0</v>
      </c>
    </row>
    <row r="2544" spans="1:10" ht="15.75" hidden="1" thickBot="1" x14ac:dyDescent="0.3">
      <c r="A2544" s="218" t="s">
        <v>1505</v>
      </c>
      <c r="B2544" s="221" t="e">
        <f>INDEX(#REF!,MATCH(Composições!A2544,#REF!,0),2)</f>
        <v>#REF!</v>
      </c>
      <c r="C2544" s="41"/>
      <c r="D2544" s="26" t="s">
        <v>95</v>
      </c>
      <c r="E2544" s="27"/>
      <c r="F2544" s="42" t="s">
        <v>522</v>
      </c>
      <c r="G2544" s="28" t="str">
        <f t="shared" si="44"/>
        <v/>
      </c>
      <c r="H2544" s="29"/>
      <c r="I2544" s="30"/>
      <c r="J2544" s="102">
        <v>0</v>
      </c>
    </row>
    <row r="2545" spans="1:10" hidden="1" x14ac:dyDescent="0.25">
      <c r="A2545" s="219"/>
      <c r="B2545" s="237"/>
      <c r="C2545" s="32"/>
      <c r="D2545" s="32"/>
      <c r="E2545" s="33"/>
      <c r="F2545" s="43" t="s">
        <v>522</v>
      </c>
      <c r="G2545" s="34" t="str">
        <f t="shared" si="44"/>
        <v/>
      </c>
      <c r="H2545" s="35"/>
      <c r="I2545" s="31"/>
      <c r="J2545" s="102">
        <v>0</v>
      </c>
    </row>
    <row r="2546" spans="1:10" hidden="1" x14ac:dyDescent="0.25">
      <c r="A2546" s="219"/>
      <c r="B2546" s="237"/>
      <c r="C2546" s="36" t="s">
        <v>1816</v>
      </c>
      <c r="D2546" s="47" t="s">
        <v>95</v>
      </c>
      <c r="E2546" s="37">
        <v>1</v>
      </c>
      <c r="F2546" s="31">
        <v>5.2249999999999996</v>
      </c>
      <c r="G2546" s="34">
        <f t="shared" si="44"/>
        <v>5.2249999999999996</v>
      </c>
      <c r="H2546" s="39">
        <f>SUM(G2546:G2546)</f>
        <v>5.2249999999999996</v>
      </c>
      <c r="I2546" s="40"/>
      <c r="J2546" s="102">
        <v>0</v>
      </c>
    </row>
    <row r="2547" spans="1:10" ht="15.75" hidden="1" thickBot="1" x14ac:dyDescent="0.3">
      <c r="A2547" s="220"/>
      <c r="B2547" s="223"/>
      <c r="C2547" s="36"/>
      <c r="D2547" s="36"/>
      <c r="E2547" s="37"/>
      <c r="F2547" s="31" t="s">
        <v>522</v>
      </c>
      <c r="G2547" s="34" t="str">
        <f t="shared" si="44"/>
        <v/>
      </c>
      <c r="H2547" s="35"/>
      <c r="I2547" s="31"/>
      <c r="J2547" s="102">
        <v>0</v>
      </c>
    </row>
    <row r="2548" spans="1:10" ht="15.75" hidden="1" thickBot="1" x14ac:dyDescent="0.3">
      <c r="A2548" s="218" t="s">
        <v>1506</v>
      </c>
      <c r="B2548" s="221" t="e">
        <f>INDEX(#REF!,MATCH(Composições!A2548,#REF!,0),2)</f>
        <v>#REF!</v>
      </c>
      <c r="C2548" s="41"/>
      <c r="D2548" s="26" t="s">
        <v>42</v>
      </c>
      <c r="E2548" s="27"/>
      <c r="F2548" s="42" t="s">
        <v>522</v>
      </c>
      <c r="G2548" s="28" t="str">
        <f t="shared" si="44"/>
        <v/>
      </c>
      <c r="H2548" s="29"/>
      <c r="I2548" s="30"/>
      <c r="J2548" s="102">
        <v>0</v>
      </c>
    </row>
    <row r="2549" spans="1:10" hidden="1" x14ac:dyDescent="0.25">
      <c r="A2549" s="219"/>
      <c r="B2549" s="237"/>
      <c r="C2549" s="32"/>
      <c r="D2549" s="32"/>
      <c r="E2549" s="33"/>
      <c r="F2549" s="43" t="s">
        <v>522</v>
      </c>
      <c r="G2549" s="34" t="str">
        <f t="shared" si="44"/>
        <v/>
      </c>
      <c r="H2549" s="35"/>
      <c r="I2549" s="31"/>
      <c r="J2549" s="102">
        <v>0</v>
      </c>
    </row>
    <row r="2550" spans="1:10" hidden="1" x14ac:dyDescent="0.25">
      <c r="A2550" s="219"/>
      <c r="B2550" s="237"/>
      <c r="C2550" s="36" t="s">
        <v>1697</v>
      </c>
      <c r="D2550" s="47" t="s">
        <v>42</v>
      </c>
      <c r="E2550" s="37">
        <v>1</v>
      </c>
      <c r="F2550" s="31">
        <v>32.518499999999996</v>
      </c>
      <c r="G2550" s="34">
        <f t="shared" si="44"/>
        <v>32.518499999999996</v>
      </c>
      <c r="H2550" s="39">
        <f>SUM(G2550:G2550)</f>
        <v>32.518499999999996</v>
      </c>
      <c r="I2550" s="40"/>
      <c r="J2550" s="102">
        <v>0</v>
      </c>
    </row>
    <row r="2551" spans="1:10" ht="15.75" hidden="1" thickBot="1" x14ac:dyDescent="0.3">
      <c r="A2551" s="220"/>
      <c r="B2551" s="223"/>
      <c r="C2551" s="36"/>
      <c r="D2551" s="36"/>
      <c r="E2551" s="37"/>
      <c r="F2551" s="31" t="s">
        <v>522</v>
      </c>
      <c r="G2551" s="34" t="str">
        <f t="shared" si="44"/>
        <v/>
      </c>
      <c r="H2551" s="35"/>
      <c r="I2551" s="31"/>
      <c r="J2551" s="102">
        <v>0</v>
      </c>
    </row>
    <row r="2552" spans="1:10" ht="15.75" hidden="1" thickBot="1" x14ac:dyDescent="0.3">
      <c r="A2552" s="218" t="s">
        <v>1507</v>
      </c>
      <c r="B2552" s="221" t="e">
        <f>INDEX(#REF!,MATCH(Composições!A2552,#REF!,0),2)</f>
        <v>#REF!</v>
      </c>
      <c r="C2552" s="41"/>
      <c r="D2552" s="26" t="s">
        <v>95</v>
      </c>
      <c r="E2552" s="27"/>
      <c r="F2552" s="42" t="s">
        <v>522</v>
      </c>
      <c r="G2552" s="28" t="str">
        <f t="shared" si="44"/>
        <v/>
      </c>
      <c r="H2552" s="29"/>
      <c r="I2552" s="30"/>
      <c r="J2552" s="102">
        <v>0</v>
      </c>
    </row>
    <row r="2553" spans="1:10" hidden="1" x14ac:dyDescent="0.25">
      <c r="A2553" s="219"/>
      <c r="B2553" s="237"/>
      <c r="C2553" s="32"/>
      <c r="D2553" s="32"/>
      <c r="E2553" s="33"/>
      <c r="F2553" s="43" t="s">
        <v>522</v>
      </c>
      <c r="G2553" s="34" t="str">
        <f t="shared" si="44"/>
        <v/>
      </c>
      <c r="H2553" s="35"/>
      <c r="I2553" s="31"/>
      <c r="J2553" s="102">
        <v>0</v>
      </c>
    </row>
    <row r="2554" spans="1:10" ht="25.5" hidden="1" x14ac:dyDescent="0.25">
      <c r="A2554" s="219"/>
      <c r="B2554" s="237"/>
      <c r="C2554" s="36" t="s">
        <v>1815</v>
      </c>
      <c r="D2554" s="47" t="s">
        <v>95</v>
      </c>
      <c r="E2554" s="37">
        <v>1</v>
      </c>
      <c r="F2554" s="31">
        <v>37.163999999999994</v>
      </c>
      <c r="G2554" s="34">
        <f t="shared" si="44"/>
        <v>37.163999999999994</v>
      </c>
      <c r="H2554" s="39">
        <f>SUM(G2554:G2554)</f>
        <v>37.163999999999994</v>
      </c>
      <c r="I2554" s="40"/>
      <c r="J2554" s="102">
        <v>0</v>
      </c>
    </row>
    <row r="2555" spans="1:10" ht="15.75" hidden="1" thickBot="1" x14ac:dyDescent="0.3">
      <c r="A2555" s="220"/>
      <c r="B2555" s="223"/>
      <c r="C2555" s="36"/>
      <c r="D2555" s="36"/>
      <c r="E2555" s="37"/>
      <c r="F2555" s="31" t="s">
        <v>522</v>
      </c>
      <c r="G2555" s="34" t="str">
        <f t="shared" si="44"/>
        <v/>
      </c>
      <c r="H2555" s="35"/>
      <c r="I2555" s="31"/>
      <c r="J2555" s="102">
        <v>0</v>
      </c>
    </row>
    <row r="2556" spans="1:10" ht="15.75" hidden="1" thickBot="1" x14ac:dyDescent="0.3">
      <c r="A2556" s="218" t="s">
        <v>1508</v>
      </c>
      <c r="B2556" s="221" t="e">
        <f>INDEX(#REF!,MATCH(Composições!A2556,#REF!,0),2)</f>
        <v>#REF!</v>
      </c>
      <c r="C2556" s="41"/>
      <c r="D2556" s="26" t="s">
        <v>20</v>
      </c>
      <c r="E2556" s="27"/>
      <c r="F2556" s="42" t="s">
        <v>522</v>
      </c>
      <c r="G2556" s="28" t="str">
        <f t="shared" si="44"/>
        <v/>
      </c>
      <c r="H2556" s="29"/>
      <c r="I2556" s="30"/>
      <c r="J2556" s="102">
        <v>0</v>
      </c>
    </row>
    <row r="2557" spans="1:10" hidden="1" x14ac:dyDescent="0.25">
      <c r="A2557" s="219"/>
      <c r="B2557" s="237"/>
      <c r="C2557" s="32"/>
      <c r="D2557" s="32"/>
      <c r="E2557" s="33"/>
      <c r="F2557" s="43" t="s">
        <v>522</v>
      </c>
      <c r="G2557" s="34" t="str">
        <f t="shared" si="44"/>
        <v/>
      </c>
      <c r="H2557" s="35"/>
      <c r="I2557" s="31"/>
      <c r="J2557" s="102">
        <v>0</v>
      </c>
    </row>
    <row r="2558" spans="1:10" hidden="1" x14ac:dyDescent="0.25">
      <c r="A2558" s="219"/>
      <c r="B2558" s="237"/>
      <c r="C2558" s="36" t="s">
        <v>1791</v>
      </c>
      <c r="D2558" s="47" t="s">
        <v>42</v>
      </c>
      <c r="E2558" s="37">
        <v>0.4</v>
      </c>
      <c r="F2558" s="31">
        <v>35.501499999999993</v>
      </c>
      <c r="G2558" s="34">
        <f t="shared" si="44"/>
        <v>14.200599999999998</v>
      </c>
      <c r="H2558" s="39">
        <f>SUM(G2558:G2558)</f>
        <v>14.200599999999998</v>
      </c>
      <c r="I2558" s="40"/>
      <c r="J2558" s="102">
        <v>0</v>
      </c>
    </row>
    <row r="2559" spans="1:10" ht="15.75" hidden="1" thickBot="1" x14ac:dyDescent="0.3">
      <c r="A2559" s="220"/>
      <c r="B2559" s="223"/>
      <c r="C2559" s="36"/>
      <c r="D2559" s="36"/>
      <c r="E2559" s="37"/>
      <c r="F2559" s="31" t="s">
        <v>522</v>
      </c>
      <c r="G2559" s="34" t="str">
        <f t="shared" si="44"/>
        <v/>
      </c>
      <c r="H2559" s="35"/>
      <c r="I2559" s="31"/>
      <c r="J2559" s="102">
        <v>0</v>
      </c>
    </row>
    <row r="2560" spans="1:10" ht="15.75" hidden="1" thickBot="1" x14ac:dyDescent="0.3">
      <c r="A2560" s="218" t="s">
        <v>743</v>
      </c>
      <c r="B2560" s="221" t="e">
        <f>INDEX(#REF!,MATCH(Composições!A2560,#REF!,0),2)</f>
        <v>#REF!</v>
      </c>
      <c r="C2560" s="41"/>
      <c r="D2560" s="26" t="s">
        <v>1509</v>
      </c>
      <c r="E2560" s="27"/>
      <c r="F2560" s="42" t="s">
        <v>522</v>
      </c>
      <c r="G2560" s="28" t="str">
        <f t="shared" si="44"/>
        <v/>
      </c>
      <c r="H2560" s="29"/>
      <c r="I2560" s="30"/>
      <c r="J2560" s="102">
        <v>0</v>
      </c>
    </row>
    <row r="2561" spans="1:10" hidden="1" x14ac:dyDescent="0.25">
      <c r="A2561" s="219"/>
      <c r="B2561" s="237"/>
      <c r="C2561" s="32"/>
      <c r="D2561" s="32"/>
      <c r="E2561" s="33"/>
      <c r="F2561" s="43" t="s">
        <v>522</v>
      </c>
      <c r="G2561" s="34" t="str">
        <f t="shared" si="44"/>
        <v/>
      </c>
      <c r="H2561" s="35"/>
      <c r="I2561" s="31"/>
      <c r="J2561" s="102">
        <v>0</v>
      </c>
    </row>
    <row r="2562" spans="1:10" hidden="1" x14ac:dyDescent="0.25">
      <c r="A2562" s="219"/>
      <c r="B2562" s="237"/>
      <c r="C2562" s="36" t="s">
        <v>744</v>
      </c>
      <c r="D2562" s="47" t="s">
        <v>42</v>
      </c>
      <c r="E2562" s="37">
        <v>40</v>
      </c>
      <c r="F2562" s="31">
        <v>0.48449999999999999</v>
      </c>
      <c r="G2562" s="34">
        <f t="shared" si="44"/>
        <v>19.38</v>
      </c>
      <c r="H2562" s="39">
        <f>SUM(G2562:G2562)</f>
        <v>19.38</v>
      </c>
      <c r="I2562" s="40"/>
      <c r="J2562" s="102">
        <v>0</v>
      </c>
    </row>
    <row r="2563" spans="1:10" ht="15.75" hidden="1" thickBot="1" x14ac:dyDescent="0.3">
      <c r="A2563" s="220"/>
      <c r="B2563" s="223"/>
      <c r="C2563" s="36"/>
      <c r="D2563" s="36"/>
      <c r="E2563" s="37"/>
      <c r="F2563" s="31" t="s">
        <v>522</v>
      </c>
      <c r="G2563" s="34" t="str">
        <f t="shared" si="44"/>
        <v/>
      </c>
      <c r="H2563" s="35"/>
      <c r="I2563" s="31"/>
      <c r="J2563" s="102">
        <v>0</v>
      </c>
    </row>
    <row r="2564" spans="1:10" ht="15.75" hidden="1" thickBot="1" x14ac:dyDescent="0.3">
      <c r="A2564" s="218" t="s">
        <v>745</v>
      </c>
      <c r="B2564" s="221" t="e">
        <f>INDEX(#REF!,MATCH(Composições!A2564,#REF!,0),2)</f>
        <v>#REF!</v>
      </c>
      <c r="C2564" s="41"/>
      <c r="D2564" s="26" t="s">
        <v>1509</v>
      </c>
      <c r="E2564" s="27"/>
      <c r="F2564" s="42" t="s">
        <v>522</v>
      </c>
      <c r="G2564" s="28" t="str">
        <f t="shared" si="44"/>
        <v/>
      </c>
      <c r="H2564" s="29"/>
      <c r="I2564" s="30"/>
      <c r="J2564" s="102">
        <v>0</v>
      </c>
    </row>
    <row r="2565" spans="1:10" hidden="1" x14ac:dyDescent="0.25">
      <c r="A2565" s="219"/>
      <c r="B2565" s="237"/>
      <c r="C2565" s="32"/>
      <c r="D2565" s="32"/>
      <c r="E2565" s="33"/>
      <c r="F2565" s="43" t="s">
        <v>522</v>
      </c>
      <c r="G2565" s="34" t="str">
        <f t="shared" si="44"/>
        <v/>
      </c>
      <c r="H2565" s="35"/>
      <c r="I2565" s="31"/>
      <c r="J2565" s="102">
        <v>0</v>
      </c>
    </row>
    <row r="2566" spans="1:10" ht="25.5" hidden="1" x14ac:dyDescent="0.25">
      <c r="A2566" s="219"/>
      <c r="B2566" s="237"/>
      <c r="C2566" s="36" t="s">
        <v>746</v>
      </c>
      <c r="D2566" s="47" t="s">
        <v>42</v>
      </c>
      <c r="E2566" s="37">
        <v>40</v>
      </c>
      <c r="F2566" s="31">
        <v>0.51300000000000001</v>
      </c>
      <c r="G2566" s="34">
        <f t="shared" ref="G2566:G2629" si="45">IF(ISNUMBER(F2566),E2566*F2566,"")</f>
        <v>20.52</v>
      </c>
      <c r="H2566" s="39">
        <f>SUM(G2566:G2566)</f>
        <v>20.52</v>
      </c>
      <c r="I2566" s="40"/>
      <c r="J2566" s="102">
        <v>0</v>
      </c>
    </row>
    <row r="2567" spans="1:10" ht="15.75" hidden="1" thickBot="1" x14ac:dyDescent="0.3">
      <c r="A2567" s="220"/>
      <c r="B2567" s="223"/>
      <c r="C2567" s="36"/>
      <c r="D2567" s="36"/>
      <c r="E2567" s="37"/>
      <c r="F2567" s="31" t="s">
        <v>522</v>
      </c>
      <c r="G2567" s="34" t="str">
        <f t="shared" si="45"/>
        <v/>
      </c>
      <c r="H2567" s="35"/>
      <c r="I2567" s="31"/>
      <c r="J2567" s="102">
        <v>0</v>
      </c>
    </row>
    <row r="2568" spans="1:10" ht="15.75" hidden="1" thickBot="1" x14ac:dyDescent="0.3">
      <c r="A2568" s="218" t="s">
        <v>747</v>
      </c>
      <c r="B2568" s="221" t="e">
        <f>INDEX(#REF!,MATCH(Composições!A2568,#REF!,0),2)</f>
        <v>#REF!</v>
      </c>
      <c r="C2568" s="41"/>
      <c r="D2568" s="26" t="s">
        <v>1510</v>
      </c>
      <c r="E2568" s="27"/>
      <c r="F2568" s="42" t="s">
        <v>522</v>
      </c>
      <c r="G2568" s="28" t="str">
        <f t="shared" si="45"/>
        <v/>
      </c>
      <c r="H2568" s="29"/>
      <c r="I2568" s="30"/>
      <c r="J2568" s="102">
        <v>0</v>
      </c>
    </row>
    <row r="2569" spans="1:10" hidden="1" x14ac:dyDescent="0.25">
      <c r="A2569" s="219"/>
      <c r="B2569" s="237"/>
      <c r="C2569" s="32"/>
      <c r="D2569" s="32"/>
      <c r="E2569" s="33"/>
      <c r="F2569" s="43" t="s">
        <v>522</v>
      </c>
      <c r="G2569" s="34" t="str">
        <f t="shared" si="45"/>
        <v/>
      </c>
      <c r="H2569" s="35"/>
      <c r="I2569" s="31"/>
      <c r="J2569" s="102">
        <v>0</v>
      </c>
    </row>
    <row r="2570" spans="1:10" hidden="1" x14ac:dyDescent="0.25">
      <c r="A2570" s="219"/>
      <c r="B2570" s="237"/>
      <c r="C2570" s="36" t="s">
        <v>748</v>
      </c>
      <c r="D2570" s="47" t="s">
        <v>42</v>
      </c>
      <c r="E2570" s="37">
        <v>50</v>
      </c>
      <c r="F2570" s="31">
        <v>0.58899999999999997</v>
      </c>
      <c r="G2570" s="34">
        <f t="shared" si="45"/>
        <v>29.45</v>
      </c>
      <c r="H2570" s="39">
        <f>SUM(G2570:G2570)</f>
        <v>29.45</v>
      </c>
      <c r="I2570" s="40"/>
      <c r="J2570" s="102">
        <v>0</v>
      </c>
    </row>
    <row r="2571" spans="1:10" ht="15.75" hidden="1" thickBot="1" x14ac:dyDescent="0.3">
      <c r="A2571" s="220"/>
      <c r="B2571" s="223"/>
      <c r="C2571" s="36"/>
      <c r="D2571" s="36"/>
      <c r="E2571" s="37"/>
      <c r="F2571" s="31" t="s">
        <v>522</v>
      </c>
      <c r="G2571" s="34" t="str">
        <f t="shared" si="45"/>
        <v/>
      </c>
      <c r="H2571" s="35"/>
      <c r="I2571" s="31"/>
      <c r="J2571" s="102">
        <v>0</v>
      </c>
    </row>
    <row r="2572" spans="1:10" ht="15.75" hidden="1" thickBot="1" x14ac:dyDescent="0.3">
      <c r="A2572" s="218" t="s">
        <v>749</v>
      </c>
      <c r="B2572" s="221" t="e">
        <f>INDEX(#REF!,MATCH(Composições!A2572,#REF!,0),2)</f>
        <v>#REF!</v>
      </c>
      <c r="C2572" s="41"/>
      <c r="D2572" s="26" t="s">
        <v>1511</v>
      </c>
      <c r="E2572" s="27"/>
      <c r="F2572" s="42" t="s">
        <v>522</v>
      </c>
      <c r="G2572" s="28" t="str">
        <f t="shared" si="45"/>
        <v/>
      </c>
      <c r="H2572" s="29"/>
      <c r="I2572" s="30"/>
      <c r="J2572" s="102">
        <v>0</v>
      </c>
    </row>
    <row r="2573" spans="1:10" hidden="1" x14ac:dyDescent="0.25">
      <c r="A2573" s="219"/>
      <c r="B2573" s="237"/>
      <c r="C2573" s="32"/>
      <c r="D2573" s="32"/>
      <c r="E2573" s="33"/>
      <c r="F2573" s="43" t="s">
        <v>522</v>
      </c>
      <c r="G2573" s="34" t="str">
        <f t="shared" si="45"/>
        <v/>
      </c>
      <c r="H2573" s="35"/>
      <c r="I2573" s="31"/>
      <c r="J2573" s="102">
        <v>0</v>
      </c>
    </row>
    <row r="2574" spans="1:10" hidden="1" x14ac:dyDescent="0.25">
      <c r="A2574" s="219"/>
      <c r="B2574" s="237"/>
      <c r="C2574" s="36" t="s">
        <v>1918</v>
      </c>
      <c r="D2574" s="47" t="s">
        <v>42</v>
      </c>
      <c r="E2574" s="37">
        <v>20</v>
      </c>
      <c r="F2574" s="31">
        <v>1.4535</v>
      </c>
      <c r="G2574" s="34">
        <f t="shared" si="45"/>
        <v>29.07</v>
      </c>
      <c r="H2574" s="39">
        <f>SUM(G2574:G2574)</f>
        <v>29.07</v>
      </c>
      <c r="I2574" s="40"/>
      <c r="J2574" s="102">
        <v>0</v>
      </c>
    </row>
    <row r="2575" spans="1:10" ht="15.75" hidden="1" thickBot="1" x14ac:dyDescent="0.3">
      <c r="A2575" s="220"/>
      <c r="B2575" s="223"/>
      <c r="C2575" s="36"/>
      <c r="D2575" s="36"/>
      <c r="E2575" s="37"/>
      <c r="F2575" s="31" t="s">
        <v>522</v>
      </c>
      <c r="G2575" s="34" t="str">
        <f t="shared" si="45"/>
        <v/>
      </c>
      <c r="H2575" s="35"/>
      <c r="I2575" s="31"/>
      <c r="J2575" s="102">
        <v>0</v>
      </c>
    </row>
    <row r="2576" spans="1:10" ht="15.75" hidden="1" thickBot="1" x14ac:dyDescent="0.3">
      <c r="A2576" s="218" t="s">
        <v>750</v>
      </c>
      <c r="B2576" s="221" t="e">
        <f>INDEX(#REF!,MATCH(Composições!A2576,#REF!,0),2)</f>
        <v>#REF!</v>
      </c>
      <c r="C2576" s="41"/>
      <c r="D2576" s="26" t="s">
        <v>1509</v>
      </c>
      <c r="E2576" s="27"/>
      <c r="F2576" s="42" t="s">
        <v>522</v>
      </c>
      <c r="G2576" s="28" t="str">
        <f t="shared" si="45"/>
        <v/>
      </c>
      <c r="H2576" s="29"/>
      <c r="I2576" s="30"/>
      <c r="J2576" s="102">
        <v>0</v>
      </c>
    </row>
    <row r="2577" spans="1:10" hidden="1" x14ac:dyDescent="0.25">
      <c r="A2577" s="219"/>
      <c r="B2577" s="237"/>
      <c r="C2577" s="32"/>
      <c r="D2577" s="32"/>
      <c r="E2577" s="33"/>
      <c r="F2577" s="43" t="s">
        <v>522</v>
      </c>
      <c r="G2577" s="34" t="str">
        <f t="shared" si="45"/>
        <v/>
      </c>
      <c r="H2577" s="35"/>
      <c r="I2577" s="31"/>
      <c r="J2577" s="102">
        <v>0</v>
      </c>
    </row>
    <row r="2578" spans="1:10" ht="25.5" hidden="1" x14ac:dyDescent="0.25">
      <c r="A2578" s="219"/>
      <c r="B2578" s="237"/>
      <c r="C2578" s="36" t="s">
        <v>2007</v>
      </c>
      <c r="D2578" s="47" t="s">
        <v>42</v>
      </c>
      <c r="E2578" s="37">
        <v>40</v>
      </c>
      <c r="F2578" s="31">
        <v>0.63649999999999995</v>
      </c>
      <c r="G2578" s="34">
        <f t="shared" si="45"/>
        <v>25.459999999999997</v>
      </c>
      <c r="H2578" s="39">
        <f>SUM(G2578:G2578)</f>
        <v>25.459999999999997</v>
      </c>
      <c r="I2578" s="40"/>
      <c r="J2578" s="102">
        <v>0</v>
      </c>
    </row>
    <row r="2579" spans="1:10" ht="15.75" hidden="1" thickBot="1" x14ac:dyDescent="0.3">
      <c r="A2579" s="220"/>
      <c r="B2579" s="223"/>
      <c r="C2579" s="36"/>
      <c r="D2579" s="36"/>
      <c r="E2579" s="37"/>
      <c r="F2579" s="31" t="s">
        <v>522</v>
      </c>
      <c r="G2579" s="34" t="str">
        <f t="shared" si="45"/>
        <v/>
      </c>
      <c r="H2579" s="35"/>
      <c r="I2579" s="31"/>
      <c r="J2579" s="102">
        <v>0</v>
      </c>
    </row>
    <row r="2580" spans="1:10" ht="15.75" hidden="1" thickBot="1" x14ac:dyDescent="0.3">
      <c r="A2580" s="218" t="s">
        <v>751</v>
      </c>
      <c r="B2580" s="221" t="e">
        <f>INDEX(#REF!,MATCH(Composições!A2580,#REF!,0),2)</f>
        <v>#REF!</v>
      </c>
      <c r="C2580" s="41"/>
      <c r="D2580" s="26" t="s">
        <v>109</v>
      </c>
      <c r="E2580" s="27"/>
      <c r="F2580" s="42" t="s">
        <v>522</v>
      </c>
      <c r="G2580" s="28" t="str">
        <f t="shared" si="45"/>
        <v/>
      </c>
      <c r="H2580" s="29"/>
      <c r="I2580" s="30"/>
      <c r="J2580" s="102">
        <v>0</v>
      </c>
    </row>
    <row r="2581" spans="1:10" hidden="1" x14ac:dyDescent="0.25">
      <c r="A2581" s="219"/>
      <c r="B2581" s="237"/>
      <c r="C2581" s="32"/>
      <c r="D2581" s="32"/>
      <c r="E2581" s="33"/>
      <c r="F2581" s="43" t="s">
        <v>522</v>
      </c>
      <c r="G2581" s="34" t="str">
        <f t="shared" si="45"/>
        <v/>
      </c>
      <c r="H2581" s="35"/>
      <c r="I2581" s="31"/>
      <c r="J2581" s="102">
        <v>0</v>
      </c>
    </row>
    <row r="2582" spans="1:10" ht="25.5" hidden="1" x14ac:dyDescent="0.25">
      <c r="A2582" s="219"/>
      <c r="B2582" s="237"/>
      <c r="C2582" s="36" t="s">
        <v>752</v>
      </c>
      <c r="D2582" s="47" t="s">
        <v>109</v>
      </c>
      <c r="E2582" s="37">
        <v>1</v>
      </c>
      <c r="F2582" s="31">
        <v>142.5</v>
      </c>
      <c r="G2582" s="34">
        <f t="shared" si="45"/>
        <v>142.5</v>
      </c>
      <c r="H2582" s="39">
        <f>SUM(G2582:G2584)</f>
        <v>181.13481375000001</v>
      </c>
      <c r="I2582" s="40"/>
      <c r="J2582" s="102">
        <v>0</v>
      </c>
    </row>
    <row r="2583" spans="1:10" ht="51" hidden="1" x14ac:dyDescent="0.25">
      <c r="A2583" s="219"/>
      <c r="B2583" s="237"/>
      <c r="C2583" s="36" t="s">
        <v>1914</v>
      </c>
      <c r="D2583" s="36" t="s">
        <v>109</v>
      </c>
      <c r="E2583" s="37">
        <f>E2582</f>
        <v>1</v>
      </c>
      <c r="F2583" s="34">
        <v>7.0254067499999993</v>
      </c>
      <c r="G2583" s="34">
        <f t="shared" si="45"/>
        <v>7.0254067499999993</v>
      </c>
      <c r="H2583" s="35"/>
      <c r="I2583" s="31"/>
      <c r="J2583" s="102">
        <v>0</v>
      </c>
    </row>
    <row r="2584" spans="1:10" ht="38.25" hidden="1" x14ac:dyDescent="0.25">
      <c r="A2584" s="219"/>
      <c r="B2584" s="237"/>
      <c r="C2584" s="36" t="s">
        <v>753</v>
      </c>
      <c r="D2584" s="47" t="s">
        <v>754</v>
      </c>
      <c r="E2584" s="37">
        <f>E2582*20</f>
        <v>20</v>
      </c>
      <c r="F2584" s="31">
        <v>1.5804703499999999</v>
      </c>
      <c r="G2584" s="34">
        <f t="shared" si="45"/>
        <v>31.609406999999997</v>
      </c>
      <c r="H2584" s="35"/>
      <c r="I2584" s="31"/>
      <c r="J2584" s="102">
        <v>0</v>
      </c>
    </row>
    <row r="2585" spans="1:10" hidden="1" x14ac:dyDescent="0.25">
      <c r="A2585" s="219"/>
      <c r="B2585" s="237"/>
      <c r="C2585" s="36"/>
      <c r="D2585" s="47"/>
      <c r="E2585" s="37"/>
      <c r="F2585" s="31" t="s">
        <v>522</v>
      </c>
      <c r="G2585" s="34" t="str">
        <f t="shared" si="45"/>
        <v/>
      </c>
      <c r="H2585" s="35"/>
      <c r="I2585" s="31"/>
      <c r="J2585" s="102">
        <v>0</v>
      </c>
    </row>
    <row r="2586" spans="1:10" hidden="1" x14ac:dyDescent="0.25">
      <c r="A2586" s="219"/>
      <c r="B2586" s="237"/>
      <c r="C2586" s="48" t="s">
        <v>755</v>
      </c>
      <c r="D2586" s="47"/>
      <c r="E2586" s="37"/>
      <c r="F2586" s="31" t="s">
        <v>522</v>
      </c>
      <c r="G2586" s="34" t="str">
        <f t="shared" si="45"/>
        <v/>
      </c>
      <c r="H2586" s="35"/>
      <c r="I2586" s="31"/>
      <c r="J2586" s="102">
        <v>0</v>
      </c>
    </row>
    <row r="2587" spans="1:10" ht="15.75" hidden="1" thickBot="1" x14ac:dyDescent="0.3">
      <c r="A2587" s="220"/>
      <c r="B2587" s="223"/>
      <c r="C2587" s="36"/>
      <c r="D2587" s="36"/>
      <c r="E2587" s="37"/>
      <c r="F2587" s="31" t="s">
        <v>522</v>
      </c>
      <c r="G2587" s="34" t="str">
        <f t="shared" si="45"/>
        <v/>
      </c>
      <c r="H2587" s="35"/>
      <c r="I2587" s="31"/>
      <c r="J2587" s="102">
        <v>0</v>
      </c>
    </row>
    <row r="2588" spans="1:10" ht="15.75" hidden="1" thickBot="1" x14ac:dyDescent="0.3">
      <c r="A2588" s="218" t="s">
        <v>756</v>
      </c>
      <c r="B2588" s="221" t="e">
        <f>INDEX(#REF!,MATCH(Composições!A2588,#REF!,0),2)</f>
        <v>#REF!</v>
      </c>
      <c r="C2588" s="41"/>
      <c r="D2588" s="26" t="s">
        <v>109</v>
      </c>
      <c r="E2588" s="27"/>
      <c r="F2588" s="42" t="s">
        <v>522</v>
      </c>
      <c r="G2588" s="28" t="str">
        <f t="shared" si="45"/>
        <v/>
      </c>
      <c r="H2588" s="29"/>
      <c r="I2588" s="30"/>
      <c r="J2588" s="102">
        <v>0</v>
      </c>
    </row>
    <row r="2589" spans="1:10" hidden="1" x14ac:dyDescent="0.25">
      <c r="A2589" s="219"/>
      <c r="B2589" s="237"/>
      <c r="C2589" s="32"/>
      <c r="D2589" s="32"/>
      <c r="E2589" s="33"/>
      <c r="F2589" s="43" t="s">
        <v>522</v>
      </c>
      <c r="G2589" s="34" t="str">
        <f t="shared" si="45"/>
        <v/>
      </c>
      <c r="H2589" s="35"/>
      <c r="I2589" s="31"/>
      <c r="J2589" s="102">
        <v>0</v>
      </c>
    </row>
    <row r="2590" spans="1:10" ht="25.5" hidden="1" x14ac:dyDescent="0.25">
      <c r="A2590" s="219"/>
      <c r="B2590" s="237"/>
      <c r="C2590" s="36" t="s">
        <v>757</v>
      </c>
      <c r="D2590" s="47" t="s">
        <v>109</v>
      </c>
      <c r="E2590" s="37">
        <v>1</v>
      </c>
      <c r="F2590" s="31">
        <v>163.65649999999999</v>
      </c>
      <c r="G2590" s="34">
        <f t="shared" si="45"/>
        <v>163.65649999999999</v>
      </c>
      <c r="H2590" s="39">
        <f>SUM(G2590:G2592)</f>
        <v>202.29131375</v>
      </c>
      <c r="I2590" s="40"/>
      <c r="J2590" s="102">
        <v>0</v>
      </c>
    </row>
    <row r="2591" spans="1:10" ht="51" hidden="1" x14ac:dyDescent="0.25">
      <c r="A2591" s="219"/>
      <c r="B2591" s="237"/>
      <c r="C2591" s="36" t="s">
        <v>1914</v>
      </c>
      <c r="D2591" s="36" t="s">
        <v>109</v>
      </c>
      <c r="E2591" s="37">
        <f>E2590</f>
        <v>1</v>
      </c>
      <c r="F2591" s="34">
        <v>7.0254067499999993</v>
      </c>
      <c r="G2591" s="34">
        <f t="shared" si="45"/>
        <v>7.0254067499999993</v>
      </c>
      <c r="H2591" s="35"/>
      <c r="I2591" s="31"/>
      <c r="J2591" s="102">
        <v>0</v>
      </c>
    </row>
    <row r="2592" spans="1:10" ht="38.25" hidden="1" x14ac:dyDescent="0.25">
      <c r="A2592" s="219"/>
      <c r="B2592" s="237"/>
      <c r="C2592" s="36" t="s">
        <v>753</v>
      </c>
      <c r="D2592" s="47" t="s">
        <v>754</v>
      </c>
      <c r="E2592" s="37">
        <f>E2590*20</f>
        <v>20</v>
      </c>
      <c r="F2592" s="31">
        <v>1.5804703499999999</v>
      </c>
      <c r="G2592" s="34">
        <f t="shared" si="45"/>
        <v>31.609406999999997</v>
      </c>
      <c r="H2592" s="35"/>
      <c r="I2592" s="31"/>
      <c r="J2592" s="102">
        <v>0</v>
      </c>
    </row>
    <row r="2593" spans="1:10" hidden="1" x14ac:dyDescent="0.25">
      <c r="A2593" s="219"/>
      <c r="B2593" s="237"/>
      <c r="C2593" s="36"/>
      <c r="D2593" s="47"/>
      <c r="E2593" s="37"/>
      <c r="F2593" s="31" t="s">
        <v>522</v>
      </c>
      <c r="G2593" s="34" t="str">
        <f t="shared" si="45"/>
        <v/>
      </c>
      <c r="H2593" s="35"/>
      <c r="I2593" s="31"/>
      <c r="J2593" s="102">
        <v>0</v>
      </c>
    </row>
    <row r="2594" spans="1:10" hidden="1" x14ac:dyDescent="0.25">
      <c r="A2594" s="219"/>
      <c r="B2594" s="237"/>
      <c r="C2594" s="48" t="s">
        <v>758</v>
      </c>
      <c r="D2594" s="47"/>
      <c r="E2594" s="37"/>
      <c r="F2594" s="31" t="s">
        <v>522</v>
      </c>
      <c r="G2594" s="34" t="str">
        <f t="shared" si="45"/>
        <v/>
      </c>
      <c r="H2594" s="35"/>
      <c r="I2594" s="31"/>
      <c r="J2594" s="102">
        <v>0</v>
      </c>
    </row>
    <row r="2595" spans="1:10" ht="15.75" hidden="1" thickBot="1" x14ac:dyDescent="0.3">
      <c r="A2595" s="220"/>
      <c r="B2595" s="223"/>
      <c r="C2595" s="36"/>
      <c r="D2595" s="36"/>
      <c r="E2595" s="37"/>
      <c r="F2595" s="31" t="s">
        <v>522</v>
      </c>
      <c r="G2595" s="34" t="str">
        <f t="shared" si="45"/>
        <v/>
      </c>
      <c r="H2595" s="35"/>
      <c r="I2595" s="31"/>
      <c r="J2595" s="102">
        <v>0</v>
      </c>
    </row>
    <row r="2596" spans="1:10" ht="15.75" hidden="1" thickBot="1" x14ac:dyDescent="0.3">
      <c r="A2596" s="218" t="s">
        <v>759</v>
      </c>
      <c r="B2596" s="221" t="e">
        <f>INDEX(#REF!,MATCH(Composições!A2596,#REF!,0),2)</f>
        <v>#REF!</v>
      </c>
      <c r="C2596" s="41"/>
      <c r="D2596" s="26" t="s">
        <v>109</v>
      </c>
      <c r="E2596" s="27"/>
      <c r="F2596" s="42" t="s">
        <v>522</v>
      </c>
      <c r="G2596" s="28" t="str">
        <f t="shared" si="45"/>
        <v/>
      </c>
      <c r="H2596" s="29"/>
      <c r="I2596" s="30"/>
      <c r="J2596" s="102">
        <v>0</v>
      </c>
    </row>
    <row r="2597" spans="1:10" hidden="1" x14ac:dyDescent="0.25">
      <c r="A2597" s="219"/>
      <c r="B2597" s="237"/>
      <c r="C2597" s="32"/>
      <c r="D2597" s="32"/>
      <c r="E2597" s="33"/>
      <c r="F2597" s="43" t="s">
        <v>522</v>
      </c>
      <c r="G2597" s="34" t="str">
        <f t="shared" si="45"/>
        <v/>
      </c>
      <c r="H2597" s="35"/>
      <c r="I2597" s="31"/>
      <c r="J2597" s="102">
        <v>0</v>
      </c>
    </row>
    <row r="2598" spans="1:10" ht="25.5" hidden="1" x14ac:dyDescent="0.25">
      <c r="A2598" s="219"/>
      <c r="B2598" s="237"/>
      <c r="C2598" s="36" t="s">
        <v>760</v>
      </c>
      <c r="D2598" s="47" t="s">
        <v>109</v>
      </c>
      <c r="E2598" s="37">
        <v>1</v>
      </c>
      <c r="F2598" s="31">
        <v>141.74950000000001</v>
      </c>
      <c r="G2598" s="34">
        <f t="shared" si="45"/>
        <v>141.74950000000001</v>
      </c>
      <c r="H2598" s="39">
        <f>SUM(G2598:G2600)</f>
        <v>180.38431375000002</v>
      </c>
      <c r="I2598" s="40"/>
      <c r="J2598" s="102">
        <v>0</v>
      </c>
    </row>
    <row r="2599" spans="1:10" ht="51" hidden="1" x14ac:dyDescent="0.25">
      <c r="A2599" s="219"/>
      <c r="B2599" s="237"/>
      <c r="C2599" s="36" t="s">
        <v>1914</v>
      </c>
      <c r="D2599" s="36" t="s">
        <v>109</v>
      </c>
      <c r="E2599" s="37">
        <f>E2598</f>
        <v>1</v>
      </c>
      <c r="F2599" s="34">
        <v>7.0254067499999993</v>
      </c>
      <c r="G2599" s="34">
        <f t="shared" si="45"/>
        <v>7.0254067499999993</v>
      </c>
      <c r="H2599" s="35"/>
      <c r="I2599" s="31"/>
      <c r="J2599" s="102">
        <v>0</v>
      </c>
    </row>
    <row r="2600" spans="1:10" ht="38.25" hidden="1" x14ac:dyDescent="0.25">
      <c r="A2600" s="219"/>
      <c r="B2600" s="237"/>
      <c r="C2600" s="36" t="s">
        <v>753</v>
      </c>
      <c r="D2600" s="47" t="s">
        <v>754</v>
      </c>
      <c r="E2600" s="37">
        <f>E2598*20</f>
        <v>20</v>
      </c>
      <c r="F2600" s="31">
        <v>1.5804703499999999</v>
      </c>
      <c r="G2600" s="34">
        <f t="shared" si="45"/>
        <v>31.609406999999997</v>
      </c>
      <c r="H2600" s="35"/>
      <c r="I2600" s="31"/>
      <c r="J2600" s="102">
        <v>0</v>
      </c>
    </row>
    <row r="2601" spans="1:10" hidden="1" x14ac:dyDescent="0.25">
      <c r="A2601" s="219"/>
      <c r="B2601" s="237"/>
      <c r="C2601" s="36"/>
      <c r="D2601" s="47"/>
      <c r="E2601" s="37"/>
      <c r="F2601" s="31" t="s">
        <v>522</v>
      </c>
      <c r="G2601" s="34" t="str">
        <f t="shared" si="45"/>
        <v/>
      </c>
      <c r="H2601" s="35"/>
      <c r="I2601" s="31"/>
      <c r="J2601" s="102">
        <v>0</v>
      </c>
    </row>
    <row r="2602" spans="1:10" hidden="1" x14ac:dyDescent="0.25">
      <c r="A2602" s="219"/>
      <c r="B2602" s="237"/>
      <c r="C2602" s="48" t="s">
        <v>758</v>
      </c>
      <c r="D2602" s="47"/>
      <c r="E2602" s="37"/>
      <c r="F2602" s="31" t="s">
        <v>522</v>
      </c>
      <c r="G2602" s="34" t="str">
        <f t="shared" si="45"/>
        <v/>
      </c>
      <c r="H2602" s="35"/>
      <c r="I2602" s="31"/>
      <c r="J2602" s="102">
        <v>0</v>
      </c>
    </row>
    <row r="2603" spans="1:10" ht="15.75" hidden="1" thickBot="1" x14ac:dyDescent="0.3">
      <c r="A2603" s="220"/>
      <c r="B2603" s="223"/>
      <c r="C2603" s="36"/>
      <c r="D2603" s="36"/>
      <c r="E2603" s="37"/>
      <c r="F2603" s="31" t="s">
        <v>522</v>
      </c>
      <c r="G2603" s="34" t="str">
        <f t="shared" si="45"/>
        <v/>
      </c>
      <c r="H2603" s="35"/>
      <c r="I2603" s="31"/>
      <c r="J2603" s="102">
        <v>0</v>
      </c>
    </row>
    <row r="2604" spans="1:10" ht="15.75" hidden="1" thickBot="1" x14ac:dyDescent="0.3">
      <c r="A2604" s="218" t="s">
        <v>761</v>
      </c>
      <c r="B2604" s="221" t="e">
        <f>INDEX(#REF!,MATCH(Composições!A2604,#REF!,0),2)</f>
        <v>#REF!</v>
      </c>
      <c r="C2604" s="41"/>
      <c r="D2604" s="26" t="s">
        <v>20</v>
      </c>
      <c r="E2604" s="27"/>
      <c r="F2604" s="42" t="s">
        <v>522</v>
      </c>
      <c r="G2604" s="28" t="str">
        <f t="shared" si="45"/>
        <v/>
      </c>
      <c r="H2604" s="29"/>
      <c r="I2604" s="30"/>
      <c r="J2604" s="102">
        <v>0</v>
      </c>
    </row>
    <row r="2605" spans="1:10" hidden="1" x14ac:dyDescent="0.25">
      <c r="A2605" s="219"/>
      <c r="B2605" s="237"/>
      <c r="C2605" s="32"/>
      <c r="D2605" s="32"/>
      <c r="E2605" s="33"/>
      <c r="F2605" s="43" t="s">
        <v>522</v>
      </c>
      <c r="G2605" s="34" t="str">
        <f t="shared" si="45"/>
        <v/>
      </c>
      <c r="H2605" s="35"/>
      <c r="I2605" s="31"/>
      <c r="J2605" s="102">
        <v>0</v>
      </c>
    </row>
    <row r="2606" spans="1:10" ht="25.5" hidden="1" x14ac:dyDescent="0.25">
      <c r="A2606" s="219"/>
      <c r="B2606" s="237"/>
      <c r="C2606" s="36" t="s">
        <v>2492</v>
      </c>
      <c r="D2606" s="36" t="s">
        <v>150</v>
      </c>
      <c r="E2606" s="37">
        <f>1/1000</f>
        <v>1E-3</v>
      </c>
      <c r="F2606" s="31">
        <v>755.2405</v>
      </c>
      <c r="G2606" s="34">
        <f t="shared" si="45"/>
        <v>0.75524049999999998</v>
      </c>
      <c r="H2606" s="39">
        <f>SUM(G2606:G2606)</f>
        <v>0.75524049999999998</v>
      </c>
      <c r="I2606" s="40"/>
      <c r="J2606" s="102">
        <v>0</v>
      </c>
    </row>
    <row r="2607" spans="1:10" ht="15.75" hidden="1" thickBot="1" x14ac:dyDescent="0.3">
      <c r="A2607" s="220"/>
      <c r="B2607" s="223"/>
      <c r="C2607" s="36"/>
      <c r="D2607" s="36"/>
      <c r="E2607" s="37"/>
      <c r="F2607" s="31" t="s">
        <v>522</v>
      </c>
      <c r="G2607" s="34" t="str">
        <f t="shared" si="45"/>
        <v/>
      </c>
      <c r="H2607" s="35"/>
      <c r="I2607" s="31"/>
      <c r="J2607" s="102">
        <v>0</v>
      </c>
    </row>
    <row r="2608" spans="1:10" ht="15.75" hidden="1" thickBot="1" x14ac:dyDescent="0.3">
      <c r="A2608" s="218" t="s">
        <v>762</v>
      </c>
      <c r="B2608" s="221" t="e">
        <f>INDEX(#REF!,MATCH(Composições!A2608,#REF!,0),2)</f>
        <v>#REF!</v>
      </c>
      <c r="C2608" s="41"/>
      <c r="D2608" s="26" t="s">
        <v>20</v>
      </c>
      <c r="E2608" s="27"/>
      <c r="F2608" s="42" t="s">
        <v>522</v>
      </c>
      <c r="G2608" s="28" t="str">
        <f t="shared" si="45"/>
        <v/>
      </c>
      <c r="H2608" s="29"/>
      <c r="I2608" s="30"/>
      <c r="J2608" s="102">
        <v>0</v>
      </c>
    </row>
    <row r="2609" spans="1:10" hidden="1" x14ac:dyDescent="0.25">
      <c r="A2609" s="219"/>
      <c r="B2609" s="237"/>
      <c r="C2609" s="32"/>
      <c r="D2609" s="32"/>
      <c r="E2609" s="33"/>
      <c r="F2609" s="43" t="s">
        <v>522</v>
      </c>
      <c r="G2609" s="34" t="str">
        <f t="shared" si="45"/>
        <v/>
      </c>
      <c r="H2609" s="35"/>
      <c r="I2609" s="31"/>
      <c r="J2609" s="102">
        <v>0</v>
      </c>
    </row>
    <row r="2610" spans="1:10" hidden="1" x14ac:dyDescent="0.25">
      <c r="A2610" s="219"/>
      <c r="B2610" s="237"/>
      <c r="C2610" s="36" t="s">
        <v>1907</v>
      </c>
      <c r="D2610" s="36" t="s">
        <v>279</v>
      </c>
      <c r="E2610" s="37">
        <v>1</v>
      </c>
      <c r="F2610" s="31">
        <v>0.63649999999999995</v>
      </c>
      <c r="G2610" s="34">
        <f t="shared" si="45"/>
        <v>0.63649999999999995</v>
      </c>
      <c r="H2610" s="39">
        <f>SUM(G2610:G2610)</f>
        <v>0.63649999999999995</v>
      </c>
      <c r="I2610" s="40"/>
      <c r="J2610" s="102">
        <v>0</v>
      </c>
    </row>
    <row r="2611" spans="1:10" ht="15.75" hidden="1" thickBot="1" x14ac:dyDescent="0.3">
      <c r="A2611" s="220"/>
      <c r="B2611" s="223"/>
      <c r="C2611" s="36"/>
      <c r="D2611" s="36"/>
      <c r="E2611" s="37"/>
      <c r="F2611" s="31" t="s">
        <v>522</v>
      </c>
      <c r="G2611" s="34" t="str">
        <f t="shared" si="45"/>
        <v/>
      </c>
      <c r="H2611" s="35"/>
      <c r="I2611" s="31"/>
      <c r="J2611" s="102">
        <v>0</v>
      </c>
    </row>
    <row r="2612" spans="1:10" ht="15.75" hidden="1" thickBot="1" x14ac:dyDescent="0.3">
      <c r="A2612" s="218" t="s">
        <v>763</v>
      </c>
      <c r="B2612" s="221" t="e">
        <f>INDEX(#REF!,MATCH(Composições!A2612,#REF!,0),2)</f>
        <v>#REF!</v>
      </c>
      <c r="C2612" s="41"/>
      <c r="D2612" s="26" t="s">
        <v>20</v>
      </c>
      <c r="E2612" s="27"/>
      <c r="F2612" s="42" t="s">
        <v>522</v>
      </c>
      <c r="G2612" s="28" t="str">
        <f t="shared" si="45"/>
        <v/>
      </c>
      <c r="H2612" s="29"/>
      <c r="I2612" s="30"/>
      <c r="J2612" s="102">
        <v>0</v>
      </c>
    </row>
    <row r="2613" spans="1:10" hidden="1" x14ac:dyDescent="0.25">
      <c r="A2613" s="219"/>
      <c r="B2613" s="237"/>
      <c r="C2613" s="32"/>
      <c r="D2613" s="32"/>
      <c r="E2613" s="33"/>
      <c r="F2613" s="43" t="s">
        <v>522</v>
      </c>
      <c r="G2613" s="34" t="str">
        <f t="shared" si="45"/>
        <v/>
      </c>
      <c r="H2613" s="35"/>
      <c r="I2613" s="31"/>
      <c r="J2613" s="102">
        <v>0</v>
      </c>
    </row>
    <row r="2614" spans="1:10" ht="25.5" hidden="1" x14ac:dyDescent="0.25">
      <c r="A2614" s="219"/>
      <c r="B2614" s="237"/>
      <c r="C2614" s="36" t="s">
        <v>1902</v>
      </c>
      <c r="D2614" s="36" t="s">
        <v>279</v>
      </c>
      <c r="E2614" s="37">
        <v>1</v>
      </c>
      <c r="F2614" s="31">
        <v>2.4984999999999999</v>
      </c>
      <c r="G2614" s="34">
        <f t="shared" si="45"/>
        <v>2.4984999999999999</v>
      </c>
      <c r="H2614" s="39">
        <f>SUM(G2614:G2614)</f>
        <v>2.4984999999999999</v>
      </c>
      <c r="I2614" s="40"/>
      <c r="J2614" s="102">
        <v>0</v>
      </c>
    </row>
    <row r="2615" spans="1:10" ht="15.75" hidden="1" thickBot="1" x14ac:dyDescent="0.3">
      <c r="A2615" s="220"/>
      <c r="B2615" s="223"/>
      <c r="C2615" s="36"/>
      <c r="D2615" s="36"/>
      <c r="E2615" s="37"/>
      <c r="F2615" s="31" t="s">
        <v>522</v>
      </c>
      <c r="G2615" s="34" t="str">
        <f t="shared" si="45"/>
        <v/>
      </c>
      <c r="H2615" s="35"/>
      <c r="I2615" s="31"/>
      <c r="J2615" s="102">
        <v>0</v>
      </c>
    </row>
    <row r="2616" spans="1:10" ht="15.75" hidden="1" thickBot="1" x14ac:dyDescent="0.3">
      <c r="A2616" s="218" t="s">
        <v>764</v>
      </c>
      <c r="B2616" s="221" t="e">
        <f>INDEX(#REF!,MATCH(Composições!A2616,#REF!,0),2)</f>
        <v>#REF!</v>
      </c>
      <c r="C2616" s="41"/>
      <c r="D2616" s="26" t="s">
        <v>20</v>
      </c>
      <c r="E2616" s="27"/>
      <c r="F2616" s="42" t="s">
        <v>522</v>
      </c>
      <c r="G2616" s="28" t="str">
        <f t="shared" si="45"/>
        <v/>
      </c>
      <c r="H2616" s="29"/>
      <c r="I2616" s="30"/>
      <c r="J2616" s="102">
        <v>0</v>
      </c>
    </row>
    <row r="2617" spans="1:10" hidden="1" x14ac:dyDescent="0.25">
      <c r="A2617" s="219"/>
      <c r="B2617" s="237"/>
      <c r="C2617" s="32"/>
      <c r="D2617" s="32"/>
      <c r="E2617" s="33"/>
      <c r="F2617" s="43" t="s">
        <v>522</v>
      </c>
      <c r="G2617" s="34" t="str">
        <f t="shared" si="45"/>
        <v/>
      </c>
      <c r="H2617" s="35"/>
      <c r="I2617" s="31"/>
      <c r="J2617" s="102">
        <v>0</v>
      </c>
    </row>
    <row r="2618" spans="1:10" hidden="1" x14ac:dyDescent="0.25">
      <c r="A2618" s="219"/>
      <c r="B2618" s="237"/>
      <c r="C2618" s="36" t="s">
        <v>143</v>
      </c>
      <c r="D2618" s="36" t="s">
        <v>144</v>
      </c>
      <c r="E2618" s="37">
        <v>1</v>
      </c>
      <c r="F2618" s="31">
        <v>0.95</v>
      </c>
      <c r="G2618" s="34">
        <f t="shared" si="45"/>
        <v>0.95</v>
      </c>
      <c r="H2618" s="39">
        <f>SUM(G2618:G2618)</f>
        <v>0.95</v>
      </c>
      <c r="I2618" s="40"/>
      <c r="J2618" s="102">
        <v>0</v>
      </c>
    </row>
    <row r="2619" spans="1:10" ht="15.75" hidden="1" thickBot="1" x14ac:dyDescent="0.3">
      <c r="A2619" s="220"/>
      <c r="B2619" s="223"/>
      <c r="C2619" s="36"/>
      <c r="D2619" s="36"/>
      <c r="E2619" s="37"/>
      <c r="F2619" s="31" t="s">
        <v>522</v>
      </c>
      <c r="G2619" s="34" t="str">
        <f t="shared" si="45"/>
        <v/>
      </c>
      <c r="H2619" s="35"/>
      <c r="I2619" s="31"/>
      <c r="J2619" s="102">
        <v>0</v>
      </c>
    </row>
    <row r="2620" spans="1:10" ht="15.75" hidden="1" thickBot="1" x14ac:dyDescent="0.3">
      <c r="A2620" s="218" t="s">
        <v>765</v>
      </c>
      <c r="B2620" s="221" t="e">
        <f>INDEX(#REF!,MATCH(Composições!A2620,#REF!,0),2)</f>
        <v>#REF!</v>
      </c>
      <c r="C2620" s="41"/>
      <c r="D2620" s="26" t="s">
        <v>93</v>
      </c>
      <c r="E2620" s="27"/>
      <c r="F2620" s="42" t="s">
        <v>522</v>
      </c>
      <c r="G2620" s="28" t="str">
        <f t="shared" si="45"/>
        <v/>
      </c>
      <c r="H2620" s="29"/>
      <c r="I2620" s="30"/>
      <c r="J2620" s="102">
        <v>0</v>
      </c>
    </row>
    <row r="2621" spans="1:10" hidden="1" x14ac:dyDescent="0.25">
      <c r="A2621" s="219"/>
      <c r="B2621" s="237"/>
      <c r="C2621" s="32"/>
      <c r="D2621" s="32"/>
      <c r="E2621" s="33"/>
      <c r="F2621" s="43" t="s">
        <v>522</v>
      </c>
      <c r="G2621" s="34" t="str">
        <f t="shared" si="45"/>
        <v/>
      </c>
      <c r="H2621" s="35"/>
      <c r="I2621" s="31"/>
      <c r="J2621" s="102">
        <v>0</v>
      </c>
    </row>
    <row r="2622" spans="1:10" hidden="1" x14ac:dyDescent="0.25">
      <c r="A2622" s="219"/>
      <c r="B2622" s="237"/>
      <c r="C2622" s="36" t="s">
        <v>1417</v>
      </c>
      <c r="D2622" s="36" t="s">
        <v>42</v>
      </c>
      <c r="E2622" s="37">
        <v>0.154</v>
      </c>
      <c r="F2622" s="31">
        <v>9.9749999999999996</v>
      </c>
      <c r="G2622" s="34">
        <f t="shared" si="45"/>
        <v>1.5361499999999999</v>
      </c>
      <c r="H2622" s="39">
        <f>SUM(G2622:G2622)</f>
        <v>1.5361499999999999</v>
      </c>
      <c r="I2622" s="40"/>
      <c r="J2622" s="102">
        <v>0</v>
      </c>
    </row>
    <row r="2623" spans="1:10" ht="15.75" hidden="1" thickBot="1" x14ac:dyDescent="0.3">
      <c r="A2623" s="220"/>
      <c r="B2623" s="223"/>
      <c r="C2623" s="36"/>
      <c r="D2623" s="36"/>
      <c r="E2623" s="37"/>
      <c r="F2623" s="31" t="s">
        <v>522</v>
      </c>
      <c r="G2623" s="34" t="str">
        <f t="shared" si="45"/>
        <v/>
      </c>
      <c r="H2623" s="35"/>
      <c r="I2623" s="31"/>
      <c r="J2623" s="102">
        <v>0</v>
      </c>
    </row>
    <row r="2624" spans="1:10" ht="15.75" hidden="1" thickBot="1" x14ac:dyDescent="0.3">
      <c r="A2624" s="218" t="s">
        <v>766</v>
      </c>
      <c r="B2624" s="221" t="e">
        <f>INDEX(#REF!,MATCH(Composições!A2624,#REF!,0),2)</f>
        <v>#REF!</v>
      </c>
      <c r="C2624" s="41"/>
      <c r="D2624" s="26" t="s">
        <v>93</v>
      </c>
      <c r="E2624" s="27"/>
      <c r="F2624" s="42" t="s">
        <v>522</v>
      </c>
      <c r="G2624" s="28" t="str">
        <f t="shared" si="45"/>
        <v/>
      </c>
      <c r="H2624" s="29"/>
      <c r="I2624" s="30"/>
      <c r="J2624" s="102">
        <v>0</v>
      </c>
    </row>
    <row r="2625" spans="1:10" hidden="1" x14ac:dyDescent="0.25">
      <c r="A2625" s="219"/>
      <c r="B2625" s="237"/>
      <c r="C2625" s="32"/>
      <c r="D2625" s="32"/>
      <c r="E2625" s="33"/>
      <c r="F2625" s="43" t="s">
        <v>522</v>
      </c>
      <c r="G2625" s="34" t="str">
        <f t="shared" si="45"/>
        <v/>
      </c>
      <c r="H2625" s="35"/>
      <c r="I2625" s="31"/>
      <c r="J2625" s="102">
        <v>0</v>
      </c>
    </row>
    <row r="2626" spans="1:10" hidden="1" x14ac:dyDescent="0.25">
      <c r="A2626" s="219"/>
      <c r="B2626" s="237"/>
      <c r="C2626" s="36" t="s">
        <v>767</v>
      </c>
      <c r="D2626" s="36" t="s">
        <v>42</v>
      </c>
      <c r="E2626" s="37">
        <v>0.245</v>
      </c>
      <c r="F2626" s="31">
        <v>11.114999999999998</v>
      </c>
      <c r="G2626" s="34">
        <f t="shared" si="45"/>
        <v>2.7231749999999995</v>
      </c>
      <c r="H2626" s="39">
        <f>SUM(G2626:G2626)</f>
        <v>2.7231749999999995</v>
      </c>
      <c r="I2626" s="40"/>
      <c r="J2626" s="102">
        <v>0</v>
      </c>
    </row>
    <row r="2627" spans="1:10" ht="15.75" hidden="1" thickBot="1" x14ac:dyDescent="0.3">
      <c r="A2627" s="220"/>
      <c r="B2627" s="223"/>
      <c r="C2627" s="36"/>
      <c r="D2627" s="36"/>
      <c r="E2627" s="37"/>
      <c r="F2627" s="31" t="s">
        <v>522</v>
      </c>
      <c r="G2627" s="34" t="str">
        <f t="shared" si="45"/>
        <v/>
      </c>
      <c r="H2627" s="35"/>
      <c r="I2627" s="31"/>
      <c r="J2627" s="102">
        <v>0</v>
      </c>
    </row>
    <row r="2628" spans="1:10" ht="15.75" hidden="1" thickBot="1" x14ac:dyDescent="0.3">
      <c r="A2628" s="218" t="s">
        <v>768</v>
      </c>
      <c r="B2628" s="221" t="e">
        <f>INDEX(#REF!,MATCH(Composições!A2628,#REF!,0),2)</f>
        <v>#REF!</v>
      </c>
      <c r="C2628" s="41"/>
      <c r="D2628" s="26" t="s">
        <v>93</v>
      </c>
      <c r="E2628" s="27"/>
      <c r="F2628" s="42" t="s">
        <v>522</v>
      </c>
      <c r="G2628" s="28" t="str">
        <f t="shared" si="45"/>
        <v/>
      </c>
      <c r="H2628" s="29"/>
      <c r="I2628" s="30"/>
      <c r="J2628" s="102">
        <v>0</v>
      </c>
    </row>
    <row r="2629" spans="1:10" hidden="1" x14ac:dyDescent="0.25">
      <c r="A2629" s="219"/>
      <c r="B2629" s="237"/>
      <c r="C2629" s="32"/>
      <c r="D2629" s="32"/>
      <c r="E2629" s="33"/>
      <c r="F2629" s="43" t="s">
        <v>522</v>
      </c>
      <c r="G2629" s="34" t="str">
        <f t="shared" si="45"/>
        <v/>
      </c>
      <c r="H2629" s="35"/>
      <c r="I2629" s="31"/>
      <c r="J2629" s="102">
        <v>0</v>
      </c>
    </row>
    <row r="2630" spans="1:10" hidden="1" x14ac:dyDescent="0.25">
      <c r="A2630" s="219"/>
      <c r="B2630" s="237"/>
      <c r="C2630" s="36" t="s">
        <v>769</v>
      </c>
      <c r="D2630" s="36" t="s">
        <v>42</v>
      </c>
      <c r="E2630" s="37">
        <v>0.39500000000000002</v>
      </c>
      <c r="F2630" s="31">
        <v>11.1815</v>
      </c>
      <c r="G2630" s="34">
        <f t="shared" ref="G2630:G2693" si="46">IF(ISNUMBER(F2630),E2630*F2630,"")</f>
        <v>4.4166924999999999</v>
      </c>
      <c r="H2630" s="39">
        <f>SUM(G2630:G2630)</f>
        <v>4.4166924999999999</v>
      </c>
      <c r="I2630" s="40"/>
      <c r="J2630" s="102">
        <v>0</v>
      </c>
    </row>
    <row r="2631" spans="1:10" ht="15.75" hidden="1" thickBot="1" x14ac:dyDescent="0.3">
      <c r="A2631" s="220"/>
      <c r="B2631" s="223"/>
      <c r="C2631" s="36"/>
      <c r="D2631" s="36"/>
      <c r="E2631" s="37"/>
      <c r="F2631" s="31" t="s">
        <v>522</v>
      </c>
      <c r="G2631" s="34" t="str">
        <f t="shared" si="46"/>
        <v/>
      </c>
      <c r="H2631" s="35"/>
      <c r="I2631" s="31"/>
      <c r="J2631" s="102">
        <v>0</v>
      </c>
    </row>
    <row r="2632" spans="1:10" ht="15.75" hidden="1" thickBot="1" x14ac:dyDescent="0.3">
      <c r="A2632" s="218" t="s">
        <v>770</v>
      </c>
      <c r="B2632" s="221" t="e">
        <f>INDEX(#REF!,MATCH(Composições!A2632,#REF!,0),2)</f>
        <v>#REF!</v>
      </c>
      <c r="C2632" s="41"/>
      <c r="D2632" s="26" t="s">
        <v>93</v>
      </c>
      <c r="E2632" s="27"/>
      <c r="F2632" s="42" t="s">
        <v>522</v>
      </c>
      <c r="G2632" s="28" t="str">
        <f t="shared" si="46"/>
        <v/>
      </c>
      <c r="H2632" s="29"/>
      <c r="I2632" s="30"/>
      <c r="J2632" s="102">
        <v>0</v>
      </c>
    </row>
    <row r="2633" spans="1:10" hidden="1" x14ac:dyDescent="0.25">
      <c r="A2633" s="219"/>
      <c r="B2633" s="237"/>
      <c r="C2633" s="32"/>
      <c r="D2633" s="32"/>
      <c r="E2633" s="33"/>
      <c r="F2633" s="43" t="s">
        <v>522</v>
      </c>
      <c r="G2633" s="34" t="str">
        <f t="shared" si="46"/>
        <v/>
      </c>
      <c r="H2633" s="35"/>
      <c r="I2633" s="31"/>
      <c r="J2633" s="102">
        <v>0</v>
      </c>
    </row>
    <row r="2634" spans="1:10" hidden="1" x14ac:dyDescent="0.25">
      <c r="A2634" s="219"/>
      <c r="B2634" s="237"/>
      <c r="C2634" s="36" t="s">
        <v>771</v>
      </c>
      <c r="D2634" s="36" t="s">
        <v>42</v>
      </c>
      <c r="E2634" s="37">
        <v>0.61699999999999999</v>
      </c>
      <c r="F2634" s="31">
        <v>10.535499999999999</v>
      </c>
      <c r="G2634" s="34">
        <f t="shared" si="46"/>
        <v>6.5004034999999991</v>
      </c>
      <c r="H2634" s="39">
        <f>SUM(G2634:G2634)</f>
        <v>6.5004034999999991</v>
      </c>
      <c r="I2634" s="40"/>
      <c r="J2634" s="102">
        <v>0</v>
      </c>
    </row>
    <row r="2635" spans="1:10" ht="15.75" hidden="1" thickBot="1" x14ac:dyDescent="0.3">
      <c r="A2635" s="220"/>
      <c r="B2635" s="223"/>
      <c r="C2635" s="36"/>
      <c r="D2635" s="36"/>
      <c r="E2635" s="37"/>
      <c r="F2635" s="31" t="s">
        <v>522</v>
      </c>
      <c r="G2635" s="34" t="str">
        <f t="shared" si="46"/>
        <v/>
      </c>
      <c r="H2635" s="35"/>
      <c r="I2635" s="31"/>
      <c r="J2635" s="102">
        <v>0</v>
      </c>
    </row>
    <row r="2636" spans="1:10" ht="15.75" hidden="1" thickBot="1" x14ac:dyDescent="0.3">
      <c r="A2636" s="218" t="s">
        <v>772</v>
      </c>
      <c r="B2636" s="221" t="e">
        <f>INDEX(#REF!,MATCH(Composições!A2636,#REF!,0),2)</f>
        <v>#REF!</v>
      </c>
      <c r="C2636" s="41"/>
      <c r="D2636" s="26" t="s">
        <v>93</v>
      </c>
      <c r="E2636" s="27"/>
      <c r="F2636" s="42" t="s">
        <v>522</v>
      </c>
      <c r="G2636" s="28" t="str">
        <f t="shared" si="46"/>
        <v/>
      </c>
      <c r="H2636" s="29"/>
      <c r="I2636" s="30"/>
      <c r="J2636" s="102">
        <v>0</v>
      </c>
    </row>
    <row r="2637" spans="1:10" hidden="1" x14ac:dyDescent="0.25">
      <c r="A2637" s="219"/>
      <c r="B2637" s="237"/>
      <c r="C2637" s="32"/>
      <c r="D2637" s="32"/>
      <c r="E2637" s="33"/>
      <c r="F2637" s="43" t="s">
        <v>522</v>
      </c>
      <c r="G2637" s="34" t="str">
        <f t="shared" si="46"/>
        <v/>
      </c>
      <c r="H2637" s="35"/>
      <c r="I2637" s="31"/>
      <c r="J2637" s="102">
        <v>0</v>
      </c>
    </row>
    <row r="2638" spans="1:10" hidden="1" x14ac:dyDescent="0.25">
      <c r="A2638" s="219"/>
      <c r="B2638" s="237"/>
      <c r="C2638" s="36" t="s">
        <v>773</v>
      </c>
      <c r="D2638" s="36" t="s">
        <v>42</v>
      </c>
      <c r="E2638" s="37">
        <v>0.96299999999999997</v>
      </c>
      <c r="F2638" s="31">
        <v>9.1294999999999984</v>
      </c>
      <c r="G2638" s="34">
        <f t="shared" si="46"/>
        <v>8.7917084999999986</v>
      </c>
      <c r="H2638" s="39">
        <f>SUM(G2638:G2638)</f>
        <v>8.7917084999999986</v>
      </c>
      <c r="I2638" s="40"/>
      <c r="J2638" s="102">
        <v>0</v>
      </c>
    </row>
    <row r="2639" spans="1:10" ht="15.75" hidden="1" thickBot="1" x14ac:dyDescent="0.3">
      <c r="A2639" s="220"/>
      <c r="B2639" s="223"/>
      <c r="C2639" s="36"/>
      <c r="D2639" s="36"/>
      <c r="E2639" s="37"/>
      <c r="F2639" s="31" t="s">
        <v>522</v>
      </c>
      <c r="G2639" s="34" t="str">
        <f t="shared" si="46"/>
        <v/>
      </c>
      <c r="H2639" s="35"/>
      <c r="I2639" s="31"/>
      <c r="J2639" s="102">
        <v>0</v>
      </c>
    </row>
    <row r="2640" spans="1:10" ht="15.75" hidden="1" thickBot="1" x14ac:dyDescent="0.3">
      <c r="A2640" s="218" t="s">
        <v>774</v>
      </c>
      <c r="B2640" s="221" t="e">
        <f>INDEX(#REF!,MATCH(Composições!A2640,#REF!,0),2)</f>
        <v>#REF!</v>
      </c>
      <c r="C2640" s="41"/>
      <c r="D2640" s="26" t="s">
        <v>42</v>
      </c>
      <c r="E2640" s="27"/>
      <c r="F2640" s="42" t="s">
        <v>522</v>
      </c>
      <c r="G2640" s="28" t="str">
        <f t="shared" si="46"/>
        <v/>
      </c>
      <c r="H2640" s="29"/>
      <c r="I2640" s="30"/>
      <c r="J2640" s="102">
        <v>0</v>
      </c>
    </row>
    <row r="2641" spans="1:10" hidden="1" x14ac:dyDescent="0.25">
      <c r="A2641" s="219"/>
      <c r="B2641" s="237"/>
      <c r="C2641" s="32"/>
      <c r="D2641" s="32"/>
      <c r="E2641" s="33"/>
      <c r="F2641" s="43" t="s">
        <v>522</v>
      </c>
      <c r="G2641" s="34" t="str">
        <f t="shared" si="46"/>
        <v/>
      </c>
      <c r="H2641" s="35"/>
      <c r="I2641" s="31"/>
      <c r="J2641" s="102">
        <v>0</v>
      </c>
    </row>
    <row r="2642" spans="1:10" ht="25.5" hidden="1" x14ac:dyDescent="0.25">
      <c r="A2642" s="219"/>
      <c r="B2642" s="237"/>
      <c r="C2642" s="36" t="s">
        <v>1897</v>
      </c>
      <c r="D2642" s="36" t="s">
        <v>42</v>
      </c>
      <c r="E2642" s="37">
        <v>1</v>
      </c>
      <c r="F2642" s="31">
        <v>24.738</v>
      </c>
      <c r="G2642" s="34">
        <f t="shared" si="46"/>
        <v>24.738</v>
      </c>
      <c r="H2642" s="39">
        <f>SUM(G2642:G2642)</f>
        <v>24.738</v>
      </c>
      <c r="I2642" s="40"/>
      <c r="J2642" s="102">
        <v>0</v>
      </c>
    </row>
    <row r="2643" spans="1:10" ht="15.75" hidden="1" thickBot="1" x14ac:dyDescent="0.3">
      <c r="A2643" s="220"/>
      <c r="B2643" s="223"/>
      <c r="C2643" s="36"/>
      <c r="D2643" s="36"/>
      <c r="E2643" s="37"/>
      <c r="F2643" s="31" t="s">
        <v>522</v>
      </c>
      <c r="G2643" s="34" t="str">
        <f t="shared" si="46"/>
        <v/>
      </c>
      <c r="H2643" s="35"/>
      <c r="I2643" s="31"/>
      <c r="J2643" s="102">
        <v>0</v>
      </c>
    </row>
    <row r="2644" spans="1:10" ht="15.75" hidden="1" thickBot="1" x14ac:dyDescent="0.3">
      <c r="A2644" s="218" t="s">
        <v>775</v>
      </c>
      <c r="B2644" s="221" t="e">
        <f>INDEX(#REF!,MATCH(Composições!A2644,#REF!,0),2)</f>
        <v>#REF!</v>
      </c>
      <c r="C2644" s="41"/>
      <c r="D2644" s="26" t="s">
        <v>42</v>
      </c>
      <c r="E2644" s="27"/>
      <c r="F2644" s="42" t="s">
        <v>522</v>
      </c>
      <c r="G2644" s="28" t="str">
        <f t="shared" si="46"/>
        <v/>
      </c>
      <c r="H2644" s="29"/>
      <c r="I2644" s="30"/>
      <c r="J2644" s="102">
        <v>0</v>
      </c>
    </row>
    <row r="2645" spans="1:10" hidden="1" x14ac:dyDescent="0.25">
      <c r="A2645" s="219"/>
      <c r="B2645" s="237"/>
      <c r="C2645" s="32"/>
      <c r="D2645" s="32"/>
      <c r="E2645" s="33"/>
      <c r="F2645" s="43" t="s">
        <v>522</v>
      </c>
      <c r="G2645" s="34" t="str">
        <f t="shared" si="46"/>
        <v/>
      </c>
      <c r="H2645" s="35"/>
      <c r="I2645" s="31"/>
      <c r="J2645" s="102">
        <v>0</v>
      </c>
    </row>
    <row r="2646" spans="1:10" ht="25.5" hidden="1" x14ac:dyDescent="0.25">
      <c r="A2646" s="219"/>
      <c r="B2646" s="237"/>
      <c r="C2646" s="36" t="s">
        <v>1694</v>
      </c>
      <c r="D2646" s="36" t="s">
        <v>42</v>
      </c>
      <c r="E2646" s="37">
        <v>1</v>
      </c>
      <c r="F2646" s="31">
        <v>55.195</v>
      </c>
      <c r="G2646" s="34">
        <f t="shared" si="46"/>
        <v>55.195</v>
      </c>
      <c r="H2646" s="39">
        <f>SUM(G2646:G2646)</f>
        <v>55.195</v>
      </c>
      <c r="I2646" s="40"/>
      <c r="J2646" s="102">
        <v>0</v>
      </c>
    </row>
    <row r="2647" spans="1:10" ht="15.75" hidden="1" thickBot="1" x14ac:dyDescent="0.3">
      <c r="A2647" s="220"/>
      <c r="B2647" s="223"/>
      <c r="C2647" s="36"/>
      <c r="D2647" s="36"/>
      <c r="E2647" s="37"/>
      <c r="F2647" s="31" t="s">
        <v>522</v>
      </c>
      <c r="G2647" s="34" t="str">
        <f t="shared" si="46"/>
        <v/>
      </c>
      <c r="H2647" s="35"/>
      <c r="I2647" s="31"/>
      <c r="J2647" s="102">
        <v>0</v>
      </c>
    </row>
    <row r="2648" spans="1:10" ht="15.75" hidden="1" thickBot="1" x14ac:dyDescent="0.3">
      <c r="A2648" s="218" t="s">
        <v>1512</v>
      </c>
      <c r="B2648" s="221" t="e">
        <f>INDEX(#REF!,MATCH(Composições!A2648,#REF!,0),2)</f>
        <v>#REF!</v>
      </c>
      <c r="C2648" s="41"/>
      <c r="D2648" s="26" t="s">
        <v>20</v>
      </c>
      <c r="E2648" s="27"/>
      <c r="F2648" s="42" t="s">
        <v>522</v>
      </c>
      <c r="G2648" s="28" t="str">
        <f t="shared" si="46"/>
        <v/>
      </c>
      <c r="H2648" s="29"/>
      <c r="I2648" s="30"/>
      <c r="J2648" s="102">
        <v>0</v>
      </c>
    </row>
    <row r="2649" spans="1:10" hidden="1" x14ac:dyDescent="0.25">
      <c r="A2649" s="219"/>
      <c r="B2649" s="237"/>
      <c r="C2649" s="32"/>
      <c r="D2649" s="32"/>
      <c r="E2649" s="33"/>
      <c r="F2649" s="43" t="s">
        <v>522</v>
      </c>
      <c r="G2649" s="34" t="str">
        <f t="shared" si="46"/>
        <v/>
      </c>
      <c r="H2649" s="35"/>
      <c r="I2649" s="31"/>
      <c r="J2649" s="102">
        <v>0</v>
      </c>
    </row>
    <row r="2650" spans="1:10" hidden="1" x14ac:dyDescent="0.25">
      <c r="A2650" s="219"/>
      <c r="B2650" s="237"/>
      <c r="C2650" s="36" t="s">
        <v>1126</v>
      </c>
      <c r="D2650" s="47" t="s">
        <v>20</v>
      </c>
      <c r="E2650" s="37">
        <v>1</v>
      </c>
      <c r="F2650" s="31">
        <v>23.597999999999999</v>
      </c>
      <c r="G2650" s="34">
        <f t="shared" si="46"/>
        <v>23.597999999999999</v>
      </c>
      <c r="H2650" s="39">
        <f>SUM(G2650:G2650)</f>
        <v>23.597999999999999</v>
      </c>
      <c r="I2650" s="40"/>
      <c r="J2650" s="102">
        <v>0</v>
      </c>
    </row>
    <row r="2651" spans="1:10" ht="15.75" hidden="1" thickBot="1" x14ac:dyDescent="0.3">
      <c r="A2651" s="220"/>
      <c r="B2651" s="223"/>
      <c r="C2651" s="36"/>
      <c r="D2651" s="36"/>
      <c r="E2651" s="37"/>
      <c r="F2651" s="31" t="s">
        <v>522</v>
      </c>
      <c r="G2651" s="34" t="str">
        <f t="shared" si="46"/>
        <v/>
      </c>
      <c r="H2651" s="35"/>
      <c r="I2651" s="31"/>
      <c r="J2651" s="102">
        <v>0</v>
      </c>
    </row>
    <row r="2652" spans="1:10" ht="15.75" hidden="1" thickBot="1" x14ac:dyDescent="0.3">
      <c r="A2652" s="218" t="s">
        <v>777</v>
      </c>
      <c r="B2652" s="221" t="e">
        <f>INDEX(#REF!,MATCH(Composições!A2652,#REF!,0),2)</f>
        <v>#REF!</v>
      </c>
      <c r="C2652" s="41"/>
      <c r="D2652" s="26" t="s">
        <v>102</v>
      </c>
      <c r="E2652" s="27"/>
      <c r="F2652" s="42" t="s">
        <v>522</v>
      </c>
      <c r="G2652" s="28" t="str">
        <f t="shared" si="46"/>
        <v/>
      </c>
      <c r="H2652" s="29"/>
      <c r="I2652" s="30"/>
      <c r="J2652" s="102">
        <v>0</v>
      </c>
    </row>
    <row r="2653" spans="1:10" hidden="1" x14ac:dyDescent="0.25">
      <c r="A2653" s="219"/>
      <c r="B2653" s="237"/>
      <c r="C2653" s="32"/>
      <c r="D2653" s="32"/>
      <c r="E2653" s="33"/>
      <c r="F2653" s="43" t="s">
        <v>522</v>
      </c>
      <c r="G2653" s="34" t="str">
        <f t="shared" si="46"/>
        <v/>
      </c>
      <c r="H2653" s="35"/>
      <c r="I2653" s="31"/>
      <c r="J2653" s="102">
        <v>0</v>
      </c>
    </row>
    <row r="2654" spans="1:10" ht="38.25" hidden="1" x14ac:dyDescent="0.25">
      <c r="A2654" s="219"/>
      <c r="B2654" s="237"/>
      <c r="C2654" s="36" t="s">
        <v>778</v>
      </c>
      <c r="D2654" s="47" t="s">
        <v>102</v>
      </c>
      <c r="E2654" s="37">
        <v>1</v>
      </c>
      <c r="F2654" s="31">
        <v>7.4479999999999995</v>
      </c>
      <c r="G2654" s="34">
        <f t="shared" si="46"/>
        <v>7.4479999999999995</v>
      </c>
      <c r="H2654" s="39">
        <f>SUM(G2654:G2654)</f>
        <v>7.4479999999999995</v>
      </c>
      <c r="I2654" s="40"/>
      <c r="J2654" s="102">
        <v>0</v>
      </c>
    </row>
    <row r="2655" spans="1:10" ht="15.75" hidden="1" thickBot="1" x14ac:dyDescent="0.3">
      <c r="A2655" s="220"/>
      <c r="B2655" s="223"/>
      <c r="C2655" s="36"/>
      <c r="D2655" s="36"/>
      <c r="E2655" s="37"/>
      <c r="F2655" s="31" t="s">
        <v>522</v>
      </c>
      <c r="G2655" s="34" t="str">
        <f t="shared" si="46"/>
        <v/>
      </c>
      <c r="H2655" s="35"/>
      <c r="I2655" s="31"/>
      <c r="J2655" s="102">
        <v>0</v>
      </c>
    </row>
    <row r="2656" spans="1:10" ht="15.75" hidden="1" thickBot="1" x14ac:dyDescent="0.3">
      <c r="A2656" s="218" t="s">
        <v>1513</v>
      </c>
      <c r="B2656" s="221" t="e">
        <f>INDEX(#REF!,MATCH(Composições!A2656,#REF!,0),2)</f>
        <v>#REF!</v>
      </c>
      <c r="C2656" s="41"/>
      <c r="D2656" s="26" t="s">
        <v>95</v>
      </c>
      <c r="E2656" s="27"/>
      <c r="F2656" s="42" t="s">
        <v>522</v>
      </c>
      <c r="G2656" s="28" t="str">
        <f t="shared" si="46"/>
        <v/>
      </c>
      <c r="H2656" s="29"/>
      <c r="I2656" s="30"/>
      <c r="J2656" s="102">
        <v>0</v>
      </c>
    </row>
    <row r="2657" spans="1:10" hidden="1" x14ac:dyDescent="0.25">
      <c r="A2657" s="219"/>
      <c r="B2657" s="237"/>
      <c r="C2657" s="32"/>
      <c r="D2657" s="32"/>
      <c r="E2657" s="33"/>
      <c r="F2657" s="43" t="s">
        <v>522</v>
      </c>
      <c r="G2657" s="34" t="str">
        <f t="shared" si="46"/>
        <v/>
      </c>
      <c r="H2657" s="35"/>
      <c r="I2657" s="31"/>
      <c r="J2657" s="102">
        <v>0</v>
      </c>
    </row>
    <row r="2658" spans="1:10" hidden="1" x14ac:dyDescent="0.25">
      <c r="A2658" s="219"/>
      <c r="B2658" s="237"/>
      <c r="C2658" s="36" t="s">
        <v>2008</v>
      </c>
      <c r="D2658" s="47" t="s">
        <v>95</v>
      </c>
      <c r="E2658" s="37">
        <v>1</v>
      </c>
      <c r="F2658" s="31">
        <v>2.2799999999999998</v>
      </c>
      <c r="G2658" s="34">
        <f t="shared" si="46"/>
        <v>2.2799999999999998</v>
      </c>
      <c r="H2658" s="39">
        <f>SUM(G2658:G2658)</f>
        <v>2.2799999999999998</v>
      </c>
      <c r="I2658" s="40"/>
      <c r="J2658" s="102">
        <v>0</v>
      </c>
    </row>
    <row r="2659" spans="1:10" ht="15.75" hidden="1" thickBot="1" x14ac:dyDescent="0.3">
      <c r="A2659" s="220"/>
      <c r="B2659" s="223"/>
      <c r="C2659" s="36"/>
      <c r="D2659" s="36"/>
      <c r="E2659" s="37"/>
      <c r="F2659" s="31" t="s">
        <v>522</v>
      </c>
      <c r="G2659" s="34" t="str">
        <f t="shared" si="46"/>
        <v/>
      </c>
      <c r="H2659" s="35"/>
      <c r="I2659" s="31"/>
      <c r="J2659" s="102">
        <v>0</v>
      </c>
    </row>
    <row r="2660" spans="1:10" ht="15.75" hidden="1" thickBot="1" x14ac:dyDescent="0.3">
      <c r="A2660" s="218" t="s">
        <v>779</v>
      </c>
      <c r="B2660" s="221" t="e">
        <f>INDEX(#REF!,MATCH(Composições!A2660,#REF!,0),2)</f>
        <v>#REF!</v>
      </c>
      <c r="C2660" s="41"/>
      <c r="D2660" s="26" t="s">
        <v>1514</v>
      </c>
      <c r="E2660" s="27"/>
      <c r="F2660" s="42" t="s">
        <v>522</v>
      </c>
      <c r="G2660" s="28" t="str">
        <f t="shared" si="46"/>
        <v/>
      </c>
      <c r="H2660" s="29"/>
      <c r="I2660" s="30"/>
      <c r="J2660" s="102">
        <v>0</v>
      </c>
    </row>
    <row r="2661" spans="1:10" hidden="1" x14ac:dyDescent="0.25">
      <c r="A2661" s="219"/>
      <c r="B2661" s="237"/>
      <c r="C2661" s="32"/>
      <c r="D2661" s="32"/>
      <c r="E2661" s="33"/>
      <c r="F2661" s="43" t="s">
        <v>522</v>
      </c>
      <c r="G2661" s="34" t="str">
        <f t="shared" si="46"/>
        <v/>
      </c>
      <c r="H2661" s="35"/>
      <c r="I2661" s="31"/>
      <c r="J2661" s="102">
        <v>0</v>
      </c>
    </row>
    <row r="2662" spans="1:10" ht="25.5" hidden="1" x14ac:dyDescent="0.25">
      <c r="A2662" s="219"/>
      <c r="B2662" s="237"/>
      <c r="C2662" s="36" t="s">
        <v>780</v>
      </c>
      <c r="D2662" s="47" t="s">
        <v>12</v>
      </c>
      <c r="E2662" s="106">
        <f>ROUND(220/(1+110.14%),4)</f>
        <v>104.6921</v>
      </c>
      <c r="F2662" s="31">
        <v>85.870499999999993</v>
      </c>
      <c r="G2662" s="34">
        <f t="shared" si="46"/>
        <v>8989.9629730499983</v>
      </c>
      <c r="H2662" s="39">
        <f>SUM(G2662:G2662)</f>
        <v>8989.9629730499983</v>
      </c>
      <c r="I2662" s="40"/>
      <c r="J2662" s="102">
        <v>0</v>
      </c>
    </row>
    <row r="2663" spans="1:10" hidden="1" x14ac:dyDescent="0.25">
      <c r="A2663" s="219"/>
      <c r="B2663" s="237"/>
      <c r="C2663" s="36"/>
      <c r="D2663" s="47"/>
      <c r="E2663" s="37"/>
      <c r="F2663" s="31" t="s">
        <v>522</v>
      </c>
      <c r="G2663" s="34" t="str">
        <f t="shared" si="46"/>
        <v/>
      </c>
      <c r="H2663" s="39"/>
      <c r="I2663" s="40"/>
      <c r="J2663" s="102">
        <v>0</v>
      </c>
    </row>
    <row r="2664" spans="1:10" ht="25.5" hidden="1" x14ac:dyDescent="0.25">
      <c r="A2664" s="219"/>
      <c r="B2664" s="237"/>
      <c r="C2664" s="48" t="s">
        <v>781</v>
      </c>
      <c r="D2664" s="47"/>
      <c r="E2664" s="37"/>
      <c r="F2664" s="31" t="s">
        <v>522</v>
      </c>
      <c r="G2664" s="34" t="str">
        <f t="shared" si="46"/>
        <v/>
      </c>
      <c r="H2664" s="39"/>
      <c r="I2664" s="40"/>
      <c r="J2664" s="102">
        <v>0</v>
      </c>
    </row>
    <row r="2665" spans="1:10" ht="15.75" hidden="1" thickBot="1" x14ac:dyDescent="0.3">
      <c r="A2665" s="220"/>
      <c r="B2665" s="223"/>
      <c r="C2665" s="36"/>
      <c r="D2665" s="36"/>
      <c r="E2665" s="37"/>
      <c r="F2665" s="31" t="s">
        <v>522</v>
      </c>
      <c r="G2665" s="34" t="str">
        <f t="shared" si="46"/>
        <v/>
      </c>
      <c r="H2665" s="35"/>
      <c r="I2665" s="31"/>
      <c r="J2665" s="102">
        <v>0</v>
      </c>
    </row>
    <row r="2666" spans="1:10" ht="15.75" hidden="1" thickBot="1" x14ac:dyDescent="0.3">
      <c r="A2666" s="218" t="s">
        <v>782</v>
      </c>
      <c r="B2666" s="221" t="e">
        <f>INDEX(#REF!,MATCH(Composições!A2666,#REF!,0),2)</f>
        <v>#REF!</v>
      </c>
      <c r="C2666" s="41"/>
      <c r="D2666" s="26" t="s">
        <v>1514</v>
      </c>
      <c r="E2666" s="27"/>
      <c r="F2666" s="42" t="s">
        <v>522</v>
      </c>
      <c r="G2666" s="28" t="str">
        <f t="shared" si="46"/>
        <v/>
      </c>
      <c r="H2666" s="29"/>
      <c r="I2666" s="30"/>
      <c r="J2666" s="102">
        <v>0</v>
      </c>
    </row>
    <row r="2667" spans="1:10" hidden="1" x14ac:dyDescent="0.25">
      <c r="A2667" s="224"/>
      <c r="B2667" s="237"/>
      <c r="C2667" s="32"/>
      <c r="D2667" s="32"/>
      <c r="E2667" s="33"/>
      <c r="F2667" s="43" t="s">
        <v>522</v>
      </c>
      <c r="G2667" s="34" t="str">
        <f t="shared" si="46"/>
        <v/>
      </c>
      <c r="H2667" s="35"/>
      <c r="I2667" s="31"/>
      <c r="J2667" s="102">
        <v>0</v>
      </c>
    </row>
    <row r="2668" spans="1:10" hidden="1" x14ac:dyDescent="0.25">
      <c r="A2668" s="224"/>
      <c r="B2668" s="237"/>
      <c r="C2668" s="36" t="s">
        <v>783</v>
      </c>
      <c r="D2668" s="47" t="s">
        <v>12</v>
      </c>
      <c r="E2668" s="106">
        <f>ROUND(220/(1+110.14%),4)</f>
        <v>104.6921</v>
      </c>
      <c r="F2668" s="31">
        <v>23.474499999999999</v>
      </c>
      <c r="G2668" s="34">
        <f t="shared" si="46"/>
        <v>2457.5947014499998</v>
      </c>
      <c r="H2668" s="39">
        <f>SUM(G2668:G2668)</f>
        <v>2457.5947014499998</v>
      </c>
      <c r="I2668" s="40"/>
      <c r="J2668" s="102">
        <v>0</v>
      </c>
    </row>
    <row r="2669" spans="1:10" hidden="1" x14ac:dyDescent="0.25">
      <c r="A2669" s="224"/>
      <c r="B2669" s="237"/>
      <c r="C2669" s="36"/>
      <c r="D2669" s="47"/>
      <c r="E2669" s="37"/>
      <c r="F2669" s="31" t="s">
        <v>522</v>
      </c>
      <c r="G2669" s="34" t="str">
        <f t="shared" si="46"/>
        <v/>
      </c>
      <c r="H2669" s="39"/>
      <c r="I2669" s="40"/>
      <c r="J2669" s="102">
        <v>0</v>
      </c>
    </row>
    <row r="2670" spans="1:10" ht="25.5" hidden="1" x14ac:dyDescent="0.25">
      <c r="A2670" s="224"/>
      <c r="B2670" s="237"/>
      <c r="C2670" s="48" t="s">
        <v>781</v>
      </c>
      <c r="D2670" s="47"/>
      <c r="E2670" s="37"/>
      <c r="F2670" s="31" t="s">
        <v>522</v>
      </c>
      <c r="G2670" s="34" t="str">
        <f t="shared" si="46"/>
        <v/>
      </c>
      <c r="H2670" s="39"/>
      <c r="I2670" s="40"/>
      <c r="J2670" s="102">
        <v>0</v>
      </c>
    </row>
    <row r="2671" spans="1:10" ht="15.75" hidden="1" thickBot="1" x14ac:dyDescent="0.3">
      <c r="A2671" s="225"/>
      <c r="B2671" s="223"/>
      <c r="C2671" s="36"/>
      <c r="D2671" s="36"/>
      <c r="E2671" s="37"/>
      <c r="F2671" s="31" t="s">
        <v>522</v>
      </c>
      <c r="G2671" s="34" t="str">
        <f t="shared" si="46"/>
        <v/>
      </c>
      <c r="H2671" s="35"/>
      <c r="I2671" s="31"/>
      <c r="J2671" s="102">
        <v>0</v>
      </c>
    </row>
    <row r="2672" spans="1:10" ht="15.75" hidden="1" thickBot="1" x14ac:dyDescent="0.3">
      <c r="A2672" s="218" t="s">
        <v>784</v>
      </c>
      <c r="B2672" s="221" t="e">
        <f>INDEX(#REF!,MATCH(Composições!A2672,#REF!,0),2)</f>
        <v>#REF!</v>
      </c>
      <c r="C2672" s="41"/>
      <c r="D2672" s="26" t="s">
        <v>1514</v>
      </c>
      <c r="E2672" s="27"/>
      <c r="F2672" s="42" t="s">
        <v>522</v>
      </c>
      <c r="G2672" s="28" t="str">
        <f t="shared" si="46"/>
        <v/>
      </c>
      <c r="H2672" s="29"/>
      <c r="I2672" s="30"/>
      <c r="J2672" s="102">
        <v>0</v>
      </c>
    </row>
    <row r="2673" spans="1:10" hidden="1" x14ac:dyDescent="0.25">
      <c r="A2673" s="219"/>
      <c r="B2673" s="237"/>
      <c r="C2673" s="32"/>
      <c r="D2673" s="32"/>
      <c r="E2673" s="33"/>
      <c r="F2673" s="43" t="s">
        <v>522</v>
      </c>
      <c r="G2673" s="34" t="str">
        <f t="shared" si="46"/>
        <v/>
      </c>
      <c r="H2673" s="35"/>
      <c r="I2673" s="31"/>
      <c r="J2673" s="102">
        <v>0</v>
      </c>
    </row>
    <row r="2674" spans="1:10" hidden="1" x14ac:dyDescent="0.25">
      <c r="A2674" s="219"/>
      <c r="B2674" s="237"/>
      <c r="C2674" s="36" t="s">
        <v>704</v>
      </c>
      <c r="D2674" s="47" t="s">
        <v>12</v>
      </c>
      <c r="E2674" s="106">
        <f>ROUND(220/(1+110.14%),4)</f>
        <v>104.6921</v>
      </c>
      <c r="F2674" s="31">
        <v>16.1785</v>
      </c>
      <c r="G2674" s="34">
        <f t="shared" si="46"/>
        <v>1693.7611398499998</v>
      </c>
      <c r="H2674" s="39">
        <f>SUM(G2674:G2674)</f>
        <v>1693.7611398499998</v>
      </c>
      <c r="I2674" s="40"/>
      <c r="J2674" s="102">
        <v>0</v>
      </c>
    </row>
    <row r="2675" spans="1:10" hidden="1" x14ac:dyDescent="0.25">
      <c r="A2675" s="219"/>
      <c r="B2675" s="237"/>
      <c r="C2675" s="36"/>
      <c r="D2675" s="47"/>
      <c r="E2675" s="37"/>
      <c r="F2675" s="31" t="s">
        <v>522</v>
      </c>
      <c r="G2675" s="34" t="str">
        <f t="shared" si="46"/>
        <v/>
      </c>
      <c r="H2675" s="39"/>
      <c r="I2675" s="40"/>
      <c r="J2675" s="102">
        <v>0</v>
      </c>
    </row>
    <row r="2676" spans="1:10" ht="25.5" hidden="1" x14ac:dyDescent="0.25">
      <c r="A2676" s="219"/>
      <c r="B2676" s="237"/>
      <c r="C2676" s="48" t="s">
        <v>781</v>
      </c>
      <c r="D2676" s="47"/>
      <c r="E2676" s="37"/>
      <c r="F2676" s="31" t="s">
        <v>522</v>
      </c>
      <c r="G2676" s="34" t="str">
        <f t="shared" si="46"/>
        <v/>
      </c>
      <c r="H2676" s="39"/>
      <c r="I2676" s="40"/>
      <c r="J2676" s="102">
        <v>0</v>
      </c>
    </row>
    <row r="2677" spans="1:10" ht="15.75" hidden="1" thickBot="1" x14ac:dyDescent="0.3">
      <c r="A2677" s="220"/>
      <c r="B2677" s="223"/>
      <c r="C2677" s="36"/>
      <c r="D2677" s="36"/>
      <c r="E2677" s="37"/>
      <c r="F2677" s="31" t="s">
        <v>522</v>
      </c>
      <c r="G2677" s="34" t="str">
        <f t="shared" si="46"/>
        <v/>
      </c>
      <c r="H2677" s="35"/>
      <c r="I2677" s="31"/>
      <c r="J2677" s="102">
        <v>0</v>
      </c>
    </row>
    <row r="2678" spans="1:10" ht="15.75" hidden="1" thickBot="1" x14ac:dyDescent="0.3">
      <c r="A2678" s="218" t="s">
        <v>785</v>
      </c>
      <c r="B2678" s="221" t="e">
        <f>INDEX(#REF!,MATCH(Composições!A2678,#REF!,0),2)</f>
        <v>#REF!</v>
      </c>
      <c r="C2678" s="41"/>
      <c r="D2678" s="26" t="s">
        <v>1514</v>
      </c>
      <c r="E2678" s="27"/>
      <c r="F2678" s="42" t="s">
        <v>522</v>
      </c>
      <c r="G2678" s="28" t="str">
        <f t="shared" si="46"/>
        <v/>
      </c>
      <c r="H2678" s="29"/>
      <c r="I2678" s="30"/>
      <c r="J2678" s="102">
        <v>0</v>
      </c>
    </row>
    <row r="2679" spans="1:10" hidden="1" x14ac:dyDescent="0.25">
      <c r="A2679" s="219"/>
      <c r="B2679" s="237"/>
      <c r="C2679" s="32"/>
      <c r="D2679" s="32"/>
      <c r="E2679" s="33"/>
      <c r="F2679" s="43" t="s">
        <v>522</v>
      </c>
      <c r="G2679" s="34" t="str">
        <f t="shared" si="46"/>
        <v/>
      </c>
      <c r="H2679" s="35"/>
      <c r="I2679" s="31"/>
      <c r="J2679" s="102">
        <v>0</v>
      </c>
    </row>
    <row r="2680" spans="1:10" hidden="1" x14ac:dyDescent="0.25">
      <c r="A2680" s="219"/>
      <c r="B2680" s="237"/>
      <c r="C2680" s="36" t="s">
        <v>786</v>
      </c>
      <c r="D2680" s="47" t="s">
        <v>12</v>
      </c>
      <c r="E2680" s="106">
        <f>ROUND(220/(1+110.14%),4)</f>
        <v>104.6921</v>
      </c>
      <c r="F2680" s="31">
        <v>17.071499999999997</v>
      </c>
      <c r="G2680" s="34">
        <f t="shared" si="46"/>
        <v>1787.2511851499996</v>
      </c>
      <c r="H2680" s="39">
        <f>SUM(G2680:G2680)</f>
        <v>1787.2511851499996</v>
      </c>
      <c r="I2680" s="40"/>
      <c r="J2680" s="102">
        <v>0</v>
      </c>
    </row>
    <row r="2681" spans="1:10" hidden="1" x14ac:dyDescent="0.25">
      <c r="A2681" s="219"/>
      <c r="B2681" s="237"/>
      <c r="C2681" s="36"/>
      <c r="D2681" s="47"/>
      <c r="E2681" s="37"/>
      <c r="F2681" s="31" t="s">
        <v>522</v>
      </c>
      <c r="G2681" s="34" t="str">
        <f t="shared" si="46"/>
        <v/>
      </c>
      <c r="H2681" s="39"/>
      <c r="I2681" s="40"/>
      <c r="J2681" s="102">
        <v>0</v>
      </c>
    </row>
    <row r="2682" spans="1:10" ht="25.5" hidden="1" x14ac:dyDescent="0.25">
      <c r="A2682" s="219"/>
      <c r="B2682" s="237"/>
      <c r="C2682" s="48" t="s">
        <v>781</v>
      </c>
      <c r="D2682" s="47"/>
      <c r="E2682" s="37"/>
      <c r="F2682" s="31" t="s">
        <v>522</v>
      </c>
      <c r="G2682" s="34" t="str">
        <f t="shared" si="46"/>
        <v/>
      </c>
      <c r="H2682" s="39"/>
      <c r="I2682" s="40"/>
      <c r="J2682" s="102">
        <v>0</v>
      </c>
    </row>
    <row r="2683" spans="1:10" ht="15.75" hidden="1" thickBot="1" x14ac:dyDescent="0.3">
      <c r="A2683" s="220"/>
      <c r="B2683" s="223"/>
      <c r="C2683" s="36"/>
      <c r="D2683" s="36"/>
      <c r="E2683" s="37"/>
      <c r="F2683" s="31" t="s">
        <v>522</v>
      </c>
      <c r="G2683" s="34" t="str">
        <f t="shared" si="46"/>
        <v/>
      </c>
      <c r="H2683" s="35"/>
      <c r="I2683" s="31"/>
      <c r="J2683" s="102">
        <v>0</v>
      </c>
    </row>
    <row r="2684" spans="1:10" ht="15.75" hidden="1" thickBot="1" x14ac:dyDescent="0.3">
      <c r="A2684" s="218" t="s">
        <v>787</v>
      </c>
      <c r="B2684" s="221" t="e">
        <f>INDEX(#REF!,MATCH(Composições!A2684,#REF!,0),2)</f>
        <v>#REF!</v>
      </c>
      <c r="C2684" s="41"/>
      <c r="D2684" s="26" t="s">
        <v>1514</v>
      </c>
      <c r="E2684" s="27"/>
      <c r="F2684" s="42" t="s">
        <v>522</v>
      </c>
      <c r="G2684" s="28" t="str">
        <f t="shared" si="46"/>
        <v/>
      </c>
      <c r="H2684" s="29"/>
      <c r="I2684" s="30"/>
      <c r="J2684" s="102">
        <v>0</v>
      </c>
    </row>
    <row r="2685" spans="1:10" hidden="1" x14ac:dyDescent="0.25">
      <c r="A2685" s="219"/>
      <c r="B2685" s="237"/>
      <c r="C2685" s="32"/>
      <c r="D2685" s="32"/>
      <c r="E2685" s="33"/>
      <c r="F2685" s="43" t="s">
        <v>522</v>
      </c>
      <c r="G2685" s="34" t="str">
        <f t="shared" si="46"/>
        <v/>
      </c>
      <c r="H2685" s="35"/>
      <c r="I2685" s="31"/>
      <c r="J2685" s="102">
        <v>0</v>
      </c>
    </row>
    <row r="2686" spans="1:10" hidden="1" x14ac:dyDescent="0.25">
      <c r="A2686" s="219"/>
      <c r="B2686" s="237"/>
      <c r="C2686" s="36" t="s">
        <v>788</v>
      </c>
      <c r="D2686" s="47" t="s">
        <v>12</v>
      </c>
      <c r="E2686" s="106">
        <f>ROUND(220/(1+110.14%),4)</f>
        <v>104.6921</v>
      </c>
      <c r="F2686" s="31">
        <v>17.156999999999996</v>
      </c>
      <c r="G2686" s="34">
        <f t="shared" si="46"/>
        <v>1796.2023596999995</v>
      </c>
      <c r="H2686" s="39">
        <f>SUM(G2686:G2686)</f>
        <v>1796.2023596999995</v>
      </c>
      <c r="I2686" s="40"/>
      <c r="J2686" s="102">
        <v>0</v>
      </c>
    </row>
    <row r="2687" spans="1:10" hidden="1" x14ac:dyDescent="0.25">
      <c r="A2687" s="219"/>
      <c r="B2687" s="237"/>
      <c r="C2687" s="36"/>
      <c r="D2687" s="47"/>
      <c r="E2687" s="37"/>
      <c r="F2687" s="31" t="s">
        <v>522</v>
      </c>
      <c r="G2687" s="34" t="str">
        <f t="shared" si="46"/>
        <v/>
      </c>
      <c r="H2687" s="39"/>
      <c r="I2687" s="40"/>
      <c r="J2687" s="102">
        <v>0</v>
      </c>
    </row>
    <row r="2688" spans="1:10" ht="25.5" hidden="1" x14ac:dyDescent="0.25">
      <c r="A2688" s="219"/>
      <c r="B2688" s="237"/>
      <c r="C2688" s="48" t="s">
        <v>781</v>
      </c>
      <c r="D2688" s="47"/>
      <c r="E2688" s="37"/>
      <c r="F2688" s="31" t="s">
        <v>522</v>
      </c>
      <c r="G2688" s="34" t="str">
        <f t="shared" si="46"/>
        <v/>
      </c>
      <c r="H2688" s="39"/>
      <c r="I2688" s="40"/>
      <c r="J2688" s="102">
        <v>0</v>
      </c>
    </row>
    <row r="2689" spans="1:10" ht="15.75" hidden="1" thickBot="1" x14ac:dyDescent="0.3">
      <c r="A2689" s="220"/>
      <c r="B2689" s="223"/>
      <c r="C2689" s="36"/>
      <c r="D2689" s="36"/>
      <c r="E2689" s="37"/>
      <c r="F2689" s="31" t="s">
        <v>522</v>
      </c>
      <c r="G2689" s="34" t="str">
        <f t="shared" si="46"/>
        <v/>
      </c>
      <c r="H2689" s="35"/>
      <c r="I2689" s="31"/>
      <c r="J2689" s="102">
        <v>0</v>
      </c>
    </row>
    <row r="2690" spans="1:10" ht="15.75" hidden="1" thickBot="1" x14ac:dyDescent="0.3">
      <c r="A2690" s="218" t="s">
        <v>789</v>
      </c>
      <c r="B2690" s="221" t="e">
        <f>INDEX(#REF!,MATCH(Composições!A2690,#REF!,0),2)</f>
        <v>#REF!</v>
      </c>
      <c r="C2690" s="41"/>
      <c r="D2690" s="26" t="s">
        <v>1514</v>
      </c>
      <c r="E2690" s="27"/>
      <c r="F2690" s="42" t="s">
        <v>522</v>
      </c>
      <c r="G2690" s="28" t="str">
        <f t="shared" si="46"/>
        <v/>
      </c>
      <c r="H2690" s="29"/>
      <c r="I2690" s="30"/>
      <c r="J2690" s="102">
        <v>0</v>
      </c>
    </row>
    <row r="2691" spans="1:10" hidden="1" x14ac:dyDescent="0.25">
      <c r="A2691" s="219"/>
      <c r="B2691" s="237"/>
      <c r="C2691" s="32"/>
      <c r="D2691" s="32"/>
      <c r="E2691" s="33"/>
      <c r="F2691" s="43" t="s">
        <v>522</v>
      </c>
      <c r="G2691" s="34" t="str">
        <f t="shared" si="46"/>
        <v/>
      </c>
      <c r="H2691" s="35"/>
      <c r="I2691" s="31"/>
      <c r="J2691" s="102">
        <v>0</v>
      </c>
    </row>
    <row r="2692" spans="1:10" hidden="1" x14ac:dyDescent="0.25">
      <c r="A2692" s="219"/>
      <c r="B2692" s="237"/>
      <c r="C2692" s="36" t="s">
        <v>607</v>
      </c>
      <c r="D2692" s="47" t="s">
        <v>12</v>
      </c>
      <c r="E2692" s="106">
        <f>ROUND(220/(1+110.14%),4)</f>
        <v>104.6921</v>
      </c>
      <c r="F2692" s="31">
        <v>20.196999999999999</v>
      </c>
      <c r="G2692" s="34">
        <f t="shared" si="46"/>
        <v>2114.4663436999999</v>
      </c>
      <c r="H2692" s="39">
        <f>SUM(G2692:G2692)</f>
        <v>2114.4663436999999</v>
      </c>
      <c r="I2692" s="40"/>
      <c r="J2692" s="102">
        <v>0</v>
      </c>
    </row>
    <row r="2693" spans="1:10" hidden="1" x14ac:dyDescent="0.25">
      <c r="A2693" s="219"/>
      <c r="B2693" s="237"/>
      <c r="C2693" s="36"/>
      <c r="D2693" s="47"/>
      <c r="E2693" s="37"/>
      <c r="F2693" s="31" t="s">
        <v>522</v>
      </c>
      <c r="G2693" s="34" t="str">
        <f t="shared" si="46"/>
        <v/>
      </c>
      <c r="H2693" s="39"/>
      <c r="I2693" s="40"/>
      <c r="J2693" s="102">
        <v>0</v>
      </c>
    </row>
    <row r="2694" spans="1:10" ht="25.5" hidden="1" x14ac:dyDescent="0.25">
      <c r="A2694" s="219"/>
      <c r="B2694" s="237"/>
      <c r="C2694" s="48" t="s">
        <v>781</v>
      </c>
      <c r="D2694" s="47"/>
      <c r="E2694" s="37"/>
      <c r="F2694" s="31" t="s">
        <v>522</v>
      </c>
      <c r="G2694" s="34" t="str">
        <f t="shared" ref="G2694:G2757" si="47">IF(ISNUMBER(F2694),E2694*F2694,"")</f>
        <v/>
      </c>
      <c r="H2694" s="39"/>
      <c r="I2694" s="40"/>
      <c r="J2694" s="102">
        <v>0</v>
      </c>
    </row>
    <row r="2695" spans="1:10" ht="15.75" hidden="1" thickBot="1" x14ac:dyDescent="0.3">
      <c r="A2695" s="220"/>
      <c r="B2695" s="223"/>
      <c r="C2695" s="36"/>
      <c r="D2695" s="36"/>
      <c r="E2695" s="37"/>
      <c r="F2695" s="31" t="s">
        <v>522</v>
      </c>
      <c r="G2695" s="34" t="str">
        <f t="shared" si="47"/>
        <v/>
      </c>
      <c r="H2695" s="35"/>
      <c r="I2695" s="31"/>
      <c r="J2695" s="102">
        <v>0</v>
      </c>
    </row>
    <row r="2696" spans="1:10" ht="15.75" hidden="1" thickBot="1" x14ac:dyDescent="0.3">
      <c r="A2696" s="218" t="s">
        <v>790</v>
      </c>
      <c r="B2696" s="221" t="e">
        <f>INDEX(#REF!,MATCH(Composições!A2696,#REF!,0),2)</f>
        <v>#REF!</v>
      </c>
      <c r="C2696" s="41"/>
      <c r="D2696" s="26" t="s">
        <v>1514</v>
      </c>
      <c r="E2696" s="27"/>
      <c r="F2696" s="42" t="s">
        <v>522</v>
      </c>
      <c r="G2696" s="28" t="str">
        <f t="shared" si="47"/>
        <v/>
      </c>
      <c r="H2696" s="29"/>
      <c r="I2696" s="30"/>
      <c r="J2696" s="102">
        <v>0</v>
      </c>
    </row>
    <row r="2697" spans="1:10" hidden="1" x14ac:dyDescent="0.25">
      <c r="A2697" s="219"/>
      <c r="B2697" s="237"/>
      <c r="C2697" s="32"/>
      <c r="D2697" s="32"/>
      <c r="E2697" s="33"/>
      <c r="F2697" s="43" t="s">
        <v>522</v>
      </c>
      <c r="G2697" s="34" t="str">
        <f t="shared" si="47"/>
        <v/>
      </c>
      <c r="H2697" s="35"/>
      <c r="I2697" s="31"/>
      <c r="J2697" s="102">
        <v>0</v>
      </c>
    </row>
    <row r="2698" spans="1:10" hidden="1" x14ac:dyDescent="0.25">
      <c r="A2698" s="219"/>
      <c r="B2698" s="237"/>
      <c r="C2698" s="36" t="s">
        <v>607</v>
      </c>
      <c r="D2698" s="47" t="s">
        <v>12</v>
      </c>
      <c r="E2698" s="106">
        <f>ROUND(220/(1+110.14%),4)</f>
        <v>104.6921</v>
      </c>
      <c r="F2698" s="31">
        <v>20.196999999999999</v>
      </c>
      <c r="G2698" s="34">
        <f t="shared" si="47"/>
        <v>2114.4663436999999</v>
      </c>
      <c r="H2698" s="39">
        <f>SUM(G2698:G2698)</f>
        <v>2114.4663436999999</v>
      </c>
      <c r="I2698" s="40"/>
      <c r="J2698" s="102">
        <v>0</v>
      </c>
    </row>
    <row r="2699" spans="1:10" hidden="1" x14ac:dyDescent="0.25">
      <c r="A2699" s="219"/>
      <c r="B2699" s="237"/>
      <c r="C2699" s="36"/>
      <c r="D2699" s="47"/>
      <c r="E2699" s="37"/>
      <c r="F2699" s="31" t="s">
        <v>522</v>
      </c>
      <c r="G2699" s="34" t="str">
        <f t="shared" si="47"/>
        <v/>
      </c>
      <c r="H2699" s="39"/>
      <c r="I2699" s="40"/>
      <c r="J2699" s="102">
        <v>0</v>
      </c>
    </row>
    <row r="2700" spans="1:10" ht="25.5" hidden="1" x14ac:dyDescent="0.25">
      <c r="A2700" s="219"/>
      <c r="B2700" s="237"/>
      <c r="C2700" s="48" t="s">
        <v>781</v>
      </c>
      <c r="D2700" s="47"/>
      <c r="E2700" s="37"/>
      <c r="F2700" s="31" t="s">
        <v>522</v>
      </c>
      <c r="G2700" s="34" t="str">
        <f t="shared" si="47"/>
        <v/>
      </c>
      <c r="H2700" s="39"/>
      <c r="I2700" s="40"/>
      <c r="J2700" s="102">
        <v>0</v>
      </c>
    </row>
    <row r="2701" spans="1:10" ht="15.75" hidden="1" thickBot="1" x14ac:dyDescent="0.3">
      <c r="A2701" s="220"/>
      <c r="B2701" s="223"/>
      <c r="C2701" s="36"/>
      <c r="D2701" s="36"/>
      <c r="E2701" s="37"/>
      <c r="F2701" s="31" t="s">
        <v>522</v>
      </c>
      <c r="G2701" s="34" t="str">
        <f t="shared" si="47"/>
        <v/>
      </c>
      <c r="H2701" s="35"/>
      <c r="I2701" s="31"/>
      <c r="J2701" s="102">
        <v>0</v>
      </c>
    </row>
    <row r="2702" spans="1:10" ht="15.75" hidden="1" thickBot="1" x14ac:dyDescent="0.3">
      <c r="A2702" s="218" t="s">
        <v>791</v>
      </c>
      <c r="B2702" s="221" t="e">
        <f>INDEX(#REF!,MATCH(Composições!A2702,#REF!,0),2)</f>
        <v>#REF!</v>
      </c>
      <c r="C2702" s="41"/>
      <c r="D2702" s="26" t="s">
        <v>1514</v>
      </c>
      <c r="E2702" s="27"/>
      <c r="F2702" s="42" t="s">
        <v>522</v>
      </c>
      <c r="G2702" s="28" t="str">
        <f t="shared" si="47"/>
        <v/>
      </c>
      <c r="H2702" s="29"/>
      <c r="I2702" s="30"/>
      <c r="J2702" s="102">
        <v>0</v>
      </c>
    </row>
    <row r="2703" spans="1:10" hidden="1" x14ac:dyDescent="0.25">
      <c r="A2703" s="219"/>
      <c r="B2703" s="237"/>
      <c r="C2703" s="32"/>
      <c r="D2703" s="32"/>
      <c r="E2703" s="33"/>
      <c r="F2703" s="43" t="s">
        <v>522</v>
      </c>
      <c r="G2703" s="34" t="str">
        <f t="shared" si="47"/>
        <v/>
      </c>
      <c r="H2703" s="35"/>
      <c r="I2703" s="31"/>
      <c r="J2703" s="102">
        <v>0</v>
      </c>
    </row>
    <row r="2704" spans="1:10" hidden="1" x14ac:dyDescent="0.25">
      <c r="A2704" s="219"/>
      <c r="B2704" s="237"/>
      <c r="C2704" s="36" t="s">
        <v>617</v>
      </c>
      <c r="D2704" s="47" t="s">
        <v>12</v>
      </c>
      <c r="E2704" s="106">
        <f>ROUND(220/(1+110.14%),4)</f>
        <v>104.6921</v>
      </c>
      <c r="F2704" s="31">
        <v>21.365499999999997</v>
      </c>
      <c r="G2704" s="34">
        <f t="shared" si="47"/>
        <v>2236.7990625499997</v>
      </c>
      <c r="H2704" s="39">
        <f>SUM(G2704:G2704)</f>
        <v>2236.7990625499997</v>
      </c>
      <c r="I2704" s="40"/>
      <c r="J2704" s="102">
        <v>0</v>
      </c>
    </row>
    <row r="2705" spans="1:10" hidden="1" x14ac:dyDescent="0.25">
      <c r="A2705" s="219"/>
      <c r="B2705" s="237"/>
      <c r="C2705" s="36"/>
      <c r="D2705" s="47"/>
      <c r="E2705" s="37"/>
      <c r="F2705" s="31" t="s">
        <v>522</v>
      </c>
      <c r="G2705" s="34" t="str">
        <f t="shared" si="47"/>
        <v/>
      </c>
      <c r="H2705" s="39"/>
      <c r="I2705" s="40"/>
      <c r="J2705" s="102">
        <v>0</v>
      </c>
    </row>
    <row r="2706" spans="1:10" ht="25.5" hidden="1" x14ac:dyDescent="0.25">
      <c r="A2706" s="219"/>
      <c r="B2706" s="237"/>
      <c r="C2706" s="48" t="s">
        <v>781</v>
      </c>
      <c r="D2706" s="47"/>
      <c r="E2706" s="37"/>
      <c r="F2706" s="31" t="s">
        <v>522</v>
      </c>
      <c r="G2706" s="34" t="str">
        <f t="shared" si="47"/>
        <v/>
      </c>
      <c r="H2706" s="39"/>
      <c r="I2706" s="40"/>
      <c r="J2706" s="102">
        <v>0</v>
      </c>
    </row>
    <row r="2707" spans="1:10" ht="15.75" hidden="1" thickBot="1" x14ac:dyDescent="0.3">
      <c r="A2707" s="220"/>
      <c r="B2707" s="223"/>
      <c r="C2707" s="36"/>
      <c r="D2707" s="36"/>
      <c r="E2707" s="37"/>
      <c r="F2707" s="31" t="s">
        <v>522</v>
      </c>
      <c r="G2707" s="34" t="str">
        <f t="shared" si="47"/>
        <v/>
      </c>
      <c r="H2707" s="35"/>
      <c r="I2707" s="31"/>
      <c r="J2707" s="102">
        <v>0</v>
      </c>
    </row>
    <row r="2708" spans="1:10" ht="15.75" hidden="1" thickBot="1" x14ac:dyDescent="0.3">
      <c r="A2708" s="218" t="s">
        <v>792</v>
      </c>
      <c r="B2708" s="221" t="e">
        <f>INDEX(#REF!,MATCH(Composições!A2708,#REF!,0),2)</f>
        <v>#REF!</v>
      </c>
      <c r="C2708" s="41"/>
      <c r="D2708" s="26" t="s">
        <v>1514</v>
      </c>
      <c r="E2708" s="27"/>
      <c r="F2708" s="42" t="s">
        <v>522</v>
      </c>
      <c r="G2708" s="28" t="str">
        <f t="shared" si="47"/>
        <v/>
      </c>
      <c r="H2708" s="29"/>
      <c r="I2708" s="30"/>
      <c r="J2708" s="102">
        <v>0</v>
      </c>
    </row>
    <row r="2709" spans="1:10" hidden="1" x14ac:dyDescent="0.25">
      <c r="A2709" s="219"/>
      <c r="B2709" s="237"/>
      <c r="C2709" s="32"/>
      <c r="D2709" s="32"/>
      <c r="E2709" s="33"/>
      <c r="F2709" s="43" t="s">
        <v>522</v>
      </c>
      <c r="G2709" s="34" t="str">
        <f t="shared" si="47"/>
        <v/>
      </c>
      <c r="H2709" s="35"/>
      <c r="I2709" s="31"/>
      <c r="J2709" s="102">
        <v>0</v>
      </c>
    </row>
    <row r="2710" spans="1:10" hidden="1" x14ac:dyDescent="0.25">
      <c r="A2710" s="219"/>
      <c r="B2710" s="237"/>
      <c r="C2710" s="36" t="s">
        <v>14</v>
      </c>
      <c r="D2710" s="47" t="s">
        <v>12</v>
      </c>
      <c r="E2710" s="106">
        <f>ROUND(220/(1+110.14%),4)</f>
        <v>104.6921</v>
      </c>
      <c r="F2710" s="31">
        <v>24.566999999999997</v>
      </c>
      <c r="G2710" s="34">
        <f t="shared" si="47"/>
        <v>2571.9708206999994</v>
      </c>
      <c r="H2710" s="39">
        <f>SUM(G2710:G2710)</f>
        <v>2571.9708206999994</v>
      </c>
      <c r="I2710" s="40"/>
      <c r="J2710" s="102">
        <v>0</v>
      </c>
    </row>
    <row r="2711" spans="1:10" hidden="1" x14ac:dyDescent="0.25">
      <c r="A2711" s="219"/>
      <c r="B2711" s="237"/>
      <c r="C2711" s="36"/>
      <c r="D2711" s="47"/>
      <c r="E2711" s="37"/>
      <c r="F2711" s="31" t="s">
        <v>522</v>
      </c>
      <c r="G2711" s="34" t="str">
        <f t="shared" si="47"/>
        <v/>
      </c>
      <c r="H2711" s="39"/>
      <c r="I2711" s="40"/>
      <c r="J2711" s="102">
        <v>0</v>
      </c>
    </row>
    <row r="2712" spans="1:10" ht="25.5" hidden="1" x14ac:dyDescent="0.25">
      <c r="A2712" s="219"/>
      <c r="B2712" s="237"/>
      <c r="C2712" s="48" t="s">
        <v>781</v>
      </c>
      <c r="D2712" s="47"/>
      <c r="E2712" s="37"/>
      <c r="F2712" s="31" t="s">
        <v>522</v>
      </c>
      <c r="G2712" s="34" t="str">
        <f t="shared" si="47"/>
        <v/>
      </c>
      <c r="H2712" s="39"/>
      <c r="I2712" s="40"/>
      <c r="J2712" s="102">
        <v>0</v>
      </c>
    </row>
    <row r="2713" spans="1:10" ht="15.75" hidden="1" thickBot="1" x14ac:dyDescent="0.3">
      <c r="A2713" s="220"/>
      <c r="B2713" s="223"/>
      <c r="C2713" s="36"/>
      <c r="D2713" s="36"/>
      <c r="E2713" s="37"/>
      <c r="F2713" s="31" t="s">
        <v>522</v>
      </c>
      <c r="G2713" s="34" t="str">
        <f t="shared" si="47"/>
        <v/>
      </c>
      <c r="H2713" s="35"/>
      <c r="I2713" s="31"/>
      <c r="J2713" s="102">
        <v>0</v>
      </c>
    </row>
    <row r="2714" spans="1:10" ht="15.75" hidden="1" thickBot="1" x14ac:dyDescent="0.3">
      <c r="A2714" s="218" t="s">
        <v>793</v>
      </c>
      <c r="B2714" s="221" t="e">
        <f>INDEX(#REF!,MATCH(Composições!A2714,#REF!,0),2)</f>
        <v>#REF!</v>
      </c>
      <c r="C2714" s="41"/>
      <c r="D2714" s="26" t="s">
        <v>1514</v>
      </c>
      <c r="E2714" s="27"/>
      <c r="F2714" s="42" t="s">
        <v>522</v>
      </c>
      <c r="G2714" s="28" t="str">
        <f t="shared" si="47"/>
        <v/>
      </c>
      <c r="H2714" s="29"/>
      <c r="I2714" s="30"/>
      <c r="J2714" s="102">
        <v>0</v>
      </c>
    </row>
    <row r="2715" spans="1:10" hidden="1" x14ac:dyDescent="0.25">
      <c r="A2715" s="219"/>
      <c r="B2715" s="237"/>
      <c r="C2715" s="32"/>
      <c r="D2715" s="32"/>
      <c r="E2715" s="33"/>
      <c r="F2715" s="43" t="s">
        <v>522</v>
      </c>
      <c r="G2715" s="34" t="str">
        <f t="shared" si="47"/>
        <v/>
      </c>
      <c r="H2715" s="35"/>
      <c r="I2715" s="31"/>
      <c r="J2715" s="102">
        <v>0</v>
      </c>
    </row>
    <row r="2716" spans="1:10" hidden="1" x14ac:dyDescent="0.25">
      <c r="A2716" s="219"/>
      <c r="B2716" s="237"/>
      <c r="C2716" s="36" t="s">
        <v>711</v>
      </c>
      <c r="D2716" s="47" t="s">
        <v>12</v>
      </c>
      <c r="E2716" s="106">
        <f>ROUND(220/(1+110.14%),4)</f>
        <v>104.6921</v>
      </c>
      <c r="F2716" s="31">
        <v>21.479499999999998</v>
      </c>
      <c r="G2716" s="34">
        <f t="shared" si="47"/>
        <v>2248.7339619499999</v>
      </c>
      <c r="H2716" s="39">
        <f>SUM(G2716:G2716)</f>
        <v>2248.7339619499999</v>
      </c>
      <c r="I2716" s="40"/>
      <c r="J2716" s="102">
        <v>0</v>
      </c>
    </row>
    <row r="2717" spans="1:10" hidden="1" x14ac:dyDescent="0.25">
      <c r="A2717" s="219"/>
      <c r="B2717" s="237"/>
      <c r="C2717" s="36"/>
      <c r="D2717" s="47"/>
      <c r="E2717" s="37"/>
      <c r="F2717" s="31" t="s">
        <v>522</v>
      </c>
      <c r="G2717" s="34" t="str">
        <f t="shared" si="47"/>
        <v/>
      </c>
      <c r="H2717" s="39"/>
      <c r="I2717" s="40"/>
      <c r="J2717" s="102">
        <v>0</v>
      </c>
    </row>
    <row r="2718" spans="1:10" ht="25.5" hidden="1" x14ac:dyDescent="0.25">
      <c r="A2718" s="219"/>
      <c r="B2718" s="237"/>
      <c r="C2718" s="48" t="s">
        <v>781</v>
      </c>
      <c r="D2718" s="47"/>
      <c r="E2718" s="37"/>
      <c r="F2718" s="31" t="s">
        <v>522</v>
      </c>
      <c r="G2718" s="34" t="str">
        <f t="shared" si="47"/>
        <v/>
      </c>
      <c r="H2718" s="39"/>
      <c r="I2718" s="40"/>
      <c r="J2718" s="102">
        <v>0</v>
      </c>
    </row>
    <row r="2719" spans="1:10" ht="15.75" hidden="1" thickBot="1" x14ac:dyDescent="0.3">
      <c r="A2719" s="220"/>
      <c r="B2719" s="223"/>
      <c r="C2719" s="36"/>
      <c r="D2719" s="36"/>
      <c r="E2719" s="37"/>
      <c r="F2719" s="31" t="s">
        <v>522</v>
      </c>
      <c r="G2719" s="34" t="str">
        <f t="shared" si="47"/>
        <v/>
      </c>
      <c r="H2719" s="35"/>
      <c r="I2719" s="31"/>
      <c r="J2719" s="102">
        <v>0</v>
      </c>
    </row>
    <row r="2720" spans="1:10" ht="15.75" hidden="1" thickBot="1" x14ac:dyDescent="0.3">
      <c r="A2720" s="232" t="s">
        <v>1515</v>
      </c>
      <c r="B2720" s="221" t="e">
        <f>INDEX(#REF!,MATCH(Composições!A2720,#REF!,0),2)</f>
        <v>#REF!</v>
      </c>
      <c r="C2720" s="41"/>
      <c r="D2720" s="26" t="s">
        <v>20</v>
      </c>
      <c r="E2720" s="27"/>
      <c r="F2720" s="49" t="s">
        <v>522</v>
      </c>
      <c r="G2720" s="28" t="str">
        <f t="shared" si="47"/>
        <v/>
      </c>
      <c r="H2720" s="29"/>
      <c r="I2720" s="30"/>
      <c r="J2720" s="102">
        <v>0</v>
      </c>
    </row>
    <row r="2721" spans="1:10" hidden="1" x14ac:dyDescent="0.25">
      <c r="A2721" s="235"/>
      <c r="B2721" s="222"/>
      <c r="C2721" s="111"/>
      <c r="D2721" s="111"/>
      <c r="E2721" s="112"/>
      <c r="F2721" s="54" t="s">
        <v>522</v>
      </c>
      <c r="G2721" s="54" t="str">
        <f t="shared" si="47"/>
        <v/>
      </c>
      <c r="H2721" s="73"/>
      <c r="I2721" s="74"/>
      <c r="J2721" s="102">
        <v>0</v>
      </c>
    </row>
    <row r="2722" spans="1:10" hidden="1" x14ac:dyDescent="0.25">
      <c r="A2722" s="235"/>
      <c r="B2722" s="222"/>
      <c r="C2722" s="36" t="s">
        <v>3209</v>
      </c>
      <c r="D2722" s="105" t="s">
        <v>20</v>
      </c>
      <c r="E2722" s="106">
        <v>1</v>
      </c>
      <c r="F2722" s="31">
        <v>44.412500000000001</v>
      </c>
      <c r="G2722" s="54">
        <f t="shared" si="47"/>
        <v>44.412500000000001</v>
      </c>
      <c r="H2722" s="39">
        <f>SUM(G2722:G2722)</f>
        <v>44.412500000000001</v>
      </c>
      <c r="I2722" s="40"/>
      <c r="J2722" s="102">
        <v>0</v>
      </c>
    </row>
    <row r="2723" spans="1:10" ht="15.75" hidden="1" thickBot="1" x14ac:dyDescent="0.3">
      <c r="A2723" s="236"/>
      <c r="B2723" s="223"/>
      <c r="C2723" s="55"/>
      <c r="D2723" s="108"/>
      <c r="E2723" s="66"/>
      <c r="F2723" s="76" t="s">
        <v>522</v>
      </c>
      <c r="G2723" s="76" t="str">
        <f t="shared" si="47"/>
        <v/>
      </c>
      <c r="H2723" s="77"/>
      <c r="I2723" s="74"/>
      <c r="J2723" s="102">
        <v>0</v>
      </c>
    </row>
    <row r="2724" spans="1:10" ht="15.75" hidden="1" thickBot="1" x14ac:dyDescent="0.3">
      <c r="A2724" s="232" t="s">
        <v>1519</v>
      </c>
      <c r="B2724" s="221" t="e">
        <f>INDEX(#REF!,MATCH(Composições!A2724,#REF!,0),2)</f>
        <v>#REF!</v>
      </c>
      <c r="C2724" s="41"/>
      <c r="D2724" s="26" t="s">
        <v>20</v>
      </c>
      <c r="E2724" s="27"/>
      <c r="F2724" s="49" t="s">
        <v>522</v>
      </c>
      <c r="G2724" s="28" t="str">
        <f t="shared" si="47"/>
        <v/>
      </c>
      <c r="H2724" s="29"/>
      <c r="I2724" s="30"/>
      <c r="J2724" s="102">
        <v>0</v>
      </c>
    </row>
    <row r="2725" spans="1:10" hidden="1" x14ac:dyDescent="0.25">
      <c r="A2725" s="235"/>
      <c r="B2725" s="222"/>
      <c r="C2725" s="111"/>
      <c r="D2725" s="111"/>
      <c r="E2725" s="112"/>
      <c r="F2725" s="54" t="s">
        <v>522</v>
      </c>
      <c r="G2725" s="54" t="str">
        <f t="shared" si="47"/>
        <v/>
      </c>
      <c r="H2725" s="73"/>
      <c r="I2725" s="74"/>
      <c r="J2725" s="102">
        <v>0</v>
      </c>
    </row>
    <row r="2726" spans="1:10" ht="25.5" hidden="1" x14ac:dyDescent="0.25">
      <c r="A2726" s="235"/>
      <c r="B2726" s="222"/>
      <c r="C2726" s="36" t="s">
        <v>3227</v>
      </c>
      <c r="D2726" s="105" t="s">
        <v>20</v>
      </c>
      <c r="E2726" s="106">
        <v>1</v>
      </c>
      <c r="F2726" s="31">
        <v>200.6875</v>
      </c>
      <c r="G2726" s="54">
        <f t="shared" si="47"/>
        <v>200.6875</v>
      </c>
      <c r="H2726" s="39">
        <f>SUM(G2726:G2726)</f>
        <v>200.6875</v>
      </c>
      <c r="I2726" s="40"/>
      <c r="J2726" s="102">
        <v>0</v>
      </c>
    </row>
    <row r="2727" spans="1:10" ht="15.75" hidden="1" thickBot="1" x14ac:dyDescent="0.3">
      <c r="A2727" s="236"/>
      <c r="B2727" s="223"/>
      <c r="C2727" s="55"/>
      <c r="D2727" s="108"/>
      <c r="E2727" s="66"/>
      <c r="F2727" s="76" t="s">
        <v>522</v>
      </c>
      <c r="G2727" s="76" t="str">
        <f t="shared" si="47"/>
        <v/>
      </c>
      <c r="H2727" s="77"/>
      <c r="I2727" s="74"/>
      <c r="J2727" s="102">
        <v>0</v>
      </c>
    </row>
    <row r="2728" spans="1:10" ht="15.75" hidden="1" thickBot="1" x14ac:dyDescent="0.3">
      <c r="A2728" s="232" t="s">
        <v>1522</v>
      </c>
      <c r="B2728" s="221" t="e">
        <f>INDEX(#REF!,MATCH(Composições!A2728,#REF!,0),2)</f>
        <v>#REF!</v>
      </c>
      <c r="C2728" s="41"/>
      <c r="D2728" s="26" t="s">
        <v>20</v>
      </c>
      <c r="E2728" s="27"/>
      <c r="F2728" s="49" t="s">
        <v>522</v>
      </c>
      <c r="G2728" s="28" t="str">
        <f t="shared" si="47"/>
        <v/>
      </c>
      <c r="H2728" s="29"/>
      <c r="I2728" s="30"/>
      <c r="J2728" s="102">
        <v>0</v>
      </c>
    </row>
    <row r="2729" spans="1:10" hidden="1" x14ac:dyDescent="0.25">
      <c r="A2729" s="235"/>
      <c r="B2729" s="222"/>
      <c r="C2729" s="111"/>
      <c r="D2729" s="111"/>
      <c r="E2729" s="112"/>
      <c r="F2729" s="54" t="s">
        <v>522</v>
      </c>
      <c r="G2729" s="54" t="str">
        <f t="shared" si="47"/>
        <v/>
      </c>
      <c r="H2729" s="73"/>
      <c r="I2729" s="74"/>
      <c r="J2729" s="102">
        <v>0</v>
      </c>
    </row>
    <row r="2730" spans="1:10" hidden="1" x14ac:dyDescent="0.25">
      <c r="A2730" s="235"/>
      <c r="B2730" s="222"/>
      <c r="C2730" s="36" t="s">
        <v>3238</v>
      </c>
      <c r="D2730" s="105" t="s">
        <v>20</v>
      </c>
      <c r="E2730" s="106">
        <v>1</v>
      </c>
      <c r="F2730" s="31">
        <v>49.713499999999996</v>
      </c>
      <c r="G2730" s="54">
        <f t="shared" si="47"/>
        <v>49.713499999999996</v>
      </c>
      <c r="H2730" s="39">
        <f>SUM(G2730:G2730)</f>
        <v>49.713499999999996</v>
      </c>
      <c r="I2730" s="40"/>
      <c r="J2730" s="102">
        <v>0</v>
      </c>
    </row>
    <row r="2731" spans="1:10" ht="15.75" hidden="1" thickBot="1" x14ac:dyDescent="0.3">
      <c r="A2731" s="236"/>
      <c r="B2731" s="223"/>
      <c r="C2731" s="55"/>
      <c r="D2731" s="108"/>
      <c r="E2731" s="66"/>
      <c r="F2731" s="76" t="s">
        <v>522</v>
      </c>
      <c r="G2731" s="76" t="str">
        <f t="shared" si="47"/>
        <v/>
      </c>
      <c r="H2731" s="77"/>
      <c r="I2731" s="74"/>
      <c r="J2731" s="102">
        <v>0</v>
      </c>
    </row>
    <row r="2732" spans="1:10" ht="15.75" hidden="1" thickBot="1" x14ac:dyDescent="0.3">
      <c r="A2732" s="232" t="s">
        <v>1529</v>
      </c>
      <c r="B2732" s="221" t="e">
        <f>INDEX(#REF!,MATCH(Composições!A2732,#REF!,0),2)</f>
        <v>#REF!</v>
      </c>
      <c r="C2732" s="41"/>
      <c r="D2732" s="26" t="s">
        <v>20</v>
      </c>
      <c r="E2732" s="27"/>
      <c r="F2732" s="49" t="s">
        <v>522</v>
      </c>
      <c r="G2732" s="28" t="str">
        <f t="shared" si="47"/>
        <v/>
      </c>
      <c r="H2732" s="29"/>
      <c r="I2732" s="30"/>
      <c r="J2732" s="102">
        <v>0</v>
      </c>
    </row>
    <row r="2733" spans="1:10" hidden="1" x14ac:dyDescent="0.25">
      <c r="A2733" s="235"/>
      <c r="B2733" s="222"/>
      <c r="C2733" s="111"/>
      <c r="D2733" s="111"/>
      <c r="E2733" s="112"/>
      <c r="F2733" s="54" t="s">
        <v>522</v>
      </c>
      <c r="G2733" s="54" t="str">
        <f t="shared" si="47"/>
        <v/>
      </c>
      <c r="H2733" s="73"/>
      <c r="I2733" s="74"/>
      <c r="J2733" s="102">
        <v>0</v>
      </c>
    </row>
    <row r="2734" spans="1:10" hidden="1" x14ac:dyDescent="0.25">
      <c r="A2734" s="235"/>
      <c r="B2734" s="222"/>
      <c r="C2734" s="36" t="s">
        <v>3240</v>
      </c>
      <c r="D2734" s="105" t="s">
        <v>20</v>
      </c>
      <c r="E2734" s="106">
        <v>1</v>
      </c>
      <c r="F2734" s="31">
        <v>20.073499999999999</v>
      </c>
      <c r="G2734" s="54">
        <f t="shared" si="47"/>
        <v>20.073499999999999</v>
      </c>
      <c r="H2734" s="39">
        <f>SUM(G2734:G2734)</f>
        <v>20.073499999999999</v>
      </c>
      <c r="I2734" s="40"/>
      <c r="J2734" s="102">
        <v>0</v>
      </c>
    </row>
    <row r="2735" spans="1:10" ht="15.75" hidden="1" thickBot="1" x14ac:dyDescent="0.3">
      <c r="A2735" s="236"/>
      <c r="B2735" s="223"/>
      <c r="C2735" s="55"/>
      <c r="D2735" s="108"/>
      <c r="E2735" s="66"/>
      <c r="F2735" s="76" t="s">
        <v>522</v>
      </c>
      <c r="G2735" s="76" t="str">
        <f t="shared" si="47"/>
        <v/>
      </c>
      <c r="H2735" s="77"/>
      <c r="I2735" s="74"/>
      <c r="J2735" s="102">
        <v>0</v>
      </c>
    </row>
    <row r="2736" spans="1:10" ht="15.75" hidden="1" thickBot="1" x14ac:dyDescent="0.3">
      <c r="A2736" s="218" t="s">
        <v>1531</v>
      </c>
      <c r="B2736" s="221" t="e">
        <f>INDEX(#REF!,MATCH(Composições!A2736,#REF!,0),2)</f>
        <v>#REF!</v>
      </c>
      <c r="C2736" s="41"/>
      <c r="D2736" s="26" t="s">
        <v>20</v>
      </c>
      <c r="E2736" s="27"/>
      <c r="F2736" s="49" t="s">
        <v>522</v>
      </c>
      <c r="G2736" s="28" t="str">
        <f t="shared" si="47"/>
        <v/>
      </c>
      <c r="H2736" s="29"/>
      <c r="I2736" s="30"/>
      <c r="J2736" s="102">
        <v>0</v>
      </c>
    </row>
    <row r="2737" spans="1:10" hidden="1" x14ac:dyDescent="0.25">
      <c r="A2737" s="219"/>
      <c r="B2737" s="237"/>
      <c r="C2737" s="111"/>
      <c r="D2737" s="111"/>
      <c r="E2737" s="112"/>
      <c r="F2737" s="54" t="s">
        <v>522</v>
      </c>
      <c r="G2737" s="54" t="str">
        <f t="shared" si="47"/>
        <v/>
      </c>
      <c r="H2737" s="73"/>
      <c r="I2737" s="31"/>
      <c r="J2737" s="102">
        <v>0</v>
      </c>
    </row>
    <row r="2738" spans="1:10" hidden="1" x14ac:dyDescent="0.25">
      <c r="A2738" s="219"/>
      <c r="B2738" s="237"/>
      <c r="C2738" s="36" t="s">
        <v>3241</v>
      </c>
      <c r="D2738" s="105" t="s">
        <v>20</v>
      </c>
      <c r="E2738" s="106">
        <v>1</v>
      </c>
      <c r="F2738" s="31">
        <v>31.900999999999996</v>
      </c>
      <c r="G2738" s="54">
        <f t="shared" si="47"/>
        <v>31.900999999999996</v>
      </c>
      <c r="H2738" s="39">
        <f>SUM(G2738:G2738)</f>
        <v>31.900999999999996</v>
      </c>
      <c r="I2738" s="40"/>
      <c r="J2738" s="102">
        <v>0</v>
      </c>
    </row>
    <row r="2739" spans="1:10" ht="15.75" hidden="1" thickBot="1" x14ac:dyDescent="0.3">
      <c r="A2739" s="220"/>
      <c r="B2739" s="223"/>
      <c r="C2739" s="36"/>
      <c r="D2739" s="36"/>
      <c r="E2739" s="37"/>
      <c r="F2739" s="31" t="s">
        <v>522</v>
      </c>
      <c r="G2739" s="34" t="str">
        <f t="shared" si="47"/>
        <v/>
      </c>
      <c r="H2739" s="35"/>
      <c r="I2739" s="31"/>
      <c r="J2739" s="102">
        <v>0</v>
      </c>
    </row>
    <row r="2740" spans="1:10" ht="15.75" hidden="1" thickBot="1" x14ac:dyDescent="0.3">
      <c r="A2740" s="232" t="s">
        <v>1551</v>
      </c>
      <c r="B2740" s="221" t="e">
        <f>INDEX(#REF!,MATCH(Composições!A2740,#REF!,0),2)</f>
        <v>#REF!</v>
      </c>
      <c r="C2740" s="41"/>
      <c r="D2740" s="26" t="s">
        <v>20</v>
      </c>
      <c r="E2740" s="27"/>
      <c r="F2740" s="49" t="s">
        <v>522</v>
      </c>
      <c r="G2740" s="28" t="str">
        <f t="shared" si="47"/>
        <v/>
      </c>
      <c r="H2740" s="29"/>
      <c r="I2740" s="30"/>
      <c r="J2740" s="102">
        <v>0</v>
      </c>
    </row>
    <row r="2741" spans="1:10" hidden="1" x14ac:dyDescent="0.25">
      <c r="A2741" s="235"/>
      <c r="B2741" s="222"/>
      <c r="C2741" s="111"/>
      <c r="D2741" s="111"/>
      <c r="E2741" s="112"/>
      <c r="F2741" s="54" t="s">
        <v>522</v>
      </c>
      <c r="G2741" s="54" t="str">
        <f t="shared" si="47"/>
        <v/>
      </c>
      <c r="H2741" s="73"/>
      <c r="I2741" s="74"/>
      <c r="J2741" s="102">
        <v>0</v>
      </c>
    </row>
    <row r="2742" spans="1:10" hidden="1" x14ac:dyDescent="0.25">
      <c r="A2742" s="235"/>
      <c r="B2742" s="222"/>
      <c r="C2742" s="36" t="s">
        <v>3268</v>
      </c>
      <c r="D2742" s="105" t="s">
        <v>20</v>
      </c>
      <c r="E2742" s="106">
        <v>1</v>
      </c>
      <c r="F2742" s="31">
        <v>40.346499999999999</v>
      </c>
      <c r="G2742" s="54">
        <f t="shared" si="47"/>
        <v>40.346499999999999</v>
      </c>
      <c r="H2742" s="39">
        <f>SUM(G2742:G2742)</f>
        <v>40.346499999999999</v>
      </c>
      <c r="I2742" s="40"/>
      <c r="J2742" s="102">
        <v>0</v>
      </c>
    </row>
    <row r="2743" spans="1:10" ht="15.75" hidden="1" thickBot="1" x14ac:dyDescent="0.3">
      <c r="A2743" s="236"/>
      <c r="B2743" s="223"/>
      <c r="C2743" s="55"/>
      <c r="D2743" s="108"/>
      <c r="E2743" s="66"/>
      <c r="F2743" s="76" t="s">
        <v>522</v>
      </c>
      <c r="G2743" s="76" t="str">
        <f t="shared" si="47"/>
        <v/>
      </c>
      <c r="H2743" s="77"/>
      <c r="I2743" s="74"/>
      <c r="J2743" s="102">
        <v>0</v>
      </c>
    </row>
    <row r="2744" spans="1:10" ht="15.75" hidden="1" thickBot="1" x14ac:dyDescent="0.3">
      <c r="A2744" s="218" t="s">
        <v>1553</v>
      </c>
      <c r="B2744" s="221" t="e">
        <f>INDEX(#REF!,MATCH(Composições!A2744,#REF!,0),2)</f>
        <v>#REF!</v>
      </c>
      <c r="C2744" s="41"/>
      <c r="D2744" s="26" t="s">
        <v>20</v>
      </c>
      <c r="E2744" s="27"/>
      <c r="F2744" s="49" t="s">
        <v>522</v>
      </c>
      <c r="G2744" s="28" t="str">
        <f t="shared" si="47"/>
        <v/>
      </c>
      <c r="H2744" s="29"/>
      <c r="I2744" s="30"/>
      <c r="J2744" s="102">
        <v>0</v>
      </c>
    </row>
    <row r="2745" spans="1:10" hidden="1" x14ac:dyDescent="0.25">
      <c r="A2745" s="219"/>
      <c r="B2745" s="237"/>
      <c r="C2745" s="111"/>
      <c r="D2745" s="111"/>
      <c r="E2745" s="112"/>
      <c r="F2745" s="54" t="s">
        <v>522</v>
      </c>
      <c r="G2745" s="54" t="str">
        <f t="shared" si="47"/>
        <v/>
      </c>
      <c r="H2745" s="73"/>
      <c r="I2745" s="31"/>
      <c r="J2745" s="102">
        <v>0</v>
      </c>
    </row>
    <row r="2746" spans="1:10" hidden="1" x14ac:dyDescent="0.25">
      <c r="A2746" s="219"/>
      <c r="B2746" s="237"/>
      <c r="C2746" s="36" t="s">
        <v>3269</v>
      </c>
      <c r="D2746" s="105" t="s">
        <v>20</v>
      </c>
      <c r="E2746" s="106">
        <v>1</v>
      </c>
      <c r="F2746" s="31">
        <v>45.999000000000002</v>
      </c>
      <c r="G2746" s="54">
        <f t="shared" si="47"/>
        <v>45.999000000000002</v>
      </c>
      <c r="H2746" s="39">
        <f>SUM(G2746:G2746)</f>
        <v>45.999000000000002</v>
      </c>
      <c r="I2746" s="40"/>
      <c r="J2746" s="102">
        <v>0</v>
      </c>
    </row>
    <row r="2747" spans="1:10" ht="15.75" hidden="1" thickBot="1" x14ac:dyDescent="0.3">
      <c r="A2747" s="220"/>
      <c r="B2747" s="223"/>
      <c r="C2747" s="36"/>
      <c r="D2747" s="36"/>
      <c r="E2747" s="37"/>
      <c r="F2747" s="31" t="s">
        <v>522</v>
      </c>
      <c r="G2747" s="34" t="str">
        <f t="shared" si="47"/>
        <v/>
      </c>
      <c r="H2747" s="35"/>
      <c r="I2747" s="31"/>
      <c r="J2747" s="102">
        <v>0</v>
      </c>
    </row>
    <row r="2748" spans="1:10" ht="15.75" hidden="1" thickBot="1" x14ac:dyDescent="0.3">
      <c r="A2748" s="218" t="s">
        <v>1555</v>
      </c>
      <c r="B2748" s="221" t="e">
        <f>INDEX(#REF!,MATCH(Composições!A2748,#REF!,0),2)</f>
        <v>#REF!</v>
      </c>
      <c r="C2748" s="41"/>
      <c r="D2748" s="26" t="s">
        <v>20</v>
      </c>
      <c r="E2748" s="27"/>
      <c r="F2748" s="49" t="s">
        <v>522</v>
      </c>
      <c r="G2748" s="28" t="str">
        <f t="shared" si="47"/>
        <v/>
      </c>
      <c r="H2748" s="29"/>
      <c r="I2748" s="30"/>
      <c r="J2748" s="102">
        <v>0</v>
      </c>
    </row>
    <row r="2749" spans="1:10" hidden="1" x14ac:dyDescent="0.25">
      <c r="A2749" s="219"/>
      <c r="B2749" s="237"/>
      <c r="C2749" s="111"/>
      <c r="D2749" s="111"/>
      <c r="E2749" s="112"/>
      <c r="F2749" s="54" t="s">
        <v>522</v>
      </c>
      <c r="G2749" s="54" t="str">
        <f t="shared" si="47"/>
        <v/>
      </c>
      <c r="H2749" s="73"/>
      <c r="I2749" s="31"/>
      <c r="J2749" s="102">
        <v>0</v>
      </c>
    </row>
    <row r="2750" spans="1:10" hidden="1" x14ac:dyDescent="0.25">
      <c r="A2750" s="219"/>
      <c r="B2750" s="237"/>
      <c r="C2750" s="36" t="s">
        <v>3286</v>
      </c>
      <c r="D2750" s="105" t="s">
        <v>93</v>
      </c>
      <c r="E2750" s="106">
        <v>2</v>
      </c>
      <c r="F2750" s="31">
        <v>53.969499999999996</v>
      </c>
      <c r="G2750" s="54">
        <f t="shared" si="47"/>
        <v>107.93899999999999</v>
      </c>
      <c r="H2750" s="39">
        <f>SUM(G2750:G2750)</f>
        <v>107.93899999999999</v>
      </c>
      <c r="I2750" s="40"/>
      <c r="J2750" s="102">
        <v>0</v>
      </c>
    </row>
    <row r="2751" spans="1:10" ht="15.75" hidden="1" thickBot="1" x14ac:dyDescent="0.3">
      <c r="A2751" s="220"/>
      <c r="B2751" s="223"/>
      <c r="C2751" s="36"/>
      <c r="D2751" s="36"/>
      <c r="E2751" s="37"/>
      <c r="F2751" s="31" t="s">
        <v>522</v>
      </c>
      <c r="G2751" s="34" t="str">
        <f t="shared" si="47"/>
        <v/>
      </c>
      <c r="H2751" s="35"/>
      <c r="I2751" s="31"/>
      <c r="J2751" s="102">
        <v>0</v>
      </c>
    </row>
    <row r="2752" spans="1:10" ht="15.75" hidden="1" thickBot="1" x14ac:dyDescent="0.3">
      <c r="A2752" s="232" t="s">
        <v>1566</v>
      </c>
      <c r="B2752" s="221" t="e">
        <f>INDEX(#REF!,MATCH(Composições!A2752,#REF!,0),2)</f>
        <v>#REF!</v>
      </c>
      <c r="C2752" s="41"/>
      <c r="D2752" s="26" t="s">
        <v>20</v>
      </c>
      <c r="E2752" s="27"/>
      <c r="F2752" s="49" t="s">
        <v>522</v>
      </c>
      <c r="G2752" s="28" t="str">
        <f t="shared" si="47"/>
        <v/>
      </c>
      <c r="H2752" s="29"/>
      <c r="I2752" s="30"/>
      <c r="J2752" s="102">
        <v>0</v>
      </c>
    </row>
    <row r="2753" spans="1:10" hidden="1" x14ac:dyDescent="0.25">
      <c r="A2753" s="235"/>
      <c r="B2753" s="222"/>
      <c r="C2753" s="111"/>
      <c r="D2753" s="111"/>
      <c r="E2753" s="112"/>
      <c r="F2753" s="54" t="s">
        <v>522</v>
      </c>
      <c r="G2753" s="54" t="str">
        <f t="shared" si="47"/>
        <v/>
      </c>
      <c r="H2753" s="73"/>
      <c r="I2753" s="74"/>
      <c r="J2753" s="102">
        <v>0</v>
      </c>
    </row>
    <row r="2754" spans="1:10" ht="25.5" hidden="1" x14ac:dyDescent="0.25">
      <c r="A2754" s="235"/>
      <c r="B2754" s="222"/>
      <c r="C2754" s="36" t="s">
        <v>3236</v>
      </c>
      <c r="D2754" s="105" t="s">
        <v>20</v>
      </c>
      <c r="E2754" s="106">
        <v>1</v>
      </c>
      <c r="F2754" s="31">
        <v>20.082999999999998</v>
      </c>
      <c r="G2754" s="54">
        <f t="shared" si="47"/>
        <v>20.082999999999998</v>
      </c>
      <c r="H2754" s="39">
        <f>SUM(G2754:G2754)</f>
        <v>20.082999999999998</v>
      </c>
      <c r="I2754" s="40"/>
      <c r="J2754" s="102">
        <v>0</v>
      </c>
    </row>
    <row r="2755" spans="1:10" ht="15.75" hidden="1" thickBot="1" x14ac:dyDescent="0.3">
      <c r="A2755" s="236"/>
      <c r="B2755" s="223"/>
      <c r="C2755" s="55"/>
      <c r="D2755" s="108"/>
      <c r="E2755" s="66"/>
      <c r="F2755" s="76" t="s">
        <v>522</v>
      </c>
      <c r="G2755" s="76" t="str">
        <f t="shared" si="47"/>
        <v/>
      </c>
      <c r="H2755" s="77"/>
      <c r="I2755" s="74"/>
      <c r="J2755" s="102">
        <v>0</v>
      </c>
    </row>
    <row r="2756" spans="1:10" ht="15.75" hidden="1" thickBot="1" x14ac:dyDescent="0.3">
      <c r="A2756" s="218" t="s">
        <v>1568</v>
      </c>
      <c r="B2756" s="221" t="e">
        <f>INDEX(#REF!,MATCH(Composições!A2756,#REF!,0),2)</f>
        <v>#REF!</v>
      </c>
      <c r="C2756" s="41"/>
      <c r="D2756" s="26" t="s">
        <v>20</v>
      </c>
      <c r="E2756" s="27"/>
      <c r="F2756" s="49" t="s">
        <v>522</v>
      </c>
      <c r="G2756" s="28" t="str">
        <f t="shared" si="47"/>
        <v/>
      </c>
      <c r="H2756" s="29"/>
      <c r="I2756" s="30"/>
      <c r="J2756" s="102">
        <v>0</v>
      </c>
    </row>
    <row r="2757" spans="1:10" hidden="1" x14ac:dyDescent="0.25">
      <c r="A2757" s="219"/>
      <c r="B2757" s="237"/>
      <c r="C2757" s="111"/>
      <c r="D2757" s="111"/>
      <c r="E2757" s="112"/>
      <c r="F2757" s="54" t="s">
        <v>522</v>
      </c>
      <c r="G2757" s="54" t="str">
        <f t="shared" si="47"/>
        <v/>
      </c>
      <c r="H2757" s="73"/>
      <c r="I2757" s="31"/>
      <c r="J2757" s="102">
        <v>0</v>
      </c>
    </row>
    <row r="2758" spans="1:10" hidden="1" x14ac:dyDescent="0.25">
      <c r="A2758" s="219"/>
      <c r="B2758" s="237"/>
      <c r="C2758" s="36" t="s">
        <v>3237</v>
      </c>
      <c r="D2758" s="105" t="s">
        <v>20</v>
      </c>
      <c r="E2758" s="106">
        <v>1</v>
      </c>
      <c r="F2758" s="31">
        <v>22.3535</v>
      </c>
      <c r="G2758" s="54">
        <f t="shared" ref="G2758:G2821" si="48">IF(ISNUMBER(F2758),E2758*F2758,"")</f>
        <v>22.3535</v>
      </c>
      <c r="H2758" s="39">
        <f>SUM(G2758:G2758)</f>
        <v>22.3535</v>
      </c>
      <c r="I2758" s="40"/>
      <c r="J2758" s="102">
        <v>0</v>
      </c>
    </row>
    <row r="2759" spans="1:10" ht="15.75" hidden="1" thickBot="1" x14ac:dyDescent="0.3">
      <c r="A2759" s="220"/>
      <c r="B2759" s="223"/>
      <c r="C2759" s="36"/>
      <c r="D2759" s="36"/>
      <c r="E2759" s="37"/>
      <c r="F2759" s="31" t="s">
        <v>522</v>
      </c>
      <c r="G2759" s="34" t="str">
        <f t="shared" si="48"/>
        <v/>
      </c>
      <c r="H2759" s="35"/>
      <c r="I2759" s="31"/>
      <c r="J2759" s="102">
        <v>0</v>
      </c>
    </row>
    <row r="2760" spans="1:10" ht="15.75" hidden="1" thickBot="1" x14ac:dyDescent="0.3">
      <c r="A2760" s="232" t="s">
        <v>1577</v>
      </c>
      <c r="B2760" s="221" t="e">
        <f>INDEX(#REF!,MATCH(Composições!A2760,#REF!,0),2)</f>
        <v>#REF!</v>
      </c>
      <c r="C2760" s="41"/>
      <c r="D2760" s="26" t="s">
        <v>1477</v>
      </c>
      <c r="E2760" s="27"/>
      <c r="F2760" s="49" t="s">
        <v>522</v>
      </c>
      <c r="G2760" s="28" t="str">
        <f t="shared" si="48"/>
        <v/>
      </c>
      <c r="H2760" s="29"/>
      <c r="I2760" s="30"/>
      <c r="J2760" s="102">
        <v>0</v>
      </c>
    </row>
    <row r="2761" spans="1:10" hidden="1" x14ac:dyDescent="0.25">
      <c r="A2761" s="235"/>
      <c r="B2761" s="222"/>
      <c r="C2761" s="111"/>
      <c r="D2761" s="111"/>
      <c r="E2761" s="112"/>
      <c r="F2761" s="54" t="s">
        <v>522</v>
      </c>
      <c r="G2761" s="54" t="str">
        <f t="shared" si="48"/>
        <v/>
      </c>
      <c r="H2761" s="73"/>
      <c r="I2761" s="74"/>
      <c r="J2761" s="102">
        <v>0</v>
      </c>
    </row>
    <row r="2762" spans="1:10" hidden="1" x14ac:dyDescent="0.25">
      <c r="A2762" s="235"/>
      <c r="B2762" s="222"/>
      <c r="C2762" s="36" t="s">
        <v>3217</v>
      </c>
      <c r="D2762" s="105" t="s">
        <v>1477</v>
      </c>
      <c r="E2762" s="106">
        <v>1</v>
      </c>
      <c r="F2762" s="31">
        <v>42.1325</v>
      </c>
      <c r="G2762" s="54">
        <f t="shared" si="48"/>
        <v>42.1325</v>
      </c>
      <c r="H2762" s="39">
        <f>SUM(G2762:G2762)</f>
        <v>42.1325</v>
      </c>
      <c r="I2762" s="40"/>
      <c r="J2762" s="102">
        <v>0</v>
      </c>
    </row>
    <row r="2763" spans="1:10" ht="15.75" hidden="1" thickBot="1" x14ac:dyDescent="0.3">
      <c r="A2763" s="236"/>
      <c r="B2763" s="223"/>
      <c r="C2763" s="55"/>
      <c r="D2763" s="108"/>
      <c r="E2763" s="66"/>
      <c r="F2763" s="76" t="s">
        <v>522</v>
      </c>
      <c r="G2763" s="76" t="str">
        <f t="shared" si="48"/>
        <v/>
      </c>
      <c r="H2763" s="77"/>
      <c r="I2763" s="74"/>
      <c r="J2763" s="102">
        <v>0</v>
      </c>
    </row>
    <row r="2764" spans="1:10" ht="15.75" hidden="1" thickBot="1" x14ac:dyDescent="0.3">
      <c r="A2764" s="232" t="s">
        <v>1578</v>
      </c>
      <c r="B2764" s="221" t="e">
        <f>INDEX(#REF!,MATCH(Composições!A2764,#REF!,0),2)</f>
        <v>#REF!</v>
      </c>
      <c r="C2764" s="41"/>
      <c r="D2764" s="26" t="s">
        <v>20</v>
      </c>
      <c r="E2764" s="27"/>
      <c r="F2764" s="49" t="s">
        <v>522</v>
      </c>
      <c r="G2764" s="28" t="str">
        <f t="shared" si="48"/>
        <v/>
      </c>
      <c r="H2764" s="29"/>
      <c r="I2764" s="30"/>
      <c r="J2764" s="102">
        <v>0</v>
      </c>
    </row>
    <row r="2765" spans="1:10" hidden="1" x14ac:dyDescent="0.25">
      <c r="A2765" s="235"/>
      <c r="B2765" s="222"/>
      <c r="C2765" s="111"/>
      <c r="D2765" s="111"/>
      <c r="E2765" s="112"/>
      <c r="F2765" s="54" t="s">
        <v>522</v>
      </c>
      <c r="G2765" s="54" t="str">
        <f t="shared" si="48"/>
        <v/>
      </c>
      <c r="H2765" s="73"/>
      <c r="I2765" s="74"/>
      <c r="J2765" s="102">
        <v>0</v>
      </c>
    </row>
    <row r="2766" spans="1:10" ht="25.5" hidden="1" x14ac:dyDescent="0.25">
      <c r="A2766" s="235"/>
      <c r="B2766" s="222"/>
      <c r="C2766" s="36" t="s">
        <v>1708</v>
      </c>
      <c r="D2766" s="105" t="s">
        <v>20</v>
      </c>
      <c r="E2766" s="106">
        <v>1</v>
      </c>
      <c r="F2766" s="31">
        <v>19.018999999999998</v>
      </c>
      <c r="G2766" s="54">
        <f t="shared" si="48"/>
        <v>19.018999999999998</v>
      </c>
      <c r="H2766" s="39">
        <f>SUM(G2766:G2766)</f>
        <v>19.018999999999998</v>
      </c>
      <c r="I2766" s="40"/>
      <c r="J2766" s="102">
        <v>0</v>
      </c>
    </row>
    <row r="2767" spans="1:10" ht="15.75" hidden="1" thickBot="1" x14ac:dyDescent="0.3">
      <c r="A2767" s="236"/>
      <c r="B2767" s="223"/>
      <c r="C2767" s="55"/>
      <c r="D2767" s="108"/>
      <c r="E2767" s="66"/>
      <c r="F2767" s="76" t="s">
        <v>522</v>
      </c>
      <c r="G2767" s="76" t="str">
        <f t="shared" si="48"/>
        <v/>
      </c>
      <c r="H2767" s="77"/>
      <c r="I2767" s="74"/>
      <c r="J2767" s="102">
        <v>0</v>
      </c>
    </row>
    <row r="2768" spans="1:10" ht="15.75" hidden="1" thickBot="1" x14ac:dyDescent="0.3">
      <c r="A2768" s="218" t="s">
        <v>1579</v>
      </c>
      <c r="B2768" s="221" t="e">
        <f>INDEX(#REF!,MATCH(Composições!A2768,#REF!,0),2)</f>
        <v>#REF!</v>
      </c>
      <c r="C2768" s="41"/>
      <c r="D2768" s="26" t="s">
        <v>20</v>
      </c>
      <c r="E2768" s="27"/>
      <c r="F2768" s="49" t="s">
        <v>522</v>
      </c>
      <c r="G2768" s="28" t="str">
        <f t="shared" si="48"/>
        <v/>
      </c>
      <c r="H2768" s="29"/>
      <c r="I2768" s="30"/>
      <c r="J2768" s="102">
        <v>0</v>
      </c>
    </row>
    <row r="2769" spans="1:10" hidden="1" x14ac:dyDescent="0.25">
      <c r="A2769" s="219"/>
      <c r="B2769" s="237"/>
      <c r="C2769" s="111"/>
      <c r="D2769" s="111"/>
      <c r="E2769" s="112"/>
      <c r="F2769" s="54" t="s">
        <v>522</v>
      </c>
      <c r="G2769" s="54" t="str">
        <f t="shared" si="48"/>
        <v/>
      </c>
      <c r="H2769" s="73"/>
      <c r="I2769" s="31"/>
      <c r="J2769" s="102">
        <v>0</v>
      </c>
    </row>
    <row r="2770" spans="1:10" ht="25.5" hidden="1" x14ac:dyDescent="0.25">
      <c r="A2770" s="219"/>
      <c r="B2770" s="237"/>
      <c r="C2770" s="36" t="s">
        <v>1808</v>
      </c>
      <c r="D2770" s="105" t="s">
        <v>20</v>
      </c>
      <c r="E2770" s="106">
        <v>1</v>
      </c>
      <c r="F2770" s="31">
        <v>195.67149999999998</v>
      </c>
      <c r="G2770" s="54">
        <f t="shared" si="48"/>
        <v>195.67149999999998</v>
      </c>
      <c r="H2770" s="39">
        <f>SUM(G2770:G2770)</f>
        <v>195.67149999999998</v>
      </c>
      <c r="I2770" s="40"/>
      <c r="J2770" s="102">
        <v>0</v>
      </c>
    </row>
    <row r="2771" spans="1:10" ht="15.75" hidden="1" thickBot="1" x14ac:dyDescent="0.3">
      <c r="A2771" s="220"/>
      <c r="B2771" s="223"/>
      <c r="C2771" s="36"/>
      <c r="D2771" s="36"/>
      <c r="E2771" s="37"/>
      <c r="F2771" s="31" t="s">
        <v>522</v>
      </c>
      <c r="G2771" s="34" t="str">
        <f t="shared" si="48"/>
        <v/>
      </c>
      <c r="H2771" s="35"/>
      <c r="I2771" s="31"/>
      <c r="J2771" s="102">
        <v>0</v>
      </c>
    </row>
    <row r="2772" spans="1:10" ht="15.75" hidden="1" thickBot="1" x14ac:dyDescent="0.3">
      <c r="A2772" s="232" t="s">
        <v>1580</v>
      </c>
      <c r="B2772" s="221" t="e">
        <f>INDEX(#REF!,MATCH(Composições!A2768,#REF!,0),2)</f>
        <v>#REF!</v>
      </c>
      <c r="C2772" s="41"/>
      <c r="D2772" s="26" t="s">
        <v>20</v>
      </c>
      <c r="E2772" s="27"/>
      <c r="F2772" s="49" t="s">
        <v>522</v>
      </c>
      <c r="G2772" s="28" t="str">
        <f t="shared" si="48"/>
        <v/>
      </c>
      <c r="H2772" s="29"/>
      <c r="I2772" s="30"/>
      <c r="J2772" s="102">
        <v>0</v>
      </c>
    </row>
    <row r="2773" spans="1:10" hidden="1" x14ac:dyDescent="0.25">
      <c r="A2773" s="235"/>
      <c r="B2773" s="222"/>
      <c r="C2773" s="111"/>
      <c r="D2773" s="111"/>
      <c r="E2773" s="112"/>
      <c r="F2773" s="54" t="s">
        <v>522</v>
      </c>
      <c r="G2773" s="54" t="str">
        <f t="shared" si="48"/>
        <v/>
      </c>
      <c r="H2773" s="73"/>
      <c r="I2773" s="74"/>
      <c r="J2773" s="102">
        <v>0</v>
      </c>
    </row>
    <row r="2774" spans="1:10" ht="25.5" hidden="1" x14ac:dyDescent="0.25">
      <c r="A2774" s="235"/>
      <c r="B2774" s="222"/>
      <c r="C2774" s="36" t="s">
        <v>1829</v>
      </c>
      <c r="D2774" s="105" t="s">
        <v>20</v>
      </c>
      <c r="E2774" s="106">
        <v>1</v>
      </c>
      <c r="F2774" s="31">
        <v>171.90249999999997</v>
      </c>
      <c r="G2774" s="54">
        <f t="shared" si="48"/>
        <v>171.90249999999997</v>
      </c>
      <c r="H2774" s="39">
        <f>SUM(G2774:G2774)</f>
        <v>171.90249999999997</v>
      </c>
      <c r="I2774" s="40"/>
      <c r="J2774" s="102">
        <v>0</v>
      </c>
    </row>
    <row r="2775" spans="1:10" ht="15.75" hidden="1" thickBot="1" x14ac:dyDescent="0.3">
      <c r="A2775" s="236"/>
      <c r="B2775" s="223"/>
      <c r="C2775" s="55"/>
      <c r="D2775" s="108"/>
      <c r="E2775" s="66"/>
      <c r="F2775" s="76" t="s">
        <v>522</v>
      </c>
      <c r="G2775" s="76" t="str">
        <f t="shared" si="48"/>
        <v/>
      </c>
      <c r="H2775" s="77"/>
      <c r="I2775" s="74"/>
      <c r="J2775" s="102">
        <v>0</v>
      </c>
    </row>
    <row r="2776" spans="1:10" ht="15.75" hidden="1" thickBot="1" x14ac:dyDescent="0.3">
      <c r="A2776" s="218" t="s">
        <v>794</v>
      </c>
      <c r="B2776" s="221" t="e">
        <f>INDEX(#REF!,MATCH(Composições!A2776,#REF!,0),2)</f>
        <v>#REF!</v>
      </c>
      <c r="C2776" s="41"/>
      <c r="D2776" s="26" t="s">
        <v>95</v>
      </c>
      <c r="E2776" s="27"/>
      <c r="F2776" s="42" t="s">
        <v>522</v>
      </c>
      <c r="G2776" s="28" t="str">
        <f t="shared" si="48"/>
        <v/>
      </c>
      <c r="H2776" s="29"/>
      <c r="I2776" s="30"/>
      <c r="J2776" s="102">
        <v>0</v>
      </c>
    </row>
    <row r="2777" spans="1:10" hidden="1" x14ac:dyDescent="0.25">
      <c r="A2777" s="219"/>
      <c r="B2777" s="237"/>
      <c r="C2777" s="32"/>
      <c r="D2777" s="32"/>
      <c r="E2777" s="33"/>
      <c r="F2777" s="43" t="s">
        <v>522</v>
      </c>
      <c r="G2777" s="34" t="str">
        <f t="shared" si="48"/>
        <v/>
      </c>
      <c r="H2777" s="35"/>
      <c r="I2777" s="31"/>
      <c r="J2777" s="102">
        <v>0</v>
      </c>
    </row>
    <row r="2778" spans="1:10" hidden="1" x14ac:dyDescent="0.25">
      <c r="A2778" s="219"/>
      <c r="B2778" s="237"/>
      <c r="C2778" s="36" t="s">
        <v>68</v>
      </c>
      <c r="D2778" s="47" t="s">
        <v>12</v>
      </c>
      <c r="E2778" s="37">
        <v>1</v>
      </c>
      <c r="F2778" s="31">
        <v>19.9025</v>
      </c>
      <c r="G2778" s="34">
        <f t="shared" si="48"/>
        <v>19.9025</v>
      </c>
      <c r="H2778" s="39">
        <f>SUM(G2778:G2779)</f>
        <v>30.884499999999999</v>
      </c>
      <c r="I2778" s="40"/>
      <c r="J2778" s="102">
        <v>0</v>
      </c>
    </row>
    <row r="2779" spans="1:10" hidden="1" x14ac:dyDescent="0.25">
      <c r="A2779" s="219"/>
      <c r="B2779" s="237"/>
      <c r="C2779" s="36" t="s">
        <v>288</v>
      </c>
      <c r="D2779" s="36" t="s">
        <v>795</v>
      </c>
      <c r="E2779" s="37">
        <v>2</v>
      </c>
      <c r="F2779" s="34">
        <v>5.4909999999999997</v>
      </c>
      <c r="G2779" s="34">
        <f t="shared" si="48"/>
        <v>10.981999999999999</v>
      </c>
      <c r="H2779" s="35"/>
      <c r="I2779" s="31"/>
      <c r="J2779" s="102">
        <v>0</v>
      </c>
    </row>
    <row r="2780" spans="1:10" ht="15.75" hidden="1" thickBot="1" x14ac:dyDescent="0.3">
      <c r="A2780" s="220"/>
      <c r="B2780" s="223"/>
      <c r="C2780" s="36"/>
      <c r="D2780" s="36"/>
      <c r="E2780" s="37"/>
      <c r="F2780" s="31" t="s">
        <v>522</v>
      </c>
      <c r="G2780" s="34" t="str">
        <f t="shared" si="48"/>
        <v/>
      </c>
      <c r="H2780" s="35"/>
      <c r="I2780" s="31"/>
      <c r="J2780" s="102">
        <v>0</v>
      </c>
    </row>
    <row r="2781" spans="1:10" ht="15.75" hidden="1" thickBot="1" x14ac:dyDescent="0.3">
      <c r="A2781" s="218" t="s">
        <v>796</v>
      </c>
      <c r="B2781" s="221" t="e">
        <f>INDEX(#REF!,MATCH(Composições!A2781,#REF!,0),2)</f>
        <v>#REF!</v>
      </c>
      <c r="C2781" s="41"/>
      <c r="D2781" s="26" t="s">
        <v>95</v>
      </c>
      <c r="E2781" s="27"/>
      <c r="F2781" s="42" t="s">
        <v>522</v>
      </c>
      <c r="G2781" s="28" t="str">
        <f t="shared" si="48"/>
        <v/>
      </c>
      <c r="H2781" s="29"/>
      <c r="I2781" s="30"/>
      <c r="J2781" s="102">
        <v>0</v>
      </c>
    </row>
    <row r="2782" spans="1:10" hidden="1" x14ac:dyDescent="0.25">
      <c r="A2782" s="219"/>
      <c r="B2782" s="237"/>
      <c r="C2782" s="32"/>
      <c r="D2782" s="32"/>
      <c r="E2782" s="33"/>
      <c r="F2782" s="43" t="s">
        <v>522</v>
      </c>
      <c r="G2782" s="34" t="str">
        <f t="shared" si="48"/>
        <v/>
      </c>
      <c r="H2782" s="35"/>
      <c r="I2782" s="31"/>
      <c r="J2782" s="102">
        <v>0</v>
      </c>
    </row>
    <row r="2783" spans="1:10" hidden="1" x14ac:dyDescent="0.25">
      <c r="A2783" s="219"/>
      <c r="B2783" s="237"/>
      <c r="C2783" s="36" t="s">
        <v>799</v>
      </c>
      <c r="D2783" s="36" t="s">
        <v>992</v>
      </c>
      <c r="E2783" s="37">
        <v>1</v>
      </c>
      <c r="F2783" s="34">
        <v>159.923</v>
      </c>
      <c r="G2783" s="34">
        <f t="shared" si="48"/>
        <v>159.923</v>
      </c>
      <c r="H2783" s="39">
        <f>SUM(G2783:G2789)</f>
        <v>263.49560050000002</v>
      </c>
      <c r="I2783" s="40"/>
      <c r="J2783" s="102">
        <v>0</v>
      </c>
    </row>
    <row r="2784" spans="1:10" ht="38.25" hidden="1" x14ac:dyDescent="0.25">
      <c r="A2784" s="219"/>
      <c r="B2784" s="237"/>
      <c r="C2784" s="36" t="s">
        <v>1699</v>
      </c>
      <c r="D2784" s="36" t="s">
        <v>279</v>
      </c>
      <c r="E2784" s="37">
        <v>1.913</v>
      </c>
      <c r="F2784" s="34">
        <v>0.29449999999999998</v>
      </c>
      <c r="G2784" s="34">
        <f t="shared" si="48"/>
        <v>0.5633785</v>
      </c>
      <c r="H2784" s="35"/>
      <c r="I2784" s="31"/>
      <c r="J2784" s="102">
        <v>0</v>
      </c>
    </row>
    <row r="2785" spans="1:10" hidden="1" x14ac:dyDescent="0.25">
      <c r="A2785" s="219"/>
      <c r="B2785" s="237"/>
      <c r="C2785" s="36" t="s">
        <v>835</v>
      </c>
      <c r="D2785" s="36" t="s">
        <v>898</v>
      </c>
      <c r="E2785" s="37">
        <v>0.83899999999999997</v>
      </c>
      <c r="F2785" s="34">
        <v>41.942499999999995</v>
      </c>
      <c r="G2785" s="34">
        <f t="shared" si="48"/>
        <v>35.189757499999992</v>
      </c>
      <c r="H2785" s="35"/>
      <c r="I2785" s="31"/>
      <c r="J2785" s="102">
        <v>0</v>
      </c>
    </row>
    <row r="2786" spans="1:10" ht="25.5" hidden="1" x14ac:dyDescent="0.25">
      <c r="A2786" s="219"/>
      <c r="B2786" s="237"/>
      <c r="C2786" s="36" t="s">
        <v>1768</v>
      </c>
      <c r="D2786" s="36" t="s">
        <v>479</v>
      </c>
      <c r="E2786" s="37">
        <v>2.605</v>
      </c>
      <c r="F2786" s="34">
        <v>2.2324999999999999</v>
      </c>
      <c r="G2786" s="34">
        <f t="shared" si="48"/>
        <v>5.8156625000000002</v>
      </c>
      <c r="H2786" s="35"/>
      <c r="I2786" s="31"/>
      <c r="J2786" s="102">
        <v>0</v>
      </c>
    </row>
    <row r="2787" spans="1:10" hidden="1" x14ac:dyDescent="0.25">
      <c r="A2787" s="219"/>
      <c r="B2787" s="237"/>
      <c r="C2787" s="36" t="s">
        <v>1126</v>
      </c>
      <c r="D2787" s="36" t="s">
        <v>279</v>
      </c>
      <c r="E2787" s="37">
        <v>0.34599999999999997</v>
      </c>
      <c r="F2787" s="34">
        <v>23.597999999999999</v>
      </c>
      <c r="G2787" s="34">
        <f t="shared" si="48"/>
        <v>8.1649079999999987</v>
      </c>
      <c r="H2787" s="35"/>
      <c r="I2787" s="31"/>
      <c r="J2787" s="102">
        <v>0</v>
      </c>
    </row>
    <row r="2788" spans="1:10" hidden="1" x14ac:dyDescent="0.25">
      <c r="A2788" s="219"/>
      <c r="B2788" s="237"/>
      <c r="C2788" s="36" t="s">
        <v>704</v>
      </c>
      <c r="D2788" s="36" t="s">
        <v>703</v>
      </c>
      <c r="E2788" s="37">
        <v>1.4690000000000001</v>
      </c>
      <c r="F2788" s="34">
        <v>16.1785</v>
      </c>
      <c r="G2788" s="34">
        <f t="shared" si="48"/>
        <v>23.766216500000002</v>
      </c>
      <c r="H2788" s="35"/>
      <c r="I2788" s="31"/>
      <c r="J2788" s="102">
        <v>0</v>
      </c>
    </row>
    <row r="2789" spans="1:10" hidden="1" x14ac:dyDescent="0.25">
      <c r="A2789" s="219"/>
      <c r="B2789" s="237"/>
      <c r="C2789" s="36" t="s">
        <v>1687</v>
      </c>
      <c r="D2789" s="36" t="s">
        <v>703</v>
      </c>
      <c r="E2789" s="37">
        <v>1.5109999999999999</v>
      </c>
      <c r="F2789" s="34">
        <v>19.9025</v>
      </c>
      <c r="G2789" s="34">
        <f t="shared" si="48"/>
        <v>30.072677499999998</v>
      </c>
      <c r="H2789" s="35"/>
      <c r="I2789" s="31"/>
      <c r="J2789" s="102">
        <v>0</v>
      </c>
    </row>
    <row r="2790" spans="1:10" ht="15.75" hidden="1" thickBot="1" x14ac:dyDescent="0.3">
      <c r="A2790" s="220"/>
      <c r="B2790" s="223"/>
      <c r="C2790" s="36"/>
      <c r="D2790" s="36"/>
      <c r="E2790" s="37"/>
      <c r="F2790" s="31" t="s">
        <v>522</v>
      </c>
      <c r="G2790" s="34" t="str">
        <f t="shared" si="48"/>
        <v/>
      </c>
      <c r="H2790" s="35"/>
      <c r="I2790" s="31"/>
      <c r="J2790" s="102">
        <v>0</v>
      </c>
    </row>
    <row r="2791" spans="1:10" ht="15.75" hidden="1" thickBot="1" x14ac:dyDescent="0.3">
      <c r="A2791" s="218" t="s">
        <v>798</v>
      </c>
      <c r="B2791" s="221" t="e">
        <f>INDEX(#REF!,MATCH(Composições!A2791,#REF!,0),2)</f>
        <v>#REF!</v>
      </c>
      <c r="C2791" s="41"/>
      <c r="D2791" s="26" t="s">
        <v>95</v>
      </c>
      <c r="E2791" s="27"/>
      <c r="F2791" s="42" t="s">
        <v>522</v>
      </c>
      <c r="G2791" s="28" t="str">
        <f t="shared" si="48"/>
        <v/>
      </c>
      <c r="H2791" s="29"/>
      <c r="I2791" s="30"/>
      <c r="J2791" s="102">
        <v>0</v>
      </c>
    </row>
    <row r="2792" spans="1:10" hidden="1" x14ac:dyDescent="0.25">
      <c r="A2792" s="219"/>
      <c r="B2792" s="237"/>
      <c r="C2792" s="32"/>
      <c r="D2792" s="32"/>
      <c r="E2792" s="33"/>
      <c r="F2792" s="43" t="s">
        <v>522</v>
      </c>
      <c r="G2792" s="34" t="str">
        <f t="shared" si="48"/>
        <v/>
      </c>
      <c r="H2792" s="35"/>
      <c r="I2792" s="31"/>
      <c r="J2792" s="102">
        <v>0</v>
      </c>
    </row>
    <row r="2793" spans="1:10" hidden="1" x14ac:dyDescent="0.25">
      <c r="A2793" s="219"/>
      <c r="B2793" s="237"/>
      <c r="C2793" s="36" t="s">
        <v>68</v>
      </c>
      <c r="D2793" s="47" t="s">
        <v>12</v>
      </c>
      <c r="E2793" s="37">
        <v>1</v>
      </c>
      <c r="F2793" s="34">
        <v>19.9025</v>
      </c>
      <c r="G2793" s="34">
        <f t="shared" si="48"/>
        <v>19.9025</v>
      </c>
      <c r="H2793" s="39">
        <f>SUM(G2793:G2795)</f>
        <v>131.66049999999998</v>
      </c>
      <c r="I2793" s="40"/>
      <c r="J2793" s="102">
        <v>0</v>
      </c>
    </row>
    <row r="2794" spans="1:10" hidden="1" x14ac:dyDescent="0.25">
      <c r="A2794" s="219"/>
      <c r="B2794" s="237"/>
      <c r="C2794" s="36" t="s">
        <v>288</v>
      </c>
      <c r="D2794" s="47" t="s">
        <v>795</v>
      </c>
      <c r="E2794" s="37">
        <v>2</v>
      </c>
      <c r="F2794" s="31">
        <v>5.4909999999999997</v>
      </c>
      <c r="G2794" s="34">
        <f t="shared" si="48"/>
        <v>10.981999999999999</v>
      </c>
      <c r="H2794" s="35"/>
      <c r="I2794" s="31"/>
      <c r="J2794" s="102">
        <v>0</v>
      </c>
    </row>
    <row r="2795" spans="1:10" hidden="1" x14ac:dyDescent="0.25">
      <c r="A2795" s="219"/>
      <c r="B2795" s="237"/>
      <c r="C2795" s="36" t="s">
        <v>797</v>
      </c>
      <c r="D2795" s="36" t="s">
        <v>95</v>
      </c>
      <c r="E2795" s="37">
        <v>1</v>
      </c>
      <c r="F2795" s="31">
        <v>100.776</v>
      </c>
      <c r="G2795" s="34">
        <f t="shared" si="48"/>
        <v>100.776</v>
      </c>
      <c r="H2795" s="35"/>
      <c r="I2795" s="31"/>
      <c r="J2795" s="102">
        <v>0</v>
      </c>
    </row>
    <row r="2796" spans="1:10" ht="15.75" hidden="1" thickBot="1" x14ac:dyDescent="0.3">
      <c r="A2796" s="220"/>
      <c r="B2796" s="223"/>
      <c r="C2796" s="36"/>
      <c r="D2796" s="36"/>
      <c r="E2796" s="37"/>
      <c r="F2796" s="31" t="s">
        <v>522</v>
      </c>
      <c r="G2796" s="34" t="str">
        <f t="shared" si="48"/>
        <v/>
      </c>
      <c r="H2796" s="35"/>
      <c r="I2796" s="31"/>
      <c r="J2796" s="102">
        <v>0</v>
      </c>
    </row>
    <row r="2797" spans="1:10" ht="15.75" hidden="1" thickBot="1" x14ac:dyDescent="0.3">
      <c r="A2797" s="218" t="s">
        <v>1581</v>
      </c>
      <c r="B2797" s="221" t="e">
        <f>INDEX(#REF!,MATCH(Composições!A2797,#REF!,0),2)</f>
        <v>#REF!</v>
      </c>
      <c r="C2797" s="41"/>
      <c r="D2797" s="26" t="s">
        <v>93</v>
      </c>
      <c r="E2797" s="27"/>
      <c r="F2797" s="42" t="s">
        <v>522</v>
      </c>
      <c r="G2797" s="28" t="str">
        <f t="shared" si="48"/>
        <v/>
      </c>
      <c r="H2797" s="29"/>
      <c r="I2797" s="30"/>
      <c r="J2797" s="102">
        <v>0</v>
      </c>
    </row>
    <row r="2798" spans="1:10" hidden="1" x14ac:dyDescent="0.25">
      <c r="A2798" s="219"/>
      <c r="B2798" s="237"/>
      <c r="C2798" s="32"/>
      <c r="D2798" s="32"/>
      <c r="E2798" s="33"/>
      <c r="F2798" s="43" t="s">
        <v>522</v>
      </c>
      <c r="G2798" s="34" t="str">
        <f t="shared" si="48"/>
        <v/>
      </c>
      <c r="H2798" s="35"/>
      <c r="I2798" s="31"/>
      <c r="J2798" s="102">
        <v>0</v>
      </c>
    </row>
    <row r="2799" spans="1:10" hidden="1" x14ac:dyDescent="0.25">
      <c r="A2799" s="219"/>
      <c r="B2799" s="237"/>
      <c r="C2799" s="36" t="s">
        <v>68</v>
      </c>
      <c r="D2799" s="47" t="s">
        <v>12</v>
      </c>
      <c r="E2799" s="37">
        <v>0.5</v>
      </c>
      <c r="F2799" s="31">
        <v>19.9025</v>
      </c>
      <c r="G2799" s="34">
        <f t="shared" si="48"/>
        <v>9.9512499999999999</v>
      </c>
      <c r="H2799" s="39">
        <f>SUM(G2799:G2800)</f>
        <v>18.040500000000002</v>
      </c>
      <c r="I2799" s="40"/>
      <c r="J2799" s="102">
        <v>0</v>
      </c>
    </row>
    <row r="2800" spans="1:10" hidden="1" x14ac:dyDescent="0.25">
      <c r="A2800" s="219"/>
      <c r="B2800" s="237"/>
      <c r="C2800" s="36" t="s">
        <v>23</v>
      </c>
      <c r="D2800" s="47" t="s">
        <v>12</v>
      </c>
      <c r="E2800" s="37">
        <v>0.5</v>
      </c>
      <c r="F2800" s="31">
        <v>16.1785</v>
      </c>
      <c r="G2800" s="34">
        <f t="shared" si="48"/>
        <v>8.0892499999999998</v>
      </c>
      <c r="H2800" s="35"/>
      <c r="I2800" s="31"/>
      <c r="J2800" s="102">
        <v>0</v>
      </c>
    </row>
    <row r="2801" spans="1:10" ht="15.75" hidden="1" thickBot="1" x14ac:dyDescent="0.3">
      <c r="A2801" s="220"/>
      <c r="B2801" s="223"/>
      <c r="C2801" s="36"/>
      <c r="D2801" s="36"/>
      <c r="E2801" s="37"/>
      <c r="F2801" s="31" t="s">
        <v>522</v>
      </c>
      <c r="G2801" s="34" t="str">
        <f t="shared" si="48"/>
        <v/>
      </c>
      <c r="H2801" s="35"/>
      <c r="I2801" s="31"/>
      <c r="J2801" s="102">
        <v>0</v>
      </c>
    </row>
    <row r="2802" spans="1:10" ht="15.75" hidden="1" thickBot="1" x14ac:dyDescent="0.3">
      <c r="A2802" s="218" t="s">
        <v>1582</v>
      </c>
      <c r="B2802" s="221" t="e">
        <f>INDEX(#REF!,MATCH(Composições!A2802,#REF!,0),2)</f>
        <v>#REF!</v>
      </c>
      <c r="C2802" s="41"/>
      <c r="D2802" s="26" t="s">
        <v>93</v>
      </c>
      <c r="E2802" s="27"/>
      <c r="F2802" s="42" t="s">
        <v>522</v>
      </c>
      <c r="G2802" s="28" t="str">
        <f t="shared" si="48"/>
        <v/>
      </c>
      <c r="H2802" s="29"/>
      <c r="I2802" s="30"/>
      <c r="J2802" s="102">
        <v>0</v>
      </c>
    </row>
    <row r="2803" spans="1:10" hidden="1" x14ac:dyDescent="0.25">
      <c r="A2803" s="219"/>
      <c r="B2803" s="237"/>
      <c r="C2803" s="32"/>
      <c r="D2803" s="32"/>
      <c r="E2803" s="33"/>
      <c r="F2803" s="43" t="s">
        <v>522</v>
      </c>
      <c r="G2803" s="34" t="str">
        <f t="shared" si="48"/>
        <v/>
      </c>
      <c r="H2803" s="35"/>
      <c r="I2803" s="31"/>
      <c r="J2803" s="102">
        <v>0</v>
      </c>
    </row>
    <row r="2804" spans="1:10" hidden="1" x14ac:dyDescent="0.25">
      <c r="A2804" s="219"/>
      <c r="B2804" s="237"/>
      <c r="C2804" s="36" t="s">
        <v>68</v>
      </c>
      <c r="D2804" s="47" t="s">
        <v>12</v>
      </c>
      <c r="E2804" s="37">
        <v>0.75</v>
      </c>
      <c r="F2804" s="31">
        <v>19.9025</v>
      </c>
      <c r="G2804" s="34">
        <f t="shared" si="48"/>
        <v>14.926874999999999</v>
      </c>
      <c r="H2804" s="39">
        <f>SUM(G2804:G2805)</f>
        <v>27.060749999999999</v>
      </c>
      <c r="I2804" s="40"/>
      <c r="J2804" s="102">
        <v>0</v>
      </c>
    </row>
    <row r="2805" spans="1:10" hidden="1" x14ac:dyDescent="0.25">
      <c r="A2805" s="219"/>
      <c r="B2805" s="237"/>
      <c r="C2805" s="36" t="s">
        <v>23</v>
      </c>
      <c r="D2805" s="47" t="s">
        <v>12</v>
      </c>
      <c r="E2805" s="37">
        <v>0.75</v>
      </c>
      <c r="F2805" s="31">
        <v>16.1785</v>
      </c>
      <c r="G2805" s="34">
        <f t="shared" si="48"/>
        <v>12.133875</v>
      </c>
      <c r="H2805" s="35"/>
      <c r="I2805" s="31"/>
      <c r="J2805" s="102">
        <v>0</v>
      </c>
    </row>
    <row r="2806" spans="1:10" ht="15.75" hidden="1" thickBot="1" x14ac:dyDescent="0.3">
      <c r="A2806" s="220"/>
      <c r="B2806" s="223"/>
      <c r="C2806" s="36"/>
      <c r="D2806" s="36"/>
      <c r="E2806" s="37"/>
      <c r="F2806" s="31" t="s">
        <v>522</v>
      </c>
      <c r="G2806" s="34" t="str">
        <f t="shared" si="48"/>
        <v/>
      </c>
      <c r="H2806" s="35"/>
      <c r="I2806" s="31"/>
      <c r="J2806" s="102">
        <v>0</v>
      </c>
    </row>
    <row r="2807" spans="1:10" ht="15.75" hidden="1" thickBot="1" x14ac:dyDescent="0.3">
      <c r="A2807" s="218" t="s">
        <v>800</v>
      </c>
      <c r="B2807" s="221" t="e">
        <f>INDEX(#REF!,MATCH(Composições!A2807,#REF!,0),2)</f>
        <v>#REF!</v>
      </c>
      <c r="C2807" s="41"/>
      <c r="D2807" s="26" t="s">
        <v>95</v>
      </c>
      <c r="E2807" s="27"/>
      <c r="F2807" s="42" t="s">
        <v>522</v>
      </c>
      <c r="G2807" s="28" t="str">
        <f t="shared" si="48"/>
        <v/>
      </c>
      <c r="H2807" s="29"/>
      <c r="I2807" s="30"/>
      <c r="J2807" s="102">
        <v>0</v>
      </c>
    </row>
    <row r="2808" spans="1:10" hidden="1" x14ac:dyDescent="0.25">
      <c r="A2808" s="219"/>
      <c r="B2808" s="237"/>
      <c r="C2808" s="32"/>
      <c r="D2808" s="32"/>
      <c r="E2808" s="33"/>
      <c r="F2808" s="43" t="s">
        <v>522</v>
      </c>
      <c r="G2808" s="34" t="str">
        <f t="shared" si="48"/>
        <v/>
      </c>
      <c r="H2808" s="35"/>
      <c r="I2808" s="31"/>
      <c r="J2808" s="102">
        <v>0</v>
      </c>
    </row>
    <row r="2809" spans="1:10" hidden="1" x14ac:dyDescent="0.25">
      <c r="A2809" s="219"/>
      <c r="B2809" s="237"/>
      <c r="C2809" s="36" t="s">
        <v>801</v>
      </c>
      <c r="D2809" s="36" t="s">
        <v>992</v>
      </c>
      <c r="E2809" s="37">
        <v>1</v>
      </c>
      <c r="F2809" s="34">
        <v>207.61299999999997</v>
      </c>
      <c r="G2809" s="34">
        <f t="shared" si="48"/>
        <v>207.61299999999997</v>
      </c>
      <c r="H2809" s="39">
        <f>SUM(G2809:G2815)</f>
        <v>302.47947749999997</v>
      </c>
      <c r="I2809" s="40"/>
      <c r="J2809" s="102">
        <v>0</v>
      </c>
    </row>
    <row r="2810" spans="1:10" ht="38.25" hidden="1" x14ac:dyDescent="0.25">
      <c r="A2810" s="219"/>
      <c r="B2810" s="237"/>
      <c r="C2810" s="36" t="s">
        <v>1699</v>
      </c>
      <c r="D2810" s="36" t="s">
        <v>279</v>
      </c>
      <c r="E2810" s="37">
        <v>1.7050000000000001</v>
      </c>
      <c r="F2810" s="34">
        <v>0.29449999999999998</v>
      </c>
      <c r="G2810" s="34">
        <f t="shared" si="48"/>
        <v>0.50212250000000003</v>
      </c>
      <c r="H2810" s="35"/>
      <c r="I2810" s="31"/>
      <c r="J2810" s="102">
        <v>0</v>
      </c>
    </row>
    <row r="2811" spans="1:10" hidden="1" x14ac:dyDescent="0.25">
      <c r="A2811" s="219"/>
      <c r="B2811" s="237"/>
      <c r="C2811" s="36" t="s">
        <v>835</v>
      </c>
      <c r="D2811" s="36" t="s">
        <v>898</v>
      </c>
      <c r="E2811" s="37">
        <v>0.748</v>
      </c>
      <c r="F2811" s="34">
        <v>41.942499999999995</v>
      </c>
      <c r="G2811" s="34">
        <f t="shared" si="48"/>
        <v>31.372989999999998</v>
      </c>
      <c r="H2811" s="35"/>
      <c r="I2811" s="31"/>
      <c r="J2811" s="102">
        <v>0</v>
      </c>
    </row>
    <row r="2812" spans="1:10" ht="25.5" hidden="1" x14ac:dyDescent="0.25">
      <c r="A2812" s="219"/>
      <c r="B2812" s="237"/>
      <c r="C2812" s="36" t="s">
        <v>1768</v>
      </c>
      <c r="D2812" s="36" t="s">
        <v>479</v>
      </c>
      <c r="E2812" s="37">
        <v>2.3220000000000001</v>
      </c>
      <c r="F2812" s="34">
        <v>2.2324999999999999</v>
      </c>
      <c r="G2812" s="34">
        <f t="shared" si="48"/>
        <v>5.1838649999999999</v>
      </c>
      <c r="H2812" s="35"/>
      <c r="I2812" s="31"/>
      <c r="J2812" s="102">
        <v>0</v>
      </c>
    </row>
    <row r="2813" spans="1:10" hidden="1" x14ac:dyDescent="0.25">
      <c r="A2813" s="219"/>
      <c r="B2813" s="237"/>
      <c r="C2813" s="36" t="s">
        <v>1126</v>
      </c>
      <c r="D2813" s="36" t="s">
        <v>279</v>
      </c>
      <c r="E2813" s="37">
        <v>0.309</v>
      </c>
      <c r="F2813" s="34">
        <v>23.597999999999999</v>
      </c>
      <c r="G2813" s="34">
        <f t="shared" si="48"/>
        <v>7.2917819999999995</v>
      </c>
      <c r="H2813" s="35"/>
      <c r="I2813" s="31"/>
      <c r="J2813" s="102">
        <v>0</v>
      </c>
    </row>
    <row r="2814" spans="1:10" hidden="1" x14ac:dyDescent="0.25">
      <c r="A2814" s="219"/>
      <c r="B2814" s="237"/>
      <c r="C2814" s="36" t="s">
        <v>704</v>
      </c>
      <c r="D2814" s="36" t="s">
        <v>703</v>
      </c>
      <c r="E2814" s="37">
        <v>1.3779999999999999</v>
      </c>
      <c r="F2814" s="31">
        <v>16.1785</v>
      </c>
      <c r="G2814" s="34">
        <f t="shared" si="48"/>
        <v>22.293972999999998</v>
      </c>
      <c r="H2814" s="35"/>
      <c r="I2814" s="31"/>
      <c r="J2814" s="102">
        <v>0</v>
      </c>
    </row>
    <row r="2815" spans="1:10" hidden="1" x14ac:dyDescent="0.25">
      <c r="A2815" s="219"/>
      <c r="B2815" s="237"/>
      <c r="C2815" s="36" t="s">
        <v>1687</v>
      </c>
      <c r="D2815" s="36" t="s">
        <v>703</v>
      </c>
      <c r="E2815" s="37">
        <v>1.4179999999999999</v>
      </c>
      <c r="F2815" s="31">
        <v>19.9025</v>
      </c>
      <c r="G2815" s="34">
        <f t="shared" si="48"/>
        <v>28.221744999999999</v>
      </c>
      <c r="H2815" s="35"/>
      <c r="I2815" s="31"/>
      <c r="J2815" s="102">
        <v>0</v>
      </c>
    </row>
    <row r="2816" spans="1:10" ht="15.75" hidden="1" thickBot="1" x14ac:dyDescent="0.3">
      <c r="A2816" s="220"/>
      <c r="B2816" s="223"/>
      <c r="C2816" s="36"/>
      <c r="D2816" s="36"/>
      <c r="E2816" s="37"/>
      <c r="F2816" s="31" t="s">
        <v>522</v>
      </c>
      <c r="G2816" s="34" t="str">
        <f t="shared" si="48"/>
        <v/>
      </c>
      <c r="H2816" s="35"/>
      <c r="I2816" s="31"/>
      <c r="J2816" s="102">
        <v>0</v>
      </c>
    </row>
    <row r="2817" spans="1:10" ht="15.75" hidden="1" thickBot="1" x14ac:dyDescent="0.3">
      <c r="A2817" s="218" t="s">
        <v>802</v>
      </c>
      <c r="B2817" s="221" t="e">
        <f>INDEX(#REF!,MATCH(Composições!A2817,#REF!,0),2)</f>
        <v>#REF!</v>
      </c>
      <c r="C2817" s="41"/>
      <c r="D2817" s="26" t="s">
        <v>20</v>
      </c>
      <c r="E2817" s="27"/>
      <c r="F2817" s="42" t="s">
        <v>522</v>
      </c>
      <c r="G2817" s="28" t="str">
        <f t="shared" si="48"/>
        <v/>
      </c>
      <c r="H2817" s="29"/>
      <c r="I2817" s="30"/>
      <c r="J2817" s="102">
        <v>0</v>
      </c>
    </row>
    <row r="2818" spans="1:10" hidden="1" x14ac:dyDescent="0.25">
      <c r="A2818" s="219"/>
      <c r="B2818" s="237"/>
      <c r="C2818" s="32"/>
      <c r="D2818" s="32"/>
      <c r="E2818" s="33"/>
      <c r="F2818" s="43" t="s">
        <v>522</v>
      </c>
      <c r="G2818" s="34" t="str">
        <f t="shared" si="48"/>
        <v/>
      </c>
      <c r="H2818" s="35"/>
      <c r="I2818" s="31"/>
      <c r="J2818" s="102">
        <v>0</v>
      </c>
    </row>
    <row r="2819" spans="1:10" hidden="1" x14ac:dyDescent="0.25">
      <c r="A2819" s="219"/>
      <c r="B2819" s="237"/>
      <c r="C2819" s="36" t="s">
        <v>68</v>
      </c>
      <c r="D2819" s="36" t="s">
        <v>12</v>
      </c>
      <c r="E2819" s="37">
        <v>0.15</v>
      </c>
      <c r="F2819" s="34">
        <v>19.9025</v>
      </c>
      <c r="G2819" s="34">
        <f t="shared" si="48"/>
        <v>2.9853749999999999</v>
      </c>
      <c r="H2819" s="39">
        <f>SUM(G2819:G2820)</f>
        <v>2.9853749999999999</v>
      </c>
      <c r="I2819" s="40"/>
      <c r="J2819" s="102">
        <v>0</v>
      </c>
    </row>
    <row r="2820" spans="1:10" ht="25.5" hidden="1" x14ac:dyDescent="0.25">
      <c r="A2820" s="219"/>
      <c r="B2820" s="237"/>
      <c r="C2820" s="36" t="s">
        <v>803</v>
      </c>
      <c r="D2820" s="36" t="s">
        <v>20</v>
      </c>
      <c r="E2820" s="37">
        <v>1</v>
      </c>
      <c r="F2820" s="31">
        <v>0</v>
      </c>
      <c r="G2820" s="34">
        <f t="shared" si="48"/>
        <v>0</v>
      </c>
      <c r="H2820" s="35"/>
      <c r="I2820" s="31"/>
      <c r="J2820" s="102">
        <v>0</v>
      </c>
    </row>
    <row r="2821" spans="1:10" ht="15.75" hidden="1" thickBot="1" x14ac:dyDescent="0.3">
      <c r="A2821" s="220"/>
      <c r="B2821" s="223"/>
      <c r="C2821" s="36"/>
      <c r="D2821" s="36"/>
      <c r="E2821" s="37"/>
      <c r="F2821" s="31" t="s">
        <v>522</v>
      </c>
      <c r="G2821" s="34" t="str">
        <f t="shared" si="48"/>
        <v/>
      </c>
      <c r="H2821" s="35"/>
      <c r="I2821" s="31"/>
      <c r="J2821" s="102">
        <v>0</v>
      </c>
    </row>
    <row r="2822" spans="1:10" ht="15.75" hidden="1" thickBot="1" x14ac:dyDescent="0.3">
      <c r="A2822" s="218" t="s">
        <v>804</v>
      </c>
      <c r="B2822" s="221" t="e">
        <f>INDEX(#REF!,MATCH(Composições!A2822,#REF!,0),2)</f>
        <v>#REF!</v>
      </c>
      <c r="C2822" s="41"/>
      <c r="D2822" s="26" t="s">
        <v>20</v>
      </c>
      <c r="E2822" s="27"/>
      <c r="F2822" s="42" t="s">
        <v>522</v>
      </c>
      <c r="G2822" s="28" t="str">
        <f t="shared" ref="G2822:G2885" si="49">IF(ISNUMBER(F2822),E2822*F2822,"")</f>
        <v/>
      </c>
      <c r="H2822" s="29"/>
      <c r="I2822" s="30"/>
      <c r="J2822" s="102">
        <v>0</v>
      </c>
    </row>
    <row r="2823" spans="1:10" hidden="1" x14ac:dyDescent="0.25">
      <c r="A2823" s="219"/>
      <c r="B2823" s="237"/>
      <c r="C2823" s="32"/>
      <c r="D2823" s="32"/>
      <c r="E2823" s="33"/>
      <c r="F2823" s="43" t="s">
        <v>522</v>
      </c>
      <c r="G2823" s="34" t="str">
        <f t="shared" si="49"/>
        <v/>
      </c>
      <c r="H2823" s="35"/>
      <c r="I2823" s="31"/>
      <c r="J2823" s="102">
        <v>0</v>
      </c>
    </row>
    <row r="2824" spans="1:10" hidden="1" x14ac:dyDescent="0.25">
      <c r="A2824" s="219"/>
      <c r="B2824" s="237"/>
      <c r="C2824" s="36" t="s">
        <v>68</v>
      </c>
      <c r="D2824" s="47" t="s">
        <v>12</v>
      </c>
      <c r="E2824" s="37">
        <v>0.3</v>
      </c>
      <c r="F2824" s="34">
        <v>19.9025</v>
      </c>
      <c r="G2824" s="34">
        <f t="shared" si="49"/>
        <v>5.9707499999999998</v>
      </c>
      <c r="H2824" s="39">
        <f>SUM(G2824:G2825)</f>
        <v>5.9707499999999998</v>
      </c>
      <c r="I2824" s="40"/>
      <c r="J2824" s="102">
        <v>0</v>
      </c>
    </row>
    <row r="2825" spans="1:10" ht="25.5" hidden="1" x14ac:dyDescent="0.25">
      <c r="A2825" s="219"/>
      <c r="B2825" s="237"/>
      <c r="C2825" s="36" t="s">
        <v>805</v>
      </c>
      <c r="D2825" s="47" t="s">
        <v>20</v>
      </c>
      <c r="E2825" s="37">
        <v>1</v>
      </c>
      <c r="F2825" s="31">
        <v>0</v>
      </c>
      <c r="G2825" s="34">
        <f t="shared" si="49"/>
        <v>0</v>
      </c>
      <c r="H2825" s="35"/>
      <c r="I2825" s="31"/>
      <c r="J2825" s="102">
        <v>0</v>
      </c>
    </row>
    <row r="2826" spans="1:10" ht="15.75" hidden="1" thickBot="1" x14ac:dyDescent="0.3">
      <c r="A2826" s="220"/>
      <c r="B2826" s="223"/>
      <c r="C2826" s="36"/>
      <c r="D2826" s="36"/>
      <c r="E2826" s="37"/>
      <c r="F2826" s="31" t="s">
        <v>522</v>
      </c>
      <c r="G2826" s="34" t="str">
        <f t="shared" si="49"/>
        <v/>
      </c>
      <c r="H2826" s="35"/>
      <c r="I2826" s="31"/>
      <c r="J2826" s="102">
        <v>0</v>
      </c>
    </row>
    <row r="2827" spans="1:10" ht="15.75" hidden="1" thickBot="1" x14ac:dyDescent="0.3">
      <c r="A2827" s="218" t="s">
        <v>806</v>
      </c>
      <c r="B2827" s="221" t="e">
        <f>INDEX(#REF!,MATCH(Composições!A2827,#REF!,0),2)</f>
        <v>#REF!</v>
      </c>
      <c r="C2827" s="41"/>
      <c r="D2827" s="26" t="s">
        <v>20</v>
      </c>
      <c r="E2827" s="27"/>
      <c r="F2827" s="42" t="s">
        <v>522</v>
      </c>
      <c r="G2827" s="28" t="str">
        <f t="shared" si="49"/>
        <v/>
      </c>
      <c r="H2827" s="29"/>
      <c r="I2827" s="30"/>
      <c r="J2827" s="102">
        <v>0</v>
      </c>
    </row>
    <row r="2828" spans="1:10" hidden="1" x14ac:dyDescent="0.25">
      <c r="A2828" s="219"/>
      <c r="B2828" s="237"/>
      <c r="C2828" s="32"/>
      <c r="D2828" s="32"/>
      <c r="E2828" s="33"/>
      <c r="F2828" s="43" t="s">
        <v>522</v>
      </c>
      <c r="G2828" s="34" t="str">
        <f t="shared" si="49"/>
        <v/>
      </c>
      <c r="H2828" s="35"/>
      <c r="I2828" s="31"/>
      <c r="J2828" s="102">
        <v>0</v>
      </c>
    </row>
    <row r="2829" spans="1:10" hidden="1" x14ac:dyDescent="0.25">
      <c r="A2829" s="219"/>
      <c r="B2829" s="237"/>
      <c r="C2829" s="36" t="s">
        <v>68</v>
      </c>
      <c r="D2829" s="36" t="s">
        <v>12</v>
      </c>
      <c r="E2829" s="37">
        <v>0.15</v>
      </c>
      <c r="F2829" s="34">
        <v>19.9025</v>
      </c>
      <c r="G2829" s="34">
        <f t="shared" si="49"/>
        <v>2.9853749999999999</v>
      </c>
      <c r="H2829" s="39">
        <f>SUM(G2829:G2830)</f>
        <v>2.9853749999999999</v>
      </c>
      <c r="I2829" s="40"/>
      <c r="J2829" s="102">
        <v>0</v>
      </c>
    </row>
    <row r="2830" spans="1:10" ht="25.5" hidden="1" x14ac:dyDescent="0.25">
      <c r="A2830" s="219"/>
      <c r="B2830" s="237"/>
      <c r="C2830" s="36" t="s">
        <v>807</v>
      </c>
      <c r="D2830" s="36" t="s">
        <v>20</v>
      </c>
      <c r="E2830" s="37">
        <v>1</v>
      </c>
      <c r="F2830" s="31">
        <v>0</v>
      </c>
      <c r="G2830" s="34">
        <f t="shared" si="49"/>
        <v>0</v>
      </c>
      <c r="H2830" s="35"/>
      <c r="I2830" s="31"/>
      <c r="J2830" s="102">
        <v>0</v>
      </c>
    </row>
    <row r="2831" spans="1:10" ht="15.75" hidden="1" thickBot="1" x14ac:dyDescent="0.3">
      <c r="A2831" s="220"/>
      <c r="B2831" s="223"/>
      <c r="C2831" s="36"/>
      <c r="D2831" s="36"/>
      <c r="E2831" s="37"/>
      <c r="F2831" s="31" t="s">
        <v>522</v>
      </c>
      <c r="G2831" s="34" t="str">
        <f t="shared" si="49"/>
        <v/>
      </c>
      <c r="H2831" s="35"/>
      <c r="I2831" s="31"/>
      <c r="J2831" s="102">
        <v>0</v>
      </c>
    </row>
    <row r="2832" spans="1:10" ht="15.75" hidden="1" thickBot="1" x14ac:dyDescent="0.3">
      <c r="A2832" s="218" t="s">
        <v>808</v>
      </c>
      <c r="B2832" s="221" t="e">
        <f>INDEX(#REF!,MATCH(Composições!A2832,#REF!,0),2)</f>
        <v>#REF!</v>
      </c>
      <c r="C2832" s="41"/>
      <c r="D2832" s="26" t="s">
        <v>20</v>
      </c>
      <c r="E2832" s="27"/>
      <c r="F2832" s="42" t="s">
        <v>522</v>
      </c>
      <c r="G2832" s="28" t="str">
        <f t="shared" si="49"/>
        <v/>
      </c>
      <c r="H2832" s="29"/>
      <c r="I2832" s="30"/>
      <c r="J2832" s="102">
        <v>0</v>
      </c>
    </row>
    <row r="2833" spans="1:10" hidden="1" x14ac:dyDescent="0.25">
      <c r="A2833" s="219"/>
      <c r="B2833" s="237"/>
      <c r="C2833" s="32"/>
      <c r="D2833" s="32"/>
      <c r="E2833" s="33"/>
      <c r="F2833" s="43" t="s">
        <v>522</v>
      </c>
      <c r="G2833" s="34" t="str">
        <f t="shared" si="49"/>
        <v/>
      </c>
      <c r="H2833" s="35"/>
      <c r="I2833" s="31"/>
      <c r="J2833" s="102">
        <v>0</v>
      </c>
    </row>
    <row r="2834" spans="1:10" hidden="1" x14ac:dyDescent="0.25">
      <c r="A2834" s="219"/>
      <c r="B2834" s="237"/>
      <c r="C2834" s="36" t="s">
        <v>68</v>
      </c>
      <c r="D2834" s="36" t="s">
        <v>12</v>
      </c>
      <c r="E2834" s="37">
        <v>0.3</v>
      </c>
      <c r="F2834" s="34">
        <v>19.9025</v>
      </c>
      <c r="G2834" s="34">
        <f t="shared" si="49"/>
        <v>5.9707499999999998</v>
      </c>
      <c r="H2834" s="39">
        <f>SUM(G2834:G2835)</f>
        <v>5.9707499999999998</v>
      </c>
      <c r="I2834" s="40"/>
      <c r="J2834" s="102">
        <v>0</v>
      </c>
    </row>
    <row r="2835" spans="1:10" ht="25.5" hidden="1" x14ac:dyDescent="0.25">
      <c r="A2835" s="219"/>
      <c r="B2835" s="237"/>
      <c r="C2835" s="36" t="s">
        <v>809</v>
      </c>
      <c r="D2835" s="36" t="s">
        <v>20</v>
      </c>
      <c r="E2835" s="37">
        <v>1</v>
      </c>
      <c r="F2835" s="31">
        <v>0</v>
      </c>
      <c r="G2835" s="34">
        <f t="shared" si="49"/>
        <v>0</v>
      </c>
      <c r="H2835" s="35"/>
      <c r="I2835" s="31"/>
      <c r="J2835" s="102">
        <v>0</v>
      </c>
    </row>
    <row r="2836" spans="1:10" hidden="1" x14ac:dyDescent="0.25">
      <c r="A2836" s="219"/>
      <c r="B2836" s="237"/>
      <c r="C2836" s="36"/>
      <c r="D2836" s="36"/>
      <c r="E2836" s="37"/>
      <c r="F2836" s="31" t="s">
        <v>522</v>
      </c>
      <c r="G2836" s="34" t="str">
        <f t="shared" si="49"/>
        <v/>
      </c>
      <c r="H2836" s="35"/>
      <c r="I2836" s="31"/>
      <c r="J2836" s="102">
        <v>0</v>
      </c>
    </row>
    <row r="2837" spans="1:10" ht="39" hidden="1" x14ac:dyDescent="0.25">
      <c r="A2837" s="219"/>
      <c r="B2837" s="237"/>
      <c r="C2837" s="96" t="s">
        <v>810</v>
      </c>
      <c r="D2837" s="36"/>
      <c r="E2837" s="37"/>
      <c r="F2837" s="31" t="s">
        <v>522</v>
      </c>
      <c r="G2837" s="34" t="str">
        <f t="shared" si="49"/>
        <v/>
      </c>
      <c r="H2837" s="35"/>
      <c r="I2837" s="31"/>
      <c r="J2837" s="102">
        <v>0</v>
      </c>
    </row>
    <row r="2838" spans="1:10" ht="15.75" hidden="1" thickBot="1" x14ac:dyDescent="0.3">
      <c r="A2838" s="220"/>
      <c r="B2838" s="223"/>
      <c r="C2838" s="36"/>
      <c r="D2838" s="36"/>
      <c r="E2838" s="37"/>
      <c r="F2838" s="31" t="s">
        <v>522</v>
      </c>
      <c r="G2838" s="34" t="str">
        <f t="shared" si="49"/>
        <v/>
      </c>
      <c r="H2838" s="35"/>
      <c r="I2838" s="31"/>
      <c r="J2838" s="102">
        <v>0</v>
      </c>
    </row>
    <row r="2839" spans="1:10" ht="15.75" hidden="1" thickBot="1" x14ac:dyDescent="0.3">
      <c r="A2839" s="218" t="s">
        <v>811</v>
      </c>
      <c r="B2839" s="221" t="e">
        <f>INDEX(#REF!,MATCH(Composições!A2839,#REF!,0),2)</f>
        <v>#REF!</v>
      </c>
      <c r="C2839" s="41"/>
      <c r="D2839" s="26" t="s">
        <v>20</v>
      </c>
      <c r="E2839" s="27"/>
      <c r="F2839" s="42" t="s">
        <v>522</v>
      </c>
      <c r="G2839" s="28" t="str">
        <f t="shared" si="49"/>
        <v/>
      </c>
      <c r="H2839" s="29"/>
      <c r="I2839" s="30"/>
      <c r="J2839" s="102">
        <v>0</v>
      </c>
    </row>
    <row r="2840" spans="1:10" hidden="1" x14ac:dyDescent="0.25">
      <c r="A2840" s="219"/>
      <c r="B2840" s="237"/>
      <c r="C2840" s="32"/>
      <c r="D2840" s="32"/>
      <c r="E2840" s="33"/>
      <c r="F2840" s="43" t="s">
        <v>522</v>
      </c>
      <c r="G2840" s="34" t="str">
        <f t="shared" si="49"/>
        <v/>
      </c>
      <c r="H2840" s="35"/>
      <c r="I2840" s="31"/>
      <c r="J2840" s="102">
        <v>0</v>
      </c>
    </row>
    <row r="2841" spans="1:10" hidden="1" x14ac:dyDescent="0.25">
      <c r="A2841" s="219"/>
      <c r="B2841" s="237"/>
      <c r="C2841" s="36" t="s">
        <v>68</v>
      </c>
      <c r="D2841" s="36" t="s">
        <v>12</v>
      </c>
      <c r="E2841" s="37">
        <v>0.15</v>
      </c>
      <c r="F2841" s="34">
        <v>19.9025</v>
      </c>
      <c r="G2841" s="34">
        <f t="shared" si="49"/>
        <v>2.9853749999999999</v>
      </c>
      <c r="H2841" s="39">
        <f>SUM(G2841:G2842)</f>
        <v>2.9853749999999999</v>
      </c>
      <c r="I2841" s="40"/>
      <c r="J2841" s="102">
        <v>0</v>
      </c>
    </row>
    <row r="2842" spans="1:10" hidden="1" x14ac:dyDescent="0.25">
      <c r="A2842" s="219"/>
      <c r="B2842" s="237"/>
      <c r="C2842" s="36" t="s">
        <v>812</v>
      </c>
      <c r="D2842" s="36" t="s">
        <v>20</v>
      </c>
      <c r="E2842" s="37">
        <v>1</v>
      </c>
      <c r="F2842" s="31">
        <v>0</v>
      </c>
      <c r="G2842" s="34">
        <f t="shared" si="49"/>
        <v>0</v>
      </c>
      <c r="H2842" s="35"/>
      <c r="I2842" s="31"/>
      <c r="J2842" s="102">
        <v>0</v>
      </c>
    </row>
    <row r="2843" spans="1:10" ht="15.75" hidden="1" thickBot="1" x14ac:dyDescent="0.3">
      <c r="A2843" s="220"/>
      <c r="B2843" s="223"/>
      <c r="C2843" s="36"/>
      <c r="D2843" s="36"/>
      <c r="E2843" s="37"/>
      <c r="F2843" s="31" t="s">
        <v>522</v>
      </c>
      <c r="G2843" s="34" t="str">
        <f t="shared" si="49"/>
        <v/>
      </c>
      <c r="H2843" s="35"/>
      <c r="I2843" s="31"/>
      <c r="J2843" s="102">
        <v>0</v>
      </c>
    </row>
    <row r="2844" spans="1:10" ht="15.75" hidden="1" thickBot="1" x14ac:dyDescent="0.3">
      <c r="A2844" s="218" t="s">
        <v>813</v>
      </c>
      <c r="B2844" s="221" t="e">
        <f>INDEX(#REF!,MATCH(Composições!A2844,#REF!,0),2)</f>
        <v>#REF!</v>
      </c>
      <c r="C2844" s="41"/>
      <c r="D2844" s="26" t="s">
        <v>20</v>
      </c>
      <c r="E2844" s="27"/>
      <c r="F2844" s="42" t="s">
        <v>522</v>
      </c>
      <c r="G2844" s="28" t="str">
        <f t="shared" si="49"/>
        <v/>
      </c>
      <c r="H2844" s="29"/>
      <c r="I2844" s="30"/>
      <c r="J2844" s="102">
        <v>0</v>
      </c>
    </row>
    <row r="2845" spans="1:10" hidden="1" x14ac:dyDescent="0.25">
      <c r="A2845" s="219"/>
      <c r="B2845" s="237"/>
      <c r="C2845" s="32"/>
      <c r="D2845" s="32"/>
      <c r="E2845" s="33"/>
      <c r="F2845" s="43" t="s">
        <v>522</v>
      </c>
      <c r="G2845" s="34" t="str">
        <f t="shared" si="49"/>
        <v/>
      </c>
      <c r="H2845" s="35"/>
      <c r="I2845" s="31"/>
      <c r="J2845" s="102">
        <v>0</v>
      </c>
    </row>
    <row r="2846" spans="1:10" hidden="1" x14ac:dyDescent="0.25">
      <c r="A2846" s="219"/>
      <c r="B2846" s="237"/>
      <c r="C2846" s="36" t="s">
        <v>68</v>
      </c>
      <c r="D2846" s="36" t="s">
        <v>12</v>
      </c>
      <c r="E2846" s="37">
        <v>0.4</v>
      </c>
      <c r="F2846" s="34">
        <v>19.9025</v>
      </c>
      <c r="G2846" s="34">
        <f t="shared" si="49"/>
        <v>7.9610000000000003</v>
      </c>
      <c r="H2846" s="39">
        <f>SUM(G2846:G2847)</f>
        <v>7.9610000000000003</v>
      </c>
      <c r="I2846" s="40"/>
      <c r="J2846" s="102">
        <v>0</v>
      </c>
    </row>
    <row r="2847" spans="1:10" ht="25.5" hidden="1" x14ac:dyDescent="0.25">
      <c r="A2847" s="219"/>
      <c r="B2847" s="237"/>
      <c r="C2847" s="36" t="s">
        <v>814</v>
      </c>
      <c r="D2847" s="36" t="s">
        <v>20</v>
      </c>
      <c r="E2847" s="37">
        <v>1</v>
      </c>
      <c r="F2847" s="31" t="s">
        <v>522</v>
      </c>
      <c r="G2847" s="34" t="str">
        <f t="shared" si="49"/>
        <v/>
      </c>
      <c r="H2847" s="35"/>
      <c r="I2847" s="31"/>
      <c r="J2847" s="102">
        <v>0</v>
      </c>
    </row>
    <row r="2848" spans="1:10" ht="15.75" hidden="1" thickBot="1" x14ac:dyDescent="0.3">
      <c r="A2848" s="220"/>
      <c r="B2848" s="223"/>
      <c r="C2848" s="36"/>
      <c r="D2848" s="36"/>
      <c r="E2848" s="37"/>
      <c r="F2848" s="31" t="s">
        <v>522</v>
      </c>
      <c r="G2848" s="34" t="str">
        <f t="shared" si="49"/>
        <v/>
      </c>
      <c r="H2848" s="35"/>
      <c r="I2848" s="31"/>
      <c r="J2848" s="102">
        <v>0</v>
      </c>
    </row>
    <row r="2849" spans="1:10" ht="15.75" hidden="1" thickBot="1" x14ac:dyDescent="0.3">
      <c r="A2849" s="218" t="s">
        <v>815</v>
      </c>
      <c r="B2849" s="221" t="e">
        <f>INDEX(#REF!,MATCH(Composições!A2849,#REF!,0),2)</f>
        <v>#REF!</v>
      </c>
      <c r="C2849" s="41"/>
      <c r="D2849" s="26" t="s">
        <v>20</v>
      </c>
      <c r="E2849" s="27"/>
      <c r="F2849" s="42" t="s">
        <v>522</v>
      </c>
      <c r="G2849" s="28" t="str">
        <f t="shared" si="49"/>
        <v/>
      </c>
      <c r="H2849" s="29"/>
      <c r="I2849" s="30"/>
      <c r="J2849" s="102">
        <v>0</v>
      </c>
    </row>
    <row r="2850" spans="1:10" hidden="1" x14ac:dyDescent="0.25">
      <c r="A2850" s="219"/>
      <c r="B2850" s="237"/>
      <c r="C2850" s="32"/>
      <c r="D2850" s="32"/>
      <c r="E2850" s="33"/>
      <c r="F2850" s="43" t="s">
        <v>522</v>
      </c>
      <c r="G2850" s="34" t="str">
        <f t="shared" si="49"/>
        <v/>
      </c>
      <c r="H2850" s="35"/>
      <c r="I2850" s="31"/>
      <c r="J2850" s="102">
        <v>0</v>
      </c>
    </row>
    <row r="2851" spans="1:10" hidden="1" x14ac:dyDescent="0.25">
      <c r="A2851" s="219"/>
      <c r="B2851" s="237"/>
      <c r="C2851" s="36" t="s">
        <v>68</v>
      </c>
      <c r="D2851" s="36" t="s">
        <v>12</v>
      </c>
      <c r="E2851" s="37">
        <v>0.4</v>
      </c>
      <c r="F2851" s="34">
        <v>19.9025</v>
      </c>
      <c r="G2851" s="34">
        <f t="shared" si="49"/>
        <v>7.9610000000000003</v>
      </c>
      <c r="H2851" s="39">
        <f>SUM(G2851:G2852)</f>
        <v>7.9610000000000003</v>
      </c>
      <c r="I2851" s="40"/>
      <c r="J2851" s="102">
        <v>0</v>
      </c>
    </row>
    <row r="2852" spans="1:10" ht="25.5" hidden="1" x14ac:dyDescent="0.25">
      <c r="A2852" s="219"/>
      <c r="B2852" s="237"/>
      <c r="C2852" s="36" t="s">
        <v>816</v>
      </c>
      <c r="D2852" s="36" t="s">
        <v>20</v>
      </c>
      <c r="E2852" s="37">
        <v>1</v>
      </c>
      <c r="F2852" s="31" t="s">
        <v>522</v>
      </c>
      <c r="G2852" s="34" t="str">
        <f t="shared" si="49"/>
        <v/>
      </c>
      <c r="H2852" s="35"/>
      <c r="I2852" s="31"/>
      <c r="J2852" s="102">
        <v>0</v>
      </c>
    </row>
    <row r="2853" spans="1:10" ht="15.75" hidden="1" thickBot="1" x14ac:dyDescent="0.3">
      <c r="A2853" s="220"/>
      <c r="B2853" s="223"/>
      <c r="C2853" s="36"/>
      <c r="D2853" s="36"/>
      <c r="E2853" s="37"/>
      <c r="F2853" s="31" t="s">
        <v>522</v>
      </c>
      <c r="G2853" s="34" t="str">
        <f t="shared" si="49"/>
        <v/>
      </c>
      <c r="H2853" s="35"/>
      <c r="I2853" s="31"/>
      <c r="J2853" s="102">
        <v>0</v>
      </c>
    </row>
    <row r="2854" spans="1:10" ht="15.75" hidden="1" thickBot="1" x14ac:dyDescent="0.3">
      <c r="A2854" s="218" t="s">
        <v>817</v>
      </c>
      <c r="B2854" s="221" t="e">
        <f>INDEX(#REF!,MATCH(Composições!A2854,#REF!,0),2)</f>
        <v>#REF!</v>
      </c>
      <c r="C2854" s="41"/>
      <c r="D2854" s="26" t="s">
        <v>20</v>
      </c>
      <c r="E2854" s="27"/>
      <c r="F2854" s="42" t="s">
        <v>522</v>
      </c>
      <c r="G2854" s="28" t="str">
        <f t="shared" si="49"/>
        <v/>
      </c>
      <c r="H2854" s="29"/>
      <c r="I2854" s="30"/>
      <c r="J2854" s="102">
        <v>0</v>
      </c>
    </row>
    <row r="2855" spans="1:10" hidden="1" x14ac:dyDescent="0.25">
      <c r="A2855" s="219"/>
      <c r="B2855" s="237"/>
      <c r="C2855" s="32"/>
      <c r="D2855" s="32"/>
      <c r="E2855" s="33"/>
      <c r="F2855" s="43" t="s">
        <v>522</v>
      </c>
      <c r="G2855" s="34" t="str">
        <f t="shared" si="49"/>
        <v/>
      </c>
      <c r="H2855" s="35"/>
      <c r="I2855" s="31"/>
      <c r="J2855" s="102">
        <v>0</v>
      </c>
    </row>
    <row r="2856" spans="1:10" hidden="1" x14ac:dyDescent="0.25">
      <c r="A2856" s="219"/>
      <c r="B2856" s="237"/>
      <c r="C2856" s="36" t="s">
        <v>68</v>
      </c>
      <c r="D2856" s="36" t="s">
        <v>12</v>
      </c>
      <c r="E2856" s="37">
        <v>0.4</v>
      </c>
      <c r="F2856" s="34">
        <v>19.9025</v>
      </c>
      <c r="G2856" s="34">
        <f t="shared" si="49"/>
        <v>7.9610000000000003</v>
      </c>
      <c r="H2856" s="39">
        <f>SUM(G2856:G2857)</f>
        <v>7.9610000000000003</v>
      </c>
      <c r="I2856" s="40"/>
      <c r="J2856" s="102">
        <v>0</v>
      </c>
    </row>
    <row r="2857" spans="1:10" ht="25.5" hidden="1" x14ac:dyDescent="0.25">
      <c r="A2857" s="219"/>
      <c r="B2857" s="237"/>
      <c r="C2857" s="36" t="s">
        <v>818</v>
      </c>
      <c r="D2857" s="36" t="s">
        <v>20</v>
      </c>
      <c r="E2857" s="37">
        <v>1</v>
      </c>
      <c r="F2857" s="31" t="s">
        <v>522</v>
      </c>
      <c r="G2857" s="34" t="str">
        <f t="shared" si="49"/>
        <v/>
      </c>
      <c r="H2857" s="35"/>
      <c r="I2857" s="31"/>
      <c r="J2857" s="102">
        <v>0</v>
      </c>
    </row>
    <row r="2858" spans="1:10" ht="15.75" hidden="1" thickBot="1" x14ac:dyDescent="0.3">
      <c r="A2858" s="220"/>
      <c r="B2858" s="223"/>
      <c r="C2858" s="36"/>
      <c r="D2858" s="36"/>
      <c r="E2858" s="37"/>
      <c r="F2858" s="31" t="s">
        <v>522</v>
      </c>
      <c r="G2858" s="34" t="str">
        <f t="shared" si="49"/>
        <v/>
      </c>
      <c r="H2858" s="35"/>
      <c r="I2858" s="31"/>
      <c r="J2858" s="102">
        <v>0</v>
      </c>
    </row>
    <row r="2859" spans="1:10" ht="15.75" hidden="1" thickBot="1" x14ac:dyDescent="0.3">
      <c r="A2859" s="218" t="s">
        <v>819</v>
      </c>
      <c r="B2859" s="221" t="e">
        <f>INDEX(#REF!,MATCH(Composições!A2859,#REF!,0),2)</f>
        <v>#REF!</v>
      </c>
      <c r="C2859" s="41"/>
      <c r="D2859" s="26" t="s">
        <v>20</v>
      </c>
      <c r="E2859" s="27"/>
      <c r="F2859" s="42" t="s">
        <v>522</v>
      </c>
      <c r="G2859" s="28" t="str">
        <f t="shared" si="49"/>
        <v/>
      </c>
      <c r="H2859" s="29"/>
      <c r="I2859" s="30"/>
      <c r="J2859" s="102">
        <v>0</v>
      </c>
    </row>
    <row r="2860" spans="1:10" hidden="1" x14ac:dyDescent="0.25">
      <c r="A2860" s="219"/>
      <c r="B2860" s="237"/>
      <c r="C2860" s="32"/>
      <c r="D2860" s="32"/>
      <c r="E2860" s="33"/>
      <c r="F2860" s="43" t="s">
        <v>522</v>
      </c>
      <c r="G2860" s="34" t="str">
        <f t="shared" si="49"/>
        <v/>
      </c>
      <c r="H2860" s="35"/>
      <c r="I2860" s="31"/>
      <c r="J2860" s="102">
        <v>0</v>
      </c>
    </row>
    <row r="2861" spans="1:10" hidden="1" x14ac:dyDescent="0.25">
      <c r="A2861" s="219"/>
      <c r="B2861" s="237"/>
      <c r="C2861" s="36" t="s">
        <v>68</v>
      </c>
      <c r="D2861" s="36" t="s">
        <v>12</v>
      </c>
      <c r="E2861" s="37">
        <v>0.25</v>
      </c>
      <c r="F2861" s="34">
        <v>19.9025</v>
      </c>
      <c r="G2861" s="34">
        <f t="shared" si="49"/>
        <v>4.975625</v>
      </c>
      <c r="H2861" s="39">
        <f>SUM(G2861:G2862)</f>
        <v>4.975625</v>
      </c>
      <c r="I2861" s="40"/>
      <c r="J2861" s="102">
        <v>0</v>
      </c>
    </row>
    <row r="2862" spans="1:10" ht="38.25" hidden="1" x14ac:dyDescent="0.25">
      <c r="A2862" s="219"/>
      <c r="B2862" s="237"/>
      <c r="C2862" s="36" t="s">
        <v>820</v>
      </c>
      <c r="D2862" s="36" t="s">
        <v>20</v>
      </c>
      <c r="E2862" s="37">
        <v>1</v>
      </c>
      <c r="F2862" s="31" t="s">
        <v>522</v>
      </c>
      <c r="G2862" s="34" t="str">
        <f t="shared" si="49"/>
        <v/>
      </c>
      <c r="H2862" s="35"/>
      <c r="I2862" s="31"/>
      <c r="J2862" s="102">
        <v>0</v>
      </c>
    </row>
    <row r="2863" spans="1:10" ht="15.75" hidden="1" thickBot="1" x14ac:dyDescent="0.3">
      <c r="A2863" s="220"/>
      <c r="B2863" s="223"/>
      <c r="C2863" s="36"/>
      <c r="D2863" s="36"/>
      <c r="E2863" s="37"/>
      <c r="F2863" s="31" t="s">
        <v>522</v>
      </c>
      <c r="G2863" s="34" t="str">
        <f t="shared" si="49"/>
        <v/>
      </c>
      <c r="H2863" s="35"/>
      <c r="I2863" s="31"/>
      <c r="J2863" s="102">
        <v>0</v>
      </c>
    </row>
    <row r="2864" spans="1:10" ht="15.75" hidden="1" thickBot="1" x14ac:dyDescent="0.3">
      <c r="A2864" s="218" t="s">
        <v>821</v>
      </c>
      <c r="B2864" s="221" t="e">
        <f>INDEX(#REF!,MATCH(Composições!A2864,#REF!,0),2)</f>
        <v>#REF!</v>
      </c>
      <c r="C2864" s="41"/>
      <c r="D2864" s="26" t="s">
        <v>20</v>
      </c>
      <c r="E2864" s="27"/>
      <c r="F2864" s="42" t="s">
        <v>522</v>
      </c>
      <c r="G2864" s="28" t="str">
        <f t="shared" si="49"/>
        <v/>
      </c>
      <c r="H2864" s="29"/>
      <c r="I2864" s="30"/>
      <c r="J2864" s="102">
        <v>0</v>
      </c>
    </row>
    <row r="2865" spans="1:10" hidden="1" x14ac:dyDescent="0.25">
      <c r="A2865" s="219"/>
      <c r="B2865" s="237"/>
      <c r="C2865" s="32"/>
      <c r="D2865" s="32"/>
      <c r="E2865" s="33"/>
      <c r="F2865" s="43" t="s">
        <v>522</v>
      </c>
      <c r="G2865" s="34" t="str">
        <f t="shared" si="49"/>
        <v/>
      </c>
      <c r="H2865" s="35"/>
      <c r="I2865" s="31"/>
      <c r="J2865" s="102">
        <v>0</v>
      </c>
    </row>
    <row r="2866" spans="1:10" hidden="1" x14ac:dyDescent="0.25">
      <c r="A2866" s="219"/>
      <c r="B2866" s="237"/>
      <c r="C2866" s="36" t="s">
        <v>68</v>
      </c>
      <c r="D2866" s="36" t="s">
        <v>12</v>
      </c>
      <c r="E2866" s="37">
        <v>0.25</v>
      </c>
      <c r="F2866" s="34">
        <v>19.9025</v>
      </c>
      <c r="G2866" s="34">
        <f t="shared" si="49"/>
        <v>4.975625</v>
      </c>
      <c r="H2866" s="39">
        <f>SUM(G2866:G2867)</f>
        <v>4.975625</v>
      </c>
      <c r="I2866" s="40"/>
      <c r="J2866" s="102">
        <v>0</v>
      </c>
    </row>
    <row r="2867" spans="1:10" ht="38.25" hidden="1" x14ac:dyDescent="0.25">
      <c r="A2867" s="219"/>
      <c r="B2867" s="237"/>
      <c r="C2867" s="36" t="s">
        <v>822</v>
      </c>
      <c r="D2867" s="36" t="s">
        <v>20</v>
      </c>
      <c r="E2867" s="37">
        <v>1</v>
      </c>
      <c r="F2867" s="31" t="s">
        <v>522</v>
      </c>
      <c r="G2867" s="34" t="str">
        <f t="shared" si="49"/>
        <v/>
      </c>
      <c r="H2867" s="35"/>
      <c r="I2867" s="31"/>
      <c r="J2867" s="102">
        <v>0</v>
      </c>
    </row>
    <row r="2868" spans="1:10" ht="15.75" hidden="1" thickBot="1" x14ac:dyDescent="0.3">
      <c r="A2868" s="220"/>
      <c r="B2868" s="223"/>
      <c r="C2868" s="36"/>
      <c r="D2868" s="36"/>
      <c r="E2868" s="37"/>
      <c r="F2868" s="31" t="s">
        <v>522</v>
      </c>
      <c r="G2868" s="34" t="str">
        <f t="shared" si="49"/>
        <v/>
      </c>
      <c r="H2868" s="35"/>
      <c r="I2868" s="31"/>
      <c r="J2868" s="102">
        <v>0</v>
      </c>
    </row>
    <row r="2869" spans="1:10" ht="15.75" hidden="1" thickBot="1" x14ac:dyDescent="0.3">
      <c r="A2869" s="218" t="s">
        <v>823</v>
      </c>
      <c r="B2869" s="221" t="e">
        <f>INDEX(#REF!,MATCH(Composições!A2869,#REF!,0),2)</f>
        <v>#REF!</v>
      </c>
      <c r="C2869" s="41"/>
      <c r="D2869" s="26" t="s">
        <v>20</v>
      </c>
      <c r="E2869" s="27"/>
      <c r="F2869" s="42" t="s">
        <v>522</v>
      </c>
      <c r="G2869" s="28" t="str">
        <f t="shared" si="49"/>
        <v/>
      </c>
      <c r="H2869" s="29"/>
      <c r="I2869" s="30"/>
      <c r="J2869" s="102">
        <v>0</v>
      </c>
    </row>
    <row r="2870" spans="1:10" hidden="1" x14ac:dyDescent="0.25">
      <c r="A2870" s="219"/>
      <c r="B2870" s="237"/>
      <c r="C2870" s="32"/>
      <c r="D2870" s="32"/>
      <c r="E2870" s="33"/>
      <c r="F2870" s="43" t="s">
        <v>522</v>
      </c>
      <c r="G2870" s="34" t="str">
        <f t="shared" si="49"/>
        <v/>
      </c>
      <c r="H2870" s="35"/>
      <c r="I2870" s="31"/>
      <c r="J2870" s="102">
        <v>0</v>
      </c>
    </row>
    <row r="2871" spans="1:10" hidden="1" x14ac:dyDescent="0.25">
      <c r="A2871" s="219"/>
      <c r="B2871" s="237"/>
      <c r="C2871" s="36" t="s">
        <v>68</v>
      </c>
      <c r="D2871" s="36" t="s">
        <v>12</v>
      </c>
      <c r="E2871" s="37">
        <v>0.25</v>
      </c>
      <c r="F2871" s="34">
        <v>19.9025</v>
      </c>
      <c r="G2871" s="34">
        <f t="shared" si="49"/>
        <v>4.975625</v>
      </c>
      <c r="H2871" s="39">
        <f>SUM(G2871:G2872)</f>
        <v>4.975625</v>
      </c>
      <c r="I2871" s="40"/>
      <c r="J2871" s="102">
        <v>0</v>
      </c>
    </row>
    <row r="2872" spans="1:10" ht="38.25" hidden="1" x14ac:dyDescent="0.25">
      <c r="A2872" s="219"/>
      <c r="B2872" s="237"/>
      <c r="C2872" s="36" t="s">
        <v>824</v>
      </c>
      <c r="D2872" s="36" t="s">
        <v>20</v>
      </c>
      <c r="E2872" s="37">
        <v>1</v>
      </c>
      <c r="F2872" s="31" t="s">
        <v>522</v>
      </c>
      <c r="G2872" s="34" t="str">
        <f t="shared" si="49"/>
        <v/>
      </c>
      <c r="H2872" s="35"/>
      <c r="I2872" s="31"/>
      <c r="J2872" s="102">
        <v>0</v>
      </c>
    </row>
    <row r="2873" spans="1:10" ht="15.75" hidden="1" thickBot="1" x14ac:dyDescent="0.3">
      <c r="A2873" s="220"/>
      <c r="B2873" s="223"/>
      <c r="C2873" s="36"/>
      <c r="D2873" s="36"/>
      <c r="E2873" s="37"/>
      <c r="F2873" s="31" t="s">
        <v>522</v>
      </c>
      <c r="G2873" s="34" t="str">
        <f t="shared" si="49"/>
        <v/>
      </c>
      <c r="H2873" s="35"/>
      <c r="I2873" s="31"/>
      <c r="J2873" s="102">
        <v>0</v>
      </c>
    </row>
    <row r="2874" spans="1:10" ht="15.75" hidden="1" thickBot="1" x14ac:dyDescent="0.3">
      <c r="A2874" s="218" t="s">
        <v>825</v>
      </c>
      <c r="B2874" s="221" t="e">
        <f>INDEX(#REF!,MATCH(Composições!A2874,#REF!,0),2)</f>
        <v>#REF!</v>
      </c>
      <c r="C2874" s="41"/>
      <c r="D2874" s="26" t="s">
        <v>20</v>
      </c>
      <c r="E2874" s="27"/>
      <c r="F2874" s="42" t="s">
        <v>522</v>
      </c>
      <c r="G2874" s="28" t="str">
        <f t="shared" si="49"/>
        <v/>
      </c>
      <c r="H2874" s="29"/>
      <c r="I2874" s="30"/>
      <c r="J2874" s="102">
        <v>0</v>
      </c>
    </row>
    <row r="2875" spans="1:10" hidden="1" x14ac:dyDescent="0.25">
      <c r="A2875" s="219"/>
      <c r="B2875" s="237"/>
      <c r="C2875" s="32"/>
      <c r="D2875" s="32"/>
      <c r="E2875" s="33"/>
      <c r="F2875" s="43" t="s">
        <v>522</v>
      </c>
      <c r="G2875" s="34" t="str">
        <f t="shared" si="49"/>
        <v/>
      </c>
      <c r="H2875" s="35"/>
      <c r="I2875" s="31"/>
      <c r="J2875" s="102">
        <v>0</v>
      </c>
    </row>
    <row r="2876" spans="1:10" hidden="1" x14ac:dyDescent="0.25">
      <c r="A2876" s="219"/>
      <c r="B2876" s="237"/>
      <c r="C2876" s="36" t="s">
        <v>68</v>
      </c>
      <c r="D2876" s="36" t="s">
        <v>12</v>
      </c>
      <c r="E2876" s="37">
        <v>0.25</v>
      </c>
      <c r="F2876" s="34">
        <v>19.9025</v>
      </c>
      <c r="G2876" s="34">
        <f t="shared" si="49"/>
        <v>4.975625</v>
      </c>
      <c r="H2876" s="39">
        <f>SUM(G2876:G2877)</f>
        <v>5.9256250000000001</v>
      </c>
      <c r="I2876" s="40"/>
      <c r="J2876" s="102">
        <v>0</v>
      </c>
    </row>
    <row r="2877" spans="1:10" ht="25.5" hidden="1" x14ac:dyDescent="0.25">
      <c r="A2877" s="219"/>
      <c r="B2877" s="237"/>
      <c r="C2877" s="36" t="s">
        <v>826</v>
      </c>
      <c r="D2877" s="36" t="s">
        <v>20</v>
      </c>
      <c r="E2877" s="37">
        <v>1</v>
      </c>
      <c r="F2877" s="31">
        <v>0.95</v>
      </c>
      <c r="G2877" s="34">
        <f t="shared" si="49"/>
        <v>0.95</v>
      </c>
      <c r="H2877" s="35"/>
      <c r="I2877" s="31"/>
      <c r="J2877" s="102">
        <v>0</v>
      </c>
    </row>
    <row r="2878" spans="1:10" ht="15.75" hidden="1" thickBot="1" x14ac:dyDescent="0.3">
      <c r="A2878" s="220"/>
      <c r="B2878" s="223"/>
      <c r="C2878" s="36"/>
      <c r="D2878" s="36"/>
      <c r="E2878" s="37"/>
      <c r="F2878" s="31" t="s">
        <v>522</v>
      </c>
      <c r="G2878" s="34" t="str">
        <f t="shared" si="49"/>
        <v/>
      </c>
      <c r="H2878" s="35"/>
      <c r="I2878" s="31"/>
      <c r="J2878" s="102">
        <v>0</v>
      </c>
    </row>
    <row r="2879" spans="1:10" ht="15.75" hidden="1" thickBot="1" x14ac:dyDescent="0.3">
      <c r="A2879" s="218" t="s">
        <v>827</v>
      </c>
      <c r="B2879" s="221" t="e">
        <f>INDEX(#REF!,MATCH(Composições!A2879,#REF!,0),2)</f>
        <v>#REF!</v>
      </c>
      <c r="C2879" s="41"/>
      <c r="D2879" s="26" t="s">
        <v>20</v>
      </c>
      <c r="E2879" s="27"/>
      <c r="F2879" s="42" t="s">
        <v>522</v>
      </c>
      <c r="G2879" s="28" t="str">
        <f t="shared" si="49"/>
        <v/>
      </c>
      <c r="H2879" s="29"/>
      <c r="I2879" s="30"/>
      <c r="J2879" s="102">
        <v>0</v>
      </c>
    </row>
    <row r="2880" spans="1:10" hidden="1" x14ac:dyDescent="0.25">
      <c r="A2880" s="219"/>
      <c r="B2880" s="237"/>
      <c r="C2880" s="32"/>
      <c r="D2880" s="32"/>
      <c r="E2880" s="33"/>
      <c r="F2880" s="43" t="s">
        <v>522</v>
      </c>
      <c r="G2880" s="34" t="str">
        <f t="shared" si="49"/>
        <v/>
      </c>
      <c r="H2880" s="35"/>
      <c r="I2880" s="31"/>
      <c r="J2880" s="102">
        <v>0</v>
      </c>
    </row>
    <row r="2881" spans="1:10" hidden="1" x14ac:dyDescent="0.25">
      <c r="A2881" s="219"/>
      <c r="B2881" s="237"/>
      <c r="C2881" s="36" t="s">
        <v>68</v>
      </c>
      <c r="D2881" s="36" t="s">
        <v>12</v>
      </c>
      <c r="E2881" s="37">
        <v>1.8180000000000001</v>
      </c>
      <c r="F2881" s="34">
        <v>19.9025</v>
      </c>
      <c r="G2881" s="34">
        <f t="shared" si="49"/>
        <v>36.182745000000004</v>
      </c>
      <c r="H2881" s="39">
        <f>SUM(G2881:G2884)</f>
        <v>64.770154500000004</v>
      </c>
      <c r="I2881" s="40"/>
      <c r="J2881" s="102">
        <v>0</v>
      </c>
    </row>
    <row r="2882" spans="1:10" hidden="1" x14ac:dyDescent="0.25">
      <c r="A2882" s="219"/>
      <c r="B2882" s="237"/>
      <c r="C2882" s="36" t="s">
        <v>23</v>
      </c>
      <c r="D2882" s="36" t="s">
        <v>12</v>
      </c>
      <c r="E2882" s="37">
        <v>1.7669999999999999</v>
      </c>
      <c r="F2882" s="31">
        <v>16.1785</v>
      </c>
      <c r="G2882" s="34">
        <f t="shared" si="49"/>
        <v>28.587409499999996</v>
      </c>
      <c r="H2882" s="35"/>
      <c r="I2882" s="31"/>
      <c r="J2882" s="102">
        <v>0</v>
      </c>
    </row>
    <row r="2883" spans="1:10" hidden="1" x14ac:dyDescent="0.25">
      <c r="A2883" s="219"/>
      <c r="B2883" s="237"/>
      <c r="C2883" s="36" t="s">
        <v>2334</v>
      </c>
      <c r="D2883" s="36" t="s">
        <v>20</v>
      </c>
      <c r="E2883" s="37">
        <v>1</v>
      </c>
      <c r="F2883" s="31" t="s">
        <v>522</v>
      </c>
      <c r="G2883" s="31" t="str">
        <f t="shared" si="49"/>
        <v/>
      </c>
      <c r="H2883" s="35"/>
      <c r="I2883" s="31"/>
      <c r="J2883" s="102">
        <v>0</v>
      </c>
    </row>
    <row r="2884" spans="1:10" ht="38.25" hidden="1" x14ac:dyDescent="0.25">
      <c r="A2884" s="219"/>
      <c r="B2884" s="237"/>
      <c r="C2884" s="36" t="s">
        <v>2333</v>
      </c>
      <c r="D2884" s="36" t="s">
        <v>20</v>
      </c>
      <c r="E2884" s="37">
        <v>1</v>
      </c>
      <c r="F2884" s="31" t="s">
        <v>522</v>
      </c>
      <c r="G2884" s="34" t="str">
        <f t="shared" si="49"/>
        <v/>
      </c>
      <c r="H2884" s="35"/>
      <c r="I2884" s="31"/>
      <c r="J2884" s="102">
        <v>0</v>
      </c>
    </row>
    <row r="2885" spans="1:10" ht="15.75" hidden="1" thickBot="1" x14ac:dyDescent="0.3">
      <c r="A2885" s="220"/>
      <c r="B2885" s="223"/>
      <c r="C2885" s="36"/>
      <c r="D2885" s="36"/>
      <c r="E2885" s="37"/>
      <c r="F2885" s="31" t="s">
        <v>522</v>
      </c>
      <c r="G2885" s="34" t="str">
        <f t="shared" si="49"/>
        <v/>
      </c>
      <c r="H2885" s="35"/>
      <c r="I2885" s="31"/>
      <c r="J2885" s="102">
        <v>0</v>
      </c>
    </row>
    <row r="2886" spans="1:10" ht="15.75" hidden="1" thickBot="1" x14ac:dyDescent="0.3">
      <c r="A2886" s="218" t="s">
        <v>828</v>
      </c>
      <c r="B2886" s="221" t="e">
        <f>INDEX(#REF!,MATCH(Composições!A2886,#REF!,0),2)</f>
        <v>#REF!</v>
      </c>
      <c r="C2886" s="41"/>
      <c r="D2886" s="26" t="s">
        <v>20</v>
      </c>
      <c r="E2886" s="27"/>
      <c r="F2886" s="42" t="s">
        <v>522</v>
      </c>
      <c r="G2886" s="28" t="str">
        <f t="shared" ref="G2886:G2949" si="50">IF(ISNUMBER(F2886),E2886*F2886,"")</f>
        <v/>
      </c>
      <c r="H2886" s="29"/>
      <c r="I2886" s="30"/>
      <c r="J2886" s="102">
        <v>0</v>
      </c>
    </row>
    <row r="2887" spans="1:10" hidden="1" x14ac:dyDescent="0.25">
      <c r="A2887" s="219"/>
      <c r="B2887" s="237"/>
      <c r="C2887" s="32"/>
      <c r="D2887" s="32"/>
      <c r="E2887" s="33"/>
      <c r="F2887" s="43" t="s">
        <v>522</v>
      </c>
      <c r="G2887" s="34" t="str">
        <f t="shared" si="50"/>
        <v/>
      </c>
      <c r="H2887" s="35"/>
      <c r="I2887" s="31"/>
      <c r="J2887" s="102">
        <v>0</v>
      </c>
    </row>
    <row r="2888" spans="1:10" hidden="1" x14ac:dyDescent="0.25">
      <c r="A2888" s="219"/>
      <c r="B2888" s="237"/>
      <c r="C2888" s="36" t="s">
        <v>68</v>
      </c>
      <c r="D2888" s="36" t="s">
        <v>12</v>
      </c>
      <c r="E2888" s="37">
        <v>0.2</v>
      </c>
      <c r="F2888" s="34">
        <v>19.9025</v>
      </c>
      <c r="G2888" s="34">
        <f t="shared" si="50"/>
        <v>3.9805000000000001</v>
      </c>
      <c r="H2888" s="39">
        <f>SUM(G2888:G2889)</f>
        <v>3.9805000000000001</v>
      </c>
      <c r="I2888" s="40"/>
      <c r="J2888" s="102">
        <v>0</v>
      </c>
    </row>
    <row r="2889" spans="1:10" ht="38.25" hidden="1" x14ac:dyDescent="0.25">
      <c r="A2889" s="219"/>
      <c r="B2889" s="237"/>
      <c r="C2889" s="36" t="s">
        <v>829</v>
      </c>
      <c r="D2889" s="36" t="s">
        <v>20</v>
      </c>
      <c r="E2889" s="37">
        <v>1</v>
      </c>
      <c r="F2889" s="31" t="s">
        <v>522</v>
      </c>
      <c r="G2889" s="34" t="str">
        <f t="shared" si="50"/>
        <v/>
      </c>
      <c r="H2889" s="35"/>
      <c r="I2889" s="31"/>
      <c r="J2889" s="102">
        <v>0</v>
      </c>
    </row>
    <row r="2890" spans="1:10" ht="15.75" hidden="1" thickBot="1" x14ac:dyDescent="0.3">
      <c r="A2890" s="220"/>
      <c r="B2890" s="223"/>
      <c r="C2890" s="36"/>
      <c r="D2890" s="36"/>
      <c r="E2890" s="37"/>
      <c r="F2890" s="31" t="s">
        <v>522</v>
      </c>
      <c r="G2890" s="34" t="str">
        <f t="shared" si="50"/>
        <v/>
      </c>
      <c r="H2890" s="35"/>
      <c r="I2890" s="31"/>
      <c r="J2890" s="102">
        <v>0</v>
      </c>
    </row>
    <row r="2891" spans="1:10" ht="15.75" hidden="1" thickBot="1" x14ac:dyDescent="0.3">
      <c r="A2891" s="218" t="s">
        <v>830</v>
      </c>
      <c r="B2891" s="221" t="e">
        <f>INDEX(#REF!,MATCH(Composições!A2891,#REF!,0),2)</f>
        <v>#REF!</v>
      </c>
      <c r="C2891" s="41"/>
      <c r="D2891" s="26" t="s">
        <v>20</v>
      </c>
      <c r="E2891" s="27"/>
      <c r="F2891" s="42" t="s">
        <v>522</v>
      </c>
      <c r="G2891" s="28" t="str">
        <f t="shared" si="50"/>
        <v/>
      </c>
      <c r="H2891" s="29"/>
      <c r="I2891" s="30"/>
      <c r="J2891" s="102">
        <v>0</v>
      </c>
    </row>
    <row r="2892" spans="1:10" hidden="1" x14ac:dyDescent="0.25">
      <c r="A2892" s="219"/>
      <c r="B2892" s="237"/>
      <c r="C2892" s="32"/>
      <c r="D2892" s="32"/>
      <c r="E2892" s="33"/>
      <c r="F2892" s="43" t="s">
        <v>522</v>
      </c>
      <c r="G2892" s="34" t="str">
        <f t="shared" si="50"/>
        <v/>
      </c>
      <c r="H2892" s="35"/>
      <c r="I2892" s="31"/>
      <c r="J2892" s="102">
        <v>0</v>
      </c>
    </row>
    <row r="2893" spans="1:10" hidden="1" x14ac:dyDescent="0.25">
      <c r="A2893" s="219"/>
      <c r="B2893" s="237"/>
      <c r="C2893" s="36" t="s">
        <v>68</v>
      </c>
      <c r="D2893" s="47" t="s">
        <v>12</v>
      </c>
      <c r="E2893" s="37">
        <v>0.4</v>
      </c>
      <c r="F2893" s="34">
        <v>19.9025</v>
      </c>
      <c r="G2893" s="34">
        <f t="shared" si="50"/>
        <v>7.9610000000000003</v>
      </c>
      <c r="H2893" s="39">
        <f>SUM(G2893:G2894)</f>
        <v>7.9610000000000003</v>
      </c>
      <c r="I2893" s="40"/>
      <c r="J2893" s="102">
        <v>0</v>
      </c>
    </row>
    <row r="2894" spans="1:10" hidden="1" x14ac:dyDescent="0.25">
      <c r="A2894" s="219"/>
      <c r="B2894" s="237"/>
      <c r="C2894" s="36" t="s">
        <v>831</v>
      </c>
      <c r="D2894" s="47" t="s">
        <v>20</v>
      </c>
      <c r="E2894" s="37">
        <v>1</v>
      </c>
      <c r="F2894" s="31" t="s">
        <v>522</v>
      </c>
      <c r="G2894" s="34" t="str">
        <f t="shared" si="50"/>
        <v/>
      </c>
      <c r="H2894" s="35"/>
      <c r="I2894" s="31"/>
      <c r="J2894" s="102">
        <v>0</v>
      </c>
    </row>
    <row r="2895" spans="1:10" ht="15.75" hidden="1" thickBot="1" x14ac:dyDescent="0.3">
      <c r="A2895" s="220"/>
      <c r="B2895" s="223"/>
      <c r="C2895" s="36"/>
      <c r="D2895" s="36"/>
      <c r="E2895" s="37"/>
      <c r="F2895" s="31" t="s">
        <v>522</v>
      </c>
      <c r="G2895" s="34" t="str">
        <f t="shared" si="50"/>
        <v/>
      </c>
      <c r="H2895" s="35"/>
      <c r="I2895" s="31"/>
      <c r="J2895" s="102">
        <v>0</v>
      </c>
    </row>
    <row r="2896" spans="1:10" ht="15.75" hidden="1" thickBot="1" x14ac:dyDescent="0.3">
      <c r="A2896" s="218" t="s">
        <v>832</v>
      </c>
      <c r="B2896" s="221" t="e">
        <f>INDEX(#REF!,MATCH(Composições!A2896,#REF!,0),2)</f>
        <v>#REF!</v>
      </c>
      <c r="C2896" s="41"/>
      <c r="D2896" s="26" t="s">
        <v>20</v>
      </c>
      <c r="E2896" s="27"/>
      <c r="F2896" s="42" t="s">
        <v>522</v>
      </c>
      <c r="G2896" s="28" t="str">
        <f t="shared" si="50"/>
        <v/>
      </c>
      <c r="H2896" s="29"/>
      <c r="I2896" s="30"/>
      <c r="J2896" s="102">
        <v>0</v>
      </c>
    </row>
    <row r="2897" spans="1:10" hidden="1" x14ac:dyDescent="0.25">
      <c r="A2897" s="219"/>
      <c r="B2897" s="237"/>
      <c r="C2897" s="32"/>
      <c r="D2897" s="32"/>
      <c r="E2897" s="33"/>
      <c r="F2897" s="43" t="s">
        <v>522</v>
      </c>
      <c r="G2897" s="34" t="str">
        <f t="shared" si="50"/>
        <v/>
      </c>
      <c r="H2897" s="35"/>
      <c r="I2897" s="31"/>
      <c r="J2897" s="102">
        <v>0</v>
      </c>
    </row>
    <row r="2898" spans="1:10" hidden="1" x14ac:dyDescent="0.25">
      <c r="A2898" s="219"/>
      <c r="B2898" s="237"/>
      <c r="C2898" s="36" t="s">
        <v>68</v>
      </c>
      <c r="D2898" s="36" t="s">
        <v>12</v>
      </c>
      <c r="E2898" s="37">
        <v>0.3</v>
      </c>
      <c r="F2898" s="34">
        <v>19.9025</v>
      </c>
      <c r="G2898" s="34">
        <f t="shared" si="50"/>
        <v>5.9707499999999998</v>
      </c>
      <c r="H2898" s="39">
        <f>SUM(G2898:G2899)</f>
        <v>6.92075</v>
      </c>
      <c r="I2898" s="40"/>
      <c r="J2898" s="102">
        <v>0</v>
      </c>
    </row>
    <row r="2899" spans="1:10" ht="25.5" hidden="1" x14ac:dyDescent="0.25">
      <c r="A2899" s="219"/>
      <c r="B2899" s="237"/>
      <c r="C2899" s="36" t="s">
        <v>833</v>
      </c>
      <c r="D2899" s="47" t="s">
        <v>20</v>
      </c>
      <c r="E2899" s="37">
        <v>1</v>
      </c>
      <c r="F2899" s="31">
        <v>0.95</v>
      </c>
      <c r="G2899" s="34">
        <f t="shared" si="50"/>
        <v>0.95</v>
      </c>
      <c r="H2899" s="35"/>
      <c r="I2899" s="31"/>
      <c r="J2899" s="102">
        <v>0</v>
      </c>
    </row>
    <row r="2900" spans="1:10" ht="15.75" hidden="1" thickBot="1" x14ac:dyDescent="0.3">
      <c r="A2900" s="220"/>
      <c r="B2900" s="223"/>
      <c r="C2900" s="36"/>
      <c r="D2900" s="36"/>
      <c r="E2900" s="37"/>
      <c r="F2900" s="31" t="s">
        <v>522</v>
      </c>
      <c r="G2900" s="34" t="str">
        <f t="shared" si="50"/>
        <v/>
      </c>
      <c r="H2900" s="35"/>
      <c r="I2900" s="31"/>
      <c r="J2900" s="102">
        <v>0</v>
      </c>
    </row>
    <row r="2901" spans="1:10" ht="15.75" hidden="1" thickBot="1" x14ac:dyDescent="0.3">
      <c r="A2901" s="218" t="s">
        <v>834</v>
      </c>
      <c r="B2901" s="221" t="e">
        <f>INDEX(#REF!,MATCH(Composições!A2901,#REF!,0),2)</f>
        <v>#REF!</v>
      </c>
      <c r="C2901" s="41"/>
      <c r="D2901" s="26" t="s">
        <v>93</v>
      </c>
      <c r="E2901" s="27"/>
      <c r="F2901" s="42" t="s">
        <v>522</v>
      </c>
      <c r="G2901" s="28" t="str">
        <f t="shared" si="50"/>
        <v/>
      </c>
      <c r="H2901" s="29"/>
      <c r="I2901" s="30"/>
      <c r="J2901" s="102">
        <v>0</v>
      </c>
    </row>
    <row r="2902" spans="1:10" hidden="1" x14ac:dyDescent="0.25">
      <c r="A2902" s="219"/>
      <c r="B2902" s="237"/>
      <c r="C2902" s="32"/>
      <c r="D2902" s="32"/>
      <c r="E2902" s="33"/>
      <c r="F2902" s="43" t="s">
        <v>522</v>
      </c>
      <c r="G2902" s="34" t="str">
        <f t="shared" si="50"/>
        <v/>
      </c>
      <c r="H2902" s="35"/>
      <c r="I2902" s="31"/>
      <c r="J2902" s="102">
        <v>0</v>
      </c>
    </row>
    <row r="2903" spans="1:10" hidden="1" x14ac:dyDescent="0.25">
      <c r="A2903" s="219"/>
      <c r="B2903" s="237"/>
      <c r="C2903" s="36" t="s">
        <v>68</v>
      </c>
      <c r="D2903" s="36" t="s">
        <v>12</v>
      </c>
      <c r="E2903" s="37">
        <v>0.2</v>
      </c>
      <c r="F2903" s="34">
        <v>19.9025</v>
      </c>
      <c r="G2903" s="34">
        <f t="shared" si="50"/>
        <v>3.9805000000000001</v>
      </c>
      <c r="H2903" s="39">
        <f>SUM(G2903:G2904)</f>
        <v>11.949574999999999</v>
      </c>
      <c r="I2903" s="40"/>
      <c r="J2903" s="102">
        <v>0</v>
      </c>
    </row>
    <row r="2904" spans="1:10" hidden="1" x14ac:dyDescent="0.25">
      <c r="A2904" s="219"/>
      <c r="B2904" s="237"/>
      <c r="C2904" s="36" t="s">
        <v>835</v>
      </c>
      <c r="D2904" s="36" t="s">
        <v>42</v>
      </c>
      <c r="E2904" s="37">
        <v>0.19</v>
      </c>
      <c r="F2904" s="31">
        <v>41.942499999999995</v>
      </c>
      <c r="G2904" s="34">
        <f t="shared" si="50"/>
        <v>7.9690749999999992</v>
      </c>
      <c r="H2904" s="35"/>
      <c r="I2904" s="31"/>
      <c r="J2904" s="102">
        <v>0</v>
      </c>
    </row>
    <row r="2905" spans="1:10" hidden="1" x14ac:dyDescent="0.25">
      <c r="A2905" s="219"/>
      <c r="B2905" s="237"/>
      <c r="C2905" s="36"/>
      <c r="D2905" s="36"/>
      <c r="E2905" s="37"/>
      <c r="F2905" s="31" t="s">
        <v>522</v>
      </c>
      <c r="G2905" s="34" t="str">
        <f t="shared" si="50"/>
        <v/>
      </c>
      <c r="H2905" s="35"/>
      <c r="I2905" s="31"/>
      <c r="J2905" s="102">
        <v>0</v>
      </c>
    </row>
    <row r="2906" spans="1:10" ht="25.5" hidden="1" x14ac:dyDescent="0.25">
      <c r="A2906" s="219"/>
      <c r="B2906" s="237"/>
      <c r="C2906" s="48" t="s">
        <v>836</v>
      </c>
      <c r="D2906" s="36"/>
      <c r="E2906" s="37"/>
      <c r="F2906" s="31" t="s">
        <v>522</v>
      </c>
      <c r="G2906" s="34" t="str">
        <f t="shared" si="50"/>
        <v/>
      </c>
      <c r="H2906" s="35"/>
      <c r="I2906" s="31"/>
      <c r="J2906" s="102">
        <v>0</v>
      </c>
    </row>
    <row r="2907" spans="1:10" ht="38.25" hidden="1" x14ac:dyDescent="0.25">
      <c r="A2907" s="219"/>
      <c r="B2907" s="237"/>
      <c r="C2907" s="52" t="s">
        <v>837</v>
      </c>
      <c r="D2907" s="65"/>
      <c r="E2907" s="37"/>
      <c r="F2907" s="31" t="s">
        <v>522</v>
      </c>
      <c r="G2907" s="34" t="str">
        <f t="shared" si="50"/>
        <v/>
      </c>
      <c r="H2907" s="35"/>
      <c r="I2907" s="31"/>
      <c r="J2907" s="102">
        <v>0</v>
      </c>
    </row>
    <row r="2908" spans="1:10" ht="15.75" hidden="1" thickBot="1" x14ac:dyDescent="0.3">
      <c r="A2908" s="220"/>
      <c r="B2908" s="223"/>
      <c r="C2908" s="36"/>
      <c r="D2908" s="36"/>
      <c r="E2908" s="37"/>
      <c r="F2908" s="31" t="s">
        <v>522</v>
      </c>
      <c r="G2908" s="34" t="str">
        <f t="shared" si="50"/>
        <v/>
      </c>
      <c r="H2908" s="35"/>
      <c r="I2908" s="31"/>
      <c r="J2908" s="102">
        <v>0</v>
      </c>
    </row>
    <row r="2909" spans="1:10" ht="15.75" hidden="1" thickBot="1" x14ac:dyDescent="0.3">
      <c r="A2909" s="218" t="s">
        <v>838</v>
      </c>
      <c r="B2909" s="221" t="e">
        <f>INDEX(#REF!,MATCH(Composições!A2909,#REF!,0),2)</f>
        <v>#REF!</v>
      </c>
      <c r="C2909" s="41"/>
      <c r="D2909" s="26" t="s">
        <v>93</v>
      </c>
      <c r="E2909" s="27"/>
      <c r="F2909" s="42" t="s">
        <v>522</v>
      </c>
      <c r="G2909" s="28" t="str">
        <f t="shared" si="50"/>
        <v/>
      </c>
      <c r="H2909" s="29"/>
      <c r="I2909" s="30"/>
      <c r="J2909" s="102">
        <v>0</v>
      </c>
    </row>
    <row r="2910" spans="1:10" hidden="1" x14ac:dyDescent="0.25">
      <c r="A2910" s="224"/>
      <c r="B2910" s="237"/>
      <c r="C2910" s="32"/>
      <c r="D2910" s="32"/>
      <c r="E2910" s="33"/>
      <c r="F2910" s="43" t="s">
        <v>522</v>
      </c>
      <c r="G2910" s="34" t="str">
        <f t="shared" si="50"/>
        <v/>
      </c>
      <c r="H2910" s="35"/>
      <c r="I2910" s="31"/>
      <c r="J2910" s="102">
        <v>0</v>
      </c>
    </row>
    <row r="2911" spans="1:10" hidden="1" x14ac:dyDescent="0.25">
      <c r="A2911" s="224"/>
      <c r="B2911" s="237"/>
      <c r="C2911" s="36" t="s">
        <v>68</v>
      </c>
      <c r="D2911" s="36" t="s">
        <v>12</v>
      </c>
      <c r="E2911" s="37">
        <v>0.3</v>
      </c>
      <c r="F2911" s="34">
        <v>19.9025</v>
      </c>
      <c r="G2911" s="34">
        <f t="shared" si="50"/>
        <v>5.9707499999999998</v>
      </c>
      <c r="H2911" s="39">
        <f>SUM(G2911:G2912)</f>
        <v>38.3923025</v>
      </c>
      <c r="I2911" s="40"/>
      <c r="J2911" s="102">
        <v>0</v>
      </c>
    </row>
    <row r="2912" spans="1:10" hidden="1" x14ac:dyDescent="0.25">
      <c r="A2912" s="224"/>
      <c r="B2912" s="237"/>
      <c r="C2912" s="36" t="s">
        <v>835</v>
      </c>
      <c r="D2912" s="47" t="s">
        <v>42</v>
      </c>
      <c r="E2912" s="37">
        <v>0.77300000000000002</v>
      </c>
      <c r="F2912" s="31">
        <v>41.942499999999995</v>
      </c>
      <c r="G2912" s="34">
        <f t="shared" si="50"/>
        <v>32.421552499999997</v>
      </c>
      <c r="H2912" s="35"/>
      <c r="I2912" s="31"/>
      <c r="J2912" s="102">
        <v>0</v>
      </c>
    </row>
    <row r="2913" spans="1:10" hidden="1" x14ac:dyDescent="0.25">
      <c r="A2913" s="224"/>
      <c r="B2913" s="237"/>
      <c r="C2913" s="36"/>
      <c r="D2913" s="47"/>
      <c r="E2913" s="37"/>
      <c r="F2913" s="31" t="s">
        <v>522</v>
      </c>
      <c r="G2913" s="34" t="str">
        <f t="shared" si="50"/>
        <v/>
      </c>
      <c r="H2913" s="35"/>
      <c r="I2913" s="31"/>
      <c r="J2913" s="102">
        <v>0</v>
      </c>
    </row>
    <row r="2914" spans="1:10" ht="25.5" hidden="1" x14ac:dyDescent="0.25">
      <c r="A2914" s="224"/>
      <c r="B2914" s="237"/>
      <c r="C2914" s="48" t="s">
        <v>839</v>
      </c>
      <c r="D2914" s="47"/>
      <c r="E2914" s="37"/>
      <c r="F2914" s="31" t="s">
        <v>522</v>
      </c>
      <c r="G2914" s="34" t="str">
        <f t="shared" si="50"/>
        <v/>
      </c>
      <c r="H2914" s="35"/>
      <c r="I2914" s="31"/>
      <c r="J2914" s="102">
        <v>0</v>
      </c>
    </row>
    <row r="2915" spans="1:10" ht="25.5" hidden="1" x14ac:dyDescent="0.25">
      <c r="A2915" s="224"/>
      <c r="B2915" s="237"/>
      <c r="C2915" s="52" t="s">
        <v>840</v>
      </c>
      <c r="D2915" s="47"/>
      <c r="E2915" s="37"/>
      <c r="F2915" s="31" t="s">
        <v>522</v>
      </c>
      <c r="G2915" s="34" t="str">
        <f t="shared" si="50"/>
        <v/>
      </c>
      <c r="H2915" s="35"/>
      <c r="I2915" s="31"/>
      <c r="J2915" s="102">
        <v>0</v>
      </c>
    </row>
    <row r="2916" spans="1:10" ht="15.75" hidden="1" thickBot="1" x14ac:dyDescent="0.3">
      <c r="A2916" s="225"/>
      <c r="B2916" s="223"/>
      <c r="C2916" s="36"/>
      <c r="D2916" s="36"/>
      <c r="E2916" s="37"/>
      <c r="F2916" s="31" t="s">
        <v>522</v>
      </c>
      <c r="G2916" s="34" t="str">
        <f t="shared" si="50"/>
        <v/>
      </c>
      <c r="H2916" s="35"/>
      <c r="I2916" s="31"/>
      <c r="J2916" s="102">
        <v>0</v>
      </c>
    </row>
    <row r="2917" spans="1:10" ht="15.75" hidden="1" thickBot="1" x14ac:dyDescent="0.3">
      <c r="A2917" s="218" t="s">
        <v>841</v>
      </c>
      <c r="B2917" s="221" t="e">
        <f>INDEX(#REF!,MATCH(Composições!A2917,#REF!,0),2)</f>
        <v>#REF!</v>
      </c>
      <c r="C2917" s="41"/>
      <c r="D2917" s="26" t="s">
        <v>93</v>
      </c>
      <c r="E2917" s="27"/>
      <c r="F2917" s="42" t="s">
        <v>522</v>
      </c>
      <c r="G2917" s="28" t="str">
        <f t="shared" si="50"/>
        <v/>
      </c>
      <c r="H2917" s="29"/>
      <c r="I2917" s="30"/>
      <c r="J2917" s="102">
        <v>0</v>
      </c>
    </row>
    <row r="2918" spans="1:10" hidden="1" x14ac:dyDescent="0.25">
      <c r="A2918" s="224"/>
      <c r="B2918" s="237"/>
      <c r="C2918" s="32"/>
      <c r="D2918" s="32"/>
      <c r="E2918" s="33"/>
      <c r="F2918" s="43" t="s">
        <v>522</v>
      </c>
      <c r="G2918" s="34" t="str">
        <f t="shared" si="50"/>
        <v/>
      </c>
      <c r="H2918" s="35"/>
      <c r="I2918" s="31"/>
      <c r="J2918" s="102">
        <v>0</v>
      </c>
    </row>
    <row r="2919" spans="1:10" hidden="1" x14ac:dyDescent="0.25">
      <c r="A2919" s="224"/>
      <c r="B2919" s="237"/>
      <c r="C2919" s="36" t="s">
        <v>68</v>
      </c>
      <c r="D2919" s="36" t="s">
        <v>12</v>
      </c>
      <c r="E2919" s="37">
        <v>0.2</v>
      </c>
      <c r="F2919" s="34">
        <v>19.9025</v>
      </c>
      <c r="G2919" s="34">
        <f t="shared" si="50"/>
        <v>3.9805000000000001</v>
      </c>
      <c r="H2919" s="39">
        <f>SUM(G2919:G2920)</f>
        <v>15.7663425</v>
      </c>
      <c r="I2919" s="40"/>
      <c r="J2919" s="102">
        <v>0</v>
      </c>
    </row>
    <row r="2920" spans="1:10" hidden="1" x14ac:dyDescent="0.25">
      <c r="A2920" s="224"/>
      <c r="B2920" s="237"/>
      <c r="C2920" s="36" t="s">
        <v>835</v>
      </c>
      <c r="D2920" s="36" t="s">
        <v>42</v>
      </c>
      <c r="E2920" s="37">
        <v>0.28100000000000003</v>
      </c>
      <c r="F2920" s="31">
        <v>41.942499999999995</v>
      </c>
      <c r="G2920" s="34">
        <f t="shared" si="50"/>
        <v>11.785842499999999</v>
      </c>
      <c r="H2920" s="35"/>
      <c r="I2920" s="31"/>
      <c r="J2920" s="102">
        <v>0</v>
      </c>
    </row>
    <row r="2921" spans="1:10" hidden="1" x14ac:dyDescent="0.25">
      <c r="A2921" s="224"/>
      <c r="B2921" s="237"/>
      <c r="C2921" s="36"/>
      <c r="D2921" s="47"/>
      <c r="E2921" s="37"/>
      <c r="F2921" s="31" t="s">
        <v>522</v>
      </c>
      <c r="G2921" s="34" t="str">
        <f t="shared" si="50"/>
        <v/>
      </c>
      <c r="H2921" s="35"/>
      <c r="I2921" s="31"/>
      <c r="J2921" s="102">
        <v>0</v>
      </c>
    </row>
    <row r="2922" spans="1:10" ht="25.5" hidden="1" x14ac:dyDescent="0.25">
      <c r="A2922" s="224"/>
      <c r="B2922" s="237"/>
      <c r="C2922" s="48" t="s">
        <v>842</v>
      </c>
      <c r="D2922" s="47"/>
      <c r="E2922" s="37"/>
      <c r="F2922" s="31" t="s">
        <v>522</v>
      </c>
      <c r="G2922" s="34" t="str">
        <f t="shared" si="50"/>
        <v/>
      </c>
      <c r="H2922" s="35"/>
      <c r="I2922" s="31"/>
      <c r="J2922" s="102">
        <v>0</v>
      </c>
    </row>
    <row r="2923" spans="1:10" ht="25.5" hidden="1" x14ac:dyDescent="0.25">
      <c r="A2923" s="224"/>
      <c r="B2923" s="237"/>
      <c r="C2923" s="52" t="s">
        <v>840</v>
      </c>
      <c r="D2923" s="47"/>
      <c r="E2923" s="37"/>
      <c r="F2923" s="31" t="s">
        <v>522</v>
      </c>
      <c r="G2923" s="34" t="str">
        <f t="shared" si="50"/>
        <v/>
      </c>
      <c r="H2923" s="35"/>
      <c r="I2923" s="31"/>
      <c r="J2923" s="102">
        <v>0</v>
      </c>
    </row>
    <row r="2924" spans="1:10" ht="15.75" hidden="1" thickBot="1" x14ac:dyDescent="0.3">
      <c r="A2924" s="225"/>
      <c r="B2924" s="223"/>
      <c r="C2924" s="36"/>
      <c r="D2924" s="36"/>
      <c r="E2924" s="37"/>
      <c r="F2924" s="31" t="s">
        <v>522</v>
      </c>
      <c r="G2924" s="34" t="str">
        <f t="shared" si="50"/>
        <v/>
      </c>
      <c r="H2924" s="35"/>
      <c r="I2924" s="31"/>
      <c r="J2924" s="102">
        <v>0</v>
      </c>
    </row>
    <row r="2925" spans="1:10" ht="15.75" hidden="1" thickBot="1" x14ac:dyDescent="0.3">
      <c r="A2925" s="218" t="s">
        <v>843</v>
      </c>
      <c r="B2925" s="221" t="e">
        <f>INDEX(#REF!,MATCH(Composições!A2925,#REF!,0),2)</f>
        <v>#REF!</v>
      </c>
      <c r="C2925" s="41"/>
      <c r="D2925" s="26" t="s">
        <v>93</v>
      </c>
      <c r="E2925" s="27"/>
      <c r="F2925" s="42" t="s">
        <v>522</v>
      </c>
      <c r="G2925" s="28" t="str">
        <f t="shared" si="50"/>
        <v/>
      </c>
      <c r="H2925" s="29"/>
      <c r="I2925" s="30"/>
      <c r="J2925" s="102">
        <v>0</v>
      </c>
    </row>
    <row r="2926" spans="1:10" hidden="1" x14ac:dyDescent="0.25">
      <c r="A2926" s="224"/>
      <c r="B2926" s="237"/>
      <c r="C2926" s="32"/>
      <c r="D2926" s="32"/>
      <c r="E2926" s="33"/>
      <c r="F2926" s="43" t="s">
        <v>522</v>
      </c>
      <c r="G2926" s="34" t="str">
        <f t="shared" si="50"/>
        <v/>
      </c>
      <c r="H2926" s="35"/>
      <c r="I2926" s="31"/>
      <c r="J2926" s="102">
        <v>0</v>
      </c>
    </row>
    <row r="2927" spans="1:10" hidden="1" x14ac:dyDescent="0.25">
      <c r="A2927" s="224"/>
      <c r="B2927" s="237"/>
      <c r="C2927" s="36" t="s">
        <v>68</v>
      </c>
      <c r="D2927" s="47" t="s">
        <v>12</v>
      </c>
      <c r="E2927" s="37">
        <v>0.3</v>
      </c>
      <c r="F2927" s="34">
        <v>19.9025</v>
      </c>
      <c r="G2927" s="34">
        <f t="shared" si="50"/>
        <v>5.9707499999999998</v>
      </c>
      <c r="H2927" s="39">
        <f>SUM(G2927:G2928)</f>
        <v>24.886817499999996</v>
      </c>
      <c r="I2927" s="40"/>
      <c r="J2927" s="102">
        <v>0</v>
      </c>
    </row>
    <row r="2928" spans="1:10" hidden="1" x14ac:dyDescent="0.25">
      <c r="A2928" s="224"/>
      <c r="B2928" s="237"/>
      <c r="C2928" s="36" t="s">
        <v>835</v>
      </c>
      <c r="D2928" s="36" t="s">
        <v>42</v>
      </c>
      <c r="E2928" s="37">
        <v>0.45100000000000001</v>
      </c>
      <c r="F2928" s="31">
        <v>41.942499999999995</v>
      </c>
      <c r="G2928" s="34">
        <f t="shared" si="50"/>
        <v>18.916067499999997</v>
      </c>
      <c r="H2928" s="35"/>
      <c r="I2928" s="31"/>
      <c r="J2928" s="102">
        <v>0</v>
      </c>
    </row>
    <row r="2929" spans="1:10" hidden="1" x14ac:dyDescent="0.25">
      <c r="A2929" s="224"/>
      <c r="B2929" s="237"/>
      <c r="C2929" s="36"/>
      <c r="D2929" s="47"/>
      <c r="E2929" s="37"/>
      <c r="F2929" s="31" t="s">
        <v>522</v>
      </c>
      <c r="G2929" s="34" t="str">
        <f t="shared" si="50"/>
        <v/>
      </c>
      <c r="H2929" s="35"/>
      <c r="I2929" s="31"/>
      <c r="J2929" s="102">
        <v>0</v>
      </c>
    </row>
    <row r="2930" spans="1:10" ht="25.5" hidden="1" x14ac:dyDescent="0.25">
      <c r="A2930" s="224"/>
      <c r="B2930" s="237"/>
      <c r="C2930" s="48" t="s">
        <v>842</v>
      </c>
      <c r="D2930" s="47"/>
      <c r="E2930" s="37"/>
      <c r="F2930" s="31" t="s">
        <v>522</v>
      </c>
      <c r="G2930" s="34" t="str">
        <f t="shared" si="50"/>
        <v/>
      </c>
      <c r="H2930" s="35"/>
      <c r="I2930" s="31"/>
      <c r="J2930" s="102">
        <v>0</v>
      </c>
    </row>
    <row r="2931" spans="1:10" ht="25.5" hidden="1" x14ac:dyDescent="0.25">
      <c r="A2931" s="224"/>
      <c r="B2931" s="237"/>
      <c r="C2931" s="52" t="s">
        <v>840</v>
      </c>
      <c r="D2931" s="47"/>
      <c r="E2931" s="37"/>
      <c r="F2931" s="31" t="s">
        <v>522</v>
      </c>
      <c r="G2931" s="34" t="str">
        <f t="shared" si="50"/>
        <v/>
      </c>
      <c r="H2931" s="35"/>
      <c r="I2931" s="31"/>
      <c r="J2931" s="102">
        <v>0</v>
      </c>
    </row>
    <row r="2932" spans="1:10" ht="15.75" hidden="1" thickBot="1" x14ac:dyDescent="0.3">
      <c r="A2932" s="225"/>
      <c r="B2932" s="223"/>
      <c r="C2932" s="36"/>
      <c r="D2932" s="36"/>
      <c r="E2932" s="37"/>
      <c r="F2932" s="31" t="s">
        <v>522</v>
      </c>
      <c r="G2932" s="34" t="str">
        <f t="shared" si="50"/>
        <v/>
      </c>
      <c r="H2932" s="35"/>
      <c r="I2932" s="31"/>
      <c r="J2932" s="102">
        <v>0</v>
      </c>
    </row>
    <row r="2933" spans="1:10" ht="15.75" hidden="1" thickBot="1" x14ac:dyDescent="0.3">
      <c r="A2933" s="218" t="s">
        <v>844</v>
      </c>
      <c r="B2933" s="221" t="e">
        <f>INDEX(#REF!,MATCH(Composições!A2933,#REF!,0),2)</f>
        <v>#REF!</v>
      </c>
      <c r="C2933" s="41"/>
      <c r="D2933" s="26" t="s">
        <v>93</v>
      </c>
      <c r="E2933" s="27"/>
      <c r="F2933" s="42" t="s">
        <v>522</v>
      </c>
      <c r="G2933" s="28" t="str">
        <f t="shared" si="50"/>
        <v/>
      </c>
      <c r="H2933" s="29"/>
      <c r="I2933" s="30"/>
      <c r="J2933" s="102">
        <v>0</v>
      </c>
    </row>
    <row r="2934" spans="1:10" hidden="1" x14ac:dyDescent="0.25">
      <c r="A2934" s="224"/>
      <c r="B2934" s="237"/>
      <c r="C2934" s="32"/>
      <c r="D2934" s="32"/>
      <c r="E2934" s="33"/>
      <c r="F2934" s="43" t="s">
        <v>522</v>
      </c>
      <c r="G2934" s="34" t="str">
        <f t="shared" si="50"/>
        <v/>
      </c>
      <c r="H2934" s="35"/>
      <c r="I2934" s="31"/>
      <c r="J2934" s="102">
        <v>0</v>
      </c>
    </row>
    <row r="2935" spans="1:10" hidden="1" x14ac:dyDescent="0.25">
      <c r="A2935" s="224"/>
      <c r="B2935" s="237"/>
      <c r="C2935" s="36" t="s">
        <v>68</v>
      </c>
      <c r="D2935" s="47" t="s">
        <v>12</v>
      </c>
      <c r="E2935" s="37">
        <v>0.15</v>
      </c>
      <c r="F2935" s="34">
        <v>19.9025</v>
      </c>
      <c r="G2935" s="34">
        <f t="shared" si="50"/>
        <v>2.9853749999999999</v>
      </c>
      <c r="H2935" s="39">
        <f>SUM(G2935:G2936)</f>
        <v>7.5990500000000001</v>
      </c>
      <c r="I2935" s="40"/>
      <c r="J2935" s="102">
        <v>0</v>
      </c>
    </row>
    <row r="2936" spans="1:10" hidden="1" x14ac:dyDescent="0.25">
      <c r="A2936" s="224"/>
      <c r="B2936" s="237"/>
      <c r="C2936" s="36" t="s">
        <v>835</v>
      </c>
      <c r="D2936" s="47" t="s">
        <v>42</v>
      </c>
      <c r="E2936" s="37">
        <v>0.11</v>
      </c>
      <c r="F2936" s="31">
        <v>41.942499999999995</v>
      </c>
      <c r="G2936" s="34">
        <f t="shared" si="50"/>
        <v>4.6136749999999997</v>
      </c>
      <c r="H2936" s="35"/>
      <c r="I2936" s="31"/>
      <c r="J2936" s="102">
        <v>0</v>
      </c>
    </row>
    <row r="2937" spans="1:10" hidden="1" x14ac:dyDescent="0.25">
      <c r="A2937" s="224"/>
      <c r="B2937" s="237"/>
      <c r="C2937" s="36"/>
      <c r="D2937" s="47"/>
      <c r="E2937" s="37"/>
      <c r="F2937" s="31" t="s">
        <v>522</v>
      </c>
      <c r="G2937" s="34" t="str">
        <f t="shared" si="50"/>
        <v/>
      </c>
      <c r="H2937" s="35"/>
      <c r="I2937" s="31"/>
      <c r="J2937" s="102">
        <v>0</v>
      </c>
    </row>
    <row r="2938" spans="1:10" ht="25.5" hidden="1" x14ac:dyDescent="0.25">
      <c r="A2938" s="224"/>
      <c r="B2938" s="237"/>
      <c r="C2938" s="48" t="s">
        <v>845</v>
      </c>
      <c r="D2938" s="47"/>
      <c r="E2938" s="37"/>
      <c r="F2938" s="31" t="s">
        <v>522</v>
      </c>
      <c r="G2938" s="34" t="str">
        <f t="shared" si="50"/>
        <v/>
      </c>
      <c r="H2938" s="35"/>
      <c r="I2938" s="31"/>
      <c r="J2938" s="102">
        <v>0</v>
      </c>
    </row>
    <row r="2939" spans="1:10" ht="25.5" hidden="1" x14ac:dyDescent="0.25">
      <c r="A2939" s="224"/>
      <c r="B2939" s="237"/>
      <c r="C2939" s="52" t="s">
        <v>840</v>
      </c>
      <c r="D2939" s="47"/>
      <c r="E2939" s="37"/>
      <c r="F2939" s="31" t="s">
        <v>522</v>
      </c>
      <c r="G2939" s="34" t="str">
        <f t="shared" si="50"/>
        <v/>
      </c>
      <c r="H2939" s="35"/>
      <c r="I2939" s="31"/>
      <c r="J2939" s="102">
        <v>0</v>
      </c>
    </row>
    <row r="2940" spans="1:10" ht="15.75" hidden="1" thickBot="1" x14ac:dyDescent="0.3">
      <c r="A2940" s="225"/>
      <c r="B2940" s="223"/>
      <c r="C2940" s="36"/>
      <c r="D2940" s="36"/>
      <c r="E2940" s="37"/>
      <c r="F2940" s="31" t="s">
        <v>522</v>
      </c>
      <c r="G2940" s="34" t="str">
        <f t="shared" si="50"/>
        <v/>
      </c>
      <c r="H2940" s="35"/>
      <c r="I2940" s="31"/>
      <c r="J2940" s="102">
        <v>0</v>
      </c>
    </row>
    <row r="2941" spans="1:10" ht="15.75" hidden="1" thickBot="1" x14ac:dyDescent="0.3">
      <c r="A2941" s="218" t="s">
        <v>846</v>
      </c>
      <c r="B2941" s="221" t="e">
        <f>INDEX(#REF!,MATCH(Composições!A2941,#REF!,0),2)</f>
        <v>#REF!</v>
      </c>
      <c r="C2941" s="41"/>
      <c r="D2941" s="26" t="s">
        <v>20</v>
      </c>
      <c r="E2941" s="27"/>
      <c r="F2941" s="42" t="s">
        <v>522</v>
      </c>
      <c r="G2941" s="28" t="str">
        <f t="shared" si="50"/>
        <v/>
      </c>
      <c r="H2941" s="29"/>
      <c r="I2941" s="30"/>
      <c r="J2941" s="102">
        <v>0</v>
      </c>
    </row>
    <row r="2942" spans="1:10" hidden="1" x14ac:dyDescent="0.25">
      <c r="A2942" s="219"/>
      <c r="B2942" s="237"/>
      <c r="C2942" s="32"/>
      <c r="D2942" s="32"/>
      <c r="E2942" s="33"/>
      <c r="F2942" s="43" t="s">
        <v>522</v>
      </c>
      <c r="G2942" s="34" t="str">
        <f t="shared" si="50"/>
        <v/>
      </c>
      <c r="H2942" s="35"/>
      <c r="I2942" s="31"/>
      <c r="J2942" s="102">
        <v>0</v>
      </c>
    </row>
    <row r="2943" spans="1:10" hidden="1" x14ac:dyDescent="0.25">
      <c r="A2943" s="219"/>
      <c r="B2943" s="237"/>
      <c r="C2943" s="36" t="s">
        <v>68</v>
      </c>
      <c r="D2943" s="47" t="s">
        <v>12</v>
      </c>
      <c r="E2943" s="37">
        <v>0.3</v>
      </c>
      <c r="F2943" s="34">
        <v>19.9025</v>
      </c>
      <c r="G2943" s="34">
        <f t="shared" si="50"/>
        <v>5.9707499999999998</v>
      </c>
      <c r="H2943" s="39">
        <f>SUM(G2943:G2944)</f>
        <v>6.92075</v>
      </c>
      <c r="I2943" s="40"/>
      <c r="J2943" s="102">
        <v>0</v>
      </c>
    </row>
    <row r="2944" spans="1:10" ht="25.5" hidden="1" x14ac:dyDescent="0.25">
      <c r="A2944" s="219"/>
      <c r="B2944" s="237"/>
      <c r="C2944" s="36" t="s">
        <v>847</v>
      </c>
      <c r="D2944" s="36" t="s">
        <v>20</v>
      </c>
      <c r="E2944" s="37">
        <v>1</v>
      </c>
      <c r="F2944" s="31">
        <v>0.95</v>
      </c>
      <c r="G2944" s="34">
        <f t="shared" si="50"/>
        <v>0.95</v>
      </c>
      <c r="H2944" s="35"/>
      <c r="I2944" s="31"/>
      <c r="J2944" s="102">
        <v>0</v>
      </c>
    </row>
    <row r="2945" spans="1:10" ht="15.75" hidden="1" thickBot="1" x14ac:dyDescent="0.3">
      <c r="A2945" s="220"/>
      <c r="B2945" s="223"/>
      <c r="C2945" s="36"/>
      <c r="D2945" s="36"/>
      <c r="E2945" s="37"/>
      <c r="F2945" s="31" t="s">
        <v>522</v>
      </c>
      <c r="G2945" s="34" t="str">
        <f t="shared" si="50"/>
        <v/>
      </c>
      <c r="H2945" s="35"/>
      <c r="I2945" s="31"/>
      <c r="J2945" s="102">
        <v>0</v>
      </c>
    </row>
    <row r="2946" spans="1:10" ht="15.75" hidden="1" thickBot="1" x14ac:dyDescent="0.3">
      <c r="A2946" s="218" t="s">
        <v>848</v>
      </c>
      <c r="B2946" s="221" t="e">
        <f>INDEX(#REF!,MATCH(Composições!A2946,#REF!,0),2)</f>
        <v>#REF!</v>
      </c>
      <c r="C2946" s="41"/>
      <c r="D2946" s="26" t="s">
        <v>93</v>
      </c>
      <c r="E2946" s="27"/>
      <c r="F2946" s="42" t="s">
        <v>522</v>
      </c>
      <c r="G2946" s="28" t="str">
        <f t="shared" si="50"/>
        <v/>
      </c>
      <c r="H2946" s="29"/>
      <c r="I2946" s="30"/>
      <c r="J2946" s="102">
        <v>0</v>
      </c>
    </row>
    <row r="2947" spans="1:10" hidden="1" x14ac:dyDescent="0.25">
      <c r="A2947" s="219"/>
      <c r="B2947" s="237"/>
      <c r="C2947" s="32"/>
      <c r="D2947" s="32"/>
      <c r="E2947" s="33"/>
      <c r="F2947" s="43" t="s">
        <v>522</v>
      </c>
      <c r="G2947" s="34" t="str">
        <f t="shared" si="50"/>
        <v/>
      </c>
      <c r="H2947" s="35"/>
      <c r="I2947" s="31"/>
      <c r="J2947" s="102">
        <v>0</v>
      </c>
    </row>
    <row r="2948" spans="1:10" hidden="1" x14ac:dyDescent="0.25">
      <c r="A2948" s="219"/>
      <c r="B2948" s="237"/>
      <c r="C2948" s="36" t="s">
        <v>68</v>
      </c>
      <c r="D2948" s="47" t="s">
        <v>12</v>
      </c>
      <c r="E2948" s="37">
        <v>0.3</v>
      </c>
      <c r="F2948" s="34">
        <v>19.9025</v>
      </c>
      <c r="G2948" s="34">
        <f t="shared" si="50"/>
        <v>5.9707499999999998</v>
      </c>
      <c r="H2948" s="39">
        <f>SUM(G2948:G2949)</f>
        <v>5.9707499999999998</v>
      </c>
      <c r="I2948" s="40"/>
      <c r="J2948" s="102">
        <v>0</v>
      </c>
    </row>
    <row r="2949" spans="1:10" ht="51" hidden="1" x14ac:dyDescent="0.25">
      <c r="A2949" s="219"/>
      <c r="B2949" s="237"/>
      <c r="C2949" s="36" t="s">
        <v>849</v>
      </c>
      <c r="D2949" s="36" t="s">
        <v>20</v>
      </c>
      <c r="E2949" s="37">
        <v>1</v>
      </c>
      <c r="F2949" s="31" t="s">
        <v>522</v>
      </c>
      <c r="G2949" s="34" t="str">
        <f t="shared" si="50"/>
        <v/>
      </c>
      <c r="H2949" s="35"/>
      <c r="I2949" s="31"/>
      <c r="J2949" s="102">
        <v>0</v>
      </c>
    </row>
    <row r="2950" spans="1:10" ht="15.75" hidden="1" thickBot="1" x14ac:dyDescent="0.3">
      <c r="A2950" s="220"/>
      <c r="B2950" s="223"/>
      <c r="C2950" s="36"/>
      <c r="D2950" s="36"/>
      <c r="E2950" s="37"/>
      <c r="F2950" s="31" t="s">
        <v>522</v>
      </c>
      <c r="G2950" s="34" t="str">
        <f t="shared" ref="G2950:G3013" si="51">IF(ISNUMBER(F2950),E2950*F2950,"")</f>
        <v/>
      </c>
      <c r="H2950" s="35"/>
      <c r="I2950" s="31"/>
      <c r="J2950" s="102">
        <v>0</v>
      </c>
    </row>
    <row r="2951" spans="1:10" ht="15.75" hidden="1" thickBot="1" x14ac:dyDescent="0.3">
      <c r="A2951" s="218" t="s">
        <v>850</v>
      </c>
      <c r="B2951" s="221" t="e">
        <f>INDEX(#REF!,MATCH(Composições!A2951,#REF!,0),2)</f>
        <v>#REF!</v>
      </c>
      <c r="C2951" s="41"/>
      <c r="D2951" s="26" t="s">
        <v>20</v>
      </c>
      <c r="E2951" s="27"/>
      <c r="F2951" s="42" t="s">
        <v>522</v>
      </c>
      <c r="G2951" s="28" t="str">
        <f t="shared" si="51"/>
        <v/>
      </c>
      <c r="H2951" s="29"/>
      <c r="I2951" s="30"/>
      <c r="J2951" s="102">
        <v>0</v>
      </c>
    </row>
    <row r="2952" spans="1:10" hidden="1" x14ac:dyDescent="0.25">
      <c r="A2952" s="219"/>
      <c r="B2952" s="237"/>
      <c r="C2952" s="32"/>
      <c r="D2952" s="32"/>
      <c r="E2952" s="33"/>
      <c r="F2952" s="43" t="s">
        <v>522</v>
      </c>
      <c r="G2952" s="34" t="str">
        <f t="shared" si="51"/>
        <v/>
      </c>
      <c r="H2952" s="35"/>
      <c r="I2952" s="31"/>
      <c r="J2952" s="102">
        <v>0</v>
      </c>
    </row>
    <row r="2953" spans="1:10" hidden="1" x14ac:dyDescent="0.25">
      <c r="A2953" s="219"/>
      <c r="B2953" s="237"/>
      <c r="C2953" s="36" t="s">
        <v>68</v>
      </c>
      <c r="D2953" s="36" t="s">
        <v>12</v>
      </c>
      <c r="E2953" s="37">
        <v>0.15</v>
      </c>
      <c r="F2953" s="34">
        <v>19.9025</v>
      </c>
      <c r="G2953" s="34">
        <f t="shared" si="51"/>
        <v>2.9853749999999999</v>
      </c>
      <c r="H2953" s="39">
        <f>SUM(G2953:G2954)</f>
        <v>2.9853749999999999</v>
      </c>
      <c r="I2953" s="40"/>
      <c r="J2953" s="102">
        <v>0</v>
      </c>
    </row>
    <row r="2954" spans="1:10" ht="25.5" hidden="1" x14ac:dyDescent="0.25">
      <c r="A2954" s="219"/>
      <c r="B2954" s="237"/>
      <c r="C2954" s="36" t="s">
        <v>851</v>
      </c>
      <c r="D2954" s="36" t="s">
        <v>20</v>
      </c>
      <c r="E2954" s="37">
        <v>1</v>
      </c>
      <c r="F2954" s="31" t="s">
        <v>522</v>
      </c>
      <c r="G2954" s="34" t="str">
        <f t="shared" si="51"/>
        <v/>
      </c>
      <c r="H2954" s="35"/>
      <c r="I2954" s="31"/>
      <c r="J2954" s="102">
        <v>0</v>
      </c>
    </row>
    <row r="2955" spans="1:10" ht="15.75" hidden="1" thickBot="1" x14ac:dyDescent="0.3">
      <c r="A2955" s="220"/>
      <c r="B2955" s="223"/>
      <c r="C2955" s="36"/>
      <c r="D2955" s="36"/>
      <c r="E2955" s="37"/>
      <c r="F2955" s="31" t="s">
        <v>522</v>
      </c>
      <c r="G2955" s="34" t="str">
        <f t="shared" si="51"/>
        <v/>
      </c>
      <c r="H2955" s="35"/>
      <c r="I2955" s="31"/>
      <c r="J2955" s="102">
        <v>0</v>
      </c>
    </row>
    <row r="2956" spans="1:10" ht="15.75" hidden="1" thickBot="1" x14ac:dyDescent="0.3">
      <c r="A2956" s="218" t="s">
        <v>852</v>
      </c>
      <c r="B2956" s="221" t="e">
        <f>INDEX(#REF!,MATCH(Composições!A2956,#REF!,0),2)</f>
        <v>#REF!</v>
      </c>
      <c r="C2956" s="41"/>
      <c r="D2956" s="26" t="s">
        <v>20</v>
      </c>
      <c r="E2956" s="27"/>
      <c r="F2956" s="42" t="s">
        <v>522</v>
      </c>
      <c r="G2956" s="28" t="str">
        <f t="shared" si="51"/>
        <v/>
      </c>
      <c r="H2956" s="29"/>
      <c r="I2956" s="30"/>
      <c r="J2956" s="102">
        <v>0</v>
      </c>
    </row>
    <row r="2957" spans="1:10" hidden="1" x14ac:dyDescent="0.25">
      <c r="A2957" s="219"/>
      <c r="B2957" s="237"/>
      <c r="C2957" s="32"/>
      <c r="D2957" s="32"/>
      <c r="E2957" s="33"/>
      <c r="F2957" s="43" t="s">
        <v>522</v>
      </c>
      <c r="G2957" s="34" t="str">
        <f t="shared" si="51"/>
        <v/>
      </c>
      <c r="H2957" s="35"/>
      <c r="I2957" s="31"/>
      <c r="J2957" s="102">
        <v>0</v>
      </c>
    </row>
    <row r="2958" spans="1:10" hidden="1" x14ac:dyDescent="0.25">
      <c r="A2958" s="219"/>
      <c r="B2958" s="237"/>
      <c r="C2958" s="36" t="s">
        <v>68</v>
      </c>
      <c r="D2958" s="36" t="s">
        <v>12</v>
      </c>
      <c r="E2958" s="37">
        <v>0.15</v>
      </c>
      <c r="F2958" s="34">
        <v>19.9025</v>
      </c>
      <c r="G2958" s="34">
        <f t="shared" si="51"/>
        <v>2.9853749999999999</v>
      </c>
      <c r="H2958" s="39">
        <f>SUM(G2958:G2959)</f>
        <v>2.9853749999999999</v>
      </c>
      <c r="I2958" s="40"/>
      <c r="J2958" s="102">
        <v>0</v>
      </c>
    </row>
    <row r="2959" spans="1:10" ht="25.5" hidden="1" x14ac:dyDescent="0.25">
      <c r="A2959" s="219"/>
      <c r="B2959" s="237"/>
      <c r="C2959" s="36" t="s">
        <v>853</v>
      </c>
      <c r="D2959" s="36" t="s">
        <v>20</v>
      </c>
      <c r="E2959" s="37">
        <v>1</v>
      </c>
      <c r="F2959" s="31" t="s">
        <v>522</v>
      </c>
      <c r="G2959" s="34" t="str">
        <f t="shared" si="51"/>
        <v/>
      </c>
      <c r="H2959" s="35"/>
      <c r="I2959" s="31"/>
      <c r="J2959" s="102">
        <v>0</v>
      </c>
    </row>
    <row r="2960" spans="1:10" ht="15.75" hidden="1" thickBot="1" x14ac:dyDescent="0.3">
      <c r="A2960" s="220"/>
      <c r="B2960" s="223"/>
      <c r="C2960" s="36"/>
      <c r="D2960" s="36"/>
      <c r="E2960" s="37"/>
      <c r="F2960" s="31" t="s">
        <v>522</v>
      </c>
      <c r="G2960" s="34" t="str">
        <f t="shared" si="51"/>
        <v/>
      </c>
      <c r="H2960" s="35"/>
      <c r="I2960" s="31"/>
      <c r="J2960" s="102">
        <v>0</v>
      </c>
    </row>
    <row r="2961" spans="1:10" ht="15.75" hidden="1" thickBot="1" x14ac:dyDescent="0.3">
      <c r="A2961" s="218" t="s">
        <v>854</v>
      </c>
      <c r="B2961" s="221" t="e">
        <f>INDEX(#REF!,MATCH(Composições!A2961,#REF!,0),2)</f>
        <v>#REF!</v>
      </c>
      <c r="C2961" s="41"/>
      <c r="D2961" s="26" t="s">
        <v>20</v>
      </c>
      <c r="E2961" s="27"/>
      <c r="F2961" s="42" t="s">
        <v>522</v>
      </c>
      <c r="G2961" s="28" t="str">
        <f t="shared" si="51"/>
        <v/>
      </c>
      <c r="H2961" s="29"/>
      <c r="I2961" s="30"/>
      <c r="J2961" s="102">
        <v>0</v>
      </c>
    </row>
    <row r="2962" spans="1:10" hidden="1" x14ac:dyDescent="0.25">
      <c r="A2962" s="219"/>
      <c r="B2962" s="237"/>
      <c r="C2962" s="32"/>
      <c r="D2962" s="32"/>
      <c r="E2962" s="33"/>
      <c r="F2962" s="43" t="s">
        <v>522</v>
      </c>
      <c r="G2962" s="34" t="str">
        <f t="shared" si="51"/>
        <v/>
      </c>
      <c r="H2962" s="35"/>
      <c r="I2962" s="31"/>
      <c r="J2962" s="102">
        <v>0</v>
      </c>
    </row>
    <row r="2963" spans="1:10" hidden="1" x14ac:dyDescent="0.25">
      <c r="A2963" s="219"/>
      <c r="B2963" s="237"/>
      <c r="C2963" s="36" t="s">
        <v>68</v>
      </c>
      <c r="D2963" s="36" t="s">
        <v>12</v>
      </c>
      <c r="E2963" s="37">
        <v>0.1</v>
      </c>
      <c r="F2963" s="34">
        <v>19.9025</v>
      </c>
      <c r="G2963" s="34">
        <f t="shared" si="51"/>
        <v>1.9902500000000001</v>
      </c>
      <c r="H2963" s="39">
        <f>SUM(G2963:G2964)</f>
        <v>2.9402499999999998</v>
      </c>
      <c r="I2963" s="40"/>
      <c r="J2963" s="102">
        <v>0</v>
      </c>
    </row>
    <row r="2964" spans="1:10" ht="38.25" hidden="1" x14ac:dyDescent="0.25">
      <c r="A2964" s="219"/>
      <c r="B2964" s="237"/>
      <c r="C2964" s="36" t="s">
        <v>855</v>
      </c>
      <c r="D2964" s="36" t="s">
        <v>20</v>
      </c>
      <c r="E2964" s="37">
        <v>1</v>
      </c>
      <c r="F2964" s="31">
        <v>0.95</v>
      </c>
      <c r="G2964" s="34">
        <f t="shared" si="51"/>
        <v>0.95</v>
      </c>
      <c r="H2964" s="35"/>
      <c r="I2964" s="31"/>
      <c r="J2964" s="102">
        <v>0</v>
      </c>
    </row>
    <row r="2965" spans="1:10" ht="15.75" hidden="1" thickBot="1" x14ac:dyDescent="0.3">
      <c r="A2965" s="220"/>
      <c r="B2965" s="223"/>
      <c r="C2965" s="36"/>
      <c r="D2965" s="36"/>
      <c r="E2965" s="37"/>
      <c r="F2965" s="31" t="s">
        <v>522</v>
      </c>
      <c r="G2965" s="34" t="str">
        <f t="shared" si="51"/>
        <v/>
      </c>
      <c r="H2965" s="35"/>
      <c r="I2965" s="31"/>
      <c r="J2965" s="102">
        <v>0</v>
      </c>
    </row>
    <row r="2966" spans="1:10" ht="15.75" hidden="1" thickBot="1" x14ac:dyDescent="0.3">
      <c r="A2966" s="218" t="s">
        <v>856</v>
      </c>
      <c r="B2966" s="221" t="e">
        <f>INDEX(#REF!,MATCH(Composições!A2966,#REF!,0),2)</f>
        <v>#REF!</v>
      </c>
      <c r="C2966" s="41"/>
      <c r="D2966" s="26" t="s">
        <v>20</v>
      </c>
      <c r="E2966" s="27"/>
      <c r="F2966" s="42" t="s">
        <v>522</v>
      </c>
      <c r="G2966" s="28" t="str">
        <f t="shared" si="51"/>
        <v/>
      </c>
      <c r="H2966" s="29"/>
      <c r="I2966" s="30"/>
      <c r="J2966" s="102">
        <v>0</v>
      </c>
    </row>
    <row r="2967" spans="1:10" hidden="1" x14ac:dyDescent="0.25">
      <c r="A2967" s="219"/>
      <c r="B2967" s="237"/>
      <c r="C2967" s="32"/>
      <c r="D2967" s="32"/>
      <c r="E2967" s="33"/>
      <c r="F2967" s="43" t="s">
        <v>522</v>
      </c>
      <c r="G2967" s="34" t="str">
        <f t="shared" si="51"/>
        <v/>
      </c>
      <c r="H2967" s="35"/>
      <c r="I2967" s="31"/>
      <c r="J2967" s="102">
        <v>0</v>
      </c>
    </row>
    <row r="2968" spans="1:10" hidden="1" x14ac:dyDescent="0.25">
      <c r="A2968" s="219"/>
      <c r="B2968" s="237"/>
      <c r="C2968" s="36" t="s">
        <v>68</v>
      </c>
      <c r="D2968" s="36" t="s">
        <v>12</v>
      </c>
      <c r="E2968" s="37">
        <v>0.4</v>
      </c>
      <c r="F2968" s="34">
        <v>19.9025</v>
      </c>
      <c r="G2968" s="34">
        <f t="shared" si="51"/>
        <v>7.9610000000000003</v>
      </c>
      <c r="H2968" s="39">
        <f>SUM(G2968:G2969)</f>
        <v>8.9109999999999996</v>
      </c>
      <c r="I2968" s="40"/>
      <c r="J2968" s="102">
        <v>0</v>
      </c>
    </row>
    <row r="2969" spans="1:10" ht="38.25" hidden="1" x14ac:dyDescent="0.25">
      <c r="A2969" s="219"/>
      <c r="B2969" s="237"/>
      <c r="C2969" s="36" t="s">
        <v>857</v>
      </c>
      <c r="D2969" s="36" t="s">
        <v>20</v>
      </c>
      <c r="E2969" s="37">
        <v>1</v>
      </c>
      <c r="F2969" s="31">
        <v>0.95</v>
      </c>
      <c r="G2969" s="34">
        <f t="shared" si="51"/>
        <v>0.95</v>
      </c>
      <c r="H2969" s="35"/>
      <c r="I2969" s="31"/>
      <c r="J2969" s="102">
        <v>0</v>
      </c>
    </row>
    <row r="2970" spans="1:10" ht="15.75" hidden="1" thickBot="1" x14ac:dyDescent="0.3">
      <c r="A2970" s="220"/>
      <c r="B2970" s="223"/>
      <c r="C2970" s="36"/>
      <c r="D2970" s="36"/>
      <c r="E2970" s="37"/>
      <c r="F2970" s="31" t="s">
        <v>522</v>
      </c>
      <c r="G2970" s="34" t="str">
        <f t="shared" si="51"/>
        <v/>
      </c>
      <c r="H2970" s="35"/>
      <c r="I2970" s="31"/>
      <c r="J2970" s="102">
        <v>0</v>
      </c>
    </row>
    <row r="2971" spans="1:10" ht="15.75" hidden="1" thickBot="1" x14ac:dyDescent="0.3">
      <c r="A2971" s="218" t="s">
        <v>858</v>
      </c>
      <c r="B2971" s="221" t="e">
        <f>INDEX(#REF!,MATCH(Composições!A2971,#REF!,0),2)</f>
        <v>#REF!</v>
      </c>
      <c r="C2971" s="41"/>
      <c r="D2971" s="26" t="s">
        <v>20</v>
      </c>
      <c r="E2971" s="27"/>
      <c r="F2971" s="42" t="s">
        <v>522</v>
      </c>
      <c r="G2971" s="28" t="str">
        <f t="shared" si="51"/>
        <v/>
      </c>
      <c r="H2971" s="29"/>
      <c r="I2971" s="30"/>
      <c r="J2971" s="102">
        <v>0</v>
      </c>
    </row>
    <row r="2972" spans="1:10" hidden="1" x14ac:dyDescent="0.25">
      <c r="A2972" s="219"/>
      <c r="B2972" s="237"/>
      <c r="C2972" s="32"/>
      <c r="D2972" s="32"/>
      <c r="E2972" s="33"/>
      <c r="F2972" s="43" t="s">
        <v>522</v>
      </c>
      <c r="G2972" s="34" t="str">
        <f t="shared" si="51"/>
        <v/>
      </c>
      <c r="H2972" s="35"/>
      <c r="I2972" s="31"/>
      <c r="J2972" s="102">
        <v>0</v>
      </c>
    </row>
    <row r="2973" spans="1:10" hidden="1" x14ac:dyDescent="0.25">
      <c r="A2973" s="219"/>
      <c r="B2973" s="237"/>
      <c r="C2973" s="36" t="s">
        <v>68</v>
      </c>
      <c r="D2973" s="36" t="s">
        <v>12</v>
      </c>
      <c r="E2973" s="37">
        <v>0.4</v>
      </c>
      <c r="F2973" s="34">
        <v>19.9025</v>
      </c>
      <c r="G2973" s="34">
        <f t="shared" si="51"/>
        <v>7.9610000000000003</v>
      </c>
      <c r="H2973" s="39">
        <f>SUM(G2973:G2974)</f>
        <v>7.9610000000000003</v>
      </c>
      <c r="I2973" s="40"/>
      <c r="J2973" s="102">
        <v>0</v>
      </c>
    </row>
    <row r="2974" spans="1:10" ht="38.25" hidden="1" x14ac:dyDescent="0.25">
      <c r="A2974" s="219"/>
      <c r="B2974" s="237"/>
      <c r="C2974" s="36" t="s">
        <v>859</v>
      </c>
      <c r="D2974" s="36" t="s">
        <v>20</v>
      </c>
      <c r="E2974" s="37">
        <v>1</v>
      </c>
      <c r="F2974" s="31" t="s">
        <v>522</v>
      </c>
      <c r="G2974" s="34" t="str">
        <f t="shared" si="51"/>
        <v/>
      </c>
      <c r="H2974" s="35"/>
      <c r="I2974" s="31"/>
      <c r="J2974" s="102">
        <v>0</v>
      </c>
    </row>
    <row r="2975" spans="1:10" ht="15.75" hidden="1" thickBot="1" x14ac:dyDescent="0.3">
      <c r="A2975" s="220"/>
      <c r="B2975" s="223"/>
      <c r="C2975" s="36"/>
      <c r="D2975" s="36"/>
      <c r="E2975" s="37"/>
      <c r="F2975" s="31" t="s">
        <v>522</v>
      </c>
      <c r="G2975" s="34" t="str">
        <f t="shared" si="51"/>
        <v/>
      </c>
      <c r="H2975" s="35"/>
      <c r="I2975" s="31"/>
      <c r="J2975" s="102">
        <v>0</v>
      </c>
    </row>
    <row r="2976" spans="1:10" ht="15.75" hidden="1" thickBot="1" x14ac:dyDescent="0.3">
      <c r="A2976" s="218" t="s">
        <v>860</v>
      </c>
      <c r="B2976" s="221" t="e">
        <f>INDEX(#REF!,MATCH(Composições!A2976,#REF!,0),2)</f>
        <v>#REF!</v>
      </c>
      <c r="C2976" s="41"/>
      <c r="D2976" s="26" t="s">
        <v>20</v>
      </c>
      <c r="E2976" s="27"/>
      <c r="F2976" s="42" t="s">
        <v>522</v>
      </c>
      <c r="G2976" s="28" t="str">
        <f t="shared" si="51"/>
        <v/>
      </c>
      <c r="H2976" s="29"/>
      <c r="I2976" s="30"/>
      <c r="J2976" s="102">
        <v>0</v>
      </c>
    </row>
    <row r="2977" spans="1:10" hidden="1" x14ac:dyDescent="0.25">
      <c r="A2977" s="219"/>
      <c r="B2977" s="237"/>
      <c r="C2977" s="32"/>
      <c r="D2977" s="32"/>
      <c r="E2977" s="33"/>
      <c r="F2977" s="43" t="s">
        <v>522</v>
      </c>
      <c r="G2977" s="34" t="str">
        <f t="shared" si="51"/>
        <v/>
      </c>
      <c r="H2977" s="35"/>
      <c r="I2977" s="31"/>
      <c r="J2977" s="102">
        <v>0</v>
      </c>
    </row>
    <row r="2978" spans="1:10" hidden="1" x14ac:dyDescent="0.25">
      <c r="A2978" s="219"/>
      <c r="B2978" s="237"/>
      <c r="C2978" s="36" t="s">
        <v>68</v>
      </c>
      <c r="D2978" s="36" t="s">
        <v>12</v>
      </c>
      <c r="E2978" s="37">
        <v>0.3</v>
      </c>
      <c r="F2978" s="34">
        <v>19.9025</v>
      </c>
      <c r="G2978" s="34">
        <f t="shared" si="51"/>
        <v>5.9707499999999998</v>
      </c>
      <c r="H2978" s="39">
        <f>SUM(G2978:G2979)</f>
        <v>6.92075</v>
      </c>
      <c r="I2978" s="40"/>
      <c r="J2978" s="102">
        <v>0</v>
      </c>
    </row>
    <row r="2979" spans="1:10" ht="25.5" hidden="1" x14ac:dyDescent="0.25">
      <c r="A2979" s="219"/>
      <c r="B2979" s="237"/>
      <c r="C2979" s="36" t="s">
        <v>861</v>
      </c>
      <c r="D2979" s="36" t="s">
        <v>20</v>
      </c>
      <c r="E2979" s="37">
        <v>1</v>
      </c>
      <c r="F2979" s="31">
        <v>0.95</v>
      </c>
      <c r="G2979" s="34">
        <f t="shared" si="51"/>
        <v>0.95</v>
      </c>
      <c r="H2979" s="35"/>
      <c r="I2979" s="31"/>
      <c r="J2979" s="102">
        <v>0</v>
      </c>
    </row>
    <row r="2980" spans="1:10" ht="15.75" hidden="1" thickBot="1" x14ac:dyDescent="0.3">
      <c r="A2980" s="220"/>
      <c r="B2980" s="223"/>
      <c r="C2980" s="36"/>
      <c r="D2980" s="36"/>
      <c r="E2980" s="37"/>
      <c r="F2980" s="31" t="s">
        <v>522</v>
      </c>
      <c r="G2980" s="34" t="str">
        <f t="shared" si="51"/>
        <v/>
      </c>
      <c r="H2980" s="35"/>
      <c r="I2980" s="31"/>
      <c r="J2980" s="102">
        <v>0</v>
      </c>
    </row>
    <row r="2981" spans="1:10" ht="15.75" hidden="1" thickBot="1" x14ac:dyDescent="0.3">
      <c r="A2981" s="218" t="s">
        <v>862</v>
      </c>
      <c r="B2981" s="221" t="e">
        <f>INDEX(#REF!,MATCH(Composições!A2981,#REF!,0),2)</f>
        <v>#REF!</v>
      </c>
      <c r="C2981" s="41"/>
      <c r="D2981" s="26" t="s">
        <v>20</v>
      </c>
      <c r="E2981" s="27"/>
      <c r="F2981" s="42" t="s">
        <v>522</v>
      </c>
      <c r="G2981" s="28" t="str">
        <f t="shared" si="51"/>
        <v/>
      </c>
      <c r="H2981" s="29"/>
      <c r="I2981" s="30"/>
      <c r="J2981" s="102">
        <v>0</v>
      </c>
    </row>
    <row r="2982" spans="1:10" hidden="1" x14ac:dyDescent="0.25">
      <c r="A2982" s="219"/>
      <c r="B2982" s="237"/>
      <c r="C2982" s="32"/>
      <c r="D2982" s="32"/>
      <c r="E2982" s="33"/>
      <c r="F2982" s="43" t="s">
        <v>522</v>
      </c>
      <c r="G2982" s="34" t="str">
        <f t="shared" si="51"/>
        <v/>
      </c>
      <c r="H2982" s="35"/>
      <c r="I2982" s="31"/>
      <c r="J2982" s="102">
        <v>0</v>
      </c>
    </row>
    <row r="2983" spans="1:10" hidden="1" x14ac:dyDescent="0.25">
      <c r="A2983" s="219"/>
      <c r="B2983" s="237"/>
      <c r="C2983" s="36" t="s">
        <v>68</v>
      </c>
      <c r="D2983" s="36" t="s">
        <v>12</v>
      </c>
      <c r="E2983" s="37">
        <v>0.2</v>
      </c>
      <c r="F2983" s="34">
        <v>19.9025</v>
      </c>
      <c r="G2983" s="34">
        <f t="shared" si="51"/>
        <v>3.9805000000000001</v>
      </c>
      <c r="H2983" s="39">
        <f>SUM(G2983:G2984)</f>
        <v>4.9305000000000003</v>
      </c>
      <c r="I2983" s="40"/>
      <c r="J2983" s="102">
        <v>0</v>
      </c>
    </row>
    <row r="2984" spans="1:10" ht="25.5" hidden="1" x14ac:dyDescent="0.25">
      <c r="A2984" s="219"/>
      <c r="B2984" s="237"/>
      <c r="C2984" s="36" t="s">
        <v>863</v>
      </c>
      <c r="D2984" s="36" t="s">
        <v>20</v>
      </c>
      <c r="E2984" s="37">
        <v>1</v>
      </c>
      <c r="F2984" s="31">
        <v>0.95</v>
      </c>
      <c r="G2984" s="34">
        <f t="shared" si="51"/>
        <v>0.95</v>
      </c>
      <c r="H2984" s="35"/>
      <c r="I2984" s="31"/>
      <c r="J2984" s="102">
        <v>0</v>
      </c>
    </row>
    <row r="2985" spans="1:10" ht="15.75" hidden="1" thickBot="1" x14ac:dyDescent="0.3">
      <c r="A2985" s="220"/>
      <c r="B2985" s="223"/>
      <c r="C2985" s="36"/>
      <c r="D2985" s="36"/>
      <c r="E2985" s="37"/>
      <c r="F2985" s="31" t="s">
        <v>522</v>
      </c>
      <c r="G2985" s="34" t="str">
        <f t="shared" si="51"/>
        <v/>
      </c>
      <c r="H2985" s="35"/>
      <c r="I2985" s="31"/>
      <c r="J2985" s="102">
        <v>0</v>
      </c>
    </row>
    <row r="2986" spans="1:10" ht="15.75" hidden="1" thickBot="1" x14ac:dyDescent="0.3">
      <c r="A2986" s="218" t="s">
        <v>864</v>
      </c>
      <c r="B2986" s="221" t="e">
        <f>INDEX(#REF!,MATCH(Composições!A2986,#REF!,0),2)</f>
        <v>#REF!</v>
      </c>
      <c r="C2986" s="41"/>
      <c r="D2986" s="26" t="s">
        <v>20</v>
      </c>
      <c r="E2986" s="27"/>
      <c r="F2986" s="42" t="s">
        <v>522</v>
      </c>
      <c r="G2986" s="28" t="str">
        <f t="shared" si="51"/>
        <v/>
      </c>
      <c r="H2986" s="29"/>
      <c r="I2986" s="30"/>
      <c r="J2986" s="102">
        <v>0</v>
      </c>
    </row>
    <row r="2987" spans="1:10" hidden="1" x14ac:dyDescent="0.25">
      <c r="A2987" s="219"/>
      <c r="B2987" s="237"/>
      <c r="C2987" s="32"/>
      <c r="D2987" s="32"/>
      <c r="E2987" s="33"/>
      <c r="F2987" s="43" t="s">
        <v>522</v>
      </c>
      <c r="G2987" s="34" t="str">
        <f t="shared" si="51"/>
        <v/>
      </c>
      <c r="H2987" s="35"/>
      <c r="I2987" s="31"/>
      <c r="J2987" s="102">
        <v>0</v>
      </c>
    </row>
    <row r="2988" spans="1:10" hidden="1" x14ac:dyDescent="0.25">
      <c r="A2988" s="219"/>
      <c r="B2988" s="237"/>
      <c r="C2988" s="36" t="s">
        <v>68</v>
      </c>
      <c r="D2988" s="36" t="s">
        <v>12</v>
      </c>
      <c r="E2988" s="37">
        <v>0.2</v>
      </c>
      <c r="F2988" s="34">
        <v>19.9025</v>
      </c>
      <c r="G2988" s="34">
        <f t="shared" si="51"/>
        <v>3.9805000000000001</v>
      </c>
      <c r="H2988" s="39">
        <f>SUM(G2988:G2989)</f>
        <v>4.9305000000000003</v>
      </c>
      <c r="I2988" s="40"/>
      <c r="J2988" s="102">
        <v>0</v>
      </c>
    </row>
    <row r="2989" spans="1:10" ht="25.5" hidden="1" x14ac:dyDescent="0.25">
      <c r="A2989" s="219"/>
      <c r="B2989" s="237"/>
      <c r="C2989" s="36" t="s">
        <v>865</v>
      </c>
      <c r="D2989" s="47" t="s">
        <v>20</v>
      </c>
      <c r="E2989" s="37">
        <v>1</v>
      </c>
      <c r="F2989" s="31">
        <v>0.95</v>
      </c>
      <c r="G2989" s="34">
        <f t="shared" si="51"/>
        <v>0.95</v>
      </c>
      <c r="H2989" s="35"/>
      <c r="I2989" s="31"/>
      <c r="J2989" s="102">
        <v>0</v>
      </c>
    </row>
    <row r="2990" spans="1:10" ht="15.75" hidden="1" thickBot="1" x14ac:dyDescent="0.3">
      <c r="A2990" s="220"/>
      <c r="B2990" s="223"/>
      <c r="C2990" s="36"/>
      <c r="D2990" s="36"/>
      <c r="E2990" s="37"/>
      <c r="F2990" s="31" t="s">
        <v>522</v>
      </c>
      <c r="G2990" s="34" t="str">
        <f t="shared" si="51"/>
        <v/>
      </c>
      <c r="H2990" s="35"/>
      <c r="I2990" s="31"/>
      <c r="J2990" s="102">
        <v>0</v>
      </c>
    </row>
    <row r="2991" spans="1:10" ht="15.75" hidden="1" thickBot="1" x14ac:dyDescent="0.3">
      <c r="A2991" s="218" t="s">
        <v>866</v>
      </c>
      <c r="B2991" s="221" t="e">
        <f>INDEX(#REF!,MATCH(Composições!A2991,#REF!,0),2)</f>
        <v>#REF!</v>
      </c>
      <c r="C2991" s="41"/>
      <c r="D2991" s="26" t="s">
        <v>95</v>
      </c>
      <c r="E2991" s="27"/>
      <c r="F2991" s="42" t="s">
        <v>522</v>
      </c>
      <c r="G2991" s="28" t="str">
        <f t="shared" si="51"/>
        <v/>
      </c>
      <c r="H2991" s="29"/>
      <c r="I2991" s="30"/>
      <c r="J2991" s="102">
        <v>0</v>
      </c>
    </row>
    <row r="2992" spans="1:10" hidden="1" x14ac:dyDescent="0.25">
      <c r="A2992" s="219"/>
      <c r="B2992" s="237"/>
      <c r="C2992" s="32"/>
      <c r="D2992" s="32"/>
      <c r="E2992" s="33"/>
      <c r="F2992" s="43" t="s">
        <v>522</v>
      </c>
      <c r="G2992" s="34" t="str">
        <f t="shared" si="51"/>
        <v/>
      </c>
      <c r="H2992" s="35"/>
      <c r="I2992" s="31"/>
      <c r="J2992" s="102">
        <v>0</v>
      </c>
    </row>
    <row r="2993" spans="1:10" ht="38.25" hidden="1" x14ac:dyDescent="0.25">
      <c r="A2993" s="219"/>
      <c r="B2993" s="237"/>
      <c r="C2993" s="36" t="s">
        <v>1699</v>
      </c>
      <c r="D2993" s="47" t="s">
        <v>279</v>
      </c>
      <c r="E2993" s="37">
        <v>2.1960000000000002</v>
      </c>
      <c r="F2993" s="34">
        <v>0.29449999999999998</v>
      </c>
      <c r="G2993" s="34">
        <f t="shared" si="51"/>
        <v>0.64672200000000002</v>
      </c>
      <c r="H2993" s="39">
        <f>SUM(G2993:G2999)</f>
        <v>562.78458849999993</v>
      </c>
      <c r="I2993" s="40"/>
      <c r="J2993" s="102">
        <v>0</v>
      </c>
    </row>
    <row r="2994" spans="1:10" ht="25.5" hidden="1" x14ac:dyDescent="0.25">
      <c r="A2994" s="219"/>
      <c r="B2994" s="237"/>
      <c r="C2994" s="36" t="s">
        <v>1181</v>
      </c>
      <c r="D2994" s="47" t="s">
        <v>479</v>
      </c>
      <c r="E2994" s="37">
        <v>3.4159999999999999</v>
      </c>
      <c r="F2994" s="34">
        <v>12.35</v>
      </c>
      <c r="G2994" s="34">
        <f t="shared" si="51"/>
        <v>42.187599999999996</v>
      </c>
      <c r="H2994" s="35"/>
      <c r="I2994" s="31"/>
      <c r="J2994" s="102">
        <v>0</v>
      </c>
    </row>
    <row r="2995" spans="1:10" hidden="1" x14ac:dyDescent="0.25">
      <c r="A2995" s="219"/>
      <c r="B2995" s="237"/>
      <c r="C2995" s="36" t="s">
        <v>835</v>
      </c>
      <c r="D2995" s="47" t="s">
        <v>898</v>
      </c>
      <c r="E2995" s="37">
        <v>0.96399999999999997</v>
      </c>
      <c r="F2995" s="31">
        <v>41.942499999999995</v>
      </c>
      <c r="G2995" s="34">
        <f t="shared" si="51"/>
        <v>40.432569999999991</v>
      </c>
      <c r="H2995" s="35"/>
      <c r="I2995" s="31"/>
      <c r="J2995" s="102">
        <v>0</v>
      </c>
    </row>
    <row r="2996" spans="1:10" ht="25.5" hidden="1" x14ac:dyDescent="0.25">
      <c r="A2996" s="219"/>
      <c r="B2996" s="237"/>
      <c r="C2996" s="36" t="s">
        <v>1182</v>
      </c>
      <c r="D2996" s="47" t="s">
        <v>992</v>
      </c>
      <c r="E2996" s="37">
        <v>1</v>
      </c>
      <c r="F2996" s="31">
        <v>413.48749999999995</v>
      </c>
      <c r="G2996" s="34">
        <f t="shared" si="51"/>
        <v>413.48749999999995</v>
      </c>
      <c r="H2996" s="35"/>
      <c r="I2996" s="31"/>
      <c r="J2996" s="102">
        <v>0</v>
      </c>
    </row>
    <row r="2997" spans="1:10" ht="25.5" hidden="1" x14ac:dyDescent="0.25">
      <c r="A2997" s="219"/>
      <c r="B2997" s="237"/>
      <c r="C2997" s="36" t="s">
        <v>1768</v>
      </c>
      <c r="D2997" s="47" t="s">
        <v>479</v>
      </c>
      <c r="E2997" s="37">
        <v>2.992</v>
      </c>
      <c r="F2997" s="31">
        <v>2.2324999999999999</v>
      </c>
      <c r="G2997" s="34">
        <f t="shared" si="51"/>
        <v>6.67964</v>
      </c>
      <c r="H2997" s="35"/>
      <c r="I2997" s="31"/>
      <c r="J2997" s="102">
        <v>0</v>
      </c>
    </row>
    <row r="2998" spans="1:10" hidden="1" x14ac:dyDescent="0.25">
      <c r="A2998" s="219"/>
      <c r="B2998" s="237"/>
      <c r="C2998" s="36" t="s">
        <v>704</v>
      </c>
      <c r="D2998" s="47" t="s">
        <v>703</v>
      </c>
      <c r="E2998" s="37">
        <v>1.619</v>
      </c>
      <c r="F2998" s="31">
        <v>16.1785</v>
      </c>
      <c r="G2998" s="34">
        <f t="shared" si="51"/>
        <v>26.192991499999998</v>
      </c>
      <c r="H2998" s="35"/>
      <c r="I2998" s="31"/>
      <c r="J2998" s="102">
        <v>0</v>
      </c>
    </row>
    <row r="2999" spans="1:10" hidden="1" x14ac:dyDescent="0.25">
      <c r="A2999" s="219"/>
      <c r="B2999" s="237"/>
      <c r="C2999" s="36" t="s">
        <v>1687</v>
      </c>
      <c r="D2999" s="47" t="s">
        <v>703</v>
      </c>
      <c r="E2999" s="37">
        <v>1.6659999999999999</v>
      </c>
      <c r="F2999" s="31">
        <v>19.9025</v>
      </c>
      <c r="G2999" s="34">
        <f t="shared" si="51"/>
        <v>33.157564999999998</v>
      </c>
      <c r="H2999" s="35"/>
      <c r="I2999" s="31"/>
      <c r="J2999" s="102">
        <v>0</v>
      </c>
    </row>
    <row r="3000" spans="1:10" ht="15.75" hidden="1" thickBot="1" x14ac:dyDescent="0.3">
      <c r="A3000" s="220"/>
      <c r="B3000" s="223"/>
      <c r="C3000" s="36"/>
      <c r="D3000" s="36"/>
      <c r="E3000" s="37"/>
      <c r="F3000" s="31" t="s">
        <v>522</v>
      </c>
      <c r="G3000" s="34" t="str">
        <f t="shared" si="51"/>
        <v/>
      </c>
      <c r="H3000" s="35"/>
      <c r="I3000" s="31"/>
      <c r="J3000" s="102">
        <v>0</v>
      </c>
    </row>
    <row r="3001" spans="1:10" ht="15.75" hidden="1" thickBot="1" x14ac:dyDescent="0.3">
      <c r="A3001" s="218" t="s">
        <v>867</v>
      </c>
      <c r="B3001" s="221" t="e">
        <f>INDEX(#REF!,MATCH(Composições!A3001,#REF!,0),2)</f>
        <v>#REF!</v>
      </c>
      <c r="C3001" s="41"/>
      <c r="D3001" s="26" t="s">
        <v>20</v>
      </c>
      <c r="E3001" s="27"/>
      <c r="F3001" s="42" t="s">
        <v>522</v>
      </c>
      <c r="G3001" s="28" t="str">
        <f t="shared" si="51"/>
        <v/>
      </c>
      <c r="H3001" s="29"/>
      <c r="I3001" s="30"/>
      <c r="J3001" s="102">
        <v>0</v>
      </c>
    </row>
    <row r="3002" spans="1:10" hidden="1" x14ac:dyDescent="0.25">
      <c r="A3002" s="219"/>
      <c r="B3002" s="237"/>
      <c r="C3002" s="32"/>
      <c r="D3002" s="32"/>
      <c r="E3002" s="33"/>
      <c r="F3002" s="43" t="s">
        <v>522</v>
      </c>
      <c r="G3002" s="34" t="str">
        <f t="shared" si="51"/>
        <v/>
      </c>
      <c r="H3002" s="35"/>
      <c r="I3002" s="31"/>
      <c r="J3002" s="102">
        <v>0</v>
      </c>
    </row>
    <row r="3003" spans="1:10" hidden="1" x14ac:dyDescent="0.25">
      <c r="A3003" s="219"/>
      <c r="B3003" s="237"/>
      <c r="C3003" s="36" t="s">
        <v>68</v>
      </c>
      <c r="D3003" s="36" t="s">
        <v>12</v>
      </c>
      <c r="E3003" s="37">
        <v>0.2</v>
      </c>
      <c r="F3003" s="34">
        <v>19.9025</v>
      </c>
      <c r="G3003" s="34">
        <f t="shared" si="51"/>
        <v>3.9805000000000001</v>
      </c>
      <c r="H3003" s="39">
        <f>SUM(G3003:G3004)</f>
        <v>3.9805000000000001</v>
      </c>
      <c r="I3003" s="40"/>
      <c r="J3003" s="102">
        <v>0</v>
      </c>
    </row>
    <row r="3004" spans="1:10" ht="25.5" hidden="1" x14ac:dyDescent="0.25">
      <c r="A3004" s="219"/>
      <c r="B3004" s="237"/>
      <c r="C3004" s="36" t="s">
        <v>868</v>
      </c>
      <c r="D3004" s="36" t="s">
        <v>20</v>
      </c>
      <c r="E3004" s="37">
        <v>1</v>
      </c>
      <c r="F3004" s="31" t="s">
        <v>522</v>
      </c>
      <c r="G3004" s="34" t="str">
        <f t="shared" si="51"/>
        <v/>
      </c>
      <c r="H3004" s="35"/>
      <c r="I3004" s="31"/>
      <c r="J3004" s="102">
        <v>0</v>
      </c>
    </row>
    <row r="3005" spans="1:10" ht="15.75" hidden="1" thickBot="1" x14ac:dyDescent="0.3">
      <c r="A3005" s="220"/>
      <c r="B3005" s="223"/>
      <c r="C3005" s="36"/>
      <c r="D3005" s="36"/>
      <c r="E3005" s="37"/>
      <c r="F3005" s="31" t="s">
        <v>522</v>
      </c>
      <c r="G3005" s="34" t="str">
        <f t="shared" si="51"/>
        <v/>
      </c>
      <c r="H3005" s="35"/>
      <c r="I3005" s="31"/>
      <c r="J3005" s="102">
        <v>0</v>
      </c>
    </row>
    <row r="3006" spans="1:10" ht="15.75" hidden="1" thickBot="1" x14ac:dyDescent="0.3">
      <c r="A3006" s="218" t="s">
        <v>869</v>
      </c>
      <c r="B3006" s="221" t="e">
        <f>INDEX(#REF!,MATCH(Composições!A3006,#REF!,0),2)</f>
        <v>#REF!</v>
      </c>
      <c r="C3006" s="41"/>
      <c r="D3006" s="26" t="s">
        <v>20</v>
      </c>
      <c r="E3006" s="27"/>
      <c r="F3006" s="42" t="s">
        <v>522</v>
      </c>
      <c r="G3006" s="28" t="str">
        <f t="shared" si="51"/>
        <v/>
      </c>
      <c r="H3006" s="29"/>
      <c r="I3006" s="30"/>
      <c r="J3006" s="102">
        <v>0</v>
      </c>
    </row>
    <row r="3007" spans="1:10" hidden="1" x14ac:dyDescent="0.25">
      <c r="A3007" s="219"/>
      <c r="B3007" s="237"/>
      <c r="C3007" s="32"/>
      <c r="D3007" s="32"/>
      <c r="E3007" s="33"/>
      <c r="F3007" s="43" t="s">
        <v>522</v>
      </c>
      <c r="G3007" s="34" t="str">
        <f t="shared" si="51"/>
        <v/>
      </c>
      <c r="H3007" s="35"/>
      <c r="I3007" s="31"/>
      <c r="J3007" s="102">
        <v>0</v>
      </c>
    </row>
    <row r="3008" spans="1:10" hidden="1" x14ac:dyDescent="0.25">
      <c r="A3008" s="219"/>
      <c r="B3008" s="237"/>
      <c r="C3008" s="36" t="s">
        <v>68</v>
      </c>
      <c r="D3008" s="36" t="s">
        <v>12</v>
      </c>
      <c r="E3008" s="37">
        <v>0.2</v>
      </c>
      <c r="F3008" s="34">
        <v>19.9025</v>
      </c>
      <c r="G3008" s="34">
        <f t="shared" si="51"/>
        <v>3.9805000000000001</v>
      </c>
      <c r="H3008" s="39">
        <f>SUM(G3008:G3009)</f>
        <v>3.9805000000000001</v>
      </c>
      <c r="I3008" s="40"/>
      <c r="J3008" s="102">
        <v>0</v>
      </c>
    </row>
    <row r="3009" spans="1:10" ht="38.25" hidden="1" x14ac:dyDescent="0.25">
      <c r="A3009" s="219"/>
      <c r="B3009" s="237"/>
      <c r="C3009" s="36" t="s">
        <v>870</v>
      </c>
      <c r="D3009" s="36" t="s">
        <v>20</v>
      </c>
      <c r="E3009" s="37">
        <v>1</v>
      </c>
      <c r="F3009" s="31" t="s">
        <v>522</v>
      </c>
      <c r="G3009" s="34" t="str">
        <f t="shared" si="51"/>
        <v/>
      </c>
      <c r="H3009" s="35"/>
      <c r="I3009" s="31"/>
      <c r="J3009" s="102">
        <v>0</v>
      </c>
    </row>
    <row r="3010" spans="1:10" ht="15.75" hidden="1" thickBot="1" x14ac:dyDescent="0.3">
      <c r="A3010" s="220"/>
      <c r="B3010" s="223"/>
      <c r="C3010" s="36"/>
      <c r="D3010" s="36"/>
      <c r="E3010" s="37"/>
      <c r="F3010" s="31" t="s">
        <v>522</v>
      </c>
      <c r="G3010" s="34" t="str">
        <f t="shared" si="51"/>
        <v/>
      </c>
      <c r="H3010" s="35"/>
      <c r="I3010" s="31"/>
      <c r="J3010" s="102">
        <v>0</v>
      </c>
    </row>
    <row r="3011" spans="1:10" ht="15.75" hidden="1" thickBot="1" x14ac:dyDescent="0.3">
      <c r="A3011" s="218" t="s">
        <v>871</v>
      </c>
      <c r="B3011" s="221" t="e">
        <f>INDEX(#REF!,MATCH(Composições!A3011,#REF!,0),2)</f>
        <v>#REF!</v>
      </c>
      <c r="C3011" s="41"/>
      <c r="D3011" s="26" t="s">
        <v>20</v>
      </c>
      <c r="E3011" s="27"/>
      <c r="F3011" s="42" t="s">
        <v>522</v>
      </c>
      <c r="G3011" s="28" t="str">
        <f t="shared" si="51"/>
        <v/>
      </c>
      <c r="H3011" s="29"/>
      <c r="I3011" s="30"/>
      <c r="J3011" s="102">
        <v>0</v>
      </c>
    </row>
    <row r="3012" spans="1:10" hidden="1" x14ac:dyDescent="0.25">
      <c r="A3012" s="219"/>
      <c r="B3012" s="237"/>
      <c r="C3012" s="32"/>
      <c r="D3012" s="32"/>
      <c r="E3012" s="33"/>
      <c r="F3012" s="43" t="s">
        <v>522</v>
      </c>
      <c r="G3012" s="34" t="str">
        <f t="shared" si="51"/>
        <v/>
      </c>
      <c r="H3012" s="35"/>
      <c r="I3012" s="31"/>
      <c r="J3012" s="102">
        <v>0</v>
      </c>
    </row>
    <row r="3013" spans="1:10" hidden="1" x14ac:dyDescent="0.25">
      <c r="A3013" s="219"/>
      <c r="B3013" s="237"/>
      <c r="C3013" s="36" t="s">
        <v>68</v>
      </c>
      <c r="D3013" s="36" t="s">
        <v>12</v>
      </c>
      <c r="E3013" s="37">
        <v>0.2</v>
      </c>
      <c r="F3013" s="34">
        <v>19.9025</v>
      </c>
      <c r="G3013" s="34">
        <f t="shared" si="51"/>
        <v>3.9805000000000001</v>
      </c>
      <c r="H3013" s="39">
        <f>SUM(G3013:G3014)</f>
        <v>3.9805000000000001</v>
      </c>
      <c r="I3013" s="40"/>
      <c r="J3013" s="102">
        <v>0</v>
      </c>
    </row>
    <row r="3014" spans="1:10" ht="25.5" hidden="1" x14ac:dyDescent="0.25">
      <c r="A3014" s="219"/>
      <c r="B3014" s="237"/>
      <c r="C3014" s="36" t="s">
        <v>872</v>
      </c>
      <c r="D3014" s="36" t="s">
        <v>20</v>
      </c>
      <c r="E3014" s="37">
        <v>1</v>
      </c>
      <c r="F3014" s="31" t="s">
        <v>522</v>
      </c>
      <c r="G3014" s="34" t="str">
        <f t="shared" ref="G3014:G3077" si="52">IF(ISNUMBER(F3014),E3014*F3014,"")</f>
        <v/>
      </c>
      <c r="H3014" s="35"/>
      <c r="I3014" s="31"/>
      <c r="J3014" s="102">
        <v>0</v>
      </c>
    </row>
    <row r="3015" spans="1:10" ht="15.75" hidden="1" thickBot="1" x14ac:dyDescent="0.3">
      <c r="A3015" s="220"/>
      <c r="B3015" s="223"/>
      <c r="C3015" s="36"/>
      <c r="D3015" s="36"/>
      <c r="E3015" s="37"/>
      <c r="F3015" s="31" t="s">
        <v>522</v>
      </c>
      <c r="G3015" s="34" t="str">
        <f t="shared" si="52"/>
        <v/>
      </c>
      <c r="H3015" s="35"/>
      <c r="I3015" s="31"/>
      <c r="J3015" s="102">
        <v>0</v>
      </c>
    </row>
    <row r="3016" spans="1:10" ht="15.75" hidden="1" thickBot="1" x14ac:dyDescent="0.3">
      <c r="A3016" s="218" t="s">
        <v>873</v>
      </c>
      <c r="B3016" s="221" t="e">
        <f>INDEX(#REF!,MATCH(Composições!A3016,#REF!,0),2)</f>
        <v>#REF!</v>
      </c>
      <c r="C3016" s="41"/>
      <c r="D3016" s="26" t="s">
        <v>20</v>
      </c>
      <c r="E3016" s="27"/>
      <c r="F3016" s="42" t="s">
        <v>522</v>
      </c>
      <c r="G3016" s="28" t="str">
        <f t="shared" si="52"/>
        <v/>
      </c>
      <c r="H3016" s="29"/>
      <c r="I3016" s="30"/>
      <c r="J3016" s="102">
        <v>0</v>
      </c>
    </row>
    <row r="3017" spans="1:10" hidden="1" x14ac:dyDescent="0.25">
      <c r="A3017" s="219"/>
      <c r="B3017" s="237"/>
      <c r="C3017" s="32"/>
      <c r="D3017" s="32"/>
      <c r="E3017" s="33"/>
      <c r="F3017" s="43" t="s">
        <v>522</v>
      </c>
      <c r="G3017" s="34" t="str">
        <f t="shared" si="52"/>
        <v/>
      </c>
      <c r="H3017" s="35"/>
      <c r="I3017" s="31"/>
      <c r="J3017" s="102">
        <v>0</v>
      </c>
    </row>
    <row r="3018" spans="1:10" hidden="1" x14ac:dyDescent="0.25">
      <c r="A3018" s="219"/>
      <c r="B3018" s="237"/>
      <c r="C3018" s="36" t="s">
        <v>68</v>
      </c>
      <c r="D3018" s="36" t="s">
        <v>12</v>
      </c>
      <c r="E3018" s="37">
        <v>1.5</v>
      </c>
      <c r="F3018" s="34">
        <v>19.9025</v>
      </c>
      <c r="G3018" s="34">
        <f t="shared" si="52"/>
        <v>29.853749999999998</v>
      </c>
      <c r="H3018" s="39">
        <f>SUM(G3018:G3019)</f>
        <v>29.853749999999998</v>
      </c>
      <c r="I3018" s="40"/>
      <c r="J3018" s="102">
        <v>0</v>
      </c>
    </row>
    <row r="3019" spans="1:10" ht="51" hidden="1" x14ac:dyDescent="0.25">
      <c r="A3019" s="219"/>
      <c r="B3019" s="237"/>
      <c r="C3019" s="97" t="s">
        <v>874</v>
      </c>
      <c r="D3019" s="36" t="s">
        <v>20</v>
      </c>
      <c r="E3019" s="37">
        <v>1</v>
      </c>
      <c r="F3019" s="31" t="s">
        <v>522</v>
      </c>
      <c r="G3019" s="34" t="str">
        <f t="shared" si="52"/>
        <v/>
      </c>
      <c r="H3019" s="35"/>
      <c r="I3019" s="31"/>
      <c r="J3019" s="102">
        <v>0</v>
      </c>
    </row>
    <row r="3020" spans="1:10" ht="15.75" hidden="1" thickBot="1" x14ac:dyDescent="0.3">
      <c r="A3020" s="220"/>
      <c r="B3020" s="223"/>
      <c r="C3020" s="36"/>
      <c r="D3020" s="36"/>
      <c r="E3020" s="37"/>
      <c r="F3020" s="31" t="s">
        <v>522</v>
      </c>
      <c r="G3020" s="34" t="str">
        <f t="shared" si="52"/>
        <v/>
      </c>
      <c r="H3020" s="35"/>
      <c r="I3020" s="31"/>
      <c r="J3020" s="102">
        <v>0</v>
      </c>
    </row>
    <row r="3021" spans="1:10" ht="15.75" hidden="1" thickBot="1" x14ac:dyDescent="0.3">
      <c r="A3021" s="218" t="s">
        <v>875</v>
      </c>
      <c r="B3021" s="221" t="e">
        <f>INDEX(#REF!,MATCH(Composições!A3021,#REF!,0),2)</f>
        <v>#REF!</v>
      </c>
      <c r="C3021" s="41"/>
      <c r="D3021" s="26" t="s">
        <v>20</v>
      </c>
      <c r="E3021" s="27"/>
      <c r="F3021" s="42" t="s">
        <v>522</v>
      </c>
      <c r="G3021" s="28" t="str">
        <f t="shared" si="52"/>
        <v/>
      </c>
      <c r="H3021" s="29"/>
      <c r="I3021" s="30"/>
      <c r="J3021" s="102">
        <v>0</v>
      </c>
    </row>
    <row r="3022" spans="1:10" hidden="1" x14ac:dyDescent="0.25">
      <c r="A3022" s="219"/>
      <c r="B3022" s="237"/>
      <c r="C3022" s="32"/>
      <c r="D3022" s="32"/>
      <c r="E3022" s="33"/>
      <c r="F3022" s="43" t="s">
        <v>522</v>
      </c>
      <c r="G3022" s="34" t="str">
        <f t="shared" si="52"/>
        <v/>
      </c>
      <c r="H3022" s="35"/>
      <c r="I3022" s="31"/>
      <c r="J3022" s="102">
        <v>0</v>
      </c>
    </row>
    <row r="3023" spans="1:10" hidden="1" x14ac:dyDescent="0.25">
      <c r="A3023" s="219"/>
      <c r="B3023" s="237"/>
      <c r="C3023" s="36" t="s">
        <v>68</v>
      </c>
      <c r="D3023" s="36" t="s">
        <v>12</v>
      </c>
      <c r="E3023" s="37">
        <v>1.5</v>
      </c>
      <c r="F3023" s="34">
        <v>19.9025</v>
      </c>
      <c r="G3023" s="34">
        <f t="shared" si="52"/>
        <v>29.853749999999998</v>
      </c>
      <c r="H3023" s="39">
        <f>SUM(G3023:G3024)</f>
        <v>29.853749999999998</v>
      </c>
      <c r="I3023" s="40"/>
      <c r="J3023" s="102">
        <v>0</v>
      </c>
    </row>
    <row r="3024" spans="1:10" hidden="1" x14ac:dyDescent="0.25">
      <c r="A3024" s="219"/>
      <c r="B3024" s="237"/>
      <c r="C3024" s="36" t="s">
        <v>876</v>
      </c>
      <c r="D3024" s="36" t="s">
        <v>20</v>
      </c>
      <c r="E3024" s="37">
        <v>1</v>
      </c>
      <c r="F3024" s="31" t="s">
        <v>522</v>
      </c>
      <c r="G3024" s="34" t="str">
        <f t="shared" si="52"/>
        <v/>
      </c>
      <c r="H3024" s="35"/>
      <c r="I3024" s="31"/>
      <c r="J3024" s="102">
        <v>0</v>
      </c>
    </row>
    <row r="3025" spans="1:10" ht="15.75" hidden="1" thickBot="1" x14ac:dyDescent="0.3">
      <c r="A3025" s="220"/>
      <c r="B3025" s="223"/>
      <c r="C3025" s="36"/>
      <c r="D3025" s="36"/>
      <c r="E3025" s="37"/>
      <c r="F3025" s="31" t="s">
        <v>522</v>
      </c>
      <c r="G3025" s="34" t="str">
        <f t="shared" si="52"/>
        <v/>
      </c>
      <c r="H3025" s="35"/>
      <c r="I3025" s="31"/>
      <c r="J3025" s="102">
        <v>0</v>
      </c>
    </row>
    <row r="3026" spans="1:10" ht="15.75" hidden="1" thickBot="1" x14ac:dyDescent="0.3">
      <c r="A3026" s="218" t="s">
        <v>877</v>
      </c>
      <c r="B3026" s="221" t="e">
        <f>INDEX(#REF!,MATCH(Composições!A3026,#REF!,0),2)</f>
        <v>#REF!</v>
      </c>
      <c r="C3026" s="41"/>
      <c r="D3026" s="26" t="s">
        <v>20</v>
      </c>
      <c r="E3026" s="27"/>
      <c r="F3026" s="42" t="s">
        <v>522</v>
      </c>
      <c r="G3026" s="28" t="str">
        <f t="shared" si="52"/>
        <v/>
      </c>
      <c r="H3026" s="29"/>
      <c r="I3026" s="30"/>
      <c r="J3026" s="102">
        <v>0</v>
      </c>
    </row>
    <row r="3027" spans="1:10" hidden="1" x14ac:dyDescent="0.25">
      <c r="A3027" s="219"/>
      <c r="B3027" s="237"/>
      <c r="C3027" s="32"/>
      <c r="D3027" s="32"/>
      <c r="E3027" s="33"/>
      <c r="F3027" s="43" t="s">
        <v>522</v>
      </c>
      <c r="G3027" s="34" t="str">
        <f t="shared" si="52"/>
        <v/>
      </c>
      <c r="H3027" s="35"/>
      <c r="I3027" s="31"/>
      <c r="J3027" s="102">
        <v>0</v>
      </c>
    </row>
    <row r="3028" spans="1:10" hidden="1" x14ac:dyDescent="0.25">
      <c r="A3028" s="219"/>
      <c r="B3028" s="237"/>
      <c r="C3028" s="36" t="s">
        <v>68</v>
      </c>
      <c r="D3028" s="36" t="s">
        <v>12</v>
      </c>
      <c r="E3028" s="37">
        <v>1</v>
      </c>
      <c r="F3028" s="34">
        <v>19.9025</v>
      </c>
      <c r="G3028" s="34">
        <f t="shared" si="52"/>
        <v>19.9025</v>
      </c>
      <c r="H3028" s="39">
        <f>SUM(G3028:G3029)</f>
        <v>19.9025</v>
      </c>
      <c r="I3028" s="40"/>
      <c r="J3028" s="102">
        <v>0</v>
      </c>
    </row>
    <row r="3029" spans="1:10" ht="25.5" hidden="1" x14ac:dyDescent="0.25">
      <c r="A3029" s="219"/>
      <c r="B3029" s="237"/>
      <c r="C3029" s="36" t="s">
        <v>878</v>
      </c>
      <c r="D3029" s="36" t="s">
        <v>20</v>
      </c>
      <c r="E3029" s="37">
        <v>1</v>
      </c>
      <c r="F3029" s="31" t="s">
        <v>522</v>
      </c>
      <c r="G3029" s="34" t="str">
        <f t="shared" si="52"/>
        <v/>
      </c>
      <c r="H3029" s="35"/>
      <c r="I3029" s="31"/>
      <c r="J3029" s="102">
        <v>0</v>
      </c>
    </row>
    <row r="3030" spans="1:10" ht="15.75" hidden="1" thickBot="1" x14ac:dyDescent="0.3">
      <c r="A3030" s="220"/>
      <c r="B3030" s="223"/>
      <c r="C3030" s="36"/>
      <c r="D3030" s="36"/>
      <c r="E3030" s="37"/>
      <c r="F3030" s="31" t="s">
        <v>522</v>
      </c>
      <c r="G3030" s="34" t="str">
        <f t="shared" si="52"/>
        <v/>
      </c>
      <c r="H3030" s="35"/>
      <c r="I3030" s="31"/>
      <c r="J3030" s="102">
        <v>0</v>
      </c>
    </row>
    <row r="3031" spans="1:10" ht="15.75" hidden="1" thickBot="1" x14ac:dyDescent="0.3">
      <c r="A3031" s="218" t="s">
        <v>879</v>
      </c>
      <c r="B3031" s="221" t="e">
        <f>INDEX(#REF!,MATCH(Composições!A3031,#REF!,0),2)</f>
        <v>#REF!</v>
      </c>
      <c r="C3031" s="41"/>
      <c r="D3031" s="26" t="s">
        <v>20</v>
      </c>
      <c r="E3031" s="27"/>
      <c r="F3031" s="42" t="s">
        <v>522</v>
      </c>
      <c r="G3031" s="28" t="str">
        <f t="shared" si="52"/>
        <v/>
      </c>
      <c r="H3031" s="29"/>
      <c r="I3031" s="30"/>
      <c r="J3031" s="102">
        <v>0</v>
      </c>
    </row>
    <row r="3032" spans="1:10" hidden="1" x14ac:dyDescent="0.25">
      <c r="A3032" s="219"/>
      <c r="B3032" s="237"/>
      <c r="C3032" s="32"/>
      <c r="D3032" s="32"/>
      <c r="E3032" s="33"/>
      <c r="F3032" s="43" t="s">
        <v>522</v>
      </c>
      <c r="G3032" s="34" t="str">
        <f t="shared" si="52"/>
        <v/>
      </c>
      <c r="H3032" s="35"/>
      <c r="I3032" s="31"/>
      <c r="J3032" s="102">
        <v>0</v>
      </c>
    </row>
    <row r="3033" spans="1:10" hidden="1" x14ac:dyDescent="0.25">
      <c r="A3033" s="219"/>
      <c r="B3033" s="237"/>
      <c r="C3033" s="36" t="s">
        <v>68</v>
      </c>
      <c r="D3033" s="36" t="s">
        <v>12</v>
      </c>
      <c r="E3033" s="37">
        <v>0.1</v>
      </c>
      <c r="F3033" s="34">
        <v>19.9025</v>
      </c>
      <c r="G3033" s="34">
        <f t="shared" si="52"/>
        <v>1.9902500000000001</v>
      </c>
      <c r="H3033" s="39">
        <f>SUM(G3033:G3034)</f>
        <v>1.9902500000000001</v>
      </c>
      <c r="I3033" s="40"/>
      <c r="J3033" s="102">
        <v>0</v>
      </c>
    </row>
    <row r="3034" spans="1:10" ht="25.5" hidden="1" x14ac:dyDescent="0.25">
      <c r="A3034" s="219"/>
      <c r="B3034" s="237"/>
      <c r="C3034" s="36" t="s">
        <v>880</v>
      </c>
      <c r="D3034" s="36" t="s">
        <v>20</v>
      </c>
      <c r="E3034" s="37">
        <v>1</v>
      </c>
      <c r="F3034" s="31" t="s">
        <v>522</v>
      </c>
      <c r="G3034" s="34" t="str">
        <f t="shared" si="52"/>
        <v/>
      </c>
      <c r="H3034" s="35"/>
      <c r="I3034" s="31"/>
      <c r="J3034" s="102">
        <v>0</v>
      </c>
    </row>
    <row r="3035" spans="1:10" ht="15.75" hidden="1" thickBot="1" x14ac:dyDescent="0.3">
      <c r="A3035" s="220"/>
      <c r="B3035" s="223"/>
      <c r="C3035" s="36"/>
      <c r="D3035" s="36"/>
      <c r="E3035" s="37"/>
      <c r="F3035" s="31" t="s">
        <v>522</v>
      </c>
      <c r="G3035" s="34" t="str">
        <f t="shared" si="52"/>
        <v/>
      </c>
      <c r="H3035" s="35"/>
      <c r="I3035" s="31"/>
      <c r="J3035" s="102">
        <v>0</v>
      </c>
    </row>
    <row r="3036" spans="1:10" ht="15.75" hidden="1" thickBot="1" x14ac:dyDescent="0.3">
      <c r="A3036" s="218" t="s">
        <v>881</v>
      </c>
      <c r="B3036" s="221" t="e">
        <f>INDEX(#REF!,MATCH(Composições!A3036,#REF!,0),2)</f>
        <v>#REF!</v>
      </c>
      <c r="C3036" s="41"/>
      <c r="D3036" s="26" t="s">
        <v>20</v>
      </c>
      <c r="E3036" s="27"/>
      <c r="F3036" s="42" t="s">
        <v>522</v>
      </c>
      <c r="G3036" s="28" t="str">
        <f t="shared" si="52"/>
        <v/>
      </c>
      <c r="H3036" s="29"/>
      <c r="I3036" s="30"/>
      <c r="J3036" s="102">
        <v>0</v>
      </c>
    </row>
    <row r="3037" spans="1:10" hidden="1" x14ac:dyDescent="0.25">
      <c r="A3037" s="219"/>
      <c r="B3037" s="237"/>
      <c r="C3037" s="32"/>
      <c r="D3037" s="32"/>
      <c r="E3037" s="33"/>
      <c r="F3037" s="43" t="s">
        <v>522</v>
      </c>
      <c r="G3037" s="34" t="str">
        <f t="shared" si="52"/>
        <v/>
      </c>
      <c r="H3037" s="35"/>
      <c r="I3037" s="31"/>
      <c r="J3037" s="102">
        <v>0</v>
      </c>
    </row>
    <row r="3038" spans="1:10" hidden="1" x14ac:dyDescent="0.25">
      <c r="A3038" s="219"/>
      <c r="B3038" s="237"/>
      <c r="C3038" s="36" t="s">
        <v>68</v>
      </c>
      <c r="D3038" s="36" t="s">
        <v>12</v>
      </c>
      <c r="E3038" s="37">
        <v>0.2</v>
      </c>
      <c r="F3038" s="34">
        <v>19.9025</v>
      </c>
      <c r="G3038" s="34">
        <f t="shared" si="52"/>
        <v>3.9805000000000001</v>
      </c>
      <c r="H3038" s="39">
        <f>SUM(G3038:G3039)</f>
        <v>3.9805000000000001</v>
      </c>
      <c r="I3038" s="40"/>
      <c r="J3038" s="102">
        <v>0</v>
      </c>
    </row>
    <row r="3039" spans="1:10" ht="25.5" hidden="1" x14ac:dyDescent="0.25">
      <c r="A3039" s="219"/>
      <c r="B3039" s="237"/>
      <c r="C3039" s="36" t="s">
        <v>882</v>
      </c>
      <c r="D3039" s="36" t="s">
        <v>20</v>
      </c>
      <c r="E3039" s="37">
        <v>1</v>
      </c>
      <c r="F3039" s="31" t="s">
        <v>522</v>
      </c>
      <c r="G3039" s="34" t="str">
        <f t="shared" si="52"/>
        <v/>
      </c>
      <c r="H3039" s="35"/>
      <c r="I3039" s="31"/>
      <c r="J3039" s="102">
        <v>0</v>
      </c>
    </row>
    <row r="3040" spans="1:10" ht="15.75" hidden="1" thickBot="1" x14ac:dyDescent="0.3">
      <c r="A3040" s="220"/>
      <c r="B3040" s="223"/>
      <c r="C3040" s="36"/>
      <c r="D3040" s="36"/>
      <c r="E3040" s="37"/>
      <c r="F3040" s="31" t="s">
        <v>522</v>
      </c>
      <c r="G3040" s="34" t="str">
        <f t="shared" si="52"/>
        <v/>
      </c>
      <c r="H3040" s="35"/>
      <c r="I3040" s="31"/>
      <c r="J3040" s="102">
        <v>0</v>
      </c>
    </row>
    <row r="3041" spans="1:10" ht="15.75" hidden="1" thickBot="1" x14ac:dyDescent="0.3">
      <c r="A3041" s="218" t="s">
        <v>883</v>
      </c>
      <c r="B3041" s="221" t="e">
        <f>INDEX(#REF!,MATCH(Composições!A3041,#REF!,0),2)</f>
        <v>#REF!</v>
      </c>
      <c r="C3041" s="41"/>
      <c r="D3041" s="26" t="s">
        <v>20</v>
      </c>
      <c r="E3041" s="27"/>
      <c r="F3041" s="42" t="s">
        <v>522</v>
      </c>
      <c r="G3041" s="28" t="str">
        <f t="shared" si="52"/>
        <v/>
      </c>
      <c r="H3041" s="29"/>
      <c r="I3041" s="30"/>
      <c r="J3041" s="102">
        <v>0</v>
      </c>
    </row>
    <row r="3042" spans="1:10" hidden="1" x14ac:dyDescent="0.25">
      <c r="A3042" s="219"/>
      <c r="B3042" s="237"/>
      <c r="C3042" s="32"/>
      <c r="D3042" s="32"/>
      <c r="E3042" s="33"/>
      <c r="F3042" s="43" t="s">
        <v>522</v>
      </c>
      <c r="G3042" s="34" t="str">
        <f t="shared" si="52"/>
        <v/>
      </c>
      <c r="H3042" s="35"/>
      <c r="I3042" s="31"/>
      <c r="J3042" s="102">
        <v>0</v>
      </c>
    </row>
    <row r="3043" spans="1:10" hidden="1" x14ac:dyDescent="0.25">
      <c r="A3043" s="219"/>
      <c r="B3043" s="237"/>
      <c r="C3043" s="36" t="s">
        <v>68</v>
      </c>
      <c r="D3043" s="36" t="s">
        <v>12</v>
      </c>
      <c r="E3043" s="37">
        <v>0.2</v>
      </c>
      <c r="F3043" s="34">
        <v>19.9025</v>
      </c>
      <c r="G3043" s="34">
        <f t="shared" si="52"/>
        <v>3.9805000000000001</v>
      </c>
      <c r="H3043" s="39">
        <f>SUM(G3043:G3044)</f>
        <v>3.9805000000000001</v>
      </c>
      <c r="I3043" s="40"/>
      <c r="J3043" s="102">
        <v>0</v>
      </c>
    </row>
    <row r="3044" spans="1:10" ht="38.25" hidden="1" x14ac:dyDescent="0.25">
      <c r="A3044" s="219"/>
      <c r="B3044" s="237"/>
      <c r="C3044" s="36" t="s">
        <v>884</v>
      </c>
      <c r="D3044" s="36" t="s">
        <v>20</v>
      </c>
      <c r="E3044" s="37">
        <v>1</v>
      </c>
      <c r="F3044" s="31" t="s">
        <v>522</v>
      </c>
      <c r="G3044" s="34" t="str">
        <f t="shared" si="52"/>
        <v/>
      </c>
      <c r="H3044" s="35"/>
      <c r="I3044" s="31"/>
      <c r="J3044" s="102">
        <v>0</v>
      </c>
    </row>
    <row r="3045" spans="1:10" ht="15.75" hidden="1" thickBot="1" x14ac:dyDescent="0.3">
      <c r="A3045" s="220"/>
      <c r="B3045" s="223"/>
      <c r="C3045" s="36"/>
      <c r="D3045" s="36"/>
      <c r="E3045" s="37"/>
      <c r="F3045" s="31" t="s">
        <v>522</v>
      </c>
      <c r="G3045" s="34" t="str">
        <f t="shared" si="52"/>
        <v/>
      </c>
      <c r="H3045" s="35"/>
      <c r="I3045" s="31"/>
      <c r="J3045" s="102">
        <v>0</v>
      </c>
    </row>
    <row r="3046" spans="1:10" ht="15.75" hidden="1" thickBot="1" x14ac:dyDescent="0.3">
      <c r="A3046" s="218" t="s">
        <v>885</v>
      </c>
      <c r="B3046" s="221" t="e">
        <f>INDEX(#REF!,MATCH(Composições!A3046,#REF!,0),2)</f>
        <v>#REF!</v>
      </c>
      <c r="C3046" s="41"/>
      <c r="D3046" s="26" t="s">
        <v>93</v>
      </c>
      <c r="E3046" s="27"/>
      <c r="F3046" s="42" t="s">
        <v>522</v>
      </c>
      <c r="G3046" s="28" t="str">
        <f t="shared" si="52"/>
        <v/>
      </c>
      <c r="H3046" s="29"/>
      <c r="I3046" s="30"/>
      <c r="J3046" s="102">
        <v>0</v>
      </c>
    </row>
    <row r="3047" spans="1:10" hidden="1" x14ac:dyDescent="0.25">
      <c r="A3047" s="224"/>
      <c r="B3047" s="237"/>
      <c r="C3047" s="32"/>
      <c r="D3047" s="32"/>
      <c r="E3047" s="33"/>
      <c r="F3047" s="43" t="s">
        <v>522</v>
      </c>
      <c r="G3047" s="34" t="str">
        <f t="shared" si="52"/>
        <v/>
      </c>
      <c r="H3047" s="35"/>
      <c r="I3047" s="31"/>
      <c r="J3047" s="102">
        <v>0</v>
      </c>
    </row>
    <row r="3048" spans="1:10" hidden="1" x14ac:dyDescent="0.25">
      <c r="A3048" s="224"/>
      <c r="B3048" s="237"/>
      <c r="C3048" s="36" t="s">
        <v>68</v>
      </c>
      <c r="D3048" s="36" t="s">
        <v>12</v>
      </c>
      <c r="E3048" s="37">
        <v>0.25</v>
      </c>
      <c r="F3048" s="34">
        <v>19.9025</v>
      </c>
      <c r="G3048" s="34">
        <f t="shared" si="52"/>
        <v>4.975625</v>
      </c>
      <c r="H3048" s="39">
        <f>SUM(G3048:G3049)</f>
        <v>40.752577499999994</v>
      </c>
      <c r="I3048" s="40"/>
      <c r="J3048" s="102">
        <v>0</v>
      </c>
    </row>
    <row r="3049" spans="1:10" hidden="1" x14ac:dyDescent="0.25">
      <c r="A3049" s="224"/>
      <c r="B3049" s="237"/>
      <c r="C3049" s="36" t="s">
        <v>835</v>
      </c>
      <c r="D3049" s="36" t="s">
        <v>42</v>
      </c>
      <c r="E3049" s="37">
        <v>0.85299999999999998</v>
      </c>
      <c r="F3049" s="31">
        <v>41.942499999999995</v>
      </c>
      <c r="G3049" s="34">
        <f t="shared" si="52"/>
        <v>35.776952499999993</v>
      </c>
      <c r="H3049" s="35"/>
      <c r="I3049" s="31"/>
      <c r="J3049" s="102">
        <v>0</v>
      </c>
    </row>
    <row r="3050" spans="1:10" hidden="1" x14ac:dyDescent="0.25">
      <c r="A3050" s="224"/>
      <c r="B3050" s="237"/>
      <c r="C3050" s="36"/>
      <c r="D3050" s="47"/>
      <c r="E3050" s="37"/>
      <c r="F3050" s="31" t="s">
        <v>522</v>
      </c>
      <c r="G3050" s="34" t="str">
        <f t="shared" si="52"/>
        <v/>
      </c>
      <c r="H3050" s="35"/>
      <c r="I3050" s="31"/>
      <c r="J3050" s="102">
        <v>0</v>
      </c>
    </row>
    <row r="3051" spans="1:10" ht="25.5" hidden="1" x14ac:dyDescent="0.25">
      <c r="A3051" s="224"/>
      <c r="B3051" s="237"/>
      <c r="C3051" s="48" t="s">
        <v>886</v>
      </c>
      <c r="D3051" s="47"/>
      <c r="E3051" s="37"/>
      <c r="F3051" s="31" t="s">
        <v>522</v>
      </c>
      <c r="G3051" s="34" t="str">
        <f t="shared" si="52"/>
        <v/>
      </c>
      <c r="H3051" s="35"/>
      <c r="I3051" s="31"/>
      <c r="J3051" s="102">
        <v>0</v>
      </c>
    </row>
    <row r="3052" spans="1:10" ht="25.5" hidden="1" x14ac:dyDescent="0.25">
      <c r="A3052" s="224"/>
      <c r="B3052" s="237"/>
      <c r="C3052" s="52" t="s">
        <v>840</v>
      </c>
      <c r="D3052" s="47"/>
      <c r="E3052" s="37"/>
      <c r="F3052" s="31" t="s">
        <v>522</v>
      </c>
      <c r="G3052" s="34" t="str">
        <f t="shared" si="52"/>
        <v/>
      </c>
      <c r="H3052" s="35"/>
      <c r="I3052" s="31"/>
      <c r="J3052" s="102">
        <v>0</v>
      </c>
    </row>
    <row r="3053" spans="1:10" ht="15.75" hidden="1" thickBot="1" x14ac:dyDescent="0.3">
      <c r="A3053" s="225"/>
      <c r="B3053" s="223"/>
      <c r="C3053" s="36"/>
      <c r="D3053" s="36"/>
      <c r="E3053" s="37"/>
      <c r="F3053" s="31" t="s">
        <v>522</v>
      </c>
      <c r="G3053" s="34" t="str">
        <f t="shared" si="52"/>
        <v/>
      </c>
      <c r="H3053" s="35"/>
      <c r="I3053" s="31"/>
      <c r="J3053" s="102">
        <v>0</v>
      </c>
    </row>
    <row r="3054" spans="1:10" ht="15.75" hidden="1" thickBot="1" x14ac:dyDescent="0.3">
      <c r="A3054" s="218" t="s">
        <v>887</v>
      </c>
      <c r="B3054" s="221" t="e">
        <f>INDEX(#REF!,MATCH(Composições!A3054,#REF!,0),2)</f>
        <v>#REF!</v>
      </c>
      <c r="C3054" s="41"/>
      <c r="D3054" s="26" t="s">
        <v>93</v>
      </c>
      <c r="E3054" s="27"/>
      <c r="F3054" s="42" t="s">
        <v>522</v>
      </c>
      <c r="G3054" s="28" t="str">
        <f t="shared" si="52"/>
        <v/>
      </c>
      <c r="H3054" s="29"/>
      <c r="I3054" s="30"/>
      <c r="J3054" s="102">
        <v>0</v>
      </c>
    </row>
    <row r="3055" spans="1:10" hidden="1" x14ac:dyDescent="0.25">
      <c r="A3055" s="219"/>
      <c r="B3055" s="237"/>
      <c r="C3055" s="32"/>
      <c r="D3055" s="32"/>
      <c r="E3055" s="33"/>
      <c r="F3055" s="43" t="s">
        <v>522</v>
      </c>
      <c r="G3055" s="34" t="str">
        <f t="shared" si="52"/>
        <v/>
      </c>
      <c r="H3055" s="35"/>
      <c r="I3055" s="31"/>
      <c r="J3055" s="102">
        <v>0</v>
      </c>
    </row>
    <row r="3056" spans="1:10" hidden="1" x14ac:dyDescent="0.25">
      <c r="A3056" s="219"/>
      <c r="B3056" s="237"/>
      <c r="C3056" s="36" t="s">
        <v>68</v>
      </c>
      <c r="D3056" s="36" t="s">
        <v>12</v>
      </c>
      <c r="E3056" s="37">
        <v>0.2</v>
      </c>
      <c r="F3056" s="34">
        <v>19.9025</v>
      </c>
      <c r="G3056" s="34">
        <f t="shared" si="52"/>
        <v>3.9805000000000001</v>
      </c>
      <c r="H3056" s="39">
        <f>SUM(G3056:G3057)</f>
        <v>3.9805000000000001</v>
      </c>
      <c r="I3056" s="40"/>
      <c r="J3056" s="102">
        <v>0</v>
      </c>
    </row>
    <row r="3057" spans="1:10" ht="25.5" hidden="1" x14ac:dyDescent="0.25">
      <c r="A3057" s="219"/>
      <c r="B3057" s="237"/>
      <c r="C3057" s="36" t="s">
        <v>888</v>
      </c>
      <c r="D3057" s="36" t="s">
        <v>93</v>
      </c>
      <c r="E3057" s="37">
        <v>0.11899999999999999</v>
      </c>
      <c r="F3057" s="31" t="s">
        <v>522</v>
      </c>
      <c r="G3057" s="34" t="str">
        <f t="shared" si="52"/>
        <v/>
      </c>
      <c r="H3057" s="35"/>
      <c r="I3057" s="31"/>
      <c r="J3057" s="102">
        <v>0</v>
      </c>
    </row>
    <row r="3058" spans="1:10" ht="15.75" hidden="1" thickBot="1" x14ac:dyDescent="0.3">
      <c r="A3058" s="220"/>
      <c r="B3058" s="223"/>
      <c r="C3058" s="36"/>
      <c r="D3058" s="36"/>
      <c r="E3058" s="37"/>
      <c r="F3058" s="31" t="s">
        <v>522</v>
      </c>
      <c r="G3058" s="34" t="str">
        <f t="shared" si="52"/>
        <v/>
      </c>
      <c r="H3058" s="35"/>
      <c r="I3058" s="31"/>
      <c r="J3058" s="102">
        <v>0</v>
      </c>
    </row>
    <row r="3059" spans="1:10" ht="15.75" hidden="1" thickBot="1" x14ac:dyDescent="0.3">
      <c r="A3059" s="218" t="s">
        <v>889</v>
      </c>
      <c r="B3059" s="221" t="e">
        <f>INDEX(#REF!,MATCH(Composições!A3059,#REF!,0),2)</f>
        <v>#REF!</v>
      </c>
      <c r="C3059" s="41"/>
      <c r="D3059" s="26" t="s">
        <v>93</v>
      </c>
      <c r="E3059" s="27"/>
      <c r="F3059" s="42" t="s">
        <v>522</v>
      </c>
      <c r="G3059" s="28" t="str">
        <f t="shared" si="52"/>
        <v/>
      </c>
      <c r="H3059" s="29"/>
      <c r="I3059" s="30"/>
      <c r="J3059" s="102">
        <v>0</v>
      </c>
    </row>
    <row r="3060" spans="1:10" hidden="1" x14ac:dyDescent="0.25">
      <c r="A3060" s="224"/>
      <c r="B3060" s="237"/>
      <c r="C3060" s="32"/>
      <c r="D3060" s="32"/>
      <c r="E3060" s="33"/>
      <c r="F3060" s="43" t="s">
        <v>522</v>
      </c>
      <c r="G3060" s="34" t="str">
        <f t="shared" si="52"/>
        <v/>
      </c>
      <c r="H3060" s="35"/>
      <c r="I3060" s="31"/>
      <c r="J3060" s="102">
        <v>0</v>
      </c>
    </row>
    <row r="3061" spans="1:10" hidden="1" x14ac:dyDescent="0.25">
      <c r="A3061" s="224"/>
      <c r="B3061" s="237"/>
      <c r="C3061" s="36" t="s">
        <v>68</v>
      </c>
      <c r="D3061" s="36" t="s">
        <v>12</v>
      </c>
      <c r="E3061" s="37">
        <v>0.3</v>
      </c>
      <c r="F3061" s="34">
        <v>19.9025</v>
      </c>
      <c r="G3061" s="34">
        <f t="shared" si="52"/>
        <v>5.9707499999999998</v>
      </c>
      <c r="H3061" s="39">
        <f>SUM(G3061:G3062)</f>
        <v>10.961907499999999</v>
      </c>
      <c r="I3061" s="40"/>
      <c r="J3061" s="102">
        <v>0</v>
      </c>
    </row>
    <row r="3062" spans="1:10" hidden="1" x14ac:dyDescent="0.25">
      <c r="A3062" s="224"/>
      <c r="B3062" s="237"/>
      <c r="C3062" s="36" t="s">
        <v>835</v>
      </c>
      <c r="D3062" s="36" t="s">
        <v>42</v>
      </c>
      <c r="E3062" s="37">
        <v>0.11899999999999999</v>
      </c>
      <c r="F3062" s="31">
        <v>41.942499999999995</v>
      </c>
      <c r="G3062" s="34">
        <f t="shared" si="52"/>
        <v>4.991157499999999</v>
      </c>
      <c r="H3062" s="35"/>
      <c r="I3062" s="31"/>
      <c r="J3062" s="102">
        <v>0</v>
      </c>
    </row>
    <row r="3063" spans="1:10" hidden="1" x14ac:dyDescent="0.25">
      <c r="A3063" s="224"/>
      <c r="B3063" s="237"/>
      <c r="C3063" s="36"/>
      <c r="D3063" s="36"/>
      <c r="E3063" s="37"/>
      <c r="F3063" s="31" t="s">
        <v>522</v>
      </c>
      <c r="G3063" s="34" t="str">
        <f t="shared" si="52"/>
        <v/>
      </c>
      <c r="H3063" s="35"/>
      <c r="I3063" s="31"/>
      <c r="J3063" s="102">
        <v>0</v>
      </c>
    </row>
    <row r="3064" spans="1:10" ht="38.25" hidden="1" x14ac:dyDescent="0.25">
      <c r="A3064" s="224"/>
      <c r="B3064" s="237"/>
      <c r="C3064" s="48" t="s">
        <v>890</v>
      </c>
      <c r="D3064" s="36"/>
      <c r="E3064" s="37"/>
      <c r="F3064" s="31" t="s">
        <v>522</v>
      </c>
      <c r="G3064" s="34" t="str">
        <f t="shared" si="52"/>
        <v/>
      </c>
      <c r="H3064" s="35"/>
      <c r="I3064" s="31"/>
      <c r="J3064" s="102">
        <v>0</v>
      </c>
    </row>
    <row r="3065" spans="1:10" hidden="1" x14ac:dyDescent="0.25">
      <c r="A3065" s="224"/>
      <c r="B3065" s="237"/>
      <c r="C3065" s="52" t="s">
        <v>891</v>
      </c>
      <c r="D3065" s="36"/>
      <c r="E3065" s="37"/>
      <c r="F3065" s="31" t="s">
        <v>522</v>
      </c>
      <c r="G3065" s="34" t="str">
        <f t="shared" si="52"/>
        <v/>
      </c>
      <c r="H3065" s="35"/>
      <c r="I3065" s="31"/>
      <c r="J3065" s="102">
        <v>0</v>
      </c>
    </row>
    <row r="3066" spans="1:10" ht="15.75" hidden="1" thickBot="1" x14ac:dyDescent="0.3">
      <c r="A3066" s="225"/>
      <c r="B3066" s="223"/>
      <c r="C3066" s="36"/>
      <c r="D3066" s="36"/>
      <c r="E3066" s="37"/>
      <c r="F3066" s="31" t="s">
        <v>522</v>
      </c>
      <c r="G3066" s="34" t="str">
        <f t="shared" si="52"/>
        <v/>
      </c>
      <c r="H3066" s="35"/>
      <c r="I3066" s="31"/>
      <c r="J3066" s="102">
        <v>0</v>
      </c>
    </row>
    <row r="3067" spans="1:10" ht="15.75" hidden="1" thickBot="1" x14ac:dyDescent="0.3">
      <c r="A3067" s="218" t="s">
        <v>892</v>
      </c>
      <c r="B3067" s="221" t="e">
        <f>INDEX(#REF!,MATCH(Composições!A3067,#REF!,0),2)</f>
        <v>#REF!</v>
      </c>
      <c r="C3067" s="41"/>
      <c r="D3067" s="26" t="s">
        <v>20</v>
      </c>
      <c r="E3067" s="27"/>
      <c r="F3067" s="42" t="s">
        <v>522</v>
      </c>
      <c r="G3067" s="28" t="str">
        <f t="shared" si="52"/>
        <v/>
      </c>
      <c r="H3067" s="29"/>
      <c r="I3067" s="30"/>
      <c r="J3067" s="102">
        <v>0</v>
      </c>
    </row>
    <row r="3068" spans="1:10" hidden="1" x14ac:dyDescent="0.25">
      <c r="A3068" s="219"/>
      <c r="B3068" s="237"/>
      <c r="C3068" s="32"/>
      <c r="D3068" s="32"/>
      <c r="E3068" s="33"/>
      <c r="F3068" s="43" t="s">
        <v>522</v>
      </c>
      <c r="G3068" s="34" t="str">
        <f t="shared" si="52"/>
        <v/>
      </c>
      <c r="H3068" s="35"/>
      <c r="I3068" s="31"/>
      <c r="J3068" s="102">
        <v>0</v>
      </c>
    </row>
    <row r="3069" spans="1:10" hidden="1" x14ac:dyDescent="0.25">
      <c r="A3069" s="219"/>
      <c r="B3069" s="237"/>
      <c r="C3069" s="36" t="s">
        <v>68</v>
      </c>
      <c r="D3069" s="47" t="s">
        <v>12</v>
      </c>
      <c r="E3069" s="37">
        <v>1.5</v>
      </c>
      <c r="F3069" s="34">
        <v>19.9025</v>
      </c>
      <c r="G3069" s="34">
        <f t="shared" si="52"/>
        <v>29.853749999999998</v>
      </c>
      <c r="H3069" s="39">
        <f>SUM(G3069:G3069)</f>
        <v>29.853749999999998</v>
      </c>
      <c r="I3069" s="40"/>
      <c r="J3069" s="102">
        <v>0</v>
      </c>
    </row>
    <row r="3070" spans="1:10" ht="15.75" hidden="1" thickBot="1" x14ac:dyDescent="0.3">
      <c r="A3070" s="220"/>
      <c r="B3070" s="223"/>
      <c r="C3070" s="36"/>
      <c r="D3070" s="36"/>
      <c r="E3070" s="37"/>
      <c r="F3070" s="31" t="s">
        <v>522</v>
      </c>
      <c r="G3070" s="34" t="str">
        <f t="shared" si="52"/>
        <v/>
      </c>
      <c r="H3070" s="35"/>
      <c r="I3070" s="31"/>
      <c r="J3070" s="102">
        <v>0</v>
      </c>
    </row>
    <row r="3071" spans="1:10" ht="15.75" hidden="1" thickBot="1" x14ac:dyDescent="0.3">
      <c r="A3071" s="218" t="s">
        <v>893</v>
      </c>
      <c r="B3071" s="221" t="e">
        <f>INDEX(#REF!,MATCH(Composições!A3071,#REF!,0),2)</f>
        <v>#REF!</v>
      </c>
      <c r="C3071" s="41"/>
      <c r="D3071" s="26" t="s">
        <v>95</v>
      </c>
      <c r="E3071" s="27"/>
      <c r="F3071" s="42" t="s">
        <v>522</v>
      </c>
      <c r="G3071" s="28" t="str">
        <f t="shared" si="52"/>
        <v/>
      </c>
      <c r="H3071" s="29"/>
      <c r="I3071" s="30"/>
      <c r="J3071" s="102">
        <v>0</v>
      </c>
    </row>
    <row r="3072" spans="1:10" hidden="1" x14ac:dyDescent="0.25">
      <c r="A3072" s="219"/>
      <c r="B3072" s="237"/>
      <c r="C3072" s="32"/>
      <c r="D3072" s="32"/>
      <c r="E3072" s="33"/>
      <c r="F3072" s="43" t="s">
        <v>522</v>
      </c>
      <c r="G3072" s="34" t="str">
        <f t="shared" si="52"/>
        <v/>
      </c>
      <c r="H3072" s="35"/>
      <c r="I3072" s="31"/>
      <c r="J3072" s="102">
        <v>0</v>
      </c>
    </row>
    <row r="3073" spans="1:10" hidden="1" x14ac:dyDescent="0.25">
      <c r="A3073" s="219"/>
      <c r="B3073" s="237"/>
      <c r="C3073" s="36" t="s">
        <v>68</v>
      </c>
      <c r="D3073" s="36" t="s">
        <v>12</v>
      </c>
      <c r="E3073" s="37">
        <v>0.47899999999999998</v>
      </c>
      <c r="F3073" s="34">
        <v>19.9025</v>
      </c>
      <c r="G3073" s="34">
        <f t="shared" si="52"/>
        <v>9.5332974999999998</v>
      </c>
      <c r="H3073" s="39">
        <f>SUM(G3073:G3077)</f>
        <v>83.003998499999994</v>
      </c>
      <c r="I3073" s="40"/>
      <c r="J3073" s="102">
        <v>0</v>
      </c>
    </row>
    <row r="3074" spans="1:10" hidden="1" x14ac:dyDescent="0.25">
      <c r="A3074" s="219"/>
      <c r="B3074" s="237"/>
      <c r="C3074" s="36" t="s">
        <v>23</v>
      </c>
      <c r="D3074" s="36" t="s">
        <v>12</v>
      </c>
      <c r="E3074" s="37">
        <v>0.46600000000000003</v>
      </c>
      <c r="F3074" s="34">
        <v>16.1785</v>
      </c>
      <c r="G3074" s="34">
        <f t="shared" si="52"/>
        <v>7.5391810000000001</v>
      </c>
      <c r="H3074" s="35"/>
      <c r="I3074" s="31"/>
      <c r="J3074" s="102">
        <v>0</v>
      </c>
    </row>
    <row r="3075" spans="1:10" ht="25.5" hidden="1" x14ac:dyDescent="0.25">
      <c r="A3075" s="219"/>
      <c r="B3075" s="237"/>
      <c r="C3075" s="36" t="s">
        <v>1181</v>
      </c>
      <c r="D3075" s="36" t="s">
        <v>479</v>
      </c>
      <c r="E3075" s="37">
        <v>4.609</v>
      </c>
      <c r="F3075" s="31">
        <v>12.35</v>
      </c>
      <c r="G3075" s="34">
        <f t="shared" si="52"/>
        <v>56.921149999999997</v>
      </c>
      <c r="H3075" s="35"/>
      <c r="I3075" s="31"/>
      <c r="J3075" s="102">
        <v>0</v>
      </c>
    </row>
    <row r="3076" spans="1:10" ht="25.5" hidden="1" x14ac:dyDescent="0.25">
      <c r="A3076" s="219"/>
      <c r="B3076" s="237"/>
      <c r="C3076" s="36" t="s">
        <v>1768</v>
      </c>
      <c r="D3076" s="36" t="s">
        <v>93</v>
      </c>
      <c r="E3076" s="37">
        <v>4.0359999999999996</v>
      </c>
      <c r="F3076" s="31">
        <v>2.2324999999999999</v>
      </c>
      <c r="G3076" s="34">
        <f t="shared" si="52"/>
        <v>9.0103699999999982</v>
      </c>
      <c r="H3076" s="35"/>
      <c r="I3076" s="31"/>
      <c r="J3076" s="102">
        <v>0</v>
      </c>
    </row>
    <row r="3077" spans="1:10" hidden="1" x14ac:dyDescent="0.25">
      <c r="A3077" s="219"/>
      <c r="B3077" s="237"/>
      <c r="C3077" s="36" t="s">
        <v>894</v>
      </c>
      <c r="D3077" s="36" t="s">
        <v>95</v>
      </c>
      <c r="E3077" s="37">
        <v>1</v>
      </c>
      <c r="F3077" s="31" t="s">
        <v>522</v>
      </c>
      <c r="G3077" s="34" t="str">
        <f t="shared" si="52"/>
        <v/>
      </c>
      <c r="H3077" s="35"/>
      <c r="I3077" s="31"/>
      <c r="J3077" s="102">
        <v>0</v>
      </c>
    </row>
    <row r="3078" spans="1:10" ht="15.75" hidden="1" thickBot="1" x14ac:dyDescent="0.3">
      <c r="A3078" s="220"/>
      <c r="B3078" s="223"/>
      <c r="C3078" s="36"/>
      <c r="D3078" s="36"/>
      <c r="E3078" s="37"/>
      <c r="F3078" s="31" t="s">
        <v>522</v>
      </c>
      <c r="G3078" s="34" t="str">
        <f t="shared" ref="G3078:G3141" si="53">IF(ISNUMBER(F3078),E3078*F3078,"")</f>
        <v/>
      </c>
      <c r="H3078" s="35"/>
      <c r="I3078" s="31"/>
      <c r="J3078" s="102">
        <v>0</v>
      </c>
    </row>
    <row r="3079" spans="1:10" ht="15.75" hidden="1" thickBot="1" x14ac:dyDescent="0.3">
      <c r="A3079" s="218" t="s">
        <v>895</v>
      </c>
      <c r="B3079" s="221" t="e">
        <f>INDEX(#REF!,MATCH(Composições!A3079,#REF!,0),2)</f>
        <v>#REF!</v>
      </c>
      <c r="C3079" s="41"/>
      <c r="D3079" s="26" t="s">
        <v>20</v>
      </c>
      <c r="E3079" s="27"/>
      <c r="F3079" s="42" t="s">
        <v>522</v>
      </c>
      <c r="G3079" s="28" t="str">
        <f t="shared" si="53"/>
        <v/>
      </c>
      <c r="H3079" s="29"/>
      <c r="I3079" s="30"/>
      <c r="J3079" s="102">
        <v>0</v>
      </c>
    </row>
    <row r="3080" spans="1:10" hidden="1" x14ac:dyDescent="0.25">
      <c r="A3080" s="219"/>
      <c r="B3080" s="237"/>
      <c r="C3080" s="32"/>
      <c r="D3080" s="32"/>
      <c r="E3080" s="33"/>
      <c r="F3080" s="43" t="s">
        <v>522</v>
      </c>
      <c r="G3080" s="34" t="str">
        <f t="shared" si="53"/>
        <v/>
      </c>
      <c r="H3080" s="35"/>
      <c r="I3080" s="31"/>
      <c r="J3080" s="102">
        <v>0</v>
      </c>
    </row>
    <row r="3081" spans="1:10" hidden="1" x14ac:dyDescent="0.25">
      <c r="A3081" s="219"/>
      <c r="B3081" s="237"/>
      <c r="C3081" s="36" t="s">
        <v>68</v>
      </c>
      <c r="D3081" s="47" t="s">
        <v>12</v>
      </c>
      <c r="E3081" s="37">
        <v>0.4</v>
      </c>
      <c r="F3081" s="34">
        <v>19.9025</v>
      </c>
      <c r="G3081" s="34">
        <f t="shared" si="53"/>
        <v>7.9610000000000003</v>
      </c>
      <c r="H3081" s="39">
        <f>SUM(G3081:G3082)</f>
        <v>7.9610000000000003</v>
      </c>
      <c r="I3081" s="40"/>
      <c r="J3081" s="102">
        <v>0</v>
      </c>
    </row>
    <row r="3082" spans="1:10" hidden="1" x14ac:dyDescent="0.25">
      <c r="A3082" s="219"/>
      <c r="B3082" s="237"/>
      <c r="C3082" s="36" t="s">
        <v>896</v>
      </c>
      <c r="D3082" s="47" t="s">
        <v>20</v>
      </c>
      <c r="E3082" s="37">
        <v>1</v>
      </c>
      <c r="F3082" s="31" t="s">
        <v>522</v>
      </c>
      <c r="G3082" s="34" t="str">
        <f t="shared" si="53"/>
        <v/>
      </c>
      <c r="H3082" s="35"/>
      <c r="I3082" s="31"/>
      <c r="J3082" s="102">
        <v>0</v>
      </c>
    </row>
    <row r="3083" spans="1:10" ht="15.75" hidden="1" thickBot="1" x14ac:dyDescent="0.3">
      <c r="A3083" s="220"/>
      <c r="B3083" s="223"/>
      <c r="C3083" s="36"/>
      <c r="D3083" s="36"/>
      <c r="E3083" s="37"/>
      <c r="F3083" s="31" t="s">
        <v>522</v>
      </c>
      <c r="G3083" s="34" t="str">
        <f t="shared" si="53"/>
        <v/>
      </c>
      <c r="H3083" s="35"/>
      <c r="I3083" s="31"/>
      <c r="J3083" s="102">
        <v>0</v>
      </c>
    </row>
    <row r="3084" spans="1:10" ht="15.75" hidden="1" thickBot="1" x14ac:dyDescent="0.3">
      <c r="A3084" s="218" t="s">
        <v>897</v>
      </c>
      <c r="B3084" s="221" t="e">
        <f>INDEX(#REF!,MATCH(Composições!A3084,#REF!,0),2)</f>
        <v>#REF!</v>
      </c>
      <c r="C3084" s="41"/>
      <c r="D3084" s="26" t="s">
        <v>42</v>
      </c>
      <c r="E3084" s="27"/>
      <c r="F3084" s="42" t="s">
        <v>522</v>
      </c>
      <c r="G3084" s="28" t="str">
        <f t="shared" si="53"/>
        <v/>
      </c>
      <c r="H3084" s="29"/>
      <c r="I3084" s="30"/>
      <c r="J3084" s="102">
        <v>0</v>
      </c>
    </row>
    <row r="3085" spans="1:10" hidden="1" x14ac:dyDescent="0.25">
      <c r="A3085" s="219"/>
      <c r="B3085" s="237"/>
      <c r="C3085" s="32"/>
      <c r="D3085" s="32"/>
      <c r="E3085" s="33"/>
      <c r="F3085" s="43" t="s">
        <v>522</v>
      </c>
      <c r="G3085" s="34" t="str">
        <f t="shared" si="53"/>
        <v/>
      </c>
      <c r="H3085" s="35"/>
      <c r="I3085" s="31"/>
      <c r="J3085" s="102">
        <v>0</v>
      </c>
    </row>
    <row r="3086" spans="1:10" ht="25.5" hidden="1" x14ac:dyDescent="0.25">
      <c r="A3086" s="219"/>
      <c r="B3086" s="237"/>
      <c r="C3086" s="36" t="s">
        <v>1897</v>
      </c>
      <c r="D3086" s="47" t="s">
        <v>898</v>
      </c>
      <c r="E3086" s="37">
        <v>2.5000000000000001E-2</v>
      </c>
      <c r="F3086" s="31">
        <v>24.738</v>
      </c>
      <c r="G3086" s="34">
        <f t="shared" si="53"/>
        <v>0.61845000000000006</v>
      </c>
      <c r="H3086" s="39">
        <f>SUM(G3086:G3090)</f>
        <v>16.784659850000001</v>
      </c>
      <c r="I3086" s="40"/>
      <c r="J3086" s="102">
        <v>0</v>
      </c>
    </row>
    <row r="3087" spans="1:10" ht="38.25" hidden="1" x14ac:dyDescent="0.25">
      <c r="A3087" s="219"/>
      <c r="B3087" s="237"/>
      <c r="C3087" s="36" t="s">
        <v>899</v>
      </c>
      <c r="D3087" s="47" t="s">
        <v>279</v>
      </c>
      <c r="E3087" s="37">
        <v>0.74299999999999999</v>
      </c>
      <c r="F3087" s="31">
        <v>0.20899999999999999</v>
      </c>
      <c r="G3087" s="34">
        <f t="shared" si="53"/>
        <v>0.15528699999999998</v>
      </c>
      <c r="H3087" s="35"/>
      <c r="I3087" s="31"/>
      <c r="J3087" s="102">
        <v>0</v>
      </c>
    </row>
    <row r="3088" spans="1:10" hidden="1" x14ac:dyDescent="0.25">
      <c r="A3088" s="219"/>
      <c r="B3088" s="237"/>
      <c r="C3088" s="36" t="s">
        <v>900</v>
      </c>
      <c r="D3088" s="47" t="s">
        <v>703</v>
      </c>
      <c r="E3088" s="37">
        <v>2.0899999999999998E-2</v>
      </c>
      <c r="F3088" s="31">
        <v>16.197500000000002</v>
      </c>
      <c r="G3088" s="34">
        <f t="shared" si="53"/>
        <v>0.33852775000000002</v>
      </c>
      <c r="H3088" s="35"/>
      <c r="I3088" s="31"/>
      <c r="J3088" s="102">
        <v>0</v>
      </c>
    </row>
    <row r="3089" spans="1:10" hidden="1" x14ac:dyDescent="0.25">
      <c r="A3089" s="219"/>
      <c r="B3089" s="237"/>
      <c r="C3089" s="36" t="s">
        <v>901</v>
      </c>
      <c r="D3089" s="36" t="s">
        <v>703</v>
      </c>
      <c r="E3089" s="37">
        <v>0.1278</v>
      </c>
      <c r="F3089" s="31">
        <v>21.365499999999997</v>
      </c>
      <c r="G3089" s="34">
        <f t="shared" si="53"/>
        <v>2.7305108999999996</v>
      </c>
      <c r="H3089" s="35"/>
      <c r="I3089" s="31"/>
      <c r="J3089" s="102">
        <v>0</v>
      </c>
    </row>
    <row r="3090" spans="1:10" ht="25.5" hidden="1" x14ac:dyDescent="0.25">
      <c r="A3090" s="219"/>
      <c r="B3090" s="237"/>
      <c r="C3090" s="36" t="s">
        <v>902</v>
      </c>
      <c r="D3090" s="36" t="s">
        <v>898</v>
      </c>
      <c r="E3090" s="37">
        <v>1</v>
      </c>
      <c r="F3090" s="31">
        <v>12.941884200000001</v>
      </c>
      <c r="G3090" s="34">
        <f t="shared" si="53"/>
        <v>12.941884200000001</v>
      </c>
      <c r="H3090" s="35"/>
      <c r="I3090" s="31"/>
      <c r="J3090" s="102">
        <v>0</v>
      </c>
    </row>
    <row r="3091" spans="1:10" ht="15.75" hidden="1" thickBot="1" x14ac:dyDescent="0.3">
      <c r="A3091" s="220"/>
      <c r="B3091" s="223"/>
      <c r="C3091" s="36"/>
      <c r="D3091" s="36"/>
      <c r="E3091" s="37"/>
      <c r="F3091" s="31" t="s">
        <v>522</v>
      </c>
      <c r="G3091" s="34" t="str">
        <f t="shared" si="53"/>
        <v/>
      </c>
      <c r="H3091" s="35"/>
      <c r="I3091" s="31"/>
      <c r="J3091" s="102">
        <v>0</v>
      </c>
    </row>
    <row r="3092" spans="1:10" ht="15.75" hidden="1" thickBot="1" x14ac:dyDescent="0.3">
      <c r="A3092" s="218" t="s">
        <v>903</v>
      </c>
      <c r="B3092" s="221" t="e">
        <f>INDEX(#REF!,MATCH(Composições!A3092,#REF!,0),2)</f>
        <v>#REF!</v>
      </c>
      <c r="C3092" s="41"/>
      <c r="D3092" s="26" t="s">
        <v>20</v>
      </c>
      <c r="E3092" s="27"/>
      <c r="F3092" s="42" t="s">
        <v>522</v>
      </c>
      <c r="G3092" s="28" t="str">
        <f t="shared" si="53"/>
        <v/>
      </c>
      <c r="H3092" s="29"/>
      <c r="I3092" s="30"/>
      <c r="J3092" s="102">
        <v>0</v>
      </c>
    </row>
    <row r="3093" spans="1:10" hidden="1" x14ac:dyDescent="0.25">
      <c r="A3093" s="219"/>
      <c r="B3093" s="237"/>
      <c r="C3093" s="32"/>
      <c r="D3093" s="32"/>
      <c r="E3093" s="33"/>
      <c r="F3093" s="43" t="s">
        <v>522</v>
      </c>
      <c r="G3093" s="34" t="str">
        <f t="shared" si="53"/>
        <v/>
      </c>
      <c r="H3093" s="35"/>
      <c r="I3093" s="31"/>
      <c r="J3093" s="102">
        <v>0</v>
      </c>
    </row>
    <row r="3094" spans="1:10" hidden="1" x14ac:dyDescent="0.25">
      <c r="A3094" s="219"/>
      <c r="B3094" s="237"/>
      <c r="C3094" s="36" t="s">
        <v>68</v>
      </c>
      <c r="D3094" s="36" t="s">
        <v>12</v>
      </c>
      <c r="E3094" s="37">
        <v>0.2</v>
      </c>
      <c r="F3094" s="34">
        <v>19.9025</v>
      </c>
      <c r="G3094" s="34">
        <f t="shared" si="53"/>
        <v>3.9805000000000001</v>
      </c>
      <c r="H3094" s="39">
        <f>SUM(G3094:G3095)</f>
        <v>3.9805000000000001</v>
      </c>
      <c r="I3094" s="40"/>
      <c r="J3094" s="102">
        <v>0</v>
      </c>
    </row>
    <row r="3095" spans="1:10" ht="25.5" hidden="1" x14ac:dyDescent="0.25">
      <c r="A3095" s="219"/>
      <c r="B3095" s="237"/>
      <c r="C3095" s="36" t="s">
        <v>904</v>
      </c>
      <c r="D3095" s="36" t="s">
        <v>20</v>
      </c>
      <c r="E3095" s="37">
        <v>1</v>
      </c>
      <c r="F3095" s="31" t="s">
        <v>522</v>
      </c>
      <c r="G3095" s="34" t="str">
        <f t="shared" si="53"/>
        <v/>
      </c>
      <c r="H3095" s="35"/>
      <c r="I3095" s="31"/>
      <c r="J3095" s="102">
        <v>0</v>
      </c>
    </row>
    <row r="3096" spans="1:10" ht="15.75" hidden="1" thickBot="1" x14ac:dyDescent="0.3">
      <c r="A3096" s="220"/>
      <c r="B3096" s="223"/>
      <c r="C3096" s="36"/>
      <c r="D3096" s="36"/>
      <c r="E3096" s="37"/>
      <c r="F3096" s="31" t="s">
        <v>522</v>
      </c>
      <c r="G3096" s="34" t="str">
        <f t="shared" si="53"/>
        <v/>
      </c>
      <c r="H3096" s="35"/>
      <c r="I3096" s="31"/>
      <c r="J3096" s="102">
        <v>0</v>
      </c>
    </row>
    <row r="3097" spans="1:10" ht="15.75" hidden="1" thickBot="1" x14ac:dyDescent="0.3">
      <c r="A3097" s="218" t="s">
        <v>905</v>
      </c>
      <c r="B3097" s="221" t="e">
        <f>INDEX(#REF!,MATCH(Composições!A3097,#REF!,0),2)</f>
        <v>#REF!</v>
      </c>
      <c r="C3097" s="41"/>
      <c r="D3097" s="26" t="s">
        <v>20</v>
      </c>
      <c r="E3097" s="27"/>
      <c r="F3097" s="42" t="s">
        <v>522</v>
      </c>
      <c r="G3097" s="28" t="str">
        <f t="shared" si="53"/>
        <v/>
      </c>
      <c r="H3097" s="29"/>
      <c r="I3097" s="30"/>
      <c r="J3097" s="102">
        <v>0</v>
      </c>
    </row>
    <row r="3098" spans="1:10" hidden="1" x14ac:dyDescent="0.25">
      <c r="A3098" s="219"/>
      <c r="B3098" s="237"/>
      <c r="C3098" s="32"/>
      <c r="D3098" s="32"/>
      <c r="E3098" s="33"/>
      <c r="F3098" s="43" t="s">
        <v>522</v>
      </c>
      <c r="G3098" s="34" t="str">
        <f t="shared" si="53"/>
        <v/>
      </c>
      <c r="H3098" s="35"/>
      <c r="I3098" s="31"/>
      <c r="J3098" s="102">
        <v>0</v>
      </c>
    </row>
    <row r="3099" spans="1:10" hidden="1" x14ac:dyDescent="0.25">
      <c r="A3099" s="219"/>
      <c r="B3099" s="237"/>
      <c r="C3099" s="36" t="s">
        <v>68</v>
      </c>
      <c r="D3099" s="36" t="s">
        <v>12</v>
      </c>
      <c r="E3099" s="37">
        <v>0.3</v>
      </c>
      <c r="F3099" s="34">
        <v>19.9025</v>
      </c>
      <c r="G3099" s="34">
        <f t="shared" si="53"/>
        <v>5.9707499999999998</v>
      </c>
      <c r="H3099" s="39">
        <f>SUM(G3099:G3100)</f>
        <v>5.9707499999999998</v>
      </c>
      <c r="I3099" s="40"/>
      <c r="J3099" s="102">
        <v>0</v>
      </c>
    </row>
    <row r="3100" spans="1:10" ht="38.25" hidden="1" x14ac:dyDescent="0.25">
      <c r="A3100" s="219"/>
      <c r="B3100" s="237"/>
      <c r="C3100" s="36" t="s">
        <v>906</v>
      </c>
      <c r="D3100" s="36" t="s">
        <v>20</v>
      </c>
      <c r="E3100" s="37">
        <v>1</v>
      </c>
      <c r="F3100" s="31" t="s">
        <v>522</v>
      </c>
      <c r="G3100" s="34" t="str">
        <f t="shared" si="53"/>
        <v/>
      </c>
      <c r="H3100" s="35"/>
      <c r="I3100" s="31"/>
      <c r="J3100" s="102">
        <v>0</v>
      </c>
    </row>
    <row r="3101" spans="1:10" ht="15.75" hidden="1" thickBot="1" x14ac:dyDescent="0.3">
      <c r="A3101" s="220"/>
      <c r="B3101" s="223"/>
      <c r="C3101" s="36"/>
      <c r="D3101" s="36"/>
      <c r="E3101" s="37"/>
      <c r="F3101" s="31" t="s">
        <v>522</v>
      </c>
      <c r="G3101" s="34" t="str">
        <f t="shared" si="53"/>
        <v/>
      </c>
      <c r="H3101" s="35"/>
      <c r="I3101" s="31"/>
      <c r="J3101" s="102">
        <v>0</v>
      </c>
    </row>
    <row r="3102" spans="1:10" ht="15.75" hidden="1" thickBot="1" x14ac:dyDescent="0.3">
      <c r="A3102" s="218" t="s">
        <v>907</v>
      </c>
      <c r="B3102" s="221" t="e">
        <f>INDEX(#REF!,MATCH(Composições!A3102,#REF!,0),2)</f>
        <v>#REF!</v>
      </c>
      <c r="C3102" s="41"/>
      <c r="D3102" s="26" t="s">
        <v>20</v>
      </c>
      <c r="E3102" s="27"/>
      <c r="F3102" s="42" t="s">
        <v>522</v>
      </c>
      <c r="G3102" s="28" t="str">
        <f t="shared" si="53"/>
        <v/>
      </c>
      <c r="H3102" s="29"/>
      <c r="I3102" s="30"/>
      <c r="J3102" s="102">
        <v>0</v>
      </c>
    </row>
    <row r="3103" spans="1:10" hidden="1" x14ac:dyDescent="0.25">
      <c r="A3103" s="219"/>
      <c r="B3103" s="237"/>
      <c r="C3103" s="32"/>
      <c r="D3103" s="32"/>
      <c r="E3103" s="33"/>
      <c r="F3103" s="43" t="s">
        <v>522</v>
      </c>
      <c r="G3103" s="34" t="str">
        <f t="shared" si="53"/>
        <v/>
      </c>
      <c r="H3103" s="35"/>
      <c r="I3103" s="31"/>
      <c r="J3103" s="102">
        <v>0</v>
      </c>
    </row>
    <row r="3104" spans="1:10" hidden="1" x14ac:dyDescent="0.25">
      <c r="A3104" s="219"/>
      <c r="B3104" s="237"/>
      <c r="C3104" s="36" t="s">
        <v>68</v>
      </c>
      <c r="D3104" s="36" t="s">
        <v>12</v>
      </c>
      <c r="E3104" s="37">
        <v>0.3</v>
      </c>
      <c r="F3104" s="34">
        <v>19.9025</v>
      </c>
      <c r="G3104" s="34">
        <f t="shared" si="53"/>
        <v>5.9707499999999998</v>
      </c>
      <c r="H3104" s="39">
        <f>SUM(G3104:G3105)</f>
        <v>5.9707499999999998</v>
      </c>
      <c r="I3104" s="40"/>
      <c r="J3104" s="102">
        <v>0</v>
      </c>
    </row>
    <row r="3105" spans="1:10" ht="38.25" hidden="1" x14ac:dyDescent="0.25">
      <c r="A3105" s="219"/>
      <c r="B3105" s="237"/>
      <c r="C3105" s="36" t="s">
        <v>908</v>
      </c>
      <c r="D3105" s="36" t="s">
        <v>20</v>
      </c>
      <c r="E3105" s="37">
        <v>1</v>
      </c>
      <c r="F3105" s="31" t="s">
        <v>522</v>
      </c>
      <c r="G3105" s="34" t="str">
        <f t="shared" si="53"/>
        <v/>
      </c>
      <c r="H3105" s="35"/>
      <c r="I3105" s="31"/>
      <c r="J3105" s="102">
        <v>0</v>
      </c>
    </row>
    <row r="3106" spans="1:10" ht="15.75" hidden="1" thickBot="1" x14ac:dyDescent="0.3">
      <c r="A3106" s="220"/>
      <c r="B3106" s="223"/>
      <c r="C3106" s="36"/>
      <c r="D3106" s="36"/>
      <c r="E3106" s="37"/>
      <c r="F3106" s="31" t="s">
        <v>522</v>
      </c>
      <c r="G3106" s="34" t="str">
        <f t="shared" si="53"/>
        <v/>
      </c>
      <c r="H3106" s="35"/>
      <c r="I3106" s="31"/>
      <c r="J3106" s="102">
        <v>0</v>
      </c>
    </row>
    <row r="3107" spans="1:10" ht="15.75" hidden="1" thickBot="1" x14ac:dyDescent="0.3">
      <c r="A3107" s="218" t="s">
        <v>909</v>
      </c>
      <c r="B3107" s="221" t="e">
        <f>INDEX(#REF!,MATCH(Composições!A3107,#REF!,0),2)</f>
        <v>#REF!</v>
      </c>
      <c r="C3107" s="41"/>
      <c r="D3107" s="26" t="s">
        <v>20</v>
      </c>
      <c r="E3107" s="27"/>
      <c r="F3107" s="42" t="s">
        <v>522</v>
      </c>
      <c r="G3107" s="28" t="str">
        <f t="shared" si="53"/>
        <v/>
      </c>
      <c r="H3107" s="29"/>
      <c r="I3107" s="30"/>
      <c r="J3107" s="102">
        <v>0</v>
      </c>
    </row>
    <row r="3108" spans="1:10" hidden="1" x14ac:dyDescent="0.25">
      <c r="A3108" s="219"/>
      <c r="B3108" s="237"/>
      <c r="C3108" s="32"/>
      <c r="D3108" s="32"/>
      <c r="E3108" s="33"/>
      <c r="F3108" s="43" t="s">
        <v>522</v>
      </c>
      <c r="G3108" s="34" t="str">
        <f t="shared" si="53"/>
        <v/>
      </c>
      <c r="H3108" s="35"/>
      <c r="I3108" s="31"/>
      <c r="J3108" s="102">
        <v>0</v>
      </c>
    </row>
    <row r="3109" spans="1:10" hidden="1" x14ac:dyDescent="0.25">
      <c r="A3109" s="219"/>
      <c r="B3109" s="237"/>
      <c r="C3109" s="36" t="s">
        <v>68</v>
      </c>
      <c r="D3109" s="36" t="s">
        <v>12</v>
      </c>
      <c r="E3109" s="37">
        <v>0.3</v>
      </c>
      <c r="F3109" s="34">
        <v>19.9025</v>
      </c>
      <c r="G3109" s="34">
        <f t="shared" si="53"/>
        <v>5.9707499999999998</v>
      </c>
      <c r="H3109" s="39">
        <f>SUM(G3109:G3110)</f>
        <v>5.9707499999999998</v>
      </c>
      <c r="I3109" s="40"/>
      <c r="J3109" s="102">
        <v>0</v>
      </c>
    </row>
    <row r="3110" spans="1:10" ht="25.5" hidden="1" x14ac:dyDescent="0.25">
      <c r="A3110" s="219"/>
      <c r="B3110" s="237"/>
      <c r="C3110" s="36" t="s">
        <v>910</v>
      </c>
      <c r="D3110" s="36" t="s">
        <v>20</v>
      </c>
      <c r="E3110" s="37">
        <v>1</v>
      </c>
      <c r="F3110" s="31" t="s">
        <v>522</v>
      </c>
      <c r="G3110" s="34" t="str">
        <f t="shared" si="53"/>
        <v/>
      </c>
      <c r="H3110" s="35"/>
      <c r="I3110" s="31"/>
      <c r="J3110" s="102">
        <v>0</v>
      </c>
    </row>
    <row r="3111" spans="1:10" ht="15.75" hidden="1" thickBot="1" x14ac:dyDescent="0.3">
      <c r="A3111" s="220"/>
      <c r="B3111" s="223"/>
      <c r="C3111" s="36"/>
      <c r="D3111" s="36"/>
      <c r="E3111" s="37"/>
      <c r="F3111" s="31" t="s">
        <v>522</v>
      </c>
      <c r="G3111" s="34" t="str">
        <f t="shared" si="53"/>
        <v/>
      </c>
      <c r="H3111" s="35"/>
      <c r="I3111" s="31"/>
      <c r="J3111" s="102">
        <v>0</v>
      </c>
    </row>
    <row r="3112" spans="1:10" ht="15.75" hidden="1" thickBot="1" x14ac:dyDescent="0.3">
      <c r="A3112" s="218" t="s">
        <v>911</v>
      </c>
      <c r="B3112" s="221" t="e">
        <f>INDEX(#REF!,MATCH(Composições!A3112,#REF!,0),2)</f>
        <v>#REF!</v>
      </c>
      <c r="C3112" s="41"/>
      <c r="D3112" s="26" t="s">
        <v>20</v>
      </c>
      <c r="E3112" s="27"/>
      <c r="F3112" s="42" t="s">
        <v>522</v>
      </c>
      <c r="G3112" s="28" t="str">
        <f t="shared" si="53"/>
        <v/>
      </c>
      <c r="H3112" s="29"/>
      <c r="I3112" s="30"/>
      <c r="J3112" s="102">
        <v>0</v>
      </c>
    </row>
    <row r="3113" spans="1:10" hidden="1" x14ac:dyDescent="0.25">
      <c r="A3113" s="219"/>
      <c r="B3113" s="237"/>
      <c r="C3113" s="32"/>
      <c r="D3113" s="32"/>
      <c r="E3113" s="33"/>
      <c r="F3113" s="43" t="s">
        <v>522</v>
      </c>
      <c r="G3113" s="34" t="str">
        <f t="shared" si="53"/>
        <v/>
      </c>
      <c r="H3113" s="35"/>
      <c r="I3113" s="31"/>
      <c r="J3113" s="102">
        <v>0</v>
      </c>
    </row>
    <row r="3114" spans="1:10" hidden="1" x14ac:dyDescent="0.25">
      <c r="A3114" s="219"/>
      <c r="B3114" s="237"/>
      <c r="C3114" s="36" t="s">
        <v>68</v>
      </c>
      <c r="D3114" s="36" t="s">
        <v>12</v>
      </c>
      <c r="E3114" s="37">
        <v>0.15</v>
      </c>
      <c r="F3114" s="34">
        <v>19.9025</v>
      </c>
      <c r="G3114" s="34">
        <f t="shared" si="53"/>
        <v>2.9853749999999999</v>
      </c>
      <c r="H3114" s="39">
        <f>SUM(G3114:G3115)</f>
        <v>2.9853749999999999</v>
      </c>
      <c r="I3114" s="40"/>
      <c r="J3114" s="102">
        <v>0</v>
      </c>
    </row>
    <row r="3115" spans="1:10" ht="25.5" hidden="1" x14ac:dyDescent="0.25">
      <c r="A3115" s="219"/>
      <c r="B3115" s="237"/>
      <c r="C3115" s="36" t="s">
        <v>912</v>
      </c>
      <c r="D3115" s="36" t="s">
        <v>20</v>
      </c>
      <c r="E3115" s="37">
        <v>1</v>
      </c>
      <c r="F3115" s="31" t="s">
        <v>522</v>
      </c>
      <c r="G3115" s="34" t="str">
        <f t="shared" si="53"/>
        <v/>
      </c>
      <c r="H3115" s="35"/>
      <c r="I3115" s="31"/>
      <c r="J3115" s="102">
        <v>0</v>
      </c>
    </row>
    <row r="3116" spans="1:10" ht="15.75" hidden="1" thickBot="1" x14ac:dyDescent="0.3">
      <c r="A3116" s="220"/>
      <c r="B3116" s="223"/>
      <c r="C3116" s="36"/>
      <c r="D3116" s="36"/>
      <c r="E3116" s="37"/>
      <c r="F3116" s="31" t="s">
        <v>522</v>
      </c>
      <c r="G3116" s="34" t="str">
        <f t="shared" si="53"/>
        <v/>
      </c>
      <c r="H3116" s="35"/>
      <c r="I3116" s="31"/>
      <c r="J3116" s="102">
        <v>0</v>
      </c>
    </row>
    <row r="3117" spans="1:10" ht="15.75" hidden="1" thickBot="1" x14ac:dyDescent="0.3">
      <c r="A3117" s="218" t="s">
        <v>913</v>
      </c>
      <c r="B3117" s="221" t="e">
        <f>INDEX(#REF!,MATCH(Composições!A3117,#REF!,0),2)</f>
        <v>#REF!</v>
      </c>
      <c r="C3117" s="41"/>
      <c r="D3117" s="26" t="s">
        <v>20</v>
      </c>
      <c r="E3117" s="27"/>
      <c r="F3117" s="42" t="s">
        <v>522</v>
      </c>
      <c r="G3117" s="28" t="str">
        <f t="shared" si="53"/>
        <v/>
      </c>
      <c r="H3117" s="29"/>
      <c r="I3117" s="30"/>
      <c r="J3117" s="102">
        <v>0</v>
      </c>
    </row>
    <row r="3118" spans="1:10" hidden="1" x14ac:dyDescent="0.25">
      <c r="A3118" s="219"/>
      <c r="B3118" s="237"/>
      <c r="C3118" s="32"/>
      <c r="D3118" s="32"/>
      <c r="E3118" s="33"/>
      <c r="F3118" s="43" t="s">
        <v>522</v>
      </c>
      <c r="G3118" s="34" t="str">
        <f t="shared" si="53"/>
        <v/>
      </c>
      <c r="H3118" s="35"/>
      <c r="I3118" s="31"/>
      <c r="J3118" s="102">
        <v>0</v>
      </c>
    </row>
    <row r="3119" spans="1:10" hidden="1" x14ac:dyDescent="0.25">
      <c r="A3119" s="219"/>
      <c r="B3119" s="237"/>
      <c r="C3119" s="36" t="s">
        <v>68</v>
      </c>
      <c r="D3119" s="36" t="s">
        <v>12</v>
      </c>
      <c r="E3119" s="37">
        <v>0.15</v>
      </c>
      <c r="F3119" s="34">
        <v>19.9025</v>
      </c>
      <c r="G3119" s="34">
        <f t="shared" si="53"/>
        <v>2.9853749999999999</v>
      </c>
      <c r="H3119" s="39">
        <f>SUM(G3119:G3120)</f>
        <v>2.9853749999999999</v>
      </c>
      <c r="I3119" s="40"/>
      <c r="J3119" s="102">
        <v>0</v>
      </c>
    </row>
    <row r="3120" spans="1:10" ht="25.5" hidden="1" x14ac:dyDescent="0.25">
      <c r="A3120" s="219"/>
      <c r="B3120" s="237"/>
      <c r="C3120" s="36" t="s">
        <v>914</v>
      </c>
      <c r="D3120" s="36" t="s">
        <v>20</v>
      </c>
      <c r="E3120" s="37">
        <v>1</v>
      </c>
      <c r="F3120" s="31" t="s">
        <v>522</v>
      </c>
      <c r="G3120" s="34" t="str">
        <f t="shared" si="53"/>
        <v/>
      </c>
      <c r="H3120" s="35"/>
      <c r="I3120" s="31"/>
      <c r="J3120" s="102">
        <v>0</v>
      </c>
    </row>
    <row r="3121" spans="1:10" ht="15.75" hidden="1" thickBot="1" x14ac:dyDescent="0.3">
      <c r="A3121" s="220"/>
      <c r="B3121" s="223"/>
      <c r="C3121" s="36"/>
      <c r="D3121" s="36"/>
      <c r="E3121" s="37"/>
      <c r="F3121" s="31" t="s">
        <v>522</v>
      </c>
      <c r="G3121" s="34" t="str">
        <f t="shared" si="53"/>
        <v/>
      </c>
      <c r="H3121" s="35"/>
      <c r="I3121" s="31"/>
      <c r="J3121" s="102">
        <v>0</v>
      </c>
    </row>
    <row r="3122" spans="1:10" ht="15.75" hidden="1" thickBot="1" x14ac:dyDescent="0.3">
      <c r="A3122" s="218" t="s">
        <v>915</v>
      </c>
      <c r="B3122" s="221" t="e">
        <f>INDEX(#REF!,MATCH(Composições!A3122,#REF!,0),2)</f>
        <v>#REF!</v>
      </c>
      <c r="C3122" s="41"/>
      <c r="D3122" s="26" t="s">
        <v>20</v>
      </c>
      <c r="E3122" s="27"/>
      <c r="F3122" s="42" t="s">
        <v>522</v>
      </c>
      <c r="G3122" s="28" t="str">
        <f t="shared" si="53"/>
        <v/>
      </c>
      <c r="H3122" s="29"/>
      <c r="I3122" s="30"/>
      <c r="J3122" s="102">
        <v>0</v>
      </c>
    </row>
    <row r="3123" spans="1:10" hidden="1" x14ac:dyDescent="0.25">
      <c r="A3123" s="219"/>
      <c r="B3123" s="237"/>
      <c r="C3123" s="32"/>
      <c r="D3123" s="32"/>
      <c r="E3123" s="33"/>
      <c r="F3123" s="43" t="s">
        <v>522</v>
      </c>
      <c r="G3123" s="34" t="str">
        <f t="shared" si="53"/>
        <v/>
      </c>
      <c r="H3123" s="35"/>
      <c r="I3123" s="31"/>
      <c r="J3123" s="102">
        <v>0</v>
      </c>
    </row>
    <row r="3124" spans="1:10" hidden="1" x14ac:dyDescent="0.25">
      <c r="A3124" s="219"/>
      <c r="B3124" s="237"/>
      <c r="C3124" s="36" t="s">
        <v>68</v>
      </c>
      <c r="D3124" s="36" t="s">
        <v>12</v>
      </c>
      <c r="E3124" s="37">
        <v>0.15</v>
      </c>
      <c r="F3124" s="34">
        <v>19.9025</v>
      </c>
      <c r="G3124" s="34">
        <f t="shared" si="53"/>
        <v>2.9853749999999999</v>
      </c>
      <c r="H3124" s="39">
        <f>SUM(G3124:G3125)</f>
        <v>2.9853749999999999</v>
      </c>
      <c r="I3124" s="40"/>
      <c r="J3124" s="102">
        <v>0</v>
      </c>
    </row>
    <row r="3125" spans="1:10" ht="25.5" hidden="1" x14ac:dyDescent="0.25">
      <c r="A3125" s="219"/>
      <c r="B3125" s="237"/>
      <c r="C3125" s="36" t="s">
        <v>916</v>
      </c>
      <c r="D3125" s="36" t="s">
        <v>20</v>
      </c>
      <c r="E3125" s="37">
        <v>1</v>
      </c>
      <c r="F3125" s="31" t="s">
        <v>522</v>
      </c>
      <c r="G3125" s="34" t="str">
        <f t="shared" si="53"/>
        <v/>
      </c>
      <c r="H3125" s="35"/>
      <c r="I3125" s="31"/>
      <c r="J3125" s="102">
        <v>0</v>
      </c>
    </row>
    <row r="3126" spans="1:10" ht="15.75" hidden="1" thickBot="1" x14ac:dyDescent="0.3">
      <c r="A3126" s="220"/>
      <c r="B3126" s="223"/>
      <c r="C3126" s="36"/>
      <c r="D3126" s="36"/>
      <c r="E3126" s="37"/>
      <c r="F3126" s="31" t="s">
        <v>522</v>
      </c>
      <c r="G3126" s="34" t="str">
        <f t="shared" si="53"/>
        <v/>
      </c>
      <c r="H3126" s="35"/>
      <c r="I3126" s="31"/>
      <c r="J3126" s="102">
        <v>0</v>
      </c>
    </row>
    <row r="3127" spans="1:10" ht="15.75" hidden="1" thickBot="1" x14ac:dyDescent="0.3">
      <c r="A3127" s="218" t="s">
        <v>917</v>
      </c>
      <c r="B3127" s="221" t="e">
        <f>INDEX(#REF!,MATCH(Composições!A3127,#REF!,0),2)</f>
        <v>#REF!</v>
      </c>
      <c r="C3127" s="41"/>
      <c r="D3127" s="26" t="s">
        <v>20</v>
      </c>
      <c r="E3127" s="27"/>
      <c r="F3127" s="42" t="s">
        <v>522</v>
      </c>
      <c r="G3127" s="28" t="str">
        <f t="shared" si="53"/>
        <v/>
      </c>
      <c r="H3127" s="29"/>
      <c r="I3127" s="30"/>
      <c r="J3127" s="102">
        <v>0</v>
      </c>
    </row>
    <row r="3128" spans="1:10" hidden="1" x14ac:dyDescent="0.25">
      <c r="A3128" s="219"/>
      <c r="B3128" s="237"/>
      <c r="C3128" s="32"/>
      <c r="D3128" s="32"/>
      <c r="E3128" s="33"/>
      <c r="F3128" s="43" t="s">
        <v>522</v>
      </c>
      <c r="G3128" s="34" t="str">
        <f t="shared" si="53"/>
        <v/>
      </c>
      <c r="H3128" s="35"/>
      <c r="I3128" s="31"/>
      <c r="J3128" s="102">
        <v>0</v>
      </c>
    </row>
    <row r="3129" spans="1:10" hidden="1" x14ac:dyDescent="0.25">
      <c r="A3129" s="219"/>
      <c r="B3129" s="237"/>
      <c r="C3129" s="36" t="s">
        <v>68</v>
      </c>
      <c r="D3129" s="36" t="s">
        <v>12</v>
      </c>
      <c r="E3129" s="37">
        <v>0.15</v>
      </c>
      <c r="F3129" s="34">
        <v>19.9025</v>
      </c>
      <c r="G3129" s="34">
        <f t="shared" si="53"/>
        <v>2.9853749999999999</v>
      </c>
      <c r="H3129" s="39">
        <f>SUM(G3129:G3130)</f>
        <v>2.9853749999999999</v>
      </c>
      <c r="I3129" s="40"/>
      <c r="J3129" s="102">
        <v>0</v>
      </c>
    </row>
    <row r="3130" spans="1:10" hidden="1" x14ac:dyDescent="0.25">
      <c r="A3130" s="219"/>
      <c r="B3130" s="237"/>
      <c r="C3130" s="36" t="s">
        <v>918</v>
      </c>
      <c r="D3130" s="36" t="s">
        <v>20</v>
      </c>
      <c r="E3130" s="37">
        <v>1</v>
      </c>
      <c r="F3130" s="31" t="s">
        <v>522</v>
      </c>
      <c r="G3130" s="34" t="str">
        <f t="shared" si="53"/>
        <v/>
      </c>
      <c r="H3130" s="35"/>
      <c r="I3130" s="31"/>
      <c r="J3130" s="102">
        <v>0</v>
      </c>
    </row>
    <row r="3131" spans="1:10" ht="15.75" hidden="1" thickBot="1" x14ac:dyDescent="0.3">
      <c r="A3131" s="220"/>
      <c r="B3131" s="223"/>
      <c r="C3131" s="36"/>
      <c r="D3131" s="36"/>
      <c r="E3131" s="37"/>
      <c r="F3131" s="31" t="s">
        <v>522</v>
      </c>
      <c r="G3131" s="34" t="str">
        <f t="shared" si="53"/>
        <v/>
      </c>
      <c r="H3131" s="35"/>
      <c r="I3131" s="31"/>
      <c r="J3131" s="102">
        <v>0</v>
      </c>
    </row>
    <row r="3132" spans="1:10" ht="15.75" hidden="1" thickBot="1" x14ac:dyDescent="0.3">
      <c r="A3132" s="218" t="s">
        <v>919</v>
      </c>
      <c r="B3132" s="221" t="e">
        <f>INDEX(#REF!,MATCH(Composições!A3132,#REF!,0),2)</f>
        <v>#REF!</v>
      </c>
      <c r="C3132" s="41"/>
      <c r="D3132" s="26" t="s">
        <v>20</v>
      </c>
      <c r="E3132" s="27"/>
      <c r="F3132" s="42" t="s">
        <v>522</v>
      </c>
      <c r="G3132" s="28" t="str">
        <f t="shared" si="53"/>
        <v/>
      </c>
      <c r="H3132" s="29"/>
      <c r="I3132" s="30"/>
      <c r="J3132" s="102">
        <v>0</v>
      </c>
    </row>
    <row r="3133" spans="1:10" hidden="1" x14ac:dyDescent="0.25">
      <c r="A3133" s="219"/>
      <c r="B3133" s="237"/>
      <c r="C3133" s="32"/>
      <c r="D3133" s="32"/>
      <c r="E3133" s="33"/>
      <c r="F3133" s="43" t="s">
        <v>522</v>
      </c>
      <c r="G3133" s="34" t="str">
        <f t="shared" si="53"/>
        <v/>
      </c>
      <c r="H3133" s="35"/>
      <c r="I3133" s="31"/>
      <c r="J3133" s="102">
        <v>0</v>
      </c>
    </row>
    <row r="3134" spans="1:10" hidden="1" x14ac:dyDescent="0.25">
      <c r="A3134" s="219"/>
      <c r="B3134" s="237"/>
      <c r="C3134" s="36" t="s">
        <v>68</v>
      </c>
      <c r="D3134" s="36" t="s">
        <v>12</v>
      </c>
      <c r="E3134" s="37">
        <v>0.4</v>
      </c>
      <c r="F3134" s="34">
        <v>19.9025</v>
      </c>
      <c r="G3134" s="34">
        <f t="shared" si="53"/>
        <v>7.9610000000000003</v>
      </c>
      <c r="H3134" s="39">
        <f>SUM(G3134:G3135)</f>
        <v>7.9610000000000003</v>
      </c>
      <c r="I3134" s="40"/>
      <c r="J3134" s="102">
        <v>0</v>
      </c>
    </row>
    <row r="3135" spans="1:10" ht="38.25" hidden="1" x14ac:dyDescent="0.25">
      <c r="A3135" s="219"/>
      <c r="B3135" s="237"/>
      <c r="C3135" s="36" t="s">
        <v>920</v>
      </c>
      <c r="D3135" s="36" t="s">
        <v>20</v>
      </c>
      <c r="E3135" s="37">
        <v>1</v>
      </c>
      <c r="F3135" s="31" t="s">
        <v>522</v>
      </c>
      <c r="G3135" s="34" t="str">
        <f t="shared" si="53"/>
        <v/>
      </c>
      <c r="H3135" s="35"/>
      <c r="I3135" s="31"/>
      <c r="J3135" s="102">
        <v>0</v>
      </c>
    </row>
    <row r="3136" spans="1:10" ht="15.75" hidden="1" thickBot="1" x14ac:dyDescent="0.3">
      <c r="A3136" s="220"/>
      <c r="B3136" s="223"/>
      <c r="C3136" s="36"/>
      <c r="D3136" s="36"/>
      <c r="E3136" s="37"/>
      <c r="F3136" s="31" t="s">
        <v>522</v>
      </c>
      <c r="G3136" s="34" t="str">
        <f t="shared" si="53"/>
        <v/>
      </c>
      <c r="H3136" s="35"/>
      <c r="I3136" s="31"/>
      <c r="J3136" s="102">
        <v>0</v>
      </c>
    </row>
    <row r="3137" spans="1:10" ht="15.75" hidden="1" thickBot="1" x14ac:dyDescent="0.3">
      <c r="A3137" s="218" t="s">
        <v>921</v>
      </c>
      <c r="B3137" s="221" t="e">
        <f>INDEX(#REF!,MATCH(Composições!A3137,#REF!,0),2)</f>
        <v>#REF!</v>
      </c>
      <c r="C3137" s="41"/>
      <c r="D3137" s="26" t="s">
        <v>1583</v>
      </c>
      <c r="E3137" s="27"/>
      <c r="F3137" s="42" t="s">
        <v>522</v>
      </c>
      <c r="G3137" s="28" t="str">
        <f t="shared" si="53"/>
        <v/>
      </c>
      <c r="H3137" s="29"/>
      <c r="I3137" s="30"/>
      <c r="J3137" s="102">
        <v>0</v>
      </c>
    </row>
    <row r="3138" spans="1:10" hidden="1" x14ac:dyDescent="0.25">
      <c r="A3138" s="224"/>
      <c r="B3138" s="237"/>
      <c r="C3138" s="32"/>
      <c r="D3138" s="32"/>
      <c r="E3138" s="33"/>
      <c r="F3138" s="43" t="s">
        <v>522</v>
      </c>
      <c r="G3138" s="34" t="str">
        <f t="shared" si="53"/>
        <v/>
      </c>
      <c r="H3138" s="35"/>
      <c r="I3138" s="31"/>
      <c r="J3138" s="102">
        <v>0</v>
      </c>
    </row>
    <row r="3139" spans="1:10" hidden="1" x14ac:dyDescent="0.25">
      <c r="A3139" s="224"/>
      <c r="B3139" s="237"/>
      <c r="C3139" s="36" t="s">
        <v>23</v>
      </c>
      <c r="D3139" s="36" t="s">
        <v>12</v>
      </c>
      <c r="E3139" s="37">
        <v>2.9209999999999998</v>
      </c>
      <c r="F3139" s="34">
        <v>16.1785</v>
      </c>
      <c r="G3139" s="34">
        <f t="shared" si="53"/>
        <v>47.257398499999994</v>
      </c>
      <c r="H3139" s="39">
        <f>SUM(G3139:G3139)</f>
        <v>47.257398499999994</v>
      </c>
      <c r="I3139" s="40"/>
      <c r="J3139" s="102">
        <v>0</v>
      </c>
    </row>
    <row r="3140" spans="1:10" hidden="1" x14ac:dyDescent="0.25">
      <c r="A3140" s="224"/>
      <c r="B3140" s="237"/>
      <c r="C3140" s="36"/>
      <c r="D3140" s="36"/>
      <c r="E3140" s="37"/>
      <c r="F3140" s="31" t="s">
        <v>522</v>
      </c>
      <c r="G3140" s="34" t="str">
        <f t="shared" si="53"/>
        <v/>
      </c>
      <c r="H3140" s="35"/>
      <c r="I3140" s="31"/>
      <c r="J3140" s="102">
        <v>0</v>
      </c>
    </row>
    <row r="3141" spans="1:10" hidden="1" x14ac:dyDescent="0.25">
      <c r="A3141" s="224"/>
      <c r="B3141" s="237"/>
      <c r="C3141" s="52" t="s">
        <v>891</v>
      </c>
      <c r="D3141" s="36"/>
      <c r="E3141" s="37"/>
      <c r="F3141" s="31" t="s">
        <v>522</v>
      </c>
      <c r="G3141" s="34" t="str">
        <f t="shared" si="53"/>
        <v/>
      </c>
      <c r="H3141" s="35"/>
      <c r="I3141" s="31"/>
      <c r="J3141" s="102">
        <v>0</v>
      </c>
    </row>
    <row r="3142" spans="1:10" ht="15.75" hidden="1" thickBot="1" x14ac:dyDescent="0.3">
      <c r="A3142" s="225"/>
      <c r="B3142" s="223"/>
      <c r="C3142" s="36"/>
      <c r="D3142" s="36"/>
      <c r="E3142" s="37"/>
      <c r="F3142" s="31" t="s">
        <v>522</v>
      </c>
      <c r="G3142" s="34" t="str">
        <f t="shared" ref="G3142:G3181" si="54">IF(ISNUMBER(F3142),E3142*F3142,"")</f>
        <v/>
      </c>
      <c r="H3142" s="35"/>
      <c r="I3142" s="31"/>
      <c r="J3142" s="102">
        <v>0</v>
      </c>
    </row>
    <row r="3143" spans="1:10" ht="15.75" hidden="1" thickBot="1" x14ac:dyDescent="0.3">
      <c r="A3143" s="218" t="s">
        <v>922</v>
      </c>
      <c r="B3143" s="221" t="e">
        <f>INDEX(#REF!,MATCH(Composições!A3143,#REF!,0),2)</f>
        <v>#REF!</v>
      </c>
      <c r="C3143" s="41"/>
      <c r="D3143" s="26" t="s">
        <v>95</v>
      </c>
      <c r="E3143" s="27"/>
      <c r="F3143" s="42" t="s">
        <v>522</v>
      </c>
      <c r="G3143" s="28" t="str">
        <f t="shared" si="54"/>
        <v/>
      </c>
      <c r="H3143" s="29"/>
      <c r="I3143" s="30"/>
      <c r="J3143" s="102">
        <v>0</v>
      </c>
    </row>
    <row r="3144" spans="1:10" hidden="1" x14ac:dyDescent="0.25">
      <c r="A3144" s="219"/>
      <c r="B3144" s="237"/>
      <c r="C3144" s="32"/>
      <c r="D3144" s="32"/>
      <c r="E3144" s="33"/>
      <c r="F3144" s="43" t="s">
        <v>522</v>
      </c>
      <c r="G3144" s="34" t="str">
        <f t="shared" si="54"/>
        <v/>
      </c>
      <c r="H3144" s="35"/>
      <c r="I3144" s="31"/>
      <c r="J3144" s="102">
        <v>0</v>
      </c>
    </row>
    <row r="3145" spans="1:10" hidden="1" x14ac:dyDescent="0.25">
      <c r="A3145" s="219"/>
      <c r="B3145" s="237"/>
      <c r="C3145" s="36" t="s">
        <v>68</v>
      </c>
      <c r="D3145" s="36" t="s">
        <v>12</v>
      </c>
      <c r="E3145" s="37">
        <v>1.5</v>
      </c>
      <c r="F3145" s="34">
        <v>19.9025</v>
      </c>
      <c r="G3145" s="34">
        <f t="shared" si="54"/>
        <v>29.853749999999998</v>
      </c>
      <c r="H3145" s="39">
        <f>SUM(G3145:G3147)</f>
        <v>118.01374999999999</v>
      </c>
      <c r="I3145" s="40"/>
      <c r="J3145" s="102">
        <v>0</v>
      </c>
    </row>
    <row r="3146" spans="1:10" hidden="1" x14ac:dyDescent="0.25">
      <c r="A3146" s="219"/>
      <c r="B3146" s="237"/>
      <c r="C3146" s="36" t="s">
        <v>23</v>
      </c>
      <c r="D3146" s="36" t="s">
        <v>12</v>
      </c>
      <c r="E3146" s="37">
        <v>1</v>
      </c>
      <c r="F3146" s="34">
        <v>16.1785</v>
      </c>
      <c r="G3146" s="34">
        <f t="shared" si="54"/>
        <v>16.1785</v>
      </c>
      <c r="H3146" s="35"/>
      <c r="I3146" s="31"/>
      <c r="J3146" s="102">
        <v>0</v>
      </c>
    </row>
    <row r="3147" spans="1:10" hidden="1" x14ac:dyDescent="0.25">
      <c r="A3147" s="219"/>
      <c r="B3147" s="237"/>
      <c r="C3147" s="36" t="s">
        <v>923</v>
      </c>
      <c r="D3147" s="36" t="s">
        <v>95</v>
      </c>
      <c r="E3147" s="37">
        <v>1</v>
      </c>
      <c r="F3147" s="31">
        <v>71.981499999999997</v>
      </c>
      <c r="G3147" s="34">
        <f t="shared" si="54"/>
        <v>71.981499999999997</v>
      </c>
      <c r="H3147" s="35"/>
      <c r="I3147" s="31"/>
      <c r="J3147" s="102">
        <v>0</v>
      </c>
    </row>
    <row r="3148" spans="1:10" ht="15.75" hidden="1" thickBot="1" x14ac:dyDescent="0.3">
      <c r="A3148" s="220"/>
      <c r="B3148" s="223"/>
      <c r="C3148" s="36"/>
      <c r="D3148" s="36"/>
      <c r="E3148" s="37"/>
      <c r="F3148" s="31" t="s">
        <v>522</v>
      </c>
      <c r="G3148" s="34" t="str">
        <f t="shared" si="54"/>
        <v/>
      </c>
      <c r="H3148" s="35"/>
      <c r="I3148" s="31"/>
      <c r="J3148" s="102">
        <v>0</v>
      </c>
    </row>
    <row r="3149" spans="1:10" ht="15.75" hidden="1" thickBot="1" x14ac:dyDescent="0.3">
      <c r="A3149" s="218" t="s">
        <v>924</v>
      </c>
      <c r="B3149" s="221" t="e">
        <f>INDEX(#REF!,MATCH(Composições!A3149,#REF!,0),2)</f>
        <v>#REF!</v>
      </c>
      <c r="C3149" s="41"/>
      <c r="D3149" s="26" t="s">
        <v>95</v>
      </c>
      <c r="E3149" s="27"/>
      <c r="F3149" s="42" t="s">
        <v>522</v>
      </c>
      <c r="G3149" s="28" t="str">
        <f t="shared" si="54"/>
        <v/>
      </c>
      <c r="H3149" s="29"/>
      <c r="I3149" s="30"/>
      <c r="J3149" s="102">
        <v>0</v>
      </c>
    </row>
    <row r="3150" spans="1:10" hidden="1" x14ac:dyDescent="0.25">
      <c r="A3150" s="219"/>
      <c r="B3150" s="237"/>
      <c r="C3150" s="32"/>
      <c r="D3150" s="32"/>
      <c r="E3150" s="33"/>
      <c r="F3150" s="43" t="s">
        <v>522</v>
      </c>
      <c r="G3150" s="34" t="str">
        <f t="shared" si="54"/>
        <v/>
      </c>
      <c r="H3150" s="35"/>
      <c r="I3150" s="31"/>
      <c r="J3150" s="102">
        <v>0</v>
      </c>
    </row>
    <row r="3151" spans="1:10" hidden="1" x14ac:dyDescent="0.25">
      <c r="A3151" s="219"/>
      <c r="B3151" s="237"/>
      <c r="C3151" s="36" t="s">
        <v>68</v>
      </c>
      <c r="D3151" s="36" t="s">
        <v>12</v>
      </c>
      <c r="E3151" s="37">
        <v>1.5</v>
      </c>
      <c r="F3151" s="34">
        <v>19.9025</v>
      </c>
      <c r="G3151" s="34">
        <f t="shared" si="54"/>
        <v>29.853749999999998</v>
      </c>
      <c r="H3151" s="39">
        <f>SUM(G3151:G3153)</f>
        <v>170.35874999999999</v>
      </c>
      <c r="I3151" s="40"/>
      <c r="J3151" s="102">
        <v>0</v>
      </c>
    </row>
    <row r="3152" spans="1:10" hidden="1" x14ac:dyDescent="0.25">
      <c r="A3152" s="219"/>
      <c r="B3152" s="237"/>
      <c r="C3152" s="36" t="s">
        <v>23</v>
      </c>
      <c r="D3152" s="36" t="s">
        <v>12</v>
      </c>
      <c r="E3152" s="37">
        <v>1</v>
      </c>
      <c r="F3152" s="34">
        <v>16.1785</v>
      </c>
      <c r="G3152" s="34">
        <f t="shared" si="54"/>
        <v>16.1785</v>
      </c>
      <c r="H3152" s="35"/>
      <c r="I3152" s="31"/>
      <c r="J3152" s="102">
        <v>0</v>
      </c>
    </row>
    <row r="3153" spans="1:10" hidden="1" x14ac:dyDescent="0.25">
      <c r="A3153" s="219"/>
      <c r="B3153" s="237"/>
      <c r="C3153" s="36" t="s">
        <v>925</v>
      </c>
      <c r="D3153" s="36" t="s">
        <v>95</v>
      </c>
      <c r="E3153" s="37">
        <v>1</v>
      </c>
      <c r="F3153" s="31">
        <v>124.3265</v>
      </c>
      <c r="G3153" s="34">
        <f t="shared" si="54"/>
        <v>124.3265</v>
      </c>
      <c r="H3153" s="35"/>
      <c r="I3153" s="31"/>
      <c r="J3153" s="102">
        <v>0</v>
      </c>
    </row>
    <row r="3154" spans="1:10" ht="15.75" hidden="1" thickBot="1" x14ac:dyDescent="0.3">
      <c r="A3154" s="220"/>
      <c r="B3154" s="223"/>
      <c r="C3154" s="36"/>
      <c r="D3154" s="36"/>
      <c r="E3154" s="37"/>
      <c r="F3154" s="31" t="s">
        <v>522</v>
      </c>
      <c r="G3154" s="34" t="str">
        <f t="shared" si="54"/>
        <v/>
      </c>
      <c r="H3154" s="35"/>
      <c r="I3154" s="31"/>
      <c r="J3154" s="102">
        <v>0</v>
      </c>
    </row>
    <row r="3155" spans="1:10" ht="15.75" hidden="1" thickBot="1" x14ac:dyDescent="0.3">
      <c r="A3155" s="218" t="s">
        <v>926</v>
      </c>
      <c r="B3155" s="221" t="e">
        <f>INDEX(#REF!,MATCH(Composições!A3155,#REF!,0),2)</f>
        <v>#REF!</v>
      </c>
      <c r="C3155" s="41"/>
      <c r="D3155" s="26" t="s">
        <v>93</v>
      </c>
      <c r="E3155" s="27"/>
      <c r="F3155" s="42" t="s">
        <v>522</v>
      </c>
      <c r="G3155" s="28" t="str">
        <f t="shared" si="54"/>
        <v/>
      </c>
      <c r="H3155" s="29"/>
      <c r="I3155" s="30"/>
      <c r="J3155" s="102">
        <v>0</v>
      </c>
    </row>
    <row r="3156" spans="1:10" hidden="1" x14ac:dyDescent="0.25">
      <c r="A3156" s="219"/>
      <c r="B3156" s="237"/>
      <c r="C3156" s="32"/>
      <c r="D3156" s="32"/>
      <c r="E3156" s="33"/>
      <c r="F3156" s="43" t="s">
        <v>522</v>
      </c>
      <c r="G3156" s="34" t="str">
        <f t="shared" si="54"/>
        <v/>
      </c>
      <c r="H3156" s="35"/>
      <c r="I3156" s="31"/>
      <c r="J3156" s="102">
        <v>0</v>
      </c>
    </row>
    <row r="3157" spans="1:10" hidden="1" x14ac:dyDescent="0.25">
      <c r="A3157" s="219"/>
      <c r="B3157" s="237"/>
      <c r="C3157" s="36" t="s">
        <v>68</v>
      </c>
      <c r="D3157" s="50" t="s">
        <v>12</v>
      </c>
      <c r="E3157" s="37">
        <v>0.5</v>
      </c>
      <c r="F3157" s="34">
        <v>19.9025</v>
      </c>
      <c r="G3157" s="34">
        <f t="shared" si="54"/>
        <v>9.9512499999999999</v>
      </c>
      <c r="H3157" s="39">
        <f>SUM(G3157:G3159)</f>
        <v>24.977874999999997</v>
      </c>
      <c r="I3157" s="40"/>
      <c r="J3157" s="102">
        <v>0</v>
      </c>
    </row>
    <row r="3158" spans="1:10" hidden="1" x14ac:dyDescent="0.25">
      <c r="A3158" s="219"/>
      <c r="B3158" s="237"/>
      <c r="C3158" s="36" t="s">
        <v>23</v>
      </c>
      <c r="D3158" s="36" t="s">
        <v>12</v>
      </c>
      <c r="E3158" s="37">
        <v>0.25</v>
      </c>
      <c r="F3158" s="34">
        <v>16.1785</v>
      </c>
      <c r="G3158" s="34">
        <f t="shared" si="54"/>
        <v>4.0446249999999999</v>
      </c>
      <c r="H3158" s="35"/>
      <c r="I3158" s="31"/>
      <c r="J3158" s="102">
        <v>0</v>
      </c>
    </row>
    <row r="3159" spans="1:10" hidden="1" x14ac:dyDescent="0.25">
      <c r="A3159" s="219"/>
      <c r="B3159" s="237"/>
      <c r="C3159" s="36" t="s">
        <v>288</v>
      </c>
      <c r="D3159" s="36" t="s">
        <v>795</v>
      </c>
      <c r="E3159" s="37">
        <v>2</v>
      </c>
      <c r="F3159" s="31">
        <v>5.4909999999999997</v>
      </c>
      <c r="G3159" s="34">
        <f t="shared" si="54"/>
        <v>10.981999999999999</v>
      </c>
      <c r="H3159" s="35"/>
      <c r="I3159" s="31"/>
      <c r="J3159" s="102">
        <v>0</v>
      </c>
    </row>
    <row r="3160" spans="1:10" ht="15.75" hidden="1" thickBot="1" x14ac:dyDescent="0.3">
      <c r="A3160" s="220"/>
      <c r="B3160" s="223"/>
      <c r="C3160" s="36"/>
      <c r="D3160" s="36"/>
      <c r="E3160" s="37"/>
      <c r="F3160" s="31" t="s">
        <v>522</v>
      </c>
      <c r="G3160" s="34" t="str">
        <f t="shared" si="54"/>
        <v/>
      </c>
      <c r="H3160" s="35"/>
      <c r="I3160" s="31"/>
      <c r="J3160" s="102">
        <v>0</v>
      </c>
    </row>
    <row r="3161" spans="1:10" ht="15.75" hidden="1" thickBot="1" x14ac:dyDescent="0.3">
      <c r="A3161" s="218" t="s">
        <v>927</v>
      </c>
      <c r="B3161" s="221" t="e">
        <f>INDEX(#REF!,MATCH(Composições!A3161,#REF!,0),2)</f>
        <v>#REF!</v>
      </c>
      <c r="C3161" s="41"/>
      <c r="D3161" s="26" t="s">
        <v>95</v>
      </c>
      <c r="E3161" s="27"/>
      <c r="F3161" s="42" t="s">
        <v>522</v>
      </c>
      <c r="G3161" s="28" t="str">
        <f t="shared" si="54"/>
        <v/>
      </c>
      <c r="H3161" s="29"/>
      <c r="I3161" s="30"/>
      <c r="J3161" s="102">
        <v>0</v>
      </c>
    </row>
    <row r="3162" spans="1:10" hidden="1" x14ac:dyDescent="0.25">
      <c r="A3162" s="219"/>
      <c r="B3162" s="237"/>
      <c r="C3162" s="32"/>
      <c r="D3162" s="32"/>
      <c r="E3162" s="33"/>
      <c r="F3162" s="43" t="s">
        <v>522</v>
      </c>
      <c r="G3162" s="34" t="str">
        <f t="shared" si="54"/>
        <v/>
      </c>
      <c r="H3162" s="35"/>
      <c r="I3162" s="31"/>
      <c r="J3162" s="102">
        <v>0</v>
      </c>
    </row>
    <row r="3163" spans="1:10" hidden="1" x14ac:dyDescent="0.25">
      <c r="A3163" s="219"/>
      <c r="B3163" s="237"/>
      <c r="C3163" s="36" t="s">
        <v>23</v>
      </c>
      <c r="D3163" s="36" t="s">
        <v>12</v>
      </c>
      <c r="E3163" s="37">
        <v>1</v>
      </c>
      <c r="F3163" s="34">
        <v>16.1785</v>
      </c>
      <c r="G3163" s="34">
        <f t="shared" si="54"/>
        <v>16.1785</v>
      </c>
      <c r="H3163" s="39">
        <f>SUM(G3163:G3164)</f>
        <v>46.032249999999998</v>
      </c>
      <c r="I3163" s="40"/>
      <c r="J3163" s="102">
        <v>0</v>
      </c>
    </row>
    <row r="3164" spans="1:10" hidden="1" x14ac:dyDescent="0.25">
      <c r="A3164" s="219"/>
      <c r="B3164" s="237"/>
      <c r="C3164" s="36" t="s">
        <v>68</v>
      </c>
      <c r="D3164" s="36" t="s">
        <v>12</v>
      </c>
      <c r="E3164" s="37">
        <v>1.5</v>
      </c>
      <c r="F3164" s="34">
        <v>19.9025</v>
      </c>
      <c r="G3164" s="34">
        <f t="shared" si="54"/>
        <v>29.853749999999998</v>
      </c>
      <c r="H3164" s="35"/>
      <c r="I3164" s="31"/>
      <c r="J3164" s="102">
        <v>0</v>
      </c>
    </row>
    <row r="3165" spans="1:10" ht="15.75" hidden="1" thickBot="1" x14ac:dyDescent="0.3">
      <c r="A3165" s="220"/>
      <c r="B3165" s="223"/>
      <c r="C3165" s="36"/>
      <c r="D3165" s="36"/>
      <c r="E3165" s="37"/>
      <c r="F3165" s="31" t="s">
        <v>522</v>
      </c>
      <c r="G3165" s="34" t="str">
        <f t="shared" si="54"/>
        <v/>
      </c>
      <c r="H3165" s="35"/>
      <c r="I3165" s="31"/>
      <c r="J3165" s="102">
        <v>0</v>
      </c>
    </row>
    <row r="3166" spans="1:10" ht="15.75" hidden="1" thickBot="1" x14ac:dyDescent="0.3">
      <c r="A3166" s="218" t="s">
        <v>929</v>
      </c>
      <c r="B3166" s="221" t="e">
        <f>INDEX(#REF!,MATCH(Composições!A3166,#REF!,0),2)</f>
        <v>#REF!</v>
      </c>
      <c r="C3166" s="41"/>
      <c r="D3166" s="26" t="s">
        <v>95</v>
      </c>
      <c r="E3166" s="27"/>
      <c r="F3166" s="42" t="s">
        <v>522</v>
      </c>
      <c r="G3166" s="28" t="str">
        <f t="shared" si="54"/>
        <v/>
      </c>
      <c r="H3166" s="29"/>
      <c r="I3166" s="30"/>
      <c r="J3166" s="102">
        <v>0</v>
      </c>
    </row>
    <row r="3167" spans="1:10" hidden="1" x14ac:dyDescent="0.25">
      <c r="A3167" s="219"/>
      <c r="B3167" s="237"/>
      <c r="C3167" s="32"/>
      <c r="D3167" s="32"/>
      <c r="E3167" s="33"/>
      <c r="F3167" s="43" t="s">
        <v>522</v>
      </c>
      <c r="G3167" s="34" t="str">
        <f t="shared" si="54"/>
        <v/>
      </c>
      <c r="H3167" s="35"/>
      <c r="I3167" s="31"/>
      <c r="J3167" s="102">
        <v>0</v>
      </c>
    </row>
    <row r="3168" spans="1:10" hidden="1" x14ac:dyDescent="0.25">
      <c r="A3168" s="219"/>
      <c r="B3168" s="237"/>
      <c r="C3168" s="36" t="s">
        <v>930</v>
      </c>
      <c r="D3168" s="47" t="s">
        <v>95</v>
      </c>
      <c r="E3168" s="37">
        <v>1</v>
      </c>
      <c r="F3168" s="34" t="s">
        <v>522</v>
      </c>
      <c r="G3168" s="34" t="str">
        <f t="shared" si="54"/>
        <v/>
      </c>
      <c r="H3168" s="39">
        <f>SUM(G3168:G3170)</f>
        <v>46.032249999999998</v>
      </c>
      <c r="I3168" s="40"/>
      <c r="J3168" s="102">
        <v>0</v>
      </c>
    </row>
    <row r="3169" spans="1:10" hidden="1" x14ac:dyDescent="0.25">
      <c r="A3169" s="219"/>
      <c r="B3169" s="237"/>
      <c r="C3169" s="36" t="s">
        <v>23</v>
      </c>
      <c r="D3169" s="47" t="s">
        <v>12</v>
      </c>
      <c r="E3169" s="37">
        <v>1</v>
      </c>
      <c r="F3169" s="31">
        <v>16.1785</v>
      </c>
      <c r="G3169" s="34">
        <f t="shared" si="54"/>
        <v>16.1785</v>
      </c>
      <c r="H3169" s="35"/>
      <c r="I3169" s="31"/>
      <c r="J3169" s="102">
        <v>0</v>
      </c>
    </row>
    <row r="3170" spans="1:10" hidden="1" x14ac:dyDescent="0.25">
      <c r="A3170" s="219"/>
      <c r="B3170" s="237"/>
      <c r="C3170" s="36" t="s">
        <v>68</v>
      </c>
      <c r="D3170" s="47" t="s">
        <v>12</v>
      </c>
      <c r="E3170" s="37">
        <v>1.5</v>
      </c>
      <c r="F3170" s="31">
        <v>19.9025</v>
      </c>
      <c r="G3170" s="34">
        <f t="shared" si="54"/>
        <v>29.853749999999998</v>
      </c>
      <c r="H3170" s="35"/>
      <c r="I3170" s="31"/>
      <c r="J3170" s="102">
        <v>0</v>
      </c>
    </row>
    <row r="3171" spans="1:10" ht="15.75" hidden="1" thickBot="1" x14ac:dyDescent="0.3">
      <c r="A3171" s="220"/>
      <c r="B3171" s="223"/>
      <c r="C3171" s="36"/>
      <c r="D3171" s="36"/>
      <c r="E3171" s="37"/>
      <c r="F3171" s="31" t="s">
        <v>522</v>
      </c>
      <c r="G3171" s="34" t="str">
        <f t="shared" si="54"/>
        <v/>
      </c>
      <c r="H3171" s="35"/>
      <c r="I3171" s="31"/>
      <c r="J3171" s="102">
        <v>0</v>
      </c>
    </row>
    <row r="3172" spans="1:10" ht="15.75" hidden="1" thickBot="1" x14ac:dyDescent="0.3">
      <c r="A3172" s="218" t="s">
        <v>931</v>
      </c>
      <c r="B3172" s="221" t="e">
        <f>INDEX(#REF!,MATCH(Composições!A3172,#REF!,0),2)</f>
        <v>#REF!</v>
      </c>
      <c r="C3172" s="41"/>
      <c r="D3172" s="26" t="s">
        <v>20</v>
      </c>
      <c r="E3172" s="27"/>
      <c r="F3172" s="42" t="s">
        <v>522</v>
      </c>
      <c r="G3172" s="28" t="str">
        <f t="shared" si="54"/>
        <v/>
      </c>
      <c r="H3172" s="29"/>
      <c r="I3172" s="30"/>
      <c r="J3172" s="102">
        <v>0</v>
      </c>
    </row>
    <row r="3173" spans="1:10" hidden="1" x14ac:dyDescent="0.25">
      <c r="A3173" s="219"/>
      <c r="B3173" s="237"/>
      <c r="C3173" s="32"/>
      <c r="D3173" s="32"/>
      <c r="E3173" s="33"/>
      <c r="F3173" s="43" t="s">
        <v>522</v>
      </c>
      <c r="G3173" s="34" t="str">
        <f t="shared" si="54"/>
        <v/>
      </c>
      <c r="H3173" s="35"/>
      <c r="I3173" s="31"/>
      <c r="J3173" s="102">
        <v>0</v>
      </c>
    </row>
    <row r="3174" spans="1:10" hidden="1" x14ac:dyDescent="0.25">
      <c r="A3174" s="219"/>
      <c r="B3174" s="237"/>
      <c r="C3174" s="36" t="s">
        <v>68</v>
      </c>
      <c r="D3174" s="36" t="s">
        <v>12</v>
      </c>
      <c r="E3174" s="37">
        <v>0.1</v>
      </c>
      <c r="F3174" s="34">
        <v>19.9025</v>
      </c>
      <c r="G3174" s="34">
        <f t="shared" si="54"/>
        <v>1.9902500000000001</v>
      </c>
      <c r="H3174" s="39">
        <f>SUM(G3174:G3175)</f>
        <v>5.8377499999999998</v>
      </c>
      <c r="I3174" s="40"/>
      <c r="J3174" s="102">
        <v>0</v>
      </c>
    </row>
    <row r="3175" spans="1:10" ht="25.5" hidden="1" x14ac:dyDescent="0.25">
      <c r="A3175" s="219"/>
      <c r="B3175" s="237"/>
      <c r="C3175" s="36" t="s">
        <v>928</v>
      </c>
      <c r="D3175" s="36" t="s">
        <v>20</v>
      </c>
      <c r="E3175" s="37">
        <v>1</v>
      </c>
      <c r="F3175" s="31">
        <v>3.8474999999999997</v>
      </c>
      <c r="G3175" s="34">
        <f t="shared" si="54"/>
        <v>3.8474999999999997</v>
      </c>
      <c r="H3175" s="35"/>
      <c r="I3175" s="31"/>
      <c r="J3175" s="102">
        <v>0</v>
      </c>
    </row>
    <row r="3176" spans="1:10" ht="15.75" hidden="1" thickBot="1" x14ac:dyDescent="0.3">
      <c r="A3176" s="220"/>
      <c r="B3176" s="223"/>
      <c r="C3176" s="36"/>
      <c r="D3176" s="36"/>
      <c r="E3176" s="37"/>
      <c r="F3176" s="31" t="s">
        <v>522</v>
      </c>
      <c r="G3176" s="34" t="str">
        <f t="shared" si="54"/>
        <v/>
      </c>
      <c r="H3176" s="35"/>
      <c r="I3176" s="31"/>
      <c r="J3176" s="102">
        <v>0</v>
      </c>
    </row>
    <row r="3177" spans="1:10" ht="15.75" hidden="1" thickBot="1" x14ac:dyDescent="0.3">
      <c r="A3177" s="218" t="s">
        <v>932</v>
      </c>
      <c r="B3177" s="221" t="e">
        <f>INDEX(#REF!,MATCH(Composições!A3177,#REF!,0),2)</f>
        <v>#REF!</v>
      </c>
      <c r="C3177" s="41"/>
      <c r="D3177" s="26" t="s">
        <v>109</v>
      </c>
      <c r="E3177" s="27"/>
      <c r="F3177" s="42" t="s">
        <v>522</v>
      </c>
      <c r="G3177" s="28" t="str">
        <f t="shared" si="54"/>
        <v/>
      </c>
      <c r="H3177" s="29"/>
      <c r="I3177" s="30"/>
      <c r="J3177" s="102">
        <v>0</v>
      </c>
    </row>
    <row r="3178" spans="1:10" hidden="1" x14ac:dyDescent="0.25">
      <c r="A3178" s="219"/>
      <c r="B3178" s="237"/>
      <c r="C3178" s="32"/>
      <c r="D3178" s="32"/>
      <c r="E3178" s="33"/>
      <c r="F3178" s="43" t="s">
        <v>522</v>
      </c>
      <c r="G3178" s="34" t="str">
        <f t="shared" si="54"/>
        <v/>
      </c>
      <c r="H3178" s="35"/>
      <c r="I3178" s="31"/>
      <c r="J3178" s="102">
        <v>0</v>
      </c>
    </row>
    <row r="3179" spans="1:10" hidden="1" x14ac:dyDescent="0.25">
      <c r="A3179" s="219"/>
      <c r="B3179" s="237"/>
      <c r="C3179" s="36" t="s">
        <v>711</v>
      </c>
      <c r="D3179" s="47" t="s">
        <v>703</v>
      </c>
      <c r="E3179" s="37">
        <v>4.8468999999999998</v>
      </c>
      <c r="F3179" s="31">
        <v>21.479499999999998</v>
      </c>
      <c r="G3179" s="34">
        <f t="shared" si="54"/>
        <v>104.10898854999999</v>
      </c>
      <c r="H3179" s="39">
        <f>SUM(G3179:G3181)</f>
        <v>4001.9865755999999</v>
      </c>
      <c r="I3179" s="40"/>
      <c r="J3179" s="102">
        <v>0</v>
      </c>
    </row>
    <row r="3180" spans="1:10" hidden="1" x14ac:dyDescent="0.25">
      <c r="A3180" s="219"/>
      <c r="B3180" s="237"/>
      <c r="C3180" s="36" t="s">
        <v>704</v>
      </c>
      <c r="D3180" s="47" t="s">
        <v>703</v>
      </c>
      <c r="E3180" s="37">
        <v>3.2313000000000001</v>
      </c>
      <c r="F3180" s="31">
        <v>16.1785</v>
      </c>
      <c r="G3180" s="34">
        <f t="shared" si="54"/>
        <v>52.277587050000001</v>
      </c>
      <c r="H3180" s="35"/>
      <c r="I3180" s="31"/>
      <c r="J3180" s="102">
        <v>0</v>
      </c>
    </row>
    <row r="3181" spans="1:10" hidden="1" x14ac:dyDescent="0.25">
      <c r="A3181" s="219"/>
      <c r="B3181" s="237"/>
      <c r="C3181" s="36" t="s">
        <v>933</v>
      </c>
      <c r="D3181" s="47" t="s">
        <v>898</v>
      </c>
      <c r="E3181" s="37">
        <v>2200</v>
      </c>
      <c r="F3181" s="31">
        <v>1.748</v>
      </c>
      <c r="G3181" s="34">
        <f t="shared" si="54"/>
        <v>3845.6</v>
      </c>
      <c r="H3181" s="35"/>
      <c r="I3181" s="31"/>
      <c r="J3181" s="102">
        <v>0</v>
      </c>
    </row>
    <row r="3182" spans="1:10" hidden="1" x14ac:dyDescent="0.25">
      <c r="A3182" s="219"/>
      <c r="B3182" s="237"/>
      <c r="C3182" s="36"/>
      <c r="D3182" s="47"/>
      <c r="E3182" s="37"/>
      <c r="F3182" s="31" t="s">
        <v>522</v>
      </c>
      <c r="G3182" s="34"/>
      <c r="H3182" s="35"/>
      <c r="I3182" s="31"/>
      <c r="J3182" s="102">
        <v>0</v>
      </c>
    </row>
    <row r="3183" spans="1:10" ht="25.5" hidden="1" x14ac:dyDescent="0.25">
      <c r="A3183" s="219"/>
      <c r="B3183" s="237"/>
      <c r="C3183" s="48" t="s">
        <v>2437</v>
      </c>
      <c r="D3183" s="47"/>
      <c r="E3183" s="37"/>
      <c r="F3183" s="31" t="s">
        <v>522</v>
      </c>
      <c r="G3183" s="34"/>
      <c r="H3183" s="35"/>
      <c r="I3183" s="31"/>
      <c r="J3183" s="102">
        <v>0</v>
      </c>
    </row>
    <row r="3184" spans="1:10" ht="30" hidden="1" x14ac:dyDescent="0.25">
      <c r="A3184" s="219"/>
      <c r="B3184" s="237"/>
      <c r="C3184" s="117" t="s">
        <v>2438</v>
      </c>
      <c r="D3184" s="47"/>
      <c r="E3184" s="37"/>
      <c r="F3184" s="31" t="s">
        <v>522</v>
      </c>
      <c r="G3184" s="34"/>
      <c r="H3184" s="35"/>
      <c r="I3184" s="31"/>
      <c r="J3184" s="102">
        <v>0</v>
      </c>
    </row>
    <row r="3185" spans="1:10" ht="15.75" hidden="1" thickBot="1" x14ac:dyDescent="0.3">
      <c r="A3185" s="220"/>
      <c r="B3185" s="223"/>
      <c r="C3185" s="36"/>
      <c r="D3185" s="36"/>
      <c r="E3185" s="37"/>
      <c r="F3185" s="31" t="s">
        <v>522</v>
      </c>
      <c r="G3185" s="34" t="str">
        <f t="shared" ref="G3185:G3248" si="55">IF(ISNUMBER(F3185),E3185*F3185,"")</f>
        <v/>
      </c>
      <c r="H3185" s="35"/>
      <c r="I3185" s="31"/>
      <c r="J3185" s="102">
        <v>0</v>
      </c>
    </row>
    <row r="3186" spans="1:10" ht="15.75" hidden="1" thickBot="1" x14ac:dyDescent="0.3">
      <c r="A3186" s="218" t="s">
        <v>934</v>
      </c>
      <c r="B3186" s="221" t="e">
        <f>INDEX(#REF!,MATCH(Composições!A3186,#REF!,0),2)</f>
        <v>#REF!</v>
      </c>
      <c r="C3186" s="41"/>
      <c r="D3186" s="26" t="s">
        <v>42</v>
      </c>
      <c r="E3186" s="27"/>
      <c r="F3186" s="42" t="s">
        <v>522</v>
      </c>
      <c r="G3186" s="28" t="str">
        <f t="shared" si="55"/>
        <v/>
      </c>
      <c r="H3186" s="29"/>
      <c r="I3186" s="30"/>
      <c r="J3186" s="102">
        <v>0</v>
      </c>
    </row>
    <row r="3187" spans="1:10" hidden="1" x14ac:dyDescent="0.25">
      <c r="A3187" s="219"/>
      <c r="B3187" s="237"/>
      <c r="C3187" s="32"/>
      <c r="D3187" s="32"/>
      <c r="E3187" s="33"/>
      <c r="F3187" s="43" t="s">
        <v>522</v>
      </c>
      <c r="G3187" s="34" t="str">
        <f t="shared" si="55"/>
        <v/>
      </c>
      <c r="H3187" s="35"/>
      <c r="I3187" s="31"/>
      <c r="J3187" s="102">
        <v>0</v>
      </c>
    </row>
    <row r="3188" spans="1:10" ht="25.5" hidden="1" x14ac:dyDescent="0.25">
      <c r="A3188" s="219"/>
      <c r="B3188" s="237"/>
      <c r="C3188" s="36" t="s">
        <v>1897</v>
      </c>
      <c r="D3188" s="47" t="s">
        <v>898</v>
      </c>
      <c r="E3188" s="37">
        <v>2.5000000000000001E-2</v>
      </c>
      <c r="F3188" s="31">
        <v>24.738</v>
      </c>
      <c r="G3188" s="34">
        <f t="shared" si="55"/>
        <v>0.61845000000000006</v>
      </c>
      <c r="H3188" s="39">
        <f>SUM(G3188:G3192)</f>
        <v>12.670617399999998</v>
      </c>
      <c r="I3188" s="40"/>
      <c r="J3188" s="102">
        <v>0</v>
      </c>
    </row>
    <row r="3189" spans="1:10" ht="38.25" hidden="1" x14ac:dyDescent="0.25">
      <c r="A3189" s="219"/>
      <c r="B3189" s="237"/>
      <c r="C3189" s="36" t="s">
        <v>899</v>
      </c>
      <c r="D3189" s="47" t="s">
        <v>279</v>
      </c>
      <c r="E3189" s="37">
        <v>0.36699999999999999</v>
      </c>
      <c r="F3189" s="31">
        <v>0.20899999999999999</v>
      </c>
      <c r="G3189" s="34">
        <f t="shared" si="55"/>
        <v>7.6702999999999993E-2</v>
      </c>
      <c r="H3189" s="35"/>
      <c r="I3189" s="31"/>
      <c r="J3189" s="102">
        <v>0</v>
      </c>
    </row>
    <row r="3190" spans="1:10" hidden="1" x14ac:dyDescent="0.25">
      <c r="A3190" s="219"/>
      <c r="B3190" s="237"/>
      <c r="C3190" s="36" t="s">
        <v>900</v>
      </c>
      <c r="D3190" s="47" t="s">
        <v>703</v>
      </c>
      <c r="E3190" s="37">
        <v>1.14E-2</v>
      </c>
      <c r="F3190" s="31">
        <v>16.197500000000002</v>
      </c>
      <c r="G3190" s="34">
        <f t="shared" si="55"/>
        <v>0.18465150000000002</v>
      </c>
      <c r="H3190" s="35"/>
      <c r="I3190" s="31"/>
      <c r="J3190" s="102">
        <v>0</v>
      </c>
    </row>
    <row r="3191" spans="1:10" hidden="1" x14ac:dyDescent="0.25">
      <c r="A3191" s="219"/>
      <c r="B3191" s="237"/>
      <c r="C3191" s="36" t="s">
        <v>901</v>
      </c>
      <c r="D3191" s="47" t="s">
        <v>703</v>
      </c>
      <c r="E3191" s="37">
        <v>6.9800000000000001E-2</v>
      </c>
      <c r="F3191" s="31">
        <v>21.365499999999997</v>
      </c>
      <c r="G3191" s="34">
        <f t="shared" si="55"/>
        <v>1.4913118999999999</v>
      </c>
      <c r="H3191" s="35"/>
      <c r="I3191" s="31"/>
      <c r="J3191" s="102">
        <v>0</v>
      </c>
    </row>
    <row r="3192" spans="1:10" ht="25.5" hidden="1" x14ac:dyDescent="0.25">
      <c r="A3192" s="219"/>
      <c r="B3192" s="237"/>
      <c r="C3192" s="36" t="s">
        <v>935</v>
      </c>
      <c r="D3192" s="47" t="s">
        <v>898</v>
      </c>
      <c r="E3192" s="37">
        <v>1</v>
      </c>
      <c r="F3192" s="31">
        <v>10.299500999999998</v>
      </c>
      <c r="G3192" s="34">
        <f t="shared" si="55"/>
        <v>10.299500999999998</v>
      </c>
      <c r="H3192" s="35"/>
      <c r="I3192" s="31"/>
      <c r="J3192" s="102">
        <v>0</v>
      </c>
    </row>
    <row r="3193" spans="1:10" ht="15.75" hidden="1" thickBot="1" x14ac:dyDescent="0.3">
      <c r="A3193" s="220"/>
      <c r="B3193" s="223"/>
      <c r="C3193" s="36"/>
      <c r="D3193" s="36"/>
      <c r="E3193" s="37"/>
      <c r="F3193" s="31" t="s">
        <v>522</v>
      </c>
      <c r="G3193" s="34" t="str">
        <f t="shared" si="55"/>
        <v/>
      </c>
      <c r="H3193" s="35"/>
      <c r="I3193" s="31"/>
      <c r="J3193" s="102">
        <v>0</v>
      </c>
    </row>
    <row r="3194" spans="1:10" ht="15.75" hidden="1" thickBot="1" x14ac:dyDescent="0.3">
      <c r="A3194" s="218" t="s">
        <v>936</v>
      </c>
      <c r="B3194" s="221" t="e">
        <f>INDEX(#REF!,MATCH(Composições!A3194,#REF!,0),2)</f>
        <v>#REF!</v>
      </c>
      <c r="C3194" s="41"/>
      <c r="D3194" s="26" t="s">
        <v>42</v>
      </c>
      <c r="E3194" s="27"/>
      <c r="F3194" s="42" t="s">
        <v>522</v>
      </c>
      <c r="G3194" s="28" t="str">
        <f t="shared" si="55"/>
        <v/>
      </c>
      <c r="H3194" s="29"/>
      <c r="I3194" s="30"/>
      <c r="J3194" s="102">
        <v>0</v>
      </c>
    </row>
    <row r="3195" spans="1:10" hidden="1" x14ac:dyDescent="0.25">
      <c r="A3195" s="219"/>
      <c r="B3195" s="237"/>
      <c r="C3195" s="32"/>
      <c r="D3195" s="32"/>
      <c r="E3195" s="33"/>
      <c r="F3195" s="43" t="s">
        <v>522</v>
      </c>
      <c r="G3195" s="34" t="str">
        <f t="shared" si="55"/>
        <v/>
      </c>
      <c r="H3195" s="35"/>
      <c r="I3195" s="31"/>
      <c r="J3195" s="102">
        <v>0</v>
      </c>
    </row>
    <row r="3196" spans="1:10" ht="25.5" hidden="1" x14ac:dyDescent="0.25">
      <c r="A3196" s="219"/>
      <c r="B3196" s="237"/>
      <c r="C3196" s="36" t="s">
        <v>1897</v>
      </c>
      <c r="D3196" s="47" t="s">
        <v>898</v>
      </c>
      <c r="E3196" s="37">
        <v>2.5000000000000001E-2</v>
      </c>
      <c r="F3196" s="31">
        <v>24.738</v>
      </c>
      <c r="G3196" s="34">
        <f t="shared" si="55"/>
        <v>0.61845000000000006</v>
      </c>
      <c r="H3196" s="39">
        <f>SUM(G3196:G3200)</f>
        <v>13.433648849999999</v>
      </c>
      <c r="I3196" s="40"/>
      <c r="J3196" s="102">
        <v>0</v>
      </c>
    </row>
    <row r="3197" spans="1:10" ht="38.25" hidden="1" x14ac:dyDescent="0.25">
      <c r="A3197" s="219"/>
      <c r="B3197" s="237"/>
      <c r="C3197" s="36" t="s">
        <v>899</v>
      </c>
      <c r="D3197" s="47" t="s">
        <v>279</v>
      </c>
      <c r="E3197" s="37">
        <v>0.113</v>
      </c>
      <c r="F3197" s="31">
        <v>0.20899999999999999</v>
      </c>
      <c r="G3197" s="34">
        <f t="shared" si="55"/>
        <v>2.3616999999999999E-2</v>
      </c>
      <c r="H3197" s="35"/>
      <c r="I3197" s="31"/>
      <c r="J3197" s="102">
        <v>0</v>
      </c>
    </row>
    <row r="3198" spans="1:10" hidden="1" x14ac:dyDescent="0.25">
      <c r="A3198" s="219"/>
      <c r="B3198" s="237"/>
      <c r="C3198" s="36" t="s">
        <v>900</v>
      </c>
      <c r="D3198" s="47" t="s">
        <v>703</v>
      </c>
      <c r="E3198" s="37">
        <v>5.1000000000000004E-3</v>
      </c>
      <c r="F3198" s="31">
        <v>16.197500000000002</v>
      </c>
      <c r="G3198" s="34">
        <f t="shared" si="55"/>
        <v>8.2607250000000007E-2</v>
      </c>
      <c r="H3198" s="35"/>
      <c r="I3198" s="31"/>
      <c r="J3198" s="102">
        <v>0</v>
      </c>
    </row>
    <row r="3199" spans="1:10" hidden="1" x14ac:dyDescent="0.25">
      <c r="A3199" s="219"/>
      <c r="B3199" s="237"/>
      <c r="C3199" s="36" t="s">
        <v>901</v>
      </c>
      <c r="D3199" s="47" t="s">
        <v>703</v>
      </c>
      <c r="E3199" s="37">
        <v>3.1199999999999999E-2</v>
      </c>
      <c r="F3199" s="31">
        <v>21.365499999999997</v>
      </c>
      <c r="G3199" s="34">
        <f t="shared" si="55"/>
        <v>0.66660359999999985</v>
      </c>
      <c r="H3199" s="35"/>
      <c r="I3199" s="31"/>
      <c r="J3199" s="102">
        <v>0</v>
      </c>
    </row>
    <row r="3200" spans="1:10" ht="25.5" hidden="1" x14ac:dyDescent="0.25">
      <c r="A3200" s="219"/>
      <c r="B3200" s="237"/>
      <c r="C3200" s="36" t="s">
        <v>937</v>
      </c>
      <c r="D3200" s="47" t="s">
        <v>898</v>
      </c>
      <c r="E3200" s="37">
        <v>1</v>
      </c>
      <c r="F3200" s="31">
        <v>12.042370999999999</v>
      </c>
      <c r="G3200" s="34">
        <f t="shared" si="55"/>
        <v>12.042370999999999</v>
      </c>
      <c r="H3200" s="35"/>
      <c r="I3200" s="31"/>
      <c r="J3200" s="102">
        <v>0</v>
      </c>
    </row>
    <row r="3201" spans="1:10" ht="15.75" hidden="1" thickBot="1" x14ac:dyDescent="0.3">
      <c r="A3201" s="220"/>
      <c r="B3201" s="223"/>
      <c r="C3201" s="36"/>
      <c r="D3201" s="36"/>
      <c r="E3201" s="37"/>
      <c r="F3201" s="31" t="s">
        <v>522</v>
      </c>
      <c r="G3201" s="34" t="str">
        <f t="shared" si="55"/>
        <v/>
      </c>
      <c r="H3201" s="35"/>
      <c r="I3201" s="31"/>
      <c r="J3201" s="102">
        <v>0</v>
      </c>
    </row>
    <row r="3202" spans="1:10" ht="15.75" hidden="1" thickBot="1" x14ac:dyDescent="0.3">
      <c r="A3202" s="218" t="s">
        <v>938</v>
      </c>
      <c r="B3202" s="221" t="e">
        <f>INDEX(#REF!,MATCH(Composições!A3202,#REF!,0),2)</f>
        <v>#REF!</v>
      </c>
      <c r="C3202" s="41"/>
      <c r="D3202" s="26" t="s">
        <v>20</v>
      </c>
      <c r="E3202" s="27"/>
      <c r="F3202" s="42" t="s">
        <v>522</v>
      </c>
      <c r="G3202" s="28" t="str">
        <f t="shared" si="55"/>
        <v/>
      </c>
      <c r="H3202" s="29"/>
      <c r="I3202" s="30"/>
      <c r="J3202" s="102">
        <v>0</v>
      </c>
    </row>
    <row r="3203" spans="1:10" hidden="1" x14ac:dyDescent="0.25">
      <c r="A3203" s="219"/>
      <c r="B3203" s="237"/>
      <c r="C3203" s="98"/>
      <c r="D3203" s="32"/>
      <c r="E3203" s="33"/>
      <c r="F3203" s="43" t="s">
        <v>522</v>
      </c>
      <c r="G3203" s="34" t="str">
        <f t="shared" si="55"/>
        <v/>
      </c>
      <c r="H3203" s="35"/>
      <c r="I3203" s="31"/>
      <c r="J3203" s="102">
        <v>0</v>
      </c>
    </row>
    <row r="3204" spans="1:10" hidden="1" x14ac:dyDescent="0.25">
      <c r="A3204" s="219"/>
      <c r="B3204" s="237"/>
      <c r="C3204" s="36" t="s">
        <v>23</v>
      </c>
      <c r="D3204" s="47" t="s">
        <v>12</v>
      </c>
      <c r="E3204" s="37">
        <v>0.55000000000000004</v>
      </c>
      <c r="F3204" s="31">
        <v>16.1785</v>
      </c>
      <c r="G3204" s="34">
        <f t="shared" si="55"/>
        <v>8.8981750000000002</v>
      </c>
      <c r="H3204" s="39">
        <f>SUM(G3204:G3205)</f>
        <v>19.844550000000002</v>
      </c>
      <c r="I3204" s="40"/>
      <c r="J3204" s="102">
        <v>0</v>
      </c>
    </row>
    <row r="3205" spans="1:10" hidden="1" x14ac:dyDescent="0.25">
      <c r="A3205" s="219"/>
      <c r="B3205" s="237"/>
      <c r="C3205" s="36" t="s">
        <v>68</v>
      </c>
      <c r="D3205" s="47" t="s">
        <v>12</v>
      </c>
      <c r="E3205" s="37">
        <v>0.55000000000000004</v>
      </c>
      <c r="F3205" s="31">
        <v>19.9025</v>
      </c>
      <c r="G3205" s="34">
        <f t="shared" si="55"/>
        <v>10.946375000000002</v>
      </c>
      <c r="H3205" s="35"/>
      <c r="I3205" s="31"/>
      <c r="J3205" s="102">
        <v>0</v>
      </c>
    </row>
    <row r="3206" spans="1:10" ht="15.75" hidden="1" thickBot="1" x14ac:dyDescent="0.3">
      <c r="A3206" s="220"/>
      <c r="B3206" s="223"/>
      <c r="C3206" s="36"/>
      <c r="D3206" s="36"/>
      <c r="E3206" s="37"/>
      <c r="F3206" s="31" t="s">
        <v>522</v>
      </c>
      <c r="G3206" s="34" t="str">
        <f t="shared" si="55"/>
        <v/>
      </c>
      <c r="H3206" s="35"/>
      <c r="I3206" s="31"/>
      <c r="J3206" s="102">
        <v>0</v>
      </c>
    </row>
    <row r="3207" spans="1:10" ht="15.75" hidden="1" thickBot="1" x14ac:dyDescent="0.3">
      <c r="A3207" s="218" t="s">
        <v>939</v>
      </c>
      <c r="B3207" s="221" t="e">
        <f>INDEX(#REF!,MATCH(Composições!A3207,#REF!,0),2)</f>
        <v>#REF!</v>
      </c>
      <c r="C3207" s="41"/>
      <c r="D3207" s="26" t="s">
        <v>109</v>
      </c>
      <c r="E3207" s="27"/>
      <c r="F3207" s="42" t="s">
        <v>522</v>
      </c>
      <c r="G3207" s="28" t="str">
        <f t="shared" si="55"/>
        <v/>
      </c>
      <c r="H3207" s="29"/>
      <c r="I3207" s="30"/>
      <c r="J3207" s="102">
        <v>0</v>
      </c>
    </row>
    <row r="3208" spans="1:10" hidden="1" x14ac:dyDescent="0.25">
      <c r="A3208" s="219"/>
      <c r="B3208" s="237"/>
      <c r="C3208" s="32"/>
      <c r="D3208" s="32"/>
      <c r="E3208" s="33"/>
      <c r="F3208" s="43" t="s">
        <v>522</v>
      </c>
      <c r="G3208" s="34" t="str">
        <f t="shared" si="55"/>
        <v/>
      </c>
      <c r="H3208" s="35"/>
      <c r="I3208" s="31"/>
      <c r="J3208" s="102">
        <v>0</v>
      </c>
    </row>
    <row r="3209" spans="1:10" hidden="1" x14ac:dyDescent="0.25">
      <c r="A3209" s="219"/>
      <c r="B3209" s="237"/>
      <c r="C3209" s="36" t="s">
        <v>23</v>
      </c>
      <c r="D3209" s="47" t="s">
        <v>12</v>
      </c>
      <c r="E3209" s="37">
        <v>3.956</v>
      </c>
      <c r="F3209" s="31">
        <v>16.1785</v>
      </c>
      <c r="G3209" s="34">
        <f t="shared" si="55"/>
        <v>64.002145999999996</v>
      </c>
      <c r="H3209" s="39">
        <f>SUM(G3209:G3209)</f>
        <v>64.002145999999996</v>
      </c>
      <c r="I3209" s="40"/>
      <c r="J3209" s="102">
        <v>0</v>
      </c>
    </row>
    <row r="3210" spans="1:10" ht="15.75" hidden="1" thickBot="1" x14ac:dyDescent="0.3">
      <c r="A3210" s="220"/>
      <c r="B3210" s="223"/>
      <c r="C3210" s="36"/>
      <c r="D3210" s="36"/>
      <c r="E3210" s="37"/>
      <c r="F3210" s="31" t="s">
        <v>522</v>
      </c>
      <c r="G3210" s="34" t="str">
        <f t="shared" si="55"/>
        <v/>
      </c>
      <c r="H3210" s="35"/>
      <c r="I3210" s="31"/>
      <c r="J3210" s="102">
        <v>0</v>
      </c>
    </row>
    <row r="3211" spans="1:10" ht="15.75" hidden="1" thickBot="1" x14ac:dyDescent="0.3">
      <c r="A3211" s="218" t="s">
        <v>940</v>
      </c>
      <c r="B3211" s="221" t="e">
        <f>INDEX(#REF!,MATCH(Composições!A3211,#REF!,0),2)</f>
        <v>#REF!</v>
      </c>
      <c r="C3211" s="41"/>
      <c r="D3211" s="26" t="s">
        <v>109</v>
      </c>
      <c r="E3211" s="27"/>
      <c r="F3211" s="42" t="s">
        <v>522</v>
      </c>
      <c r="G3211" s="28" t="str">
        <f t="shared" si="55"/>
        <v/>
      </c>
      <c r="H3211" s="29"/>
      <c r="I3211" s="30"/>
      <c r="J3211" s="102">
        <v>0</v>
      </c>
    </row>
    <row r="3212" spans="1:10" hidden="1" x14ac:dyDescent="0.25">
      <c r="A3212" s="219"/>
      <c r="B3212" s="237"/>
      <c r="C3212" s="32"/>
      <c r="D3212" s="32"/>
      <c r="E3212" s="33"/>
      <c r="F3212" s="43" t="s">
        <v>522</v>
      </c>
      <c r="G3212" s="34" t="str">
        <f t="shared" si="55"/>
        <v/>
      </c>
      <c r="H3212" s="35"/>
      <c r="I3212" s="31"/>
      <c r="J3212" s="102">
        <v>0</v>
      </c>
    </row>
    <row r="3213" spans="1:10" hidden="1" x14ac:dyDescent="0.25">
      <c r="A3213" s="219"/>
      <c r="B3213" s="237"/>
      <c r="C3213" s="36" t="s">
        <v>704</v>
      </c>
      <c r="D3213" s="47" t="s">
        <v>703</v>
      </c>
      <c r="E3213" s="37">
        <v>0.65</v>
      </c>
      <c r="F3213" s="31">
        <v>16.1785</v>
      </c>
      <c r="G3213" s="34">
        <f t="shared" si="55"/>
        <v>10.516025000000001</v>
      </c>
      <c r="H3213" s="39">
        <f>SUM(G3213:G3216)</f>
        <v>23.944427000000001</v>
      </c>
      <c r="I3213" s="40"/>
      <c r="J3213" s="102">
        <v>0</v>
      </c>
    </row>
    <row r="3214" spans="1:10" ht="38.25" hidden="1" x14ac:dyDescent="0.25">
      <c r="A3214" s="219"/>
      <c r="B3214" s="237"/>
      <c r="C3214" s="36" t="s">
        <v>941</v>
      </c>
      <c r="D3214" s="47" t="s">
        <v>942</v>
      </c>
      <c r="E3214" s="37">
        <v>0.27400000000000002</v>
      </c>
      <c r="F3214" s="31">
        <v>25.574000000000002</v>
      </c>
      <c r="G3214" s="34">
        <f t="shared" si="55"/>
        <v>7.0072760000000009</v>
      </c>
      <c r="H3214" s="35"/>
      <c r="I3214" s="31"/>
      <c r="J3214" s="102">
        <v>0</v>
      </c>
    </row>
    <row r="3215" spans="1:10" ht="38.25" hidden="1" x14ac:dyDescent="0.25">
      <c r="A3215" s="219"/>
      <c r="B3215" s="237"/>
      <c r="C3215" s="36" t="s">
        <v>943</v>
      </c>
      <c r="D3215" s="47" t="s">
        <v>944</v>
      </c>
      <c r="E3215" s="37">
        <v>0.254</v>
      </c>
      <c r="F3215" s="31">
        <v>17.650999999999996</v>
      </c>
      <c r="G3215" s="34">
        <f t="shared" si="55"/>
        <v>4.4833539999999994</v>
      </c>
      <c r="H3215" s="35"/>
      <c r="I3215" s="31"/>
      <c r="J3215" s="102">
        <v>0</v>
      </c>
    </row>
    <row r="3216" spans="1:10" ht="25.5" hidden="1" x14ac:dyDescent="0.25">
      <c r="A3216" s="219"/>
      <c r="B3216" s="237"/>
      <c r="C3216" s="36" t="s">
        <v>945</v>
      </c>
      <c r="D3216" s="36" t="s">
        <v>120</v>
      </c>
      <c r="E3216" s="37">
        <v>1</v>
      </c>
      <c r="F3216" s="31">
        <v>1.9377719999999996</v>
      </c>
      <c r="G3216" s="34">
        <f t="shared" si="55"/>
        <v>1.9377719999999996</v>
      </c>
      <c r="H3216" s="35"/>
      <c r="I3216" s="31"/>
      <c r="J3216" s="102">
        <v>0</v>
      </c>
    </row>
    <row r="3217" spans="1:10" ht="15.75" hidden="1" thickBot="1" x14ac:dyDescent="0.3">
      <c r="A3217" s="220"/>
      <c r="B3217" s="223"/>
      <c r="C3217" s="36"/>
      <c r="D3217" s="36"/>
      <c r="E3217" s="37"/>
      <c r="F3217" s="31" t="s">
        <v>522</v>
      </c>
      <c r="G3217" s="34" t="str">
        <f t="shared" si="55"/>
        <v/>
      </c>
      <c r="H3217" s="35"/>
      <c r="I3217" s="31"/>
      <c r="J3217" s="102">
        <v>0</v>
      </c>
    </row>
    <row r="3218" spans="1:10" ht="15.75" hidden="1" thickBot="1" x14ac:dyDescent="0.3">
      <c r="A3218" s="218" t="s">
        <v>946</v>
      </c>
      <c r="B3218" s="221" t="e">
        <f>INDEX(#REF!,MATCH(Composições!A3218,#REF!,0),2)</f>
        <v>#REF!</v>
      </c>
      <c r="C3218" s="41"/>
      <c r="D3218" s="26" t="s">
        <v>109</v>
      </c>
      <c r="E3218" s="27"/>
      <c r="F3218" s="42" t="s">
        <v>522</v>
      </c>
      <c r="G3218" s="28" t="str">
        <f t="shared" si="55"/>
        <v/>
      </c>
      <c r="H3218" s="29"/>
      <c r="I3218" s="30"/>
      <c r="J3218" s="102">
        <v>0</v>
      </c>
    </row>
    <row r="3219" spans="1:10" hidden="1" x14ac:dyDescent="0.25">
      <c r="A3219" s="219"/>
      <c r="B3219" s="237"/>
      <c r="C3219" s="32"/>
      <c r="D3219" s="32"/>
      <c r="E3219" s="33"/>
      <c r="F3219" s="43" t="s">
        <v>522</v>
      </c>
      <c r="G3219" s="34" t="str">
        <f t="shared" si="55"/>
        <v/>
      </c>
      <c r="H3219" s="35"/>
      <c r="I3219" s="31"/>
      <c r="J3219" s="102">
        <v>0</v>
      </c>
    </row>
    <row r="3220" spans="1:10" ht="51" hidden="1" x14ac:dyDescent="0.25">
      <c r="A3220" s="219"/>
      <c r="B3220" s="237"/>
      <c r="C3220" s="36" t="s">
        <v>947</v>
      </c>
      <c r="D3220" s="47" t="s">
        <v>942</v>
      </c>
      <c r="E3220" s="37">
        <v>6.0000000000000001E-3</v>
      </c>
      <c r="F3220" s="31">
        <v>275.92749999999995</v>
      </c>
      <c r="G3220" s="34">
        <f t="shared" si="55"/>
        <v>1.6555649999999997</v>
      </c>
      <c r="H3220" s="39">
        <f>SUM(G3220:G3227)</f>
        <v>148.03098668750005</v>
      </c>
      <c r="I3220" s="40"/>
      <c r="J3220" s="102">
        <v>0</v>
      </c>
    </row>
    <row r="3221" spans="1:10" ht="51" hidden="1" x14ac:dyDescent="0.25">
      <c r="A3221" s="219"/>
      <c r="B3221" s="237"/>
      <c r="C3221" s="36" t="s">
        <v>948</v>
      </c>
      <c r="D3221" s="47" t="s">
        <v>944</v>
      </c>
      <c r="E3221" s="37">
        <v>3.0000000000000001E-3</v>
      </c>
      <c r="F3221" s="31">
        <v>45.533499999999997</v>
      </c>
      <c r="G3221" s="34">
        <f t="shared" si="55"/>
        <v>0.13660049999999999</v>
      </c>
      <c r="H3221" s="35"/>
      <c r="I3221" s="31"/>
      <c r="J3221" s="102">
        <v>0</v>
      </c>
    </row>
    <row r="3222" spans="1:10" ht="25.5" hidden="1" x14ac:dyDescent="0.25">
      <c r="A3222" s="219"/>
      <c r="B3222" s="237"/>
      <c r="C3222" s="36" t="s">
        <v>949</v>
      </c>
      <c r="D3222" s="47" t="s">
        <v>120</v>
      </c>
      <c r="E3222" s="37">
        <v>1.25</v>
      </c>
      <c r="F3222" s="31">
        <v>44.982500000000002</v>
      </c>
      <c r="G3222" s="34">
        <f t="shared" si="55"/>
        <v>56.228125000000006</v>
      </c>
      <c r="H3222" s="35"/>
      <c r="I3222" s="31"/>
      <c r="J3222" s="102">
        <v>0</v>
      </c>
    </row>
    <row r="3223" spans="1:10" hidden="1" x14ac:dyDescent="0.25">
      <c r="A3223" s="219"/>
      <c r="B3223" s="237"/>
      <c r="C3223" s="36" t="s">
        <v>704</v>
      </c>
      <c r="D3223" s="36" t="s">
        <v>703</v>
      </c>
      <c r="E3223" s="37">
        <v>0.65900000000000003</v>
      </c>
      <c r="F3223" s="31">
        <v>16.1785</v>
      </c>
      <c r="G3223" s="34">
        <f t="shared" si="55"/>
        <v>10.6616315</v>
      </c>
      <c r="H3223" s="35"/>
      <c r="I3223" s="31"/>
      <c r="J3223" s="102">
        <v>0</v>
      </c>
    </row>
    <row r="3224" spans="1:10" ht="38.25" hidden="1" x14ac:dyDescent="0.25">
      <c r="A3224" s="219"/>
      <c r="B3224" s="237"/>
      <c r="C3224" s="36" t="s">
        <v>941</v>
      </c>
      <c r="D3224" s="36" t="s">
        <v>942</v>
      </c>
      <c r="E3224" s="37">
        <v>0.27400000000000002</v>
      </c>
      <c r="F3224" s="31">
        <v>25.574000000000002</v>
      </c>
      <c r="G3224" s="34">
        <f t="shared" si="55"/>
        <v>7.0072760000000009</v>
      </c>
      <c r="H3224" s="35"/>
      <c r="I3224" s="31"/>
      <c r="J3224" s="102">
        <v>0</v>
      </c>
    </row>
    <row r="3225" spans="1:10" ht="38.25" hidden="1" x14ac:dyDescent="0.25">
      <c r="A3225" s="219"/>
      <c r="B3225" s="237"/>
      <c r="C3225" s="36" t="s">
        <v>943</v>
      </c>
      <c r="D3225" s="36" t="s">
        <v>944</v>
      </c>
      <c r="E3225" s="37">
        <v>0.254</v>
      </c>
      <c r="F3225" s="31">
        <v>17.650999999999996</v>
      </c>
      <c r="G3225" s="34">
        <f t="shared" si="55"/>
        <v>4.4833539999999994</v>
      </c>
      <c r="H3225" s="35"/>
      <c r="I3225" s="31"/>
      <c r="J3225" s="102">
        <v>0</v>
      </c>
    </row>
    <row r="3226" spans="1:10" ht="51" hidden="1" x14ac:dyDescent="0.25">
      <c r="A3226" s="219"/>
      <c r="B3226" s="237"/>
      <c r="C3226" s="36" t="s">
        <v>1914</v>
      </c>
      <c r="D3226" s="36" t="s">
        <v>109</v>
      </c>
      <c r="E3226" s="37">
        <f>E3222*1</f>
        <v>1.25</v>
      </c>
      <c r="F3226" s="34">
        <v>7.0254067499999993</v>
      </c>
      <c r="G3226" s="34">
        <f t="shared" si="55"/>
        <v>8.7817584374999988</v>
      </c>
      <c r="H3226" s="35"/>
      <c r="I3226" s="31"/>
      <c r="J3226" s="102">
        <v>0</v>
      </c>
    </row>
    <row r="3227" spans="1:10" ht="38.25" hidden="1" x14ac:dyDescent="0.25">
      <c r="A3227" s="219"/>
      <c r="B3227" s="237"/>
      <c r="C3227" s="36" t="s">
        <v>121</v>
      </c>
      <c r="D3227" s="47" t="s">
        <v>122</v>
      </c>
      <c r="E3227" s="37">
        <f>E3222*20</f>
        <v>25</v>
      </c>
      <c r="F3227" s="34">
        <v>2.3630670500000002</v>
      </c>
      <c r="G3227" s="34">
        <f t="shared" si="55"/>
        <v>59.076676250000006</v>
      </c>
      <c r="H3227" s="35"/>
      <c r="I3227" s="31"/>
      <c r="J3227" s="102">
        <v>0</v>
      </c>
    </row>
    <row r="3228" spans="1:10" hidden="1" x14ac:dyDescent="0.25">
      <c r="A3228" s="219"/>
      <c r="B3228" s="237"/>
      <c r="C3228" s="51"/>
      <c r="D3228" s="47"/>
      <c r="E3228" s="37"/>
      <c r="F3228" s="34" t="s">
        <v>522</v>
      </c>
      <c r="G3228" s="34" t="str">
        <f t="shared" si="55"/>
        <v/>
      </c>
      <c r="H3228" s="35"/>
      <c r="I3228" s="31"/>
      <c r="J3228" s="102">
        <v>0</v>
      </c>
    </row>
    <row r="3229" spans="1:10" ht="25.5" hidden="1" x14ac:dyDescent="0.25">
      <c r="A3229" s="219"/>
      <c r="B3229" s="237"/>
      <c r="C3229" s="48" t="s">
        <v>950</v>
      </c>
      <c r="D3229" s="47"/>
      <c r="E3229" s="37"/>
      <c r="F3229" s="34" t="s">
        <v>522</v>
      </c>
      <c r="G3229" s="34" t="str">
        <f t="shared" si="55"/>
        <v/>
      </c>
      <c r="H3229" s="35"/>
      <c r="I3229" s="31"/>
      <c r="J3229" s="102">
        <v>0</v>
      </c>
    </row>
    <row r="3230" spans="1:10" ht="15.75" hidden="1" thickBot="1" x14ac:dyDescent="0.3">
      <c r="A3230" s="220"/>
      <c r="B3230" s="223"/>
      <c r="C3230" s="36"/>
      <c r="D3230" s="36"/>
      <c r="E3230" s="37"/>
      <c r="F3230" s="31" t="s">
        <v>522</v>
      </c>
      <c r="G3230" s="31" t="str">
        <f t="shared" si="55"/>
        <v/>
      </c>
      <c r="H3230" s="35"/>
      <c r="I3230" s="31"/>
      <c r="J3230" s="102">
        <v>0</v>
      </c>
    </row>
    <row r="3231" spans="1:10" ht="15.75" hidden="1" thickBot="1" x14ac:dyDescent="0.3">
      <c r="A3231" s="218" t="s">
        <v>951</v>
      </c>
      <c r="B3231" s="221" t="e">
        <f>INDEX(#REF!,MATCH(Composições!A3231,#REF!,0),2)</f>
        <v>#REF!</v>
      </c>
      <c r="C3231" s="41"/>
      <c r="D3231" s="26" t="s">
        <v>93</v>
      </c>
      <c r="E3231" s="27"/>
      <c r="F3231" s="42" t="s">
        <v>522</v>
      </c>
      <c r="G3231" s="28" t="str">
        <f t="shared" si="55"/>
        <v/>
      </c>
      <c r="H3231" s="29"/>
      <c r="I3231" s="30"/>
      <c r="J3231" s="102">
        <v>0</v>
      </c>
    </row>
    <row r="3232" spans="1:10" hidden="1" x14ac:dyDescent="0.25">
      <c r="A3232" s="219"/>
      <c r="B3232" s="237"/>
      <c r="C3232" s="32"/>
      <c r="D3232" s="32"/>
      <c r="E3232" s="33"/>
      <c r="F3232" s="43" t="s">
        <v>522</v>
      </c>
      <c r="G3232" s="34" t="str">
        <f t="shared" si="55"/>
        <v/>
      </c>
      <c r="H3232" s="35"/>
      <c r="I3232" s="31"/>
      <c r="J3232" s="102">
        <v>0</v>
      </c>
    </row>
    <row r="3233" spans="1:10" ht="25.5" hidden="1" x14ac:dyDescent="0.25">
      <c r="A3233" s="219"/>
      <c r="B3233" s="237"/>
      <c r="C3233" s="36" t="s">
        <v>952</v>
      </c>
      <c r="D3233" s="36" t="s">
        <v>479</v>
      </c>
      <c r="E3233" s="37">
        <v>1.0210999999999999</v>
      </c>
      <c r="F3233" s="31">
        <v>57.721999999999994</v>
      </c>
      <c r="G3233" s="34">
        <f t="shared" si="55"/>
        <v>58.939934199999989</v>
      </c>
      <c r="H3233" s="39">
        <f>SUM(G3233:G3235)</f>
        <v>64.35037419999999</v>
      </c>
      <c r="I3233" s="40"/>
      <c r="J3233" s="102">
        <v>0</v>
      </c>
    </row>
    <row r="3234" spans="1:10" ht="25.5" hidden="1" x14ac:dyDescent="0.25">
      <c r="A3234" s="219"/>
      <c r="B3234" s="237"/>
      <c r="C3234" s="36" t="s">
        <v>953</v>
      </c>
      <c r="D3234" s="47" t="s">
        <v>703</v>
      </c>
      <c r="E3234" s="37">
        <v>0.14399999999999999</v>
      </c>
      <c r="F3234" s="31">
        <v>16.672499999999999</v>
      </c>
      <c r="G3234" s="34">
        <f t="shared" si="55"/>
        <v>2.4008399999999996</v>
      </c>
      <c r="H3234" s="35"/>
      <c r="I3234" s="31"/>
      <c r="J3234" s="102">
        <v>0</v>
      </c>
    </row>
    <row r="3235" spans="1:10" ht="25.5" hidden="1" x14ac:dyDescent="0.25">
      <c r="A3235" s="219"/>
      <c r="B3235" s="237"/>
      <c r="C3235" s="36" t="s">
        <v>954</v>
      </c>
      <c r="D3235" s="47" t="s">
        <v>703</v>
      </c>
      <c r="E3235" s="37">
        <v>0.14399999999999999</v>
      </c>
      <c r="F3235" s="31">
        <v>20.9</v>
      </c>
      <c r="G3235" s="34">
        <f t="shared" si="55"/>
        <v>3.0095999999999994</v>
      </c>
      <c r="H3235" s="35"/>
      <c r="I3235" s="31"/>
      <c r="J3235" s="102">
        <v>0</v>
      </c>
    </row>
    <row r="3236" spans="1:10" ht="15.75" hidden="1" thickBot="1" x14ac:dyDescent="0.3">
      <c r="A3236" s="220"/>
      <c r="B3236" s="223"/>
      <c r="C3236" s="36"/>
      <c r="D3236" s="36"/>
      <c r="E3236" s="37"/>
      <c r="F3236" s="31" t="s">
        <v>522</v>
      </c>
      <c r="G3236" s="34" t="str">
        <f t="shared" si="55"/>
        <v/>
      </c>
      <c r="H3236" s="35"/>
      <c r="I3236" s="31"/>
      <c r="J3236" s="102">
        <v>0</v>
      </c>
    </row>
    <row r="3237" spans="1:10" ht="15.75" hidden="1" thickBot="1" x14ac:dyDescent="0.3">
      <c r="A3237" s="218" t="s">
        <v>955</v>
      </c>
      <c r="B3237" s="221" t="e">
        <f>INDEX(#REF!,MATCH(Composições!A3237,#REF!,0),2)</f>
        <v>#REF!</v>
      </c>
      <c r="C3237" s="41"/>
      <c r="D3237" s="26" t="s">
        <v>93</v>
      </c>
      <c r="E3237" s="27"/>
      <c r="F3237" s="42" t="s">
        <v>522</v>
      </c>
      <c r="G3237" s="28" t="str">
        <f t="shared" si="55"/>
        <v/>
      </c>
      <c r="H3237" s="29"/>
      <c r="I3237" s="30"/>
      <c r="J3237" s="102">
        <v>0</v>
      </c>
    </row>
    <row r="3238" spans="1:10" hidden="1" x14ac:dyDescent="0.25">
      <c r="A3238" s="219"/>
      <c r="B3238" s="237"/>
      <c r="C3238" s="32"/>
      <c r="D3238" s="32"/>
      <c r="E3238" s="33"/>
      <c r="F3238" s="43" t="s">
        <v>522</v>
      </c>
      <c r="G3238" s="34" t="str">
        <f t="shared" si="55"/>
        <v/>
      </c>
      <c r="H3238" s="35"/>
      <c r="I3238" s="31"/>
      <c r="J3238" s="102">
        <v>0</v>
      </c>
    </row>
    <row r="3239" spans="1:10" ht="25.5" hidden="1" x14ac:dyDescent="0.25">
      <c r="A3239" s="219"/>
      <c r="B3239" s="237"/>
      <c r="C3239" s="36" t="s">
        <v>956</v>
      </c>
      <c r="D3239" s="36" t="s">
        <v>479</v>
      </c>
      <c r="E3239" s="37">
        <v>1.0210999999999999</v>
      </c>
      <c r="F3239" s="31">
        <v>73.254499999999993</v>
      </c>
      <c r="G3239" s="34">
        <f t="shared" si="55"/>
        <v>74.800169949999983</v>
      </c>
      <c r="H3239" s="39">
        <f>SUM(G3239:G3241)</f>
        <v>80.81176994999997</v>
      </c>
      <c r="I3239" s="40"/>
      <c r="J3239" s="102">
        <v>0</v>
      </c>
    </row>
    <row r="3240" spans="1:10" ht="25.5" hidden="1" x14ac:dyDescent="0.25">
      <c r="A3240" s="219"/>
      <c r="B3240" s="237"/>
      <c r="C3240" s="36" t="s">
        <v>953</v>
      </c>
      <c r="D3240" s="47" t="s">
        <v>703</v>
      </c>
      <c r="E3240" s="37">
        <v>0.16</v>
      </c>
      <c r="F3240" s="31">
        <v>16.672499999999999</v>
      </c>
      <c r="G3240" s="34">
        <f t="shared" si="55"/>
        <v>2.6675999999999997</v>
      </c>
      <c r="H3240" s="35"/>
      <c r="I3240" s="31"/>
      <c r="J3240" s="102">
        <v>0</v>
      </c>
    </row>
    <row r="3241" spans="1:10" ht="25.5" hidden="1" x14ac:dyDescent="0.25">
      <c r="A3241" s="219"/>
      <c r="B3241" s="237"/>
      <c r="C3241" s="36" t="s">
        <v>954</v>
      </c>
      <c r="D3241" s="47" t="s">
        <v>703</v>
      </c>
      <c r="E3241" s="37">
        <v>0.16</v>
      </c>
      <c r="F3241" s="31">
        <v>20.9</v>
      </c>
      <c r="G3241" s="34">
        <f t="shared" si="55"/>
        <v>3.3439999999999999</v>
      </c>
      <c r="H3241" s="35"/>
      <c r="I3241" s="31"/>
      <c r="J3241" s="102">
        <v>0</v>
      </c>
    </row>
    <row r="3242" spans="1:10" ht="15.75" hidden="1" thickBot="1" x14ac:dyDescent="0.3">
      <c r="A3242" s="220"/>
      <c r="B3242" s="223"/>
      <c r="C3242" s="36"/>
      <c r="D3242" s="36"/>
      <c r="E3242" s="37"/>
      <c r="F3242" s="31" t="s">
        <v>522</v>
      </c>
      <c r="G3242" s="34" t="str">
        <f t="shared" si="55"/>
        <v/>
      </c>
      <c r="H3242" s="35"/>
      <c r="I3242" s="31"/>
      <c r="J3242" s="102">
        <v>0</v>
      </c>
    </row>
    <row r="3243" spans="1:10" ht="15.75" hidden="1" thickBot="1" x14ac:dyDescent="0.3">
      <c r="A3243" s="218" t="s">
        <v>957</v>
      </c>
      <c r="B3243" s="221" t="e">
        <f>INDEX(#REF!,MATCH(Composições!A3243,#REF!,0),2)</f>
        <v>#REF!</v>
      </c>
      <c r="C3243" s="41"/>
      <c r="D3243" s="26" t="s">
        <v>93</v>
      </c>
      <c r="E3243" s="27"/>
      <c r="F3243" s="42" t="s">
        <v>522</v>
      </c>
      <c r="G3243" s="28" t="str">
        <f t="shared" si="55"/>
        <v/>
      </c>
      <c r="H3243" s="29"/>
      <c r="I3243" s="30"/>
      <c r="J3243" s="102">
        <v>0</v>
      </c>
    </row>
    <row r="3244" spans="1:10" hidden="1" x14ac:dyDescent="0.25">
      <c r="A3244" s="219"/>
      <c r="B3244" s="237"/>
      <c r="C3244" s="32"/>
      <c r="D3244" s="32"/>
      <c r="E3244" s="33"/>
      <c r="F3244" s="43" t="s">
        <v>522</v>
      </c>
      <c r="G3244" s="34" t="str">
        <f t="shared" si="55"/>
        <v/>
      </c>
      <c r="H3244" s="35"/>
      <c r="I3244" s="31"/>
      <c r="J3244" s="102">
        <v>0</v>
      </c>
    </row>
    <row r="3245" spans="1:10" ht="25.5" hidden="1" x14ac:dyDescent="0.25">
      <c r="A3245" s="219"/>
      <c r="B3245" s="237"/>
      <c r="C3245" s="36" t="s">
        <v>958</v>
      </c>
      <c r="D3245" s="47" t="s">
        <v>479</v>
      </c>
      <c r="E3245" s="37">
        <v>1.0210999999999999</v>
      </c>
      <c r="F3245" s="31">
        <v>143.65899999999999</v>
      </c>
      <c r="G3245" s="34">
        <f t="shared" si="55"/>
        <v>146.69020489999997</v>
      </c>
      <c r="H3245" s="39">
        <f>SUM(G3245:G3247)</f>
        <v>149.54571489999998</v>
      </c>
      <c r="I3245" s="40"/>
      <c r="J3245" s="102">
        <v>0</v>
      </c>
    </row>
    <row r="3246" spans="1:10" ht="25.5" hidden="1" x14ac:dyDescent="0.25">
      <c r="A3246" s="219"/>
      <c r="B3246" s="237"/>
      <c r="C3246" s="36" t="s">
        <v>953</v>
      </c>
      <c r="D3246" s="47" t="s">
        <v>703</v>
      </c>
      <c r="E3246" s="37">
        <v>7.5999999999999998E-2</v>
      </c>
      <c r="F3246" s="31">
        <v>16.672499999999999</v>
      </c>
      <c r="G3246" s="34">
        <f t="shared" si="55"/>
        <v>1.26711</v>
      </c>
      <c r="H3246" s="35"/>
      <c r="I3246" s="31"/>
      <c r="J3246" s="102">
        <v>0</v>
      </c>
    </row>
    <row r="3247" spans="1:10" ht="25.5" hidden="1" x14ac:dyDescent="0.25">
      <c r="A3247" s="219"/>
      <c r="B3247" s="237"/>
      <c r="C3247" s="36" t="s">
        <v>954</v>
      </c>
      <c r="D3247" s="47" t="s">
        <v>703</v>
      </c>
      <c r="E3247" s="37">
        <v>7.5999999999999998E-2</v>
      </c>
      <c r="F3247" s="31">
        <v>20.9</v>
      </c>
      <c r="G3247" s="34">
        <f t="shared" si="55"/>
        <v>1.5883999999999998</v>
      </c>
      <c r="H3247" s="35"/>
      <c r="I3247" s="31"/>
      <c r="J3247" s="102">
        <v>0</v>
      </c>
    </row>
    <row r="3248" spans="1:10" ht="15.75" hidden="1" thickBot="1" x14ac:dyDescent="0.3">
      <c r="A3248" s="220"/>
      <c r="B3248" s="223"/>
      <c r="C3248" s="36"/>
      <c r="D3248" s="36"/>
      <c r="E3248" s="37"/>
      <c r="F3248" s="31" t="s">
        <v>522</v>
      </c>
      <c r="G3248" s="34" t="str">
        <f t="shared" si="55"/>
        <v/>
      </c>
      <c r="H3248" s="35"/>
      <c r="I3248" s="31"/>
      <c r="J3248" s="102">
        <v>0</v>
      </c>
    </row>
    <row r="3249" spans="1:10" ht="15.75" hidden="1" thickBot="1" x14ac:dyDescent="0.3">
      <c r="A3249" s="218" t="s">
        <v>959</v>
      </c>
      <c r="B3249" s="221" t="e">
        <f>INDEX(#REF!,MATCH(Composições!A3249,#REF!,0),2)</f>
        <v>#REF!</v>
      </c>
      <c r="C3249" s="41"/>
      <c r="D3249" s="26" t="s">
        <v>20</v>
      </c>
      <c r="E3249" s="27"/>
      <c r="F3249" s="42" t="s">
        <v>522</v>
      </c>
      <c r="G3249" s="28" t="str">
        <f t="shared" ref="G3249:G3312" si="56">IF(ISNUMBER(F3249),E3249*F3249,"")</f>
        <v/>
      </c>
      <c r="H3249" s="29"/>
      <c r="I3249" s="30"/>
      <c r="J3249" s="102">
        <v>0</v>
      </c>
    </row>
    <row r="3250" spans="1:10" hidden="1" x14ac:dyDescent="0.25">
      <c r="A3250" s="219"/>
      <c r="B3250" s="237"/>
      <c r="C3250" s="32"/>
      <c r="D3250" s="32"/>
      <c r="E3250" s="33"/>
      <c r="F3250" s="43" t="s">
        <v>522</v>
      </c>
      <c r="G3250" s="34" t="str">
        <f t="shared" si="56"/>
        <v/>
      </c>
      <c r="H3250" s="35"/>
      <c r="I3250" s="31"/>
      <c r="J3250" s="102">
        <v>0</v>
      </c>
    </row>
    <row r="3251" spans="1:10" ht="38.25" hidden="1" x14ac:dyDescent="0.25">
      <c r="A3251" s="219"/>
      <c r="B3251" s="237"/>
      <c r="C3251" s="36" t="s">
        <v>960</v>
      </c>
      <c r="D3251" s="47" t="s">
        <v>279</v>
      </c>
      <c r="E3251" s="37">
        <v>2</v>
      </c>
      <c r="F3251" s="31">
        <v>22.106499999999997</v>
      </c>
      <c r="G3251" s="34">
        <f t="shared" si="56"/>
        <v>44.212999999999994</v>
      </c>
      <c r="H3251" s="39">
        <f>SUM(G3251:G3257)</f>
        <v>568.56779709999989</v>
      </c>
      <c r="I3251" s="40"/>
      <c r="J3251" s="102">
        <v>0</v>
      </c>
    </row>
    <row r="3252" spans="1:10" ht="25.5" hidden="1" x14ac:dyDescent="0.25">
      <c r="A3252" s="219"/>
      <c r="B3252" s="237"/>
      <c r="C3252" s="36" t="s">
        <v>2377</v>
      </c>
      <c r="D3252" s="47" t="s">
        <v>279</v>
      </c>
      <c r="E3252" s="37">
        <v>1</v>
      </c>
      <c r="F3252" s="31">
        <v>10.849</v>
      </c>
      <c r="G3252" s="34">
        <f t="shared" si="56"/>
        <v>10.849</v>
      </c>
      <c r="H3252" s="35"/>
      <c r="I3252" s="31"/>
      <c r="J3252" s="102">
        <v>0</v>
      </c>
    </row>
    <row r="3253" spans="1:10" ht="25.5" hidden="1" x14ac:dyDescent="0.25">
      <c r="A3253" s="219"/>
      <c r="B3253" s="237"/>
      <c r="C3253" s="36" t="s">
        <v>2392</v>
      </c>
      <c r="D3253" s="47" t="s">
        <v>279</v>
      </c>
      <c r="E3253" s="37">
        <v>1</v>
      </c>
      <c r="F3253" s="31">
        <v>475.209</v>
      </c>
      <c r="G3253" s="34">
        <f t="shared" si="56"/>
        <v>475.209</v>
      </c>
      <c r="H3253" s="35"/>
      <c r="I3253" s="31"/>
      <c r="J3253" s="102">
        <v>0</v>
      </c>
    </row>
    <row r="3254" spans="1:10" hidden="1" x14ac:dyDescent="0.25">
      <c r="A3254" s="219"/>
      <c r="B3254" s="237"/>
      <c r="C3254" s="36" t="s">
        <v>1920</v>
      </c>
      <c r="D3254" s="47" t="s">
        <v>898</v>
      </c>
      <c r="E3254" s="37">
        <v>8.8099999999999998E-2</v>
      </c>
      <c r="F3254" s="31">
        <v>58.738499999999995</v>
      </c>
      <c r="G3254" s="34">
        <f t="shared" si="56"/>
        <v>5.1748618499999992</v>
      </c>
      <c r="H3254" s="35"/>
      <c r="I3254" s="31"/>
      <c r="J3254" s="102">
        <v>0</v>
      </c>
    </row>
    <row r="3255" spans="1:10" ht="25.5" hidden="1" x14ac:dyDescent="0.25">
      <c r="A3255" s="219"/>
      <c r="B3255" s="237"/>
      <c r="C3255" s="36" t="s">
        <v>954</v>
      </c>
      <c r="D3255" s="47" t="s">
        <v>703</v>
      </c>
      <c r="E3255" s="37">
        <v>1.1539999999999999</v>
      </c>
      <c r="F3255" s="31">
        <v>20.9</v>
      </c>
      <c r="G3255" s="34">
        <f t="shared" si="56"/>
        <v>24.118599999999997</v>
      </c>
      <c r="H3255" s="35"/>
      <c r="I3255" s="31"/>
      <c r="J3255" s="102">
        <v>0</v>
      </c>
    </row>
    <row r="3256" spans="1:10" hidden="1" x14ac:dyDescent="0.25">
      <c r="A3256" s="219"/>
      <c r="B3256" s="237"/>
      <c r="C3256" s="36" t="s">
        <v>704</v>
      </c>
      <c r="D3256" s="47" t="s">
        <v>703</v>
      </c>
      <c r="E3256" s="37">
        <v>0.55649999999999999</v>
      </c>
      <c r="F3256" s="31">
        <v>16.1785</v>
      </c>
      <c r="G3256" s="34">
        <f t="shared" si="56"/>
        <v>9.0033352499999992</v>
      </c>
      <c r="H3256" s="35"/>
      <c r="I3256" s="31"/>
      <c r="J3256" s="102">
        <v>0</v>
      </c>
    </row>
    <row r="3257" spans="1:10" ht="25.5" hidden="1" x14ac:dyDescent="0.25">
      <c r="A3257" s="219"/>
      <c r="B3257" s="237"/>
      <c r="C3257" s="36" t="s">
        <v>302</v>
      </c>
      <c r="D3257" s="36" t="s">
        <v>20</v>
      </c>
      <c r="E3257" s="37">
        <v>1</v>
      </c>
      <c r="F3257" s="34" t="s">
        <v>522</v>
      </c>
      <c r="G3257" s="34" t="str">
        <f t="shared" si="56"/>
        <v/>
      </c>
      <c r="H3257" s="35"/>
      <c r="I3257" s="31"/>
      <c r="J3257" s="102">
        <v>0</v>
      </c>
    </row>
    <row r="3258" spans="1:10" ht="15.75" hidden="1" thickBot="1" x14ac:dyDescent="0.3">
      <c r="A3258" s="220"/>
      <c r="B3258" s="223"/>
      <c r="C3258" s="36"/>
      <c r="D3258" s="36"/>
      <c r="E3258" s="37"/>
      <c r="F3258" s="31" t="s">
        <v>522</v>
      </c>
      <c r="G3258" s="34" t="str">
        <f t="shared" si="56"/>
        <v/>
      </c>
      <c r="H3258" s="35"/>
      <c r="I3258" s="31"/>
      <c r="J3258" s="102">
        <v>0</v>
      </c>
    </row>
    <row r="3259" spans="1:10" ht="15.75" hidden="1" thickBot="1" x14ac:dyDescent="0.3">
      <c r="A3259" s="218" t="s">
        <v>961</v>
      </c>
      <c r="B3259" s="221" t="e">
        <f>INDEX(#REF!,MATCH(Composições!A3259,#REF!,0),2)</f>
        <v>#REF!</v>
      </c>
      <c r="C3259" s="41"/>
      <c r="D3259" s="26" t="s">
        <v>20</v>
      </c>
      <c r="E3259" s="27"/>
      <c r="F3259" s="42" t="s">
        <v>522</v>
      </c>
      <c r="G3259" s="28" t="str">
        <f t="shared" si="56"/>
        <v/>
      </c>
      <c r="H3259" s="29"/>
      <c r="I3259" s="30"/>
      <c r="J3259" s="102">
        <v>0</v>
      </c>
    </row>
    <row r="3260" spans="1:10" hidden="1" x14ac:dyDescent="0.25">
      <c r="A3260" s="219"/>
      <c r="B3260" s="237"/>
      <c r="C3260" s="32"/>
      <c r="D3260" s="32"/>
      <c r="E3260" s="33"/>
      <c r="F3260" s="43" t="s">
        <v>522</v>
      </c>
      <c r="G3260" s="34" t="str">
        <f t="shared" si="56"/>
        <v/>
      </c>
      <c r="H3260" s="35"/>
      <c r="I3260" s="31"/>
      <c r="J3260" s="102">
        <v>0</v>
      </c>
    </row>
    <row r="3261" spans="1:10" ht="25.5" hidden="1" x14ac:dyDescent="0.25">
      <c r="A3261" s="219"/>
      <c r="B3261" s="237"/>
      <c r="C3261" s="36" t="s">
        <v>962</v>
      </c>
      <c r="D3261" s="47" t="s">
        <v>144</v>
      </c>
      <c r="E3261" s="37">
        <v>1</v>
      </c>
      <c r="F3261" s="31" t="s">
        <v>522</v>
      </c>
      <c r="G3261" s="34" t="str">
        <f t="shared" si="56"/>
        <v/>
      </c>
      <c r="H3261" s="39">
        <f>SUM(G3261:G3262)</f>
        <v>1.61785</v>
      </c>
      <c r="I3261" s="40"/>
      <c r="J3261" s="102">
        <v>0</v>
      </c>
    </row>
    <row r="3262" spans="1:10" hidden="1" x14ac:dyDescent="0.25">
      <c r="A3262" s="219"/>
      <c r="B3262" s="237"/>
      <c r="C3262" s="36" t="s">
        <v>963</v>
      </c>
      <c r="D3262" s="47" t="s">
        <v>12</v>
      </c>
      <c r="E3262" s="37">
        <v>0.1</v>
      </c>
      <c r="F3262" s="31">
        <v>16.1785</v>
      </c>
      <c r="G3262" s="34">
        <f t="shared" si="56"/>
        <v>1.61785</v>
      </c>
      <c r="H3262" s="35"/>
      <c r="I3262" s="31"/>
      <c r="J3262" s="102">
        <v>0</v>
      </c>
    </row>
    <row r="3263" spans="1:10" ht="15.75" hidden="1" thickBot="1" x14ac:dyDescent="0.3">
      <c r="A3263" s="220"/>
      <c r="B3263" s="223"/>
      <c r="C3263" s="36"/>
      <c r="D3263" s="36"/>
      <c r="E3263" s="37"/>
      <c r="F3263" s="31" t="s">
        <v>522</v>
      </c>
      <c r="G3263" s="34" t="str">
        <f t="shared" si="56"/>
        <v/>
      </c>
      <c r="H3263" s="35"/>
      <c r="I3263" s="31"/>
      <c r="J3263" s="102">
        <v>0</v>
      </c>
    </row>
    <row r="3264" spans="1:10" ht="15.75" hidden="1" thickBot="1" x14ac:dyDescent="0.3">
      <c r="A3264" s="218" t="s">
        <v>964</v>
      </c>
      <c r="B3264" s="221" t="e">
        <f>INDEX(#REF!,MATCH(Composições!A3264,#REF!,0),2)</f>
        <v>#REF!</v>
      </c>
      <c r="C3264" s="41"/>
      <c r="D3264" s="26" t="s">
        <v>20</v>
      </c>
      <c r="E3264" s="27"/>
      <c r="F3264" s="42" t="s">
        <v>522</v>
      </c>
      <c r="G3264" s="28" t="str">
        <f t="shared" si="56"/>
        <v/>
      </c>
      <c r="H3264" s="29"/>
      <c r="I3264" s="30"/>
      <c r="J3264" s="102">
        <v>0</v>
      </c>
    </row>
    <row r="3265" spans="1:10" hidden="1" x14ac:dyDescent="0.25">
      <c r="A3265" s="219"/>
      <c r="B3265" s="237"/>
      <c r="C3265" s="32"/>
      <c r="D3265" s="32"/>
      <c r="E3265" s="33"/>
      <c r="F3265" s="43" t="s">
        <v>522</v>
      </c>
      <c r="G3265" s="34" t="str">
        <f t="shared" si="56"/>
        <v/>
      </c>
      <c r="H3265" s="35"/>
      <c r="I3265" s="31"/>
      <c r="J3265" s="102">
        <v>0</v>
      </c>
    </row>
    <row r="3266" spans="1:10" ht="25.5" hidden="1" x14ac:dyDescent="0.25">
      <c r="A3266" s="219"/>
      <c r="B3266" s="237"/>
      <c r="C3266" s="36" t="s">
        <v>965</v>
      </c>
      <c r="D3266" s="47" t="s">
        <v>144</v>
      </c>
      <c r="E3266" s="37">
        <v>1</v>
      </c>
      <c r="F3266" s="31" t="s">
        <v>522</v>
      </c>
      <c r="G3266" s="34" t="str">
        <f t="shared" si="56"/>
        <v/>
      </c>
      <c r="H3266" s="39">
        <f>SUM(G3266:G3269)</f>
        <v>10.142362449999998</v>
      </c>
      <c r="I3266" s="40"/>
      <c r="J3266" s="102">
        <v>0</v>
      </c>
    </row>
    <row r="3267" spans="1:10" hidden="1" x14ac:dyDescent="0.25">
      <c r="A3267" s="219"/>
      <c r="B3267" s="237"/>
      <c r="C3267" s="36" t="s">
        <v>318</v>
      </c>
      <c r="D3267" s="47" t="s">
        <v>279</v>
      </c>
      <c r="E3267" s="37">
        <v>1.9199999999999998E-2</v>
      </c>
      <c r="F3267" s="31">
        <v>12.995999999999999</v>
      </c>
      <c r="G3267" s="34">
        <f t="shared" si="56"/>
        <v>0.24952319999999995</v>
      </c>
      <c r="H3267" s="35"/>
      <c r="I3267" s="31"/>
      <c r="J3267" s="102">
        <v>0</v>
      </c>
    </row>
    <row r="3268" spans="1:10" hidden="1" x14ac:dyDescent="0.25">
      <c r="A3268" s="219"/>
      <c r="B3268" s="237"/>
      <c r="C3268" s="36" t="s">
        <v>39</v>
      </c>
      <c r="D3268" s="47" t="s">
        <v>12</v>
      </c>
      <c r="E3268" s="37">
        <v>0.26329999999999998</v>
      </c>
      <c r="F3268" s="31">
        <v>20.9</v>
      </c>
      <c r="G3268" s="34">
        <f t="shared" si="56"/>
        <v>5.5029699999999995</v>
      </c>
      <c r="H3268" s="35"/>
      <c r="I3268" s="31"/>
      <c r="J3268" s="102">
        <v>0</v>
      </c>
    </row>
    <row r="3269" spans="1:10" ht="25.5" hidden="1" x14ac:dyDescent="0.25">
      <c r="A3269" s="219"/>
      <c r="B3269" s="237"/>
      <c r="C3269" s="36" t="s">
        <v>953</v>
      </c>
      <c r="D3269" s="36" t="s">
        <v>12</v>
      </c>
      <c r="E3269" s="37">
        <v>0.26329999999999998</v>
      </c>
      <c r="F3269" s="31">
        <v>16.672499999999999</v>
      </c>
      <c r="G3269" s="34">
        <f t="shared" si="56"/>
        <v>4.3898692499999994</v>
      </c>
      <c r="H3269" s="35"/>
      <c r="I3269" s="31"/>
      <c r="J3269" s="102">
        <v>0</v>
      </c>
    </row>
    <row r="3270" spans="1:10" ht="15.75" hidden="1" thickBot="1" x14ac:dyDescent="0.3">
      <c r="A3270" s="220"/>
      <c r="B3270" s="223"/>
      <c r="C3270" s="36"/>
      <c r="D3270" s="36"/>
      <c r="E3270" s="37"/>
      <c r="F3270" s="31" t="s">
        <v>522</v>
      </c>
      <c r="G3270" s="34" t="str">
        <f t="shared" si="56"/>
        <v/>
      </c>
      <c r="H3270" s="35"/>
      <c r="I3270" s="31"/>
      <c r="J3270" s="102">
        <v>0</v>
      </c>
    </row>
    <row r="3271" spans="1:10" ht="15.75" hidden="1" thickBot="1" x14ac:dyDescent="0.3">
      <c r="A3271" s="218" t="s">
        <v>966</v>
      </c>
      <c r="B3271" s="221" t="e">
        <f>INDEX(#REF!,MATCH(Composições!A3271,#REF!,0),2)</f>
        <v>#REF!</v>
      </c>
      <c r="C3271" s="41"/>
      <c r="D3271" s="26" t="s">
        <v>93</v>
      </c>
      <c r="E3271" s="27"/>
      <c r="F3271" s="42" t="s">
        <v>522</v>
      </c>
      <c r="G3271" s="28" t="str">
        <f t="shared" si="56"/>
        <v/>
      </c>
      <c r="H3271" s="29"/>
      <c r="I3271" s="30"/>
      <c r="J3271" s="102">
        <v>0</v>
      </c>
    </row>
    <row r="3272" spans="1:10" hidden="1" x14ac:dyDescent="0.25">
      <c r="A3272" s="219"/>
      <c r="B3272" s="237"/>
      <c r="C3272" s="32"/>
      <c r="D3272" s="32"/>
      <c r="E3272" s="33"/>
      <c r="F3272" s="43" t="s">
        <v>522</v>
      </c>
      <c r="G3272" s="34" t="str">
        <f t="shared" si="56"/>
        <v/>
      </c>
      <c r="H3272" s="35"/>
      <c r="I3272" s="31"/>
      <c r="J3272" s="102">
        <v>0</v>
      </c>
    </row>
    <row r="3273" spans="1:10" hidden="1" x14ac:dyDescent="0.25">
      <c r="A3273" s="219"/>
      <c r="B3273" s="237"/>
      <c r="C3273" s="36" t="s">
        <v>967</v>
      </c>
      <c r="D3273" s="36" t="s">
        <v>93</v>
      </c>
      <c r="E3273" s="37">
        <v>1.0149999999999999</v>
      </c>
      <c r="F3273" s="31">
        <v>0.95</v>
      </c>
      <c r="G3273" s="34">
        <f t="shared" si="56"/>
        <v>0.96424999999999983</v>
      </c>
      <c r="H3273" s="39">
        <f>SUM(G3273:G3276)</f>
        <v>3.4731429999999999</v>
      </c>
      <c r="I3273" s="40"/>
      <c r="J3273" s="102">
        <v>0</v>
      </c>
    </row>
    <row r="3274" spans="1:10" hidden="1" x14ac:dyDescent="0.25">
      <c r="A3274" s="219"/>
      <c r="B3274" s="237"/>
      <c r="C3274" s="36" t="s">
        <v>554</v>
      </c>
      <c r="D3274" s="47" t="s">
        <v>279</v>
      </c>
      <c r="E3274" s="37">
        <v>8.9999999999999993E-3</v>
      </c>
      <c r="F3274" s="31">
        <v>3.4769999999999999</v>
      </c>
      <c r="G3274" s="34">
        <f t="shared" si="56"/>
        <v>3.1292999999999994E-2</v>
      </c>
      <c r="H3274" s="35"/>
      <c r="I3274" s="31"/>
      <c r="J3274" s="102">
        <v>0</v>
      </c>
    </row>
    <row r="3275" spans="1:10" hidden="1" x14ac:dyDescent="0.25">
      <c r="A3275" s="219"/>
      <c r="B3275" s="237"/>
      <c r="C3275" s="36" t="s">
        <v>74</v>
      </c>
      <c r="D3275" s="36" t="s">
        <v>12</v>
      </c>
      <c r="E3275" s="37">
        <v>6.4000000000000001E-2</v>
      </c>
      <c r="F3275" s="31">
        <v>17.024000000000001</v>
      </c>
      <c r="G3275" s="34">
        <f t="shared" si="56"/>
        <v>1.0895360000000001</v>
      </c>
      <c r="H3275" s="35"/>
      <c r="I3275" s="31"/>
      <c r="J3275" s="102">
        <v>0</v>
      </c>
    </row>
    <row r="3276" spans="1:10" hidden="1" x14ac:dyDescent="0.25">
      <c r="A3276" s="219"/>
      <c r="B3276" s="237"/>
      <c r="C3276" s="36" t="s">
        <v>30</v>
      </c>
      <c r="D3276" s="36" t="s">
        <v>12</v>
      </c>
      <c r="E3276" s="37">
        <v>6.4000000000000001E-2</v>
      </c>
      <c r="F3276" s="31">
        <v>21.688499999999998</v>
      </c>
      <c r="G3276" s="34">
        <f t="shared" si="56"/>
        <v>1.388064</v>
      </c>
      <c r="H3276" s="35"/>
      <c r="I3276" s="31"/>
      <c r="J3276" s="102">
        <v>0</v>
      </c>
    </row>
    <row r="3277" spans="1:10" ht="15.75" hidden="1" thickBot="1" x14ac:dyDescent="0.3">
      <c r="A3277" s="220"/>
      <c r="B3277" s="223"/>
      <c r="C3277" s="36"/>
      <c r="D3277" s="36"/>
      <c r="E3277" s="37"/>
      <c r="F3277" s="31" t="s">
        <v>522</v>
      </c>
      <c r="G3277" s="34" t="str">
        <f t="shared" si="56"/>
        <v/>
      </c>
      <c r="H3277" s="35"/>
      <c r="I3277" s="31"/>
      <c r="J3277" s="102">
        <v>0</v>
      </c>
    </row>
    <row r="3278" spans="1:10" ht="15.75" hidden="1" thickBot="1" x14ac:dyDescent="0.3">
      <c r="A3278" s="218" t="s">
        <v>968</v>
      </c>
      <c r="B3278" s="221" t="e">
        <f>INDEX(#REF!,MATCH(Composições!A3278,#REF!,0),2)</f>
        <v>#REF!</v>
      </c>
      <c r="C3278" s="41"/>
      <c r="D3278" s="26" t="s">
        <v>93</v>
      </c>
      <c r="E3278" s="27"/>
      <c r="F3278" s="42" t="s">
        <v>522</v>
      </c>
      <c r="G3278" s="28" t="str">
        <f t="shared" si="56"/>
        <v/>
      </c>
      <c r="H3278" s="29"/>
      <c r="I3278" s="30"/>
      <c r="J3278" s="102">
        <v>0</v>
      </c>
    </row>
    <row r="3279" spans="1:10" hidden="1" x14ac:dyDescent="0.25">
      <c r="A3279" s="219"/>
      <c r="B3279" s="237"/>
      <c r="C3279" s="32"/>
      <c r="D3279" s="32"/>
      <c r="E3279" s="33"/>
      <c r="F3279" s="43" t="s">
        <v>522</v>
      </c>
      <c r="G3279" s="34" t="str">
        <f t="shared" si="56"/>
        <v/>
      </c>
      <c r="H3279" s="35"/>
      <c r="I3279" s="31"/>
      <c r="J3279" s="102">
        <v>0</v>
      </c>
    </row>
    <row r="3280" spans="1:10" hidden="1" x14ac:dyDescent="0.25">
      <c r="A3280" s="219"/>
      <c r="B3280" s="237"/>
      <c r="C3280" s="36" t="s">
        <v>969</v>
      </c>
      <c r="D3280" s="36" t="s">
        <v>93</v>
      </c>
      <c r="E3280" s="37">
        <v>1.0149999999999999</v>
      </c>
      <c r="F3280" s="31">
        <v>0.95</v>
      </c>
      <c r="G3280" s="34">
        <f t="shared" si="56"/>
        <v>0.96424999999999983</v>
      </c>
      <c r="H3280" s="39">
        <f>SUM(G3280:G3283)</f>
        <v>3.8215554999999997</v>
      </c>
      <c r="I3280" s="40"/>
      <c r="J3280" s="102">
        <v>0</v>
      </c>
    </row>
    <row r="3281" spans="1:10" hidden="1" x14ac:dyDescent="0.25">
      <c r="A3281" s="219"/>
      <c r="B3281" s="237"/>
      <c r="C3281" s="36" t="s">
        <v>554</v>
      </c>
      <c r="D3281" s="47" t="s">
        <v>279</v>
      </c>
      <c r="E3281" s="37">
        <v>8.9999999999999993E-3</v>
      </c>
      <c r="F3281" s="31">
        <v>3.4769999999999999</v>
      </c>
      <c r="G3281" s="34">
        <f t="shared" si="56"/>
        <v>3.1292999999999994E-2</v>
      </c>
      <c r="H3281" s="35"/>
      <c r="I3281" s="31"/>
      <c r="J3281" s="102">
        <v>0</v>
      </c>
    </row>
    <row r="3282" spans="1:10" hidden="1" x14ac:dyDescent="0.25">
      <c r="A3282" s="219"/>
      <c r="B3282" s="237"/>
      <c r="C3282" s="36" t="s">
        <v>74</v>
      </c>
      <c r="D3282" s="36" t="s">
        <v>12</v>
      </c>
      <c r="E3282" s="37">
        <v>7.2999999999999995E-2</v>
      </c>
      <c r="F3282" s="31">
        <v>17.024000000000001</v>
      </c>
      <c r="G3282" s="34">
        <f t="shared" si="56"/>
        <v>1.2427520000000001</v>
      </c>
      <c r="H3282" s="35"/>
      <c r="I3282" s="31"/>
      <c r="J3282" s="102">
        <v>0</v>
      </c>
    </row>
    <row r="3283" spans="1:10" hidden="1" x14ac:dyDescent="0.25">
      <c r="A3283" s="219"/>
      <c r="B3283" s="237"/>
      <c r="C3283" s="36" t="s">
        <v>30</v>
      </c>
      <c r="D3283" s="36" t="s">
        <v>12</v>
      </c>
      <c r="E3283" s="37">
        <v>7.2999999999999995E-2</v>
      </c>
      <c r="F3283" s="31">
        <v>21.688499999999998</v>
      </c>
      <c r="G3283" s="34">
        <f t="shared" si="56"/>
        <v>1.5832604999999997</v>
      </c>
      <c r="H3283" s="35"/>
      <c r="I3283" s="31"/>
      <c r="J3283" s="102">
        <v>0</v>
      </c>
    </row>
    <row r="3284" spans="1:10" ht="15.75" hidden="1" thickBot="1" x14ac:dyDescent="0.3">
      <c r="A3284" s="220"/>
      <c r="B3284" s="223"/>
      <c r="C3284" s="36"/>
      <c r="D3284" s="36"/>
      <c r="E3284" s="37"/>
      <c r="F3284" s="31" t="s">
        <v>522</v>
      </c>
      <c r="G3284" s="34" t="str">
        <f t="shared" si="56"/>
        <v/>
      </c>
      <c r="H3284" s="35"/>
      <c r="I3284" s="31"/>
      <c r="J3284" s="102">
        <v>0</v>
      </c>
    </row>
    <row r="3285" spans="1:10" ht="15.75" hidden="1" thickBot="1" x14ac:dyDescent="0.3">
      <c r="A3285" s="218" t="s">
        <v>970</v>
      </c>
      <c r="B3285" s="221" t="e">
        <f>INDEX(#REF!,MATCH(Composições!A3285,#REF!,0),2)</f>
        <v>#REF!</v>
      </c>
      <c r="C3285" s="41"/>
      <c r="D3285" s="26" t="s">
        <v>93</v>
      </c>
      <c r="E3285" s="27"/>
      <c r="F3285" s="42" t="s">
        <v>522</v>
      </c>
      <c r="G3285" s="28" t="str">
        <f t="shared" si="56"/>
        <v/>
      </c>
      <c r="H3285" s="29"/>
      <c r="I3285" s="30"/>
      <c r="J3285" s="102">
        <v>0</v>
      </c>
    </row>
    <row r="3286" spans="1:10" hidden="1" x14ac:dyDescent="0.25">
      <c r="A3286" s="219"/>
      <c r="B3286" s="237"/>
      <c r="C3286" s="32"/>
      <c r="D3286" s="32"/>
      <c r="E3286" s="33"/>
      <c r="F3286" s="43" t="s">
        <v>522</v>
      </c>
      <c r="G3286" s="34" t="str">
        <f t="shared" si="56"/>
        <v/>
      </c>
      <c r="H3286" s="35"/>
      <c r="I3286" s="31"/>
      <c r="J3286" s="102">
        <v>0</v>
      </c>
    </row>
    <row r="3287" spans="1:10" hidden="1" x14ac:dyDescent="0.25">
      <c r="A3287" s="219"/>
      <c r="B3287" s="237"/>
      <c r="C3287" s="36" t="s">
        <v>971</v>
      </c>
      <c r="D3287" s="36" t="s">
        <v>93</v>
      </c>
      <c r="E3287" s="37">
        <v>1.0149999999999999</v>
      </c>
      <c r="F3287" s="31">
        <v>0.95</v>
      </c>
      <c r="G3287" s="34">
        <f t="shared" si="56"/>
        <v>0.96424999999999983</v>
      </c>
      <c r="H3287" s="39">
        <f>SUM(G3287:G3290)</f>
        <v>4.3635304999999995</v>
      </c>
      <c r="I3287" s="40"/>
      <c r="J3287" s="102">
        <v>0</v>
      </c>
    </row>
    <row r="3288" spans="1:10" hidden="1" x14ac:dyDescent="0.25">
      <c r="A3288" s="219"/>
      <c r="B3288" s="237"/>
      <c r="C3288" s="36" t="s">
        <v>554</v>
      </c>
      <c r="D3288" s="47" t="s">
        <v>279</v>
      </c>
      <c r="E3288" s="37">
        <v>8.9999999999999993E-3</v>
      </c>
      <c r="F3288" s="31">
        <v>3.4769999999999999</v>
      </c>
      <c r="G3288" s="34">
        <f t="shared" si="56"/>
        <v>3.1292999999999994E-2</v>
      </c>
      <c r="H3288" s="35"/>
      <c r="I3288" s="31"/>
      <c r="J3288" s="102">
        <v>0</v>
      </c>
    </row>
    <row r="3289" spans="1:10" hidden="1" x14ac:dyDescent="0.25">
      <c r="A3289" s="219"/>
      <c r="B3289" s="237"/>
      <c r="C3289" s="36" t="s">
        <v>74</v>
      </c>
      <c r="D3289" s="36" t="s">
        <v>12</v>
      </c>
      <c r="E3289" s="37">
        <v>8.6999999999999994E-2</v>
      </c>
      <c r="F3289" s="31">
        <v>17.024000000000001</v>
      </c>
      <c r="G3289" s="34">
        <f t="shared" si="56"/>
        <v>1.481088</v>
      </c>
      <c r="H3289" s="35"/>
      <c r="I3289" s="31"/>
      <c r="J3289" s="102">
        <v>0</v>
      </c>
    </row>
    <row r="3290" spans="1:10" hidden="1" x14ac:dyDescent="0.25">
      <c r="A3290" s="219"/>
      <c r="B3290" s="237"/>
      <c r="C3290" s="36" t="s">
        <v>30</v>
      </c>
      <c r="D3290" s="36" t="s">
        <v>12</v>
      </c>
      <c r="E3290" s="37">
        <v>8.6999999999999994E-2</v>
      </c>
      <c r="F3290" s="31">
        <v>21.688499999999998</v>
      </c>
      <c r="G3290" s="34">
        <f t="shared" si="56"/>
        <v>1.8868994999999997</v>
      </c>
      <c r="H3290" s="35"/>
      <c r="I3290" s="31"/>
      <c r="J3290" s="102">
        <v>0</v>
      </c>
    </row>
    <row r="3291" spans="1:10" ht="15.75" hidden="1" thickBot="1" x14ac:dyDescent="0.3">
      <c r="A3291" s="220"/>
      <c r="B3291" s="223"/>
      <c r="C3291" s="36"/>
      <c r="D3291" s="36"/>
      <c r="E3291" s="37"/>
      <c r="F3291" s="31" t="s">
        <v>522</v>
      </c>
      <c r="G3291" s="34" t="str">
        <f t="shared" si="56"/>
        <v/>
      </c>
      <c r="H3291" s="35"/>
      <c r="I3291" s="31"/>
      <c r="J3291" s="102">
        <v>0</v>
      </c>
    </row>
    <row r="3292" spans="1:10" ht="15.75" hidden="1" thickBot="1" x14ac:dyDescent="0.3">
      <c r="A3292" s="218" t="s">
        <v>972</v>
      </c>
      <c r="B3292" s="221" t="e">
        <f>INDEX(#REF!,MATCH(Composições!A3292,#REF!,0),2)</f>
        <v>#REF!</v>
      </c>
      <c r="C3292" s="41"/>
      <c r="D3292" s="26" t="s">
        <v>93</v>
      </c>
      <c r="E3292" s="27"/>
      <c r="F3292" s="42" t="s">
        <v>522</v>
      </c>
      <c r="G3292" s="28" t="str">
        <f t="shared" si="56"/>
        <v/>
      </c>
      <c r="H3292" s="29"/>
      <c r="I3292" s="30"/>
      <c r="J3292" s="102">
        <v>0</v>
      </c>
    </row>
    <row r="3293" spans="1:10" hidden="1" x14ac:dyDescent="0.25">
      <c r="A3293" s="219"/>
      <c r="B3293" s="237"/>
      <c r="C3293" s="32"/>
      <c r="D3293" s="32"/>
      <c r="E3293" s="33"/>
      <c r="F3293" s="43" t="s">
        <v>522</v>
      </c>
      <c r="G3293" s="34" t="str">
        <f t="shared" si="56"/>
        <v/>
      </c>
      <c r="H3293" s="35"/>
      <c r="I3293" s="31"/>
      <c r="J3293" s="102">
        <v>0</v>
      </c>
    </row>
    <row r="3294" spans="1:10" hidden="1" x14ac:dyDescent="0.25">
      <c r="A3294" s="219"/>
      <c r="B3294" s="237"/>
      <c r="C3294" s="36" t="s">
        <v>973</v>
      </c>
      <c r="D3294" s="36" t="s">
        <v>93</v>
      </c>
      <c r="E3294" s="37">
        <v>1.0149999999999999</v>
      </c>
      <c r="F3294" s="31">
        <v>0.95</v>
      </c>
      <c r="G3294" s="34">
        <f t="shared" si="56"/>
        <v>0.96424999999999983</v>
      </c>
      <c r="H3294" s="39">
        <f>SUM(G3294:G3297)</f>
        <v>5.0603555</v>
      </c>
      <c r="I3294" s="40"/>
      <c r="J3294" s="102">
        <v>0</v>
      </c>
    </row>
    <row r="3295" spans="1:10" hidden="1" x14ac:dyDescent="0.25">
      <c r="A3295" s="219"/>
      <c r="B3295" s="237"/>
      <c r="C3295" s="36" t="s">
        <v>554</v>
      </c>
      <c r="D3295" s="47" t="s">
        <v>279</v>
      </c>
      <c r="E3295" s="37">
        <v>8.9999999999999993E-3</v>
      </c>
      <c r="F3295" s="31">
        <v>3.4769999999999999</v>
      </c>
      <c r="G3295" s="34">
        <f t="shared" si="56"/>
        <v>3.1292999999999994E-2</v>
      </c>
      <c r="H3295" s="35"/>
      <c r="I3295" s="31"/>
      <c r="J3295" s="102">
        <v>0</v>
      </c>
    </row>
    <row r="3296" spans="1:10" hidden="1" x14ac:dyDescent="0.25">
      <c r="A3296" s="219"/>
      <c r="B3296" s="237"/>
      <c r="C3296" s="36" t="s">
        <v>74</v>
      </c>
      <c r="D3296" s="36" t="s">
        <v>12</v>
      </c>
      <c r="E3296" s="37">
        <v>0.105</v>
      </c>
      <c r="F3296" s="31">
        <v>17.024000000000001</v>
      </c>
      <c r="G3296" s="34">
        <f t="shared" si="56"/>
        <v>1.78752</v>
      </c>
      <c r="H3296" s="35"/>
      <c r="I3296" s="31"/>
      <c r="J3296" s="102">
        <v>0</v>
      </c>
    </row>
    <row r="3297" spans="1:10" hidden="1" x14ac:dyDescent="0.25">
      <c r="A3297" s="219"/>
      <c r="B3297" s="237"/>
      <c r="C3297" s="36" t="s">
        <v>30</v>
      </c>
      <c r="D3297" s="36" t="s">
        <v>12</v>
      </c>
      <c r="E3297" s="37">
        <v>0.105</v>
      </c>
      <c r="F3297" s="31">
        <v>21.688499999999998</v>
      </c>
      <c r="G3297" s="34">
        <f t="shared" si="56"/>
        <v>2.2772924999999997</v>
      </c>
      <c r="H3297" s="35"/>
      <c r="I3297" s="31"/>
      <c r="J3297" s="102">
        <v>0</v>
      </c>
    </row>
    <row r="3298" spans="1:10" ht="15.75" hidden="1" thickBot="1" x14ac:dyDescent="0.3">
      <c r="A3298" s="220"/>
      <c r="B3298" s="223"/>
      <c r="C3298" s="36"/>
      <c r="D3298" s="36"/>
      <c r="E3298" s="37"/>
      <c r="F3298" s="31" t="s">
        <v>522</v>
      </c>
      <c r="G3298" s="34" t="str">
        <f t="shared" si="56"/>
        <v/>
      </c>
      <c r="H3298" s="35"/>
      <c r="I3298" s="31"/>
      <c r="J3298" s="102">
        <v>0</v>
      </c>
    </row>
    <row r="3299" spans="1:10" ht="15.75" hidden="1" thickBot="1" x14ac:dyDescent="0.3">
      <c r="A3299" s="218" t="s">
        <v>974</v>
      </c>
      <c r="B3299" s="221" t="e">
        <f>INDEX(#REF!,MATCH(Composições!A3299,#REF!,0),2)</f>
        <v>#REF!</v>
      </c>
      <c r="C3299" s="41"/>
      <c r="D3299" s="26" t="s">
        <v>93</v>
      </c>
      <c r="E3299" s="27"/>
      <c r="F3299" s="42" t="s">
        <v>522</v>
      </c>
      <c r="G3299" s="28" t="str">
        <f t="shared" si="56"/>
        <v/>
      </c>
      <c r="H3299" s="29"/>
      <c r="I3299" s="30"/>
      <c r="J3299" s="102">
        <v>0</v>
      </c>
    </row>
    <row r="3300" spans="1:10" hidden="1" x14ac:dyDescent="0.25">
      <c r="A3300" s="219"/>
      <c r="B3300" s="237"/>
      <c r="C3300" s="32"/>
      <c r="D3300" s="32"/>
      <c r="E3300" s="33"/>
      <c r="F3300" s="43" t="s">
        <v>522</v>
      </c>
      <c r="G3300" s="34" t="str">
        <f t="shared" si="56"/>
        <v/>
      </c>
      <c r="H3300" s="35"/>
      <c r="I3300" s="31"/>
      <c r="J3300" s="102">
        <v>0</v>
      </c>
    </row>
    <row r="3301" spans="1:10" hidden="1" x14ac:dyDescent="0.25">
      <c r="A3301" s="219"/>
      <c r="B3301" s="237"/>
      <c r="C3301" s="36" t="s">
        <v>975</v>
      </c>
      <c r="D3301" s="36" t="s">
        <v>93</v>
      </c>
      <c r="E3301" s="37">
        <v>1.0149999999999999</v>
      </c>
      <c r="F3301" s="31">
        <v>0.95</v>
      </c>
      <c r="G3301" s="34">
        <f t="shared" si="56"/>
        <v>0.96424999999999983</v>
      </c>
      <c r="H3301" s="39">
        <f>SUM(G3301:G3304)</f>
        <v>5.9507430000000001</v>
      </c>
      <c r="I3301" s="40"/>
      <c r="J3301" s="102">
        <v>0</v>
      </c>
    </row>
    <row r="3302" spans="1:10" hidden="1" x14ac:dyDescent="0.25">
      <c r="A3302" s="219"/>
      <c r="B3302" s="237"/>
      <c r="C3302" s="36" t="s">
        <v>554</v>
      </c>
      <c r="D3302" s="47" t="s">
        <v>279</v>
      </c>
      <c r="E3302" s="37">
        <v>8.9999999999999993E-3</v>
      </c>
      <c r="F3302" s="31">
        <v>3.4769999999999999</v>
      </c>
      <c r="G3302" s="34">
        <f t="shared" si="56"/>
        <v>3.1292999999999994E-2</v>
      </c>
      <c r="H3302" s="35"/>
      <c r="I3302" s="31"/>
      <c r="J3302" s="102">
        <v>0</v>
      </c>
    </row>
    <row r="3303" spans="1:10" hidden="1" x14ac:dyDescent="0.25">
      <c r="A3303" s="219"/>
      <c r="B3303" s="237"/>
      <c r="C3303" s="36" t="s">
        <v>74</v>
      </c>
      <c r="D3303" s="36" t="s">
        <v>12</v>
      </c>
      <c r="E3303" s="37">
        <v>0.128</v>
      </c>
      <c r="F3303" s="31">
        <v>17.024000000000001</v>
      </c>
      <c r="G3303" s="34">
        <f t="shared" si="56"/>
        <v>2.1790720000000001</v>
      </c>
      <c r="H3303" s="35"/>
      <c r="I3303" s="31"/>
      <c r="J3303" s="102">
        <v>0</v>
      </c>
    </row>
    <row r="3304" spans="1:10" hidden="1" x14ac:dyDescent="0.25">
      <c r="A3304" s="219"/>
      <c r="B3304" s="237"/>
      <c r="C3304" s="36" t="s">
        <v>30</v>
      </c>
      <c r="D3304" s="36" t="s">
        <v>12</v>
      </c>
      <c r="E3304" s="37">
        <v>0.128</v>
      </c>
      <c r="F3304" s="31">
        <v>21.688499999999998</v>
      </c>
      <c r="G3304" s="34">
        <f t="shared" si="56"/>
        <v>2.7761279999999999</v>
      </c>
      <c r="H3304" s="35"/>
      <c r="I3304" s="31"/>
      <c r="J3304" s="102">
        <v>0</v>
      </c>
    </row>
    <row r="3305" spans="1:10" ht="15.75" hidden="1" thickBot="1" x14ac:dyDescent="0.3">
      <c r="A3305" s="220"/>
      <c r="B3305" s="223"/>
      <c r="C3305" s="36"/>
      <c r="D3305" s="36"/>
      <c r="E3305" s="37"/>
      <c r="F3305" s="31" t="s">
        <v>522</v>
      </c>
      <c r="G3305" s="34" t="str">
        <f t="shared" si="56"/>
        <v/>
      </c>
      <c r="H3305" s="35"/>
      <c r="I3305" s="31"/>
      <c r="J3305" s="102">
        <v>0</v>
      </c>
    </row>
    <row r="3306" spans="1:10" ht="15.75" hidden="1" thickBot="1" x14ac:dyDescent="0.3">
      <c r="A3306" s="218" t="s">
        <v>976</v>
      </c>
      <c r="B3306" s="221" t="e">
        <f>INDEX(#REF!,MATCH(Composições!A3306,#REF!,0),2)</f>
        <v>#REF!</v>
      </c>
      <c r="C3306" s="41"/>
      <c r="D3306" s="26" t="s">
        <v>93</v>
      </c>
      <c r="E3306" s="27"/>
      <c r="F3306" s="42" t="s">
        <v>522</v>
      </c>
      <c r="G3306" s="28" t="str">
        <f t="shared" si="56"/>
        <v/>
      </c>
      <c r="H3306" s="29"/>
      <c r="I3306" s="30"/>
      <c r="J3306" s="102">
        <v>0</v>
      </c>
    </row>
    <row r="3307" spans="1:10" hidden="1" x14ac:dyDescent="0.25">
      <c r="A3307" s="219"/>
      <c r="B3307" s="237"/>
      <c r="C3307" s="32"/>
      <c r="D3307" s="32"/>
      <c r="E3307" s="33"/>
      <c r="F3307" s="43" t="s">
        <v>522</v>
      </c>
      <c r="G3307" s="34" t="str">
        <f t="shared" si="56"/>
        <v/>
      </c>
      <c r="H3307" s="35"/>
      <c r="I3307" s="31"/>
      <c r="J3307" s="102">
        <v>0</v>
      </c>
    </row>
    <row r="3308" spans="1:10" hidden="1" x14ac:dyDescent="0.25">
      <c r="A3308" s="219"/>
      <c r="B3308" s="237"/>
      <c r="C3308" s="36" t="s">
        <v>977</v>
      </c>
      <c r="D3308" s="36" t="s">
        <v>93</v>
      </c>
      <c r="E3308" s="37">
        <v>1.0149999999999999</v>
      </c>
      <c r="F3308" s="31">
        <v>0.95</v>
      </c>
      <c r="G3308" s="34">
        <f t="shared" si="56"/>
        <v>0.96424999999999983</v>
      </c>
      <c r="H3308" s="39">
        <f>SUM(G3308:G3311)</f>
        <v>6.8798429999999993</v>
      </c>
      <c r="I3308" s="40"/>
      <c r="J3308" s="102">
        <v>0</v>
      </c>
    </row>
    <row r="3309" spans="1:10" hidden="1" x14ac:dyDescent="0.25">
      <c r="A3309" s="219"/>
      <c r="B3309" s="237"/>
      <c r="C3309" s="36" t="s">
        <v>554</v>
      </c>
      <c r="D3309" s="47" t="s">
        <v>279</v>
      </c>
      <c r="E3309" s="37">
        <v>8.9999999999999993E-3</v>
      </c>
      <c r="F3309" s="31">
        <v>3.4769999999999999</v>
      </c>
      <c r="G3309" s="34">
        <f t="shared" si="56"/>
        <v>3.1292999999999994E-2</v>
      </c>
      <c r="H3309" s="35"/>
      <c r="I3309" s="31"/>
      <c r="J3309" s="102">
        <v>0</v>
      </c>
    </row>
    <row r="3310" spans="1:10" hidden="1" x14ac:dyDescent="0.25">
      <c r="A3310" s="219"/>
      <c r="B3310" s="237"/>
      <c r="C3310" s="36" t="s">
        <v>74</v>
      </c>
      <c r="D3310" s="36" t="s">
        <v>12</v>
      </c>
      <c r="E3310" s="37">
        <v>0.152</v>
      </c>
      <c r="F3310" s="31">
        <v>17.024000000000001</v>
      </c>
      <c r="G3310" s="34">
        <f t="shared" si="56"/>
        <v>2.5876480000000002</v>
      </c>
      <c r="H3310" s="35"/>
      <c r="I3310" s="31"/>
      <c r="J3310" s="102">
        <v>0</v>
      </c>
    </row>
    <row r="3311" spans="1:10" hidden="1" x14ac:dyDescent="0.25">
      <c r="A3311" s="219"/>
      <c r="B3311" s="237"/>
      <c r="C3311" s="36" t="s">
        <v>30</v>
      </c>
      <c r="D3311" s="36" t="s">
        <v>12</v>
      </c>
      <c r="E3311" s="37">
        <v>0.152</v>
      </c>
      <c r="F3311" s="31">
        <v>21.688499999999998</v>
      </c>
      <c r="G3311" s="34">
        <f t="shared" si="56"/>
        <v>3.2966519999999995</v>
      </c>
      <c r="H3311" s="35"/>
      <c r="I3311" s="31"/>
      <c r="J3311" s="102">
        <v>0</v>
      </c>
    </row>
    <row r="3312" spans="1:10" ht="15.75" hidden="1" thickBot="1" x14ac:dyDescent="0.3">
      <c r="A3312" s="220"/>
      <c r="B3312" s="223"/>
      <c r="C3312" s="36"/>
      <c r="D3312" s="36"/>
      <c r="E3312" s="37"/>
      <c r="F3312" s="31" t="s">
        <v>522</v>
      </c>
      <c r="G3312" s="34" t="str">
        <f t="shared" si="56"/>
        <v/>
      </c>
      <c r="H3312" s="35"/>
      <c r="I3312" s="31"/>
      <c r="J3312" s="102">
        <v>0</v>
      </c>
    </row>
    <row r="3313" spans="1:10" ht="15.75" hidden="1" thickBot="1" x14ac:dyDescent="0.3">
      <c r="A3313" s="218" t="s">
        <v>978</v>
      </c>
      <c r="B3313" s="221" t="e">
        <f>INDEX(#REF!,MATCH(Composições!A3313,#REF!,0),2)</f>
        <v>#REF!</v>
      </c>
      <c r="C3313" s="41"/>
      <c r="D3313" s="26" t="s">
        <v>93</v>
      </c>
      <c r="E3313" s="27"/>
      <c r="F3313" s="42" t="s">
        <v>522</v>
      </c>
      <c r="G3313" s="28" t="str">
        <f t="shared" ref="G3313:G3376" si="57">IF(ISNUMBER(F3313),E3313*F3313,"")</f>
        <v/>
      </c>
      <c r="H3313" s="29"/>
      <c r="I3313" s="30"/>
      <c r="J3313" s="102">
        <v>0</v>
      </c>
    </row>
    <row r="3314" spans="1:10" hidden="1" x14ac:dyDescent="0.25">
      <c r="A3314" s="219"/>
      <c r="B3314" s="237"/>
      <c r="C3314" s="32"/>
      <c r="D3314" s="32"/>
      <c r="E3314" s="33"/>
      <c r="F3314" s="43" t="s">
        <v>522</v>
      </c>
      <c r="G3314" s="34" t="str">
        <f t="shared" si="57"/>
        <v/>
      </c>
      <c r="H3314" s="35"/>
      <c r="I3314" s="31"/>
      <c r="J3314" s="102">
        <v>0</v>
      </c>
    </row>
    <row r="3315" spans="1:10" hidden="1" x14ac:dyDescent="0.25">
      <c r="A3315" s="219"/>
      <c r="B3315" s="237"/>
      <c r="C3315" s="36" t="s">
        <v>979</v>
      </c>
      <c r="D3315" s="36" t="s">
        <v>93</v>
      </c>
      <c r="E3315" s="37">
        <v>1.0149999999999999</v>
      </c>
      <c r="F3315" s="31">
        <v>0</v>
      </c>
      <c r="G3315" s="34">
        <f t="shared" si="57"/>
        <v>0</v>
      </c>
      <c r="H3315" s="39">
        <f>SUM(G3315:G3318)</f>
        <v>6.9608304999999993</v>
      </c>
      <c r="I3315" s="40"/>
      <c r="J3315" s="102">
        <v>0</v>
      </c>
    </row>
    <row r="3316" spans="1:10" hidden="1" x14ac:dyDescent="0.25">
      <c r="A3316" s="219"/>
      <c r="B3316" s="237"/>
      <c r="C3316" s="36" t="s">
        <v>554</v>
      </c>
      <c r="D3316" s="47" t="s">
        <v>279</v>
      </c>
      <c r="E3316" s="37">
        <v>8.9999999999999993E-3</v>
      </c>
      <c r="F3316" s="31">
        <v>3.4769999999999999</v>
      </c>
      <c r="G3316" s="34">
        <f t="shared" si="57"/>
        <v>3.1292999999999994E-2</v>
      </c>
      <c r="H3316" s="35"/>
      <c r="I3316" s="31"/>
      <c r="J3316" s="102">
        <v>0</v>
      </c>
    </row>
    <row r="3317" spans="1:10" hidden="1" x14ac:dyDescent="0.25">
      <c r="A3317" s="219"/>
      <c r="B3317" s="237"/>
      <c r="C3317" s="36" t="s">
        <v>74</v>
      </c>
      <c r="D3317" s="36" t="s">
        <v>12</v>
      </c>
      <c r="E3317" s="37">
        <v>0.17899999999999999</v>
      </c>
      <c r="F3317" s="31">
        <v>17.024000000000001</v>
      </c>
      <c r="G3317" s="34">
        <f t="shared" si="57"/>
        <v>3.0472960000000002</v>
      </c>
      <c r="H3317" s="35"/>
      <c r="I3317" s="31"/>
      <c r="J3317" s="102">
        <v>0</v>
      </c>
    </row>
    <row r="3318" spans="1:10" hidden="1" x14ac:dyDescent="0.25">
      <c r="A3318" s="219"/>
      <c r="B3318" s="237"/>
      <c r="C3318" s="36" t="s">
        <v>30</v>
      </c>
      <c r="D3318" s="36" t="s">
        <v>12</v>
      </c>
      <c r="E3318" s="37">
        <v>0.17899999999999999</v>
      </c>
      <c r="F3318" s="31">
        <v>21.688499999999998</v>
      </c>
      <c r="G3318" s="34">
        <f t="shared" si="57"/>
        <v>3.8822414999999992</v>
      </c>
      <c r="H3318" s="35"/>
      <c r="I3318" s="31"/>
      <c r="J3318" s="102">
        <v>0</v>
      </c>
    </row>
    <row r="3319" spans="1:10" ht="15.75" hidden="1" thickBot="1" x14ac:dyDescent="0.3">
      <c r="A3319" s="220"/>
      <c r="B3319" s="223"/>
      <c r="C3319" s="36"/>
      <c r="D3319" s="36"/>
      <c r="E3319" s="37"/>
      <c r="F3319" s="31" t="s">
        <v>522</v>
      </c>
      <c r="G3319" s="34" t="str">
        <f t="shared" si="57"/>
        <v/>
      </c>
      <c r="H3319" s="35"/>
      <c r="I3319" s="31"/>
      <c r="J3319" s="102">
        <v>0</v>
      </c>
    </row>
    <row r="3320" spans="1:10" ht="15.75" hidden="1" thickBot="1" x14ac:dyDescent="0.3">
      <c r="A3320" s="218" t="s">
        <v>980</v>
      </c>
      <c r="B3320" s="221" t="e">
        <f>INDEX(#REF!,MATCH(Composições!A3320,#REF!,0),2)</f>
        <v>#REF!</v>
      </c>
      <c r="C3320" s="41"/>
      <c r="D3320" s="26" t="s">
        <v>93</v>
      </c>
      <c r="E3320" s="27"/>
      <c r="F3320" s="42" t="s">
        <v>522</v>
      </c>
      <c r="G3320" s="28" t="str">
        <f t="shared" si="57"/>
        <v/>
      </c>
      <c r="H3320" s="29"/>
      <c r="I3320" s="30"/>
      <c r="J3320" s="102">
        <v>0</v>
      </c>
    </row>
    <row r="3321" spans="1:10" hidden="1" x14ac:dyDescent="0.25">
      <c r="A3321" s="219"/>
      <c r="B3321" s="237"/>
      <c r="C3321" s="32"/>
      <c r="D3321" s="32"/>
      <c r="E3321" s="33"/>
      <c r="F3321" s="43" t="s">
        <v>522</v>
      </c>
      <c r="G3321" s="34" t="str">
        <f t="shared" si="57"/>
        <v/>
      </c>
      <c r="H3321" s="35"/>
      <c r="I3321" s="31"/>
      <c r="J3321" s="102">
        <v>0</v>
      </c>
    </row>
    <row r="3322" spans="1:10" hidden="1" x14ac:dyDescent="0.25">
      <c r="A3322" s="219"/>
      <c r="B3322" s="237"/>
      <c r="C3322" s="36" t="s">
        <v>981</v>
      </c>
      <c r="D3322" s="36" t="s">
        <v>93</v>
      </c>
      <c r="E3322" s="37">
        <v>1.0149999999999999</v>
      </c>
      <c r="F3322" s="31">
        <v>0</v>
      </c>
      <c r="G3322" s="34">
        <f t="shared" si="57"/>
        <v>0</v>
      </c>
      <c r="H3322" s="39">
        <f>SUM(G3322:G3325)</f>
        <v>8.2383429999999986</v>
      </c>
      <c r="I3322" s="40"/>
      <c r="J3322" s="102">
        <v>0</v>
      </c>
    </row>
    <row r="3323" spans="1:10" hidden="1" x14ac:dyDescent="0.25">
      <c r="A3323" s="219"/>
      <c r="B3323" s="237"/>
      <c r="C3323" s="36" t="s">
        <v>554</v>
      </c>
      <c r="D3323" s="47" t="s">
        <v>279</v>
      </c>
      <c r="E3323" s="37">
        <v>8.9999999999999993E-3</v>
      </c>
      <c r="F3323" s="31">
        <v>3.4769999999999999</v>
      </c>
      <c r="G3323" s="34">
        <f t="shared" si="57"/>
        <v>3.1292999999999994E-2</v>
      </c>
      <c r="H3323" s="35"/>
      <c r="I3323" s="31"/>
      <c r="J3323" s="102">
        <v>0</v>
      </c>
    </row>
    <row r="3324" spans="1:10" hidden="1" x14ac:dyDescent="0.25">
      <c r="A3324" s="219"/>
      <c r="B3324" s="237"/>
      <c r="C3324" s="36" t="s">
        <v>74</v>
      </c>
      <c r="D3324" s="36" t="s">
        <v>12</v>
      </c>
      <c r="E3324" s="37">
        <v>0.21199999999999999</v>
      </c>
      <c r="F3324" s="31">
        <v>17.024000000000001</v>
      </c>
      <c r="G3324" s="34">
        <f t="shared" si="57"/>
        <v>3.6090880000000003</v>
      </c>
      <c r="H3324" s="35"/>
      <c r="I3324" s="31"/>
      <c r="J3324" s="102">
        <v>0</v>
      </c>
    </row>
    <row r="3325" spans="1:10" hidden="1" x14ac:dyDescent="0.25">
      <c r="A3325" s="219"/>
      <c r="B3325" s="237"/>
      <c r="C3325" s="36" t="s">
        <v>30</v>
      </c>
      <c r="D3325" s="36" t="s">
        <v>12</v>
      </c>
      <c r="E3325" s="37">
        <v>0.21199999999999999</v>
      </c>
      <c r="F3325" s="31">
        <v>21.688499999999998</v>
      </c>
      <c r="G3325" s="34">
        <f t="shared" si="57"/>
        <v>4.597961999999999</v>
      </c>
      <c r="H3325" s="35"/>
      <c r="I3325" s="31"/>
      <c r="J3325" s="102">
        <v>0</v>
      </c>
    </row>
    <row r="3326" spans="1:10" ht="15.75" hidden="1" thickBot="1" x14ac:dyDescent="0.3">
      <c r="A3326" s="220"/>
      <c r="B3326" s="223"/>
      <c r="C3326" s="36"/>
      <c r="D3326" s="36"/>
      <c r="E3326" s="37"/>
      <c r="F3326" s="31" t="s">
        <v>522</v>
      </c>
      <c r="G3326" s="34" t="str">
        <f t="shared" si="57"/>
        <v/>
      </c>
      <c r="H3326" s="35"/>
      <c r="I3326" s="31"/>
      <c r="J3326" s="102">
        <v>0</v>
      </c>
    </row>
    <row r="3327" spans="1:10" ht="15.75" hidden="1" thickBot="1" x14ac:dyDescent="0.3">
      <c r="A3327" s="218" t="s">
        <v>982</v>
      </c>
      <c r="B3327" s="221" t="e">
        <f>INDEX(#REF!,MATCH(Composições!A3327,#REF!,0),2)</f>
        <v>#REF!</v>
      </c>
      <c r="C3327" s="41"/>
      <c r="D3327" s="26" t="s">
        <v>93</v>
      </c>
      <c r="E3327" s="27"/>
      <c r="F3327" s="42" t="s">
        <v>522</v>
      </c>
      <c r="G3327" s="28" t="str">
        <f t="shared" si="57"/>
        <v/>
      </c>
      <c r="H3327" s="29"/>
      <c r="I3327" s="30"/>
      <c r="J3327" s="102">
        <v>0</v>
      </c>
    </row>
    <row r="3328" spans="1:10" hidden="1" x14ac:dyDescent="0.25">
      <c r="A3328" s="219"/>
      <c r="B3328" s="237"/>
      <c r="C3328" s="32"/>
      <c r="D3328" s="32"/>
      <c r="E3328" s="33"/>
      <c r="F3328" s="43" t="s">
        <v>522</v>
      </c>
      <c r="G3328" s="34" t="str">
        <f t="shared" si="57"/>
        <v/>
      </c>
      <c r="H3328" s="35"/>
      <c r="I3328" s="31"/>
      <c r="J3328" s="102">
        <v>0</v>
      </c>
    </row>
    <row r="3329" spans="1:10" hidden="1" x14ac:dyDescent="0.25">
      <c r="A3329" s="219"/>
      <c r="B3329" s="237"/>
      <c r="C3329" s="36" t="s">
        <v>983</v>
      </c>
      <c r="D3329" s="36" t="s">
        <v>93</v>
      </c>
      <c r="E3329" s="37">
        <v>1.0149999999999999</v>
      </c>
      <c r="F3329" s="31">
        <v>0</v>
      </c>
      <c r="G3329" s="34">
        <f t="shared" si="57"/>
        <v>0</v>
      </c>
      <c r="H3329" s="39">
        <f>SUM(G3329:G3332)</f>
        <v>10.212680500000001</v>
      </c>
      <c r="I3329" s="40"/>
      <c r="J3329" s="102">
        <v>0</v>
      </c>
    </row>
    <row r="3330" spans="1:10" hidden="1" x14ac:dyDescent="0.25">
      <c r="A3330" s="219"/>
      <c r="B3330" s="237"/>
      <c r="C3330" s="36" t="s">
        <v>554</v>
      </c>
      <c r="D3330" s="47" t="s">
        <v>279</v>
      </c>
      <c r="E3330" s="37">
        <v>8.9999999999999993E-3</v>
      </c>
      <c r="F3330" s="31">
        <v>3.4769999999999999</v>
      </c>
      <c r="G3330" s="34">
        <f t="shared" si="57"/>
        <v>3.1292999999999994E-2</v>
      </c>
      <c r="H3330" s="35"/>
      <c r="I3330" s="31"/>
      <c r="J3330" s="102">
        <v>0</v>
      </c>
    </row>
    <row r="3331" spans="1:10" hidden="1" x14ac:dyDescent="0.25">
      <c r="A3331" s="219"/>
      <c r="B3331" s="237"/>
      <c r="C3331" s="36" t="s">
        <v>74</v>
      </c>
      <c r="D3331" s="36" t="s">
        <v>12</v>
      </c>
      <c r="E3331" s="37">
        <v>0.26300000000000001</v>
      </c>
      <c r="F3331" s="31">
        <v>17.024000000000001</v>
      </c>
      <c r="G3331" s="34">
        <f t="shared" si="57"/>
        <v>4.4773120000000004</v>
      </c>
      <c r="H3331" s="35"/>
      <c r="I3331" s="31"/>
      <c r="J3331" s="102">
        <v>0</v>
      </c>
    </row>
    <row r="3332" spans="1:10" hidden="1" x14ac:dyDescent="0.25">
      <c r="A3332" s="219"/>
      <c r="B3332" s="237"/>
      <c r="C3332" s="36" t="s">
        <v>30</v>
      </c>
      <c r="D3332" s="36" t="s">
        <v>12</v>
      </c>
      <c r="E3332" s="37">
        <v>0.26300000000000001</v>
      </c>
      <c r="F3332" s="31">
        <v>21.688499999999998</v>
      </c>
      <c r="G3332" s="34">
        <f t="shared" si="57"/>
        <v>5.7040755000000001</v>
      </c>
      <c r="H3332" s="35"/>
      <c r="I3332" s="31"/>
      <c r="J3332" s="102">
        <v>0</v>
      </c>
    </row>
    <row r="3333" spans="1:10" ht="15.75" hidden="1" thickBot="1" x14ac:dyDescent="0.3">
      <c r="A3333" s="220"/>
      <c r="B3333" s="223"/>
      <c r="C3333" s="36"/>
      <c r="D3333" s="36"/>
      <c r="E3333" s="37"/>
      <c r="F3333" s="31" t="s">
        <v>522</v>
      </c>
      <c r="G3333" s="34" t="str">
        <f t="shared" si="57"/>
        <v/>
      </c>
      <c r="H3333" s="35"/>
      <c r="I3333" s="31"/>
      <c r="J3333" s="102">
        <v>0</v>
      </c>
    </row>
    <row r="3334" spans="1:10" ht="15.75" hidden="1" thickBot="1" x14ac:dyDescent="0.3">
      <c r="A3334" s="218" t="s">
        <v>984</v>
      </c>
      <c r="B3334" s="221" t="e">
        <f>INDEX(#REF!,MATCH(Composições!A3334,#REF!,0),2)</f>
        <v>#REF!</v>
      </c>
      <c r="C3334" s="41"/>
      <c r="D3334" s="26" t="s">
        <v>95</v>
      </c>
      <c r="E3334" s="27"/>
      <c r="F3334" s="42" t="s">
        <v>522</v>
      </c>
      <c r="G3334" s="28" t="str">
        <f t="shared" si="57"/>
        <v/>
      </c>
      <c r="H3334" s="29"/>
      <c r="I3334" s="30"/>
      <c r="J3334" s="102">
        <v>0</v>
      </c>
    </row>
    <row r="3335" spans="1:10" hidden="1" x14ac:dyDescent="0.25">
      <c r="A3335" s="219"/>
      <c r="B3335" s="237"/>
      <c r="C3335" s="32"/>
      <c r="D3335" s="32"/>
      <c r="E3335" s="33"/>
      <c r="F3335" s="43" t="s">
        <v>522</v>
      </c>
      <c r="G3335" s="34" t="str">
        <f t="shared" si="57"/>
        <v/>
      </c>
      <c r="H3335" s="35"/>
      <c r="I3335" s="31"/>
      <c r="J3335" s="102">
        <v>0</v>
      </c>
    </row>
    <row r="3336" spans="1:10" ht="25.5" hidden="1" x14ac:dyDescent="0.25">
      <c r="A3336" s="219"/>
      <c r="B3336" s="237"/>
      <c r="C3336" s="36" t="s">
        <v>985</v>
      </c>
      <c r="D3336" s="47" t="s">
        <v>703</v>
      </c>
      <c r="E3336" s="37">
        <v>0.29509999999999997</v>
      </c>
      <c r="F3336" s="31">
        <v>16.4255</v>
      </c>
      <c r="G3336" s="34">
        <f t="shared" si="57"/>
        <v>4.8471650499999992</v>
      </c>
      <c r="H3336" s="39">
        <f>SUM(G3336:G3338)</f>
        <v>7.457633003989999</v>
      </c>
      <c r="I3336" s="40"/>
      <c r="J3336" s="102">
        <v>0</v>
      </c>
    </row>
    <row r="3337" spans="1:10" hidden="1" x14ac:dyDescent="0.25">
      <c r="A3337" s="219"/>
      <c r="B3337" s="237"/>
      <c r="C3337" s="36" t="s">
        <v>704</v>
      </c>
      <c r="D3337" s="47" t="s">
        <v>703</v>
      </c>
      <c r="E3337" s="37">
        <v>5.8999999999999997E-2</v>
      </c>
      <c r="F3337" s="31">
        <v>16.1785</v>
      </c>
      <c r="G3337" s="34">
        <f t="shared" si="57"/>
        <v>0.95453149999999998</v>
      </c>
      <c r="H3337" s="35"/>
      <c r="I3337" s="31"/>
      <c r="J3337" s="102">
        <v>0</v>
      </c>
    </row>
    <row r="3338" spans="1:10" ht="51" hidden="1" x14ac:dyDescent="0.25">
      <c r="A3338" s="219"/>
      <c r="B3338" s="237"/>
      <c r="C3338" s="36" t="s">
        <v>986</v>
      </c>
      <c r="D3338" s="47" t="s">
        <v>987</v>
      </c>
      <c r="E3338" s="37">
        <v>0.1673</v>
      </c>
      <c r="F3338" s="31">
        <v>9.8980063000000005</v>
      </c>
      <c r="G3338" s="34">
        <f t="shared" si="57"/>
        <v>1.6559364539900001</v>
      </c>
      <c r="H3338" s="35"/>
      <c r="I3338" s="31"/>
      <c r="J3338" s="102">
        <v>0</v>
      </c>
    </row>
    <row r="3339" spans="1:10" ht="15.75" hidden="1" thickBot="1" x14ac:dyDescent="0.3">
      <c r="A3339" s="220"/>
      <c r="B3339" s="223"/>
      <c r="C3339" s="36"/>
      <c r="D3339" s="36"/>
      <c r="E3339" s="37"/>
      <c r="F3339" s="31" t="s">
        <v>522</v>
      </c>
      <c r="G3339" s="34" t="str">
        <f t="shared" si="57"/>
        <v/>
      </c>
      <c r="H3339" s="35"/>
      <c r="I3339" s="31"/>
      <c r="J3339" s="102">
        <v>0</v>
      </c>
    </row>
    <row r="3340" spans="1:10" ht="15.75" hidden="1" thickBot="1" x14ac:dyDescent="0.3">
      <c r="A3340" s="218" t="s">
        <v>988</v>
      </c>
      <c r="B3340" s="221" t="e">
        <f>INDEX(#REF!,MATCH(Composições!A3340,#REF!,0),2)</f>
        <v>#REF!</v>
      </c>
      <c r="C3340" s="41"/>
      <c r="D3340" s="26" t="s">
        <v>93</v>
      </c>
      <c r="E3340" s="27"/>
      <c r="F3340" s="42" t="s">
        <v>522</v>
      </c>
      <c r="G3340" s="28" t="str">
        <f t="shared" si="57"/>
        <v/>
      </c>
      <c r="H3340" s="29"/>
      <c r="I3340" s="30"/>
      <c r="J3340" s="102">
        <v>0</v>
      </c>
    </row>
    <row r="3341" spans="1:10" hidden="1" x14ac:dyDescent="0.25">
      <c r="A3341" s="219"/>
      <c r="B3341" s="237"/>
      <c r="C3341" s="32"/>
      <c r="D3341" s="32"/>
      <c r="E3341" s="33"/>
      <c r="F3341" s="43" t="s">
        <v>522</v>
      </c>
      <c r="G3341" s="34" t="str">
        <f t="shared" si="57"/>
        <v/>
      </c>
      <c r="H3341" s="35"/>
      <c r="I3341" s="31"/>
      <c r="J3341" s="102">
        <v>0</v>
      </c>
    </row>
    <row r="3342" spans="1:10" ht="25.5" hidden="1" x14ac:dyDescent="0.25">
      <c r="A3342" s="219"/>
      <c r="B3342" s="237"/>
      <c r="C3342" s="36" t="s">
        <v>985</v>
      </c>
      <c r="D3342" s="47" t="s">
        <v>703</v>
      </c>
      <c r="E3342" s="37">
        <v>0.5</v>
      </c>
      <c r="F3342" s="31">
        <v>16.4255</v>
      </c>
      <c r="G3342" s="34">
        <f t="shared" si="57"/>
        <v>8.2127499999999998</v>
      </c>
      <c r="H3342" s="39">
        <f>SUM(G3342:G3344)</f>
        <v>13.809598532600001</v>
      </c>
      <c r="I3342" s="40"/>
      <c r="J3342" s="102">
        <v>0</v>
      </c>
    </row>
    <row r="3343" spans="1:10" hidden="1" x14ac:dyDescent="0.25">
      <c r="A3343" s="219"/>
      <c r="B3343" s="237"/>
      <c r="C3343" s="36" t="s">
        <v>704</v>
      </c>
      <c r="D3343" s="47" t="s">
        <v>703</v>
      </c>
      <c r="E3343" s="37">
        <v>0.1</v>
      </c>
      <c r="F3343" s="31">
        <v>16.1785</v>
      </c>
      <c r="G3343" s="34">
        <f t="shared" si="57"/>
        <v>1.61785</v>
      </c>
      <c r="H3343" s="39"/>
      <c r="I3343" s="40"/>
      <c r="J3343" s="102">
        <v>0</v>
      </c>
    </row>
    <row r="3344" spans="1:10" ht="51" hidden="1" x14ac:dyDescent="0.25">
      <c r="A3344" s="219"/>
      <c r="B3344" s="237"/>
      <c r="C3344" s="36" t="s">
        <v>986</v>
      </c>
      <c r="D3344" s="47" t="s">
        <v>987</v>
      </c>
      <c r="E3344" s="37">
        <v>0.40200000000000002</v>
      </c>
      <c r="F3344" s="31">
        <v>9.8980063000000005</v>
      </c>
      <c r="G3344" s="34">
        <f t="shared" si="57"/>
        <v>3.9789985326000004</v>
      </c>
      <c r="H3344" s="35"/>
      <c r="I3344" s="31"/>
      <c r="J3344" s="102">
        <v>0</v>
      </c>
    </row>
    <row r="3345" spans="1:10" ht="15.75" hidden="1" thickBot="1" x14ac:dyDescent="0.3">
      <c r="A3345" s="220"/>
      <c r="B3345" s="223"/>
      <c r="C3345" s="36"/>
      <c r="D3345" s="36"/>
      <c r="E3345" s="37"/>
      <c r="F3345" s="31" t="s">
        <v>522</v>
      </c>
      <c r="G3345" s="34" t="str">
        <f t="shared" si="57"/>
        <v/>
      </c>
      <c r="H3345" s="35"/>
      <c r="I3345" s="31"/>
      <c r="J3345" s="102">
        <v>0</v>
      </c>
    </row>
    <row r="3346" spans="1:10" ht="15.75" hidden="1" thickBot="1" x14ac:dyDescent="0.3">
      <c r="A3346" s="218" t="s">
        <v>989</v>
      </c>
      <c r="B3346" s="221" t="e">
        <f>INDEX(#REF!,MATCH(Composições!A3346,#REF!,0),2)</f>
        <v>#REF!</v>
      </c>
      <c r="C3346" s="41"/>
      <c r="D3346" s="26" t="s">
        <v>1426</v>
      </c>
      <c r="E3346" s="27"/>
      <c r="F3346" s="42" t="s">
        <v>522</v>
      </c>
      <c r="G3346" s="28" t="str">
        <f t="shared" si="57"/>
        <v/>
      </c>
      <c r="H3346" s="29"/>
      <c r="I3346" s="30"/>
      <c r="J3346" s="102">
        <v>0</v>
      </c>
    </row>
    <row r="3347" spans="1:10" hidden="1" x14ac:dyDescent="0.25">
      <c r="A3347" s="219"/>
      <c r="B3347" s="237"/>
      <c r="C3347" s="32"/>
      <c r="D3347" s="32"/>
      <c r="E3347" s="33"/>
      <c r="F3347" s="43" t="s">
        <v>522</v>
      </c>
      <c r="G3347" s="34" t="str">
        <f t="shared" si="57"/>
        <v/>
      </c>
      <c r="H3347" s="35"/>
      <c r="I3347" s="31"/>
      <c r="J3347" s="102">
        <v>0</v>
      </c>
    </row>
    <row r="3348" spans="1:10" ht="25.5" hidden="1" x14ac:dyDescent="0.25">
      <c r="A3348" s="219"/>
      <c r="B3348" s="237"/>
      <c r="C3348" s="36" t="s">
        <v>990</v>
      </c>
      <c r="D3348" s="47" t="s">
        <v>279</v>
      </c>
      <c r="E3348" s="37">
        <v>0.89449999999999996</v>
      </c>
      <c r="F3348" s="31">
        <v>0.13300000000000001</v>
      </c>
      <c r="G3348" s="34">
        <f t="shared" si="57"/>
        <v>0.1189685</v>
      </c>
      <c r="H3348" s="39">
        <f>SUM(G3348:G3351)</f>
        <v>3.72930195</v>
      </c>
      <c r="I3348" s="40"/>
      <c r="J3348" s="102">
        <v>0</v>
      </c>
    </row>
    <row r="3349" spans="1:10" ht="25.5" hidden="1" x14ac:dyDescent="0.25">
      <c r="A3349" s="219"/>
      <c r="B3349" s="237"/>
      <c r="C3349" s="36" t="s">
        <v>991</v>
      </c>
      <c r="D3349" s="47" t="s">
        <v>992</v>
      </c>
      <c r="E3349" s="37">
        <f>ROUND(1.177*(1/3),4)</f>
        <v>0.39229999999999998</v>
      </c>
      <c r="F3349" s="31">
        <v>2.1849999999999996</v>
      </c>
      <c r="G3349" s="34">
        <f t="shared" si="57"/>
        <v>0.85717549999999976</v>
      </c>
      <c r="H3349" s="35"/>
      <c r="I3349" s="31"/>
      <c r="J3349" s="102">
        <v>0</v>
      </c>
    </row>
    <row r="3350" spans="1:10" hidden="1" x14ac:dyDescent="0.25">
      <c r="A3350" s="219"/>
      <c r="B3350" s="237"/>
      <c r="C3350" s="36" t="s">
        <v>786</v>
      </c>
      <c r="D3350" s="47" t="s">
        <v>703</v>
      </c>
      <c r="E3350" s="37">
        <v>6.9900000000000004E-2</v>
      </c>
      <c r="F3350" s="31">
        <v>17.071499999999997</v>
      </c>
      <c r="G3350" s="34">
        <f t="shared" si="57"/>
        <v>1.1932978499999998</v>
      </c>
      <c r="H3350" s="35"/>
      <c r="I3350" s="31"/>
      <c r="J3350" s="102">
        <v>0</v>
      </c>
    </row>
    <row r="3351" spans="1:10" hidden="1" x14ac:dyDescent="0.25">
      <c r="A3351" s="219"/>
      <c r="B3351" s="237"/>
      <c r="C3351" s="36" t="s">
        <v>993</v>
      </c>
      <c r="D3351" s="47" t="s">
        <v>703</v>
      </c>
      <c r="E3351" s="37">
        <v>7.3400000000000007E-2</v>
      </c>
      <c r="F3351" s="31">
        <v>21.2515</v>
      </c>
      <c r="G3351" s="34">
        <f t="shared" si="57"/>
        <v>1.5598601000000001</v>
      </c>
      <c r="H3351" s="35"/>
      <c r="I3351" s="31"/>
      <c r="J3351" s="102">
        <v>0</v>
      </c>
    </row>
    <row r="3352" spans="1:10" hidden="1" x14ac:dyDescent="0.25">
      <c r="A3352" s="219"/>
      <c r="B3352" s="237"/>
      <c r="C3352" s="36"/>
      <c r="D3352" s="47"/>
      <c r="E3352" s="37"/>
      <c r="F3352" s="31" t="s">
        <v>522</v>
      </c>
      <c r="G3352" s="34" t="str">
        <f t="shared" si="57"/>
        <v/>
      </c>
      <c r="H3352" s="35"/>
      <c r="I3352" s="31"/>
      <c r="J3352" s="102">
        <v>0</v>
      </c>
    </row>
    <row r="3353" spans="1:10" ht="25.5" hidden="1" x14ac:dyDescent="0.25">
      <c r="A3353" s="219"/>
      <c r="B3353" s="237"/>
      <c r="C3353" s="52" t="s">
        <v>994</v>
      </c>
      <c r="D3353" s="47"/>
      <c r="E3353" s="37"/>
      <c r="F3353" s="31" t="s">
        <v>522</v>
      </c>
      <c r="G3353" s="34" t="str">
        <f t="shared" si="57"/>
        <v/>
      </c>
      <c r="H3353" s="35"/>
      <c r="I3353" s="31"/>
      <c r="J3353" s="102">
        <v>0</v>
      </c>
    </row>
    <row r="3354" spans="1:10" ht="15.75" hidden="1" thickBot="1" x14ac:dyDescent="0.3">
      <c r="A3354" s="220"/>
      <c r="B3354" s="223"/>
      <c r="C3354" s="55"/>
      <c r="D3354" s="55"/>
      <c r="E3354" s="66"/>
      <c r="F3354" s="67" t="s">
        <v>522</v>
      </c>
      <c r="G3354" s="68" t="str">
        <f t="shared" si="57"/>
        <v/>
      </c>
      <c r="H3354" s="69"/>
      <c r="I3354" s="31"/>
      <c r="J3354" s="102">
        <v>0</v>
      </c>
    </row>
    <row r="3355" spans="1:10" ht="15.75" hidden="1" thickBot="1" x14ac:dyDescent="0.3">
      <c r="A3355" s="218" t="s">
        <v>995</v>
      </c>
      <c r="B3355" s="221" t="e">
        <f>INDEX(#REF!,MATCH(Composições!A3355,#REF!,0),2)</f>
        <v>#REF!</v>
      </c>
      <c r="C3355" s="41"/>
      <c r="D3355" s="26" t="s">
        <v>20</v>
      </c>
      <c r="E3355" s="27"/>
      <c r="F3355" s="42" t="s">
        <v>522</v>
      </c>
      <c r="G3355" s="28" t="str">
        <f t="shared" si="57"/>
        <v/>
      </c>
      <c r="H3355" s="29"/>
      <c r="I3355" s="30"/>
      <c r="J3355" s="102">
        <v>0</v>
      </c>
    </row>
    <row r="3356" spans="1:10" hidden="1" x14ac:dyDescent="0.25">
      <c r="A3356" s="219"/>
      <c r="B3356" s="237"/>
      <c r="C3356" s="32"/>
      <c r="D3356" s="32"/>
      <c r="E3356" s="33"/>
      <c r="F3356" s="43" t="s">
        <v>522</v>
      </c>
      <c r="G3356" s="34" t="str">
        <f t="shared" si="57"/>
        <v/>
      </c>
      <c r="H3356" s="35"/>
      <c r="I3356" s="31"/>
      <c r="J3356" s="102">
        <v>0</v>
      </c>
    </row>
    <row r="3357" spans="1:10" hidden="1" x14ac:dyDescent="0.25">
      <c r="A3357" s="219"/>
      <c r="B3357" s="237"/>
      <c r="C3357" s="36" t="s">
        <v>617</v>
      </c>
      <c r="D3357" s="36" t="s">
        <v>12</v>
      </c>
      <c r="E3357" s="37">
        <v>2.5</v>
      </c>
      <c r="F3357" s="31">
        <v>21.365499999999997</v>
      </c>
      <c r="G3357" s="34">
        <f t="shared" si="57"/>
        <v>53.413749999999993</v>
      </c>
      <c r="H3357" s="39">
        <f>SUM(G3357:G3358)</f>
        <v>139.19874999999996</v>
      </c>
      <c r="I3357" s="40"/>
      <c r="J3357" s="102">
        <v>0</v>
      </c>
    </row>
    <row r="3358" spans="1:10" hidden="1" x14ac:dyDescent="0.25">
      <c r="A3358" s="219"/>
      <c r="B3358" s="237"/>
      <c r="C3358" s="36" t="s">
        <v>618</v>
      </c>
      <c r="D3358" s="36" t="s">
        <v>12</v>
      </c>
      <c r="E3358" s="37">
        <v>5</v>
      </c>
      <c r="F3358" s="31">
        <v>17.156999999999996</v>
      </c>
      <c r="G3358" s="34">
        <f t="shared" si="57"/>
        <v>85.784999999999982</v>
      </c>
      <c r="H3358" s="35"/>
      <c r="I3358" s="31"/>
      <c r="J3358" s="102">
        <v>0</v>
      </c>
    </row>
    <row r="3359" spans="1:10" ht="15.75" hidden="1" thickBot="1" x14ac:dyDescent="0.3">
      <c r="A3359" s="220"/>
      <c r="B3359" s="223"/>
      <c r="C3359" s="36"/>
      <c r="D3359" s="36"/>
      <c r="E3359" s="37"/>
      <c r="F3359" s="31" t="s">
        <v>522</v>
      </c>
      <c r="G3359" s="34" t="str">
        <f t="shared" si="57"/>
        <v/>
      </c>
      <c r="H3359" s="35"/>
      <c r="I3359" s="31"/>
      <c r="J3359" s="102">
        <v>0</v>
      </c>
    </row>
    <row r="3360" spans="1:10" ht="15.75" hidden="1" thickBot="1" x14ac:dyDescent="0.3">
      <c r="A3360" s="218" t="s">
        <v>996</v>
      </c>
      <c r="B3360" s="221" t="e">
        <f>INDEX(#REF!,MATCH(Composições!A3360,#REF!,0),2)</f>
        <v>#REF!</v>
      </c>
      <c r="C3360" s="41"/>
      <c r="D3360" s="26" t="s">
        <v>20</v>
      </c>
      <c r="E3360" s="27"/>
      <c r="F3360" s="42" t="s">
        <v>522</v>
      </c>
      <c r="G3360" s="28" t="str">
        <f t="shared" si="57"/>
        <v/>
      </c>
      <c r="H3360" s="29"/>
      <c r="I3360" s="30"/>
      <c r="J3360" s="102">
        <v>0</v>
      </c>
    </row>
    <row r="3361" spans="1:10" hidden="1" x14ac:dyDescent="0.25">
      <c r="A3361" s="219"/>
      <c r="B3361" s="237"/>
      <c r="C3361" s="32"/>
      <c r="D3361" s="32"/>
      <c r="E3361" s="33"/>
      <c r="F3361" s="43" t="s">
        <v>522</v>
      </c>
      <c r="G3361" s="34" t="str">
        <f t="shared" si="57"/>
        <v/>
      </c>
      <c r="H3361" s="35"/>
      <c r="I3361" s="31"/>
      <c r="J3361" s="102">
        <v>0</v>
      </c>
    </row>
    <row r="3362" spans="1:10" ht="25.5" hidden="1" x14ac:dyDescent="0.25">
      <c r="A3362" s="219"/>
      <c r="B3362" s="237"/>
      <c r="C3362" s="36" t="s">
        <v>997</v>
      </c>
      <c r="D3362" s="47" t="s">
        <v>144</v>
      </c>
      <c r="E3362" s="37">
        <v>1</v>
      </c>
      <c r="F3362" s="31" t="s">
        <v>522</v>
      </c>
      <c r="G3362" s="34" t="str">
        <f t="shared" si="57"/>
        <v/>
      </c>
      <c r="H3362" s="39">
        <f>SUM(G3362:G3365)</f>
        <v>5.7510634499999993</v>
      </c>
      <c r="I3362" s="40"/>
      <c r="J3362" s="102">
        <v>0</v>
      </c>
    </row>
    <row r="3363" spans="1:10" hidden="1" x14ac:dyDescent="0.25">
      <c r="A3363" s="219"/>
      <c r="B3363" s="237"/>
      <c r="C3363" s="36" t="s">
        <v>318</v>
      </c>
      <c r="D3363" s="47" t="s">
        <v>279</v>
      </c>
      <c r="E3363" s="37">
        <v>1.32E-2</v>
      </c>
      <c r="F3363" s="31">
        <v>12.995999999999999</v>
      </c>
      <c r="G3363" s="34">
        <f t="shared" si="57"/>
        <v>0.17154719999999998</v>
      </c>
      <c r="H3363" s="35"/>
      <c r="I3363" s="31"/>
      <c r="J3363" s="102">
        <v>0</v>
      </c>
    </row>
    <row r="3364" spans="1:10" hidden="1" x14ac:dyDescent="0.25">
      <c r="A3364" s="219"/>
      <c r="B3364" s="237"/>
      <c r="C3364" s="36" t="s">
        <v>39</v>
      </c>
      <c r="D3364" s="47" t="s">
        <v>12</v>
      </c>
      <c r="E3364" s="37">
        <v>0.14849999999999999</v>
      </c>
      <c r="F3364" s="31">
        <v>20.9</v>
      </c>
      <c r="G3364" s="34">
        <f t="shared" si="57"/>
        <v>3.1036499999999996</v>
      </c>
      <c r="H3364" s="35"/>
      <c r="I3364" s="31"/>
      <c r="J3364" s="102">
        <v>0</v>
      </c>
    </row>
    <row r="3365" spans="1:10" ht="25.5" hidden="1" x14ac:dyDescent="0.25">
      <c r="A3365" s="219"/>
      <c r="B3365" s="237"/>
      <c r="C3365" s="36" t="s">
        <v>107</v>
      </c>
      <c r="D3365" s="36" t="s">
        <v>12</v>
      </c>
      <c r="E3365" s="37">
        <v>0.14849999999999999</v>
      </c>
      <c r="F3365" s="31">
        <v>16.672499999999999</v>
      </c>
      <c r="G3365" s="34">
        <f t="shared" si="57"/>
        <v>2.4758662499999997</v>
      </c>
      <c r="H3365" s="35"/>
      <c r="I3365" s="31"/>
      <c r="J3365" s="102">
        <v>0</v>
      </c>
    </row>
    <row r="3366" spans="1:10" ht="15.75" hidden="1" thickBot="1" x14ac:dyDescent="0.3">
      <c r="A3366" s="220"/>
      <c r="B3366" s="223"/>
      <c r="C3366" s="36"/>
      <c r="D3366" s="36"/>
      <c r="E3366" s="37"/>
      <c r="F3366" s="31" t="s">
        <v>522</v>
      </c>
      <c r="G3366" s="34" t="str">
        <f t="shared" si="57"/>
        <v/>
      </c>
      <c r="H3366" s="35"/>
      <c r="I3366" s="31"/>
      <c r="J3366" s="102">
        <v>0</v>
      </c>
    </row>
    <row r="3367" spans="1:10" ht="15.75" hidden="1" thickBot="1" x14ac:dyDescent="0.3">
      <c r="A3367" s="218" t="s">
        <v>998</v>
      </c>
      <c r="B3367" s="221" t="e">
        <f>INDEX(#REF!,MATCH(Composições!A3367,#REF!,0),2)</f>
        <v>#REF!</v>
      </c>
      <c r="C3367" s="41"/>
      <c r="D3367" s="26" t="s">
        <v>20</v>
      </c>
      <c r="E3367" s="27"/>
      <c r="F3367" s="42" t="s">
        <v>522</v>
      </c>
      <c r="G3367" s="28" t="str">
        <f t="shared" si="57"/>
        <v/>
      </c>
      <c r="H3367" s="29"/>
      <c r="I3367" s="30"/>
      <c r="J3367" s="102">
        <v>0</v>
      </c>
    </row>
    <row r="3368" spans="1:10" hidden="1" x14ac:dyDescent="0.25">
      <c r="A3368" s="219"/>
      <c r="B3368" s="237"/>
      <c r="C3368" s="32"/>
      <c r="D3368" s="32"/>
      <c r="E3368" s="33"/>
      <c r="F3368" s="43" t="s">
        <v>522</v>
      </c>
      <c r="G3368" s="34" t="str">
        <f t="shared" si="57"/>
        <v/>
      </c>
      <c r="H3368" s="35"/>
      <c r="I3368" s="31"/>
      <c r="J3368" s="102">
        <v>0</v>
      </c>
    </row>
    <row r="3369" spans="1:10" hidden="1" x14ac:dyDescent="0.25">
      <c r="A3369" s="219"/>
      <c r="B3369" s="237"/>
      <c r="C3369" s="36" t="s">
        <v>318</v>
      </c>
      <c r="D3369" s="47" t="s">
        <v>279</v>
      </c>
      <c r="E3369" s="37">
        <v>1.06E-2</v>
      </c>
      <c r="F3369" s="31">
        <v>12.995999999999999</v>
      </c>
      <c r="G3369" s="34">
        <f t="shared" si="57"/>
        <v>0.13775759999999998</v>
      </c>
      <c r="H3369" s="39">
        <f>SUM(G3369:G3372)</f>
        <v>4.2782470999999997</v>
      </c>
      <c r="I3369" s="40"/>
      <c r="J3369" s="102">
        <v>0</v>
      </c>
    </row>
    <row r="3370" spans="1:10" ht="25.5" hidden="1" x14ac:dyDescent="0.25">
      <c r="A3370" s="219"/>
      <c r="B3370" s="237"/>
      <c r="C3370" s="36" t="s">
        <v>999</v>
      </c>
      <c r="D3370" s="47" t="s">
        <v>144</v>
      </c>
      <c r="E3370" s="37">
        <v>1</v>
      </c>
      <c r="F3370" s="31" t="s">
        <v>522</v>
      </c>
      <c r="G3370" s="34" t="str">
        <f t="shared" si="57"/>
        <v/>
      </c>
      <c r="H3370" s="35"/>
      <c r="I3370" s="31"/>
      <c r="J3370" s="102">
        <v>0</v>
      </c>
    </row>
    <row r="3371" spans="1:10" ht="25.5" hidden="1" x14ac:dyDescent="0.25">
      <c r="A3371" s="219"/>
      <c r="B3371" s="237"/>
      <c r="C3371" s="36" t="s">
        <v>107</v>
      </c>
      <c r="D3371" s="47" t="s">
        <v>12</v>
      </c>
      <c r="E3371" s="37">
        <v>0.11020000000000001</v>
      </c>
      <c r="F3371" s="31">
        <v>16.672499999999999</v>
      </c>
      <c r="G3371" s="34">
        <f t="shared" si="57"/>
        <v>1.8373095000000002</v>
      </c>
      <c r="H3371" s="35"/>
      <c r="I3371" s="31"/>
      <c r="J3371" s="102">
        <v>0</v>
      </c>
    </row>
    <row r="3372" spans="1:10" hidden="1" x14ac:dyDescent="0.25">
      <c r="A3372" s="219"/>
      <c r="B3372" s="237"/>
      <c r="C3372" s="36" t="s">
        <v>39</v>
      </c>
      <c r="D3372" s="36" t="s">
        <v>12</v>
      </c>
      <c r="E3372" s="37">
        <v>0.11020000000000001</v>
      </c>
      <c r="F3372" s="31">
        <v>20.9</v>
      </c>
      <c r="G3372" s="34">
        <f t="shared" si="57"/>
        <v>2.3031799999999998</v>
      </c>
      <c r="H3372" s="35"/>
      <c r="I3372" s="31"/>
      <c r="J3372" s="102">
        <v>0</v>
      </c>
    </row>
    <row r="3373" spans="1:10" ht="15.75" hidden="1" thickBot="1" x14ac:dyDescent="0.3">
      <c r="A3373" s="220"/>
      <c r="B3373" s="223"/>
      <c r="C3373" s="36"/>
      <c r="D3373" s="36"/>
      <c r="E3373" s="37"/>
      <c r="F3373" s="31" t="s">
        <v>522</v>
      </c>
      <c r="G3373" s="34" t="str">
        <f t="shared" si="57"/>
        <v/>
      </c>
      <c r="H3373" s="35"/>
      <c r="I3373" s="31"/>
      <c r="J3373" s="102">
        <v>0</v>
      </c>
    </row>
    <row r="3374" spans="1:10" ht="15.75" hidden="1" thickBot="1" x14ac:dyDescent="0.3">
      <c r="A3374" s="218" t="s">
        <v>1000</v>
      </c>
      <c r="B3374" s="221" t="e">
        <f>INDEX(#REF!,MATCH(Composições!A3374,#REF!,0),2)</f>
        <v>#REF!</v>
      </c>
      <c r="C3374" s="41"/>
      <c r="D3374" s="26" t="s">
        <v>20</v>
      </c>
      <c r="E3374" s="27"/>
      <c r="F3374" s="42" t="s">
        <v>522</v>
      </c>
      <c r="G3374" s="28" t="str">
        <f t="shared" si="57"/>
        <v/>
      </c>
      <c r="H3374" s="29"/>
      <c r="I3374" s="30"/>
      <c r="J3374" s="102">
        <v>0</v>
      </c>
    </row>
    <row r="3375" spans="1:10" hidden="1" x14ac:dyDescent="0.25">
      <c r="A3375" s="219"/>
      <c r="B3375" s="237"/>
      <c r="C3375" s="32"/>
      <c r="D3375" s="32"/>
      <c r="E3375" s="33"/>
      <c r="F3375" s="43" t="s">
        <v>522</v>
      </c>
      <c r="G3375" s="34" t="str">
        <f t="shared" si="57"/>
        <v/>
      </c>
      <c r="H3375" s="35"/>
      <c r="I3375" s="31"/>
      <c r="J3375" s="102">
        <v>0</v>
      </c>
    </row>
    <row r="3376" spans="1:10" ht="25.5" hidden="1" x14ac:dyDescent="0.25">
      <c r="A3376" s="219"/>
      <c r="B3376" s="237"/>
      <c r="C3376" s="36" t="s">
        <v>1001</v>
      </c>
      <c r="D3376" s="47" t="s">
        <v>279</v>
      </c>
      <c r="E3376" s="37">
        <v>1</v>
      </c>
      <c r="F3376" s="31">
        <v>206.19749999999999</v>
      </c>
      <c r="G3376" s="34">
        <f t="shared" si="57"/>
        <v>206.19749999999999</v>
      </c>
      <c r="H3376" s="39">
        <f>SUM(G3376:G3379)</f>
        <v>243.1261986061964</v>
      </c>
      <c r="I3376" s="40"/>
      <c r="J3376" s="102">
        <v>0</v>
      </c>
    </row>
    <row r="3377" spans="1:10" ht="25.5" hidden="1" x14ac:dyDescent="0.25">
      <c r="A3377" s="219"/>
      <c r="B3377" s="237"/>
      <c r="C3377" s="36" t="s">
        <v>1679</v>
      </c>
      <c r="D3377" s="47" t="s">
        <v>120</v>
      </c>
      <c r="E3377" s="37">
        <v>4.4000000000000003E-3</v>
      </c>
      <c r="F3377" s="31">
        <v>553.03047868099998</v>
      </c>
      <c r="G3377" s="34">
        <f t="shared" ref="G3377:G3440" si="58">IF(ISNUMBER(F3377),E3377*F3377,"")</f>
        <v>2.4333341061964</v>
      </c>
      <c r="H3377" s="35"/>
      <c r="I3377" s="31"/>
      <c r="J3377" s="102">
        <v>0</v>
      </c>
    </row>
    <row r="3378" spans="1:10" hidden="1" x14ac:dyDescent="0.25">
      <c r="A3378" s="219"/>
      <c r="B3378" s="237"/>
      <c r="C3378" s="36" t="s">
        <v>22</v>
      </c>
      <c r="D3378" s="36" t="s">
        <v>12</v>
      </c>
      <c r="E3378" s="37">
        <v>1.0088999999999999</v>
      </c>
      <c r="F3378" s="31">
        <v>21.479499999999998</v>
      </c>
      <c r="G3378" s="34">
        <f t="shared" si="58"/>
        <v>21.670667549999997</v>
      </c>
      <c r="H3378" s="35"/>
      <c r="I3378" s="31"/>
      <c r="J3378" s="102">
        <v>0</v>
      </c>
    </row>
    <row r="3379" spans="1:10" hidden="1" x14ac:dyDescent="0.25">
      <c r="A3379" s="219"/>
      <c r="B3379" s="237"/>
      <c r="C3379" s="36" t="s">
        <v>23</v>
      </c>
      <c r="D3379" s="36" t="s">
        <v>12</v>
      </c>
      <c r="E3379" s="37">
        <v>0.79269999999999996</v>
      </c>
      <c r="F3379" s="31">
        <v>16.1785</v>
      </c>
      <c r="G3379" s="34">
        <f t="shared" si="58"/>
        <v>12.82469695</v>
      </c>
      <c r="H3379" s="35"/>
      <c r="I3379" s="31"/>
      <c r="J3379" s="102">
        <v>0</v>
      </c>
    </row>
    <row r="3380" spans="1:10" ht="15.75" hidden="1" thickBot="1" x14ac:dyDescent="0.3">
      <c r="A3380" s="220"/>
      <c r="B3380" s="223"/>
      <c r="C3380" s="55"/>
      <c r="D3380" s="55"/>
      <c r="E3380" s="66"/>
      <c r="F3380" s="67" t="s">
        <v>522</v>
      </c>
      <c r="G3380" s="68" t="str">
        <f t="shared" si="58"/>
        <v/>
      </c>
      <c r="H3380" s="69"/>
      <c r="I3380" s="31"/>
      <c r="J3380" s="102">
        <v>0</v>
      </c>
    </row>
    <row r="3381" spans="1:10" ht="15.75" hidden="1" thickBot="1" x14ac:dyDescent="0.3">
      <c r="A3381" s="224" t="s">
        <v>1003</v>
      </c>
      <c r="B3381" s="237" t="e">
        <f>INDEX(#REF!,MATCH(Composições!A3381,#REF!,0),2)</f>
        <v>#REF!</v>
      </c>
      <c r="C3381" s="114"/>
      <c r="D3381" s="26" t="s">
        <v>1423</v>
      </c>
      <c r="E3381" s="70"/>
      <c r="F3381" s="71" t="s">
        <v>522</v>
      </c>
      <c r="G3381" s="71" t="str">
        <f t="shared" si="58"/>
        <v/>
      </c>
      <c r="H3381" s="72"/>
      <c r="I3381" s="30"/>
      <c r="J3381" s="102">
        <v>0</v>
      </c>
    </row>
    <row r="3382" spans="1:10" hidden="1" x14ac:dyDescent="0.25">
      <c r="A3382" s="219"/>
      <c r="B3382" s="237"/>
      <c r="C3382" s="32"/>
      <c r="D3382" s="32"/>
      <c r="E3382" s="33"/>
      <c r="F3382" s="31" t="s">
        <v>522</v>
      </c>
      <c r="G3382" s="34" t="str">
        <f t="shared" si="58"/>
        <v/>
      </c>
      <c r="H3382" s="35"/>
      <c r="I3382" s="31"/>
      <c r="J3382" s="102">
        <v>0</v>
      </c>
    </row>
    <row r="3383" spans="1:10" hidden="1" x14ac:dyDescent="0.25">
      <c r="A3383" s="219"/>
      <c r="B3383" s="237"/>
      <c r="C3383" s="36" t="s">
        <v>1004</v>
      </c>
      <c r="D3383" s="36" t="s">
        <v>12</v>
      </c>
      <c r="E3383" s="37">
        <v>1</v>
      </c>
      <c r="F3383" s="31">
        <v>78.697999999999993</v>
      </c>
      <c r="G3383" s="34">
        <f t="shared" si="58"/>
        <v>78.697999999999993</v>
      </c>
      <c r="H3383" s="39">
        <f>SUM(G3383:G3383)</f>
        <v>78.697999999999993</v>
      </c>
      <c r="I3383" s="40"/>
      <c r="J3383" s="102">
        <v>0</v>
      </c>
    </row>
    <row r="3384" spans="1:10" ht="15.75" hidden="1" thickBot="1" x14ac:dyDescent="0.3">
      <c r="A3384" s="220"/>
      <c r="B3384" s="223"/>
      <c r="C3384" s="36"/>
      <c r="D3384" s="36"/>
      <c r="E3384" s="37"/>
      <c r="F3384" s="31" t="s">
        <v>522</v>
      </c>
      <c r="G3384" s="34" t="str">
        <f t="shared" si="58"/>
        <v/>
      </c>
      <c r="H3384" s="35"/>
      <c r="I3384" s="31"/>
      <c r="J3384" s="102">
        <v>0</v>
      </c>
    </row>
    <row r="3385" spans="1:10" ht="15.75" hidden="1" thickBot="1" x14ac:dyDescent="0.3">
      <c r="A3385" s="218" t="s">
        <v>1005</v>
      </c>
      <c r="B3385" s="221" t="e">
        <f>INDEX(#REF!,MATCH(Composições!A3385,#REF!,0),2)</f>
        <v>#REF!</v>
      </c>
      <c r="C3385" s="41"/>
      <c r="D3385" s="26" t="s">
        <v>3955</v>
      </c>
      <c r="E3385" s="27"/>
      <c r="F3385" s="42" t="s">
        <v>522</v>
      </c>
      <c r="G3385" s="28" t="str">
        <f t="shared" si="58"/>
        <v/>
      </c>
      <c r="H3385" s="29"/>
      <c r="I3385" s="30"/>
      <c r="J3385" s="102">
        <v>0</v>
      </c>
    </row>
    <row r="3386" spans="1:10" hidden="1" x14ac:dyDescent="0.25">
      <c r="A3386" s="224"/>
      <c r="B3386" s="237"/>
      <c r="C3386" s="32"/>
      <c r="D3386" s="32"/>
      <c r="E3386" s="33"/>
      <c r="F3386" s="43" t="s">
        <v>522</v>
      </c>
      <c r="G3386" s="34" t="str">
        <f t="shared" si="58"/>
        <v/>
      </c>
      <c r="H3386" s="35"/>
      <c r="I3386" s="31"/>
      <c r="J3386" s="102">
        <v>0</v>
      </c>
    </row>
    <row r="3387" spans="1:10" ht="38.25" hidden="1" x14ac:dyDescent="0.25">
      <c r="A3387" s="224"/>
      <c r="B3387" s="237"/>
      <c r="C3387" s="36" t="s">
        <v>1006</v>
      </c>
      <c r="D3387" s="36" t="s">
        <v>127</v>
      </c>
      <c r="E3387" s="37">
        <v>1</v>
      </c>
      <c r="F3387" s="31">
        <v>522.5</v>
      </c>
      <c r="G3387" s="34">
        <f t="shared" si="58"/>
        <v>522.5</v>
      </c>
      <c r="H3387" s="39">
        <f>SUM(G3387:G3387)</f>
        <v>522.5</v>
      </c>
      <c r="I3387" s="40"/>
      <c r="J3387" s="102">
        <v>0</v>
      </c>
    </row>
    <row r="3388" spans="1:10" ht="15.75" hidden="1" thickBot="1" x14ac:dyDescent="0.3">
      <c r="A3388" s="225"/>
      <c r="B3388" s="223"/>
      <c r="C3388" s="36"/>
      <c r="D3388" s="36"/>
      <c r="E3388" s="37"/>
      <c r="F3388" s="31" t="s">
        <v>522</v>
      </c>
      <c r="G3388" s="34" t="str">
        <f t="shared" si="58"/>
        <v/>
      </c>
      <c r="H3388" s="35"/>
      <c r="I3388" s="31"/>
      <c r="J3388" s="102">
        <v>0</v>
      </c>
    </row>
    <row r="3389" spans="1:10" ht="15.75" hidden="1" thickBot="1" x14ac:dyDescent="0.3">
      <c r="A3389" s="218" t="s">
        <v>1007</v>
      </c>
      <c r="B3389" s="221" t="e">
        <f>INDEX(#REF!,MATCH(Composições!A3389,#REF!,0),2)</f>
        <v>#REF!</v>
      </c>
      <c r="C3389" s="41"/>
      <c r="D3389" s="26" t="s">
        <v>95</v>
      </c>
      <c r="E3389" s="27"/>
      <c r="F3389" s="42" t="s">
        <v>522</v>
      </c>
      <c r="G3389" s="28" t="str">
        <f t="shared" si="58"/>
        <v/>
      </c>
      <c r="H3389" s="29"/>
      <c r="I3389" s="30"/>
      <c r="J3389" s="102">
        <v>0</v>
      </c>
    </row>
    <row r="3390" spans="1:10" hidden="1" x14ac:dyDescent="0.25">
      <c r="A3390" s="219"/>
      <c r="B3390" s="237"/>
      <c r="C3390" s="32"/>
      <c r="D3390" s="32"/>
      <c r="E3390" s="33"/>
      <c r="F3390" s="43" t="s">
        <v>522</v>
      </c>
      <c r="G3390" s="34" t="str">
        <f t="shared" si="58"/>
        <v/>
      </c>
      <c r="H3390" s="35"/>
      <c r="I3390" s="31"/>
      <c r="J3390" s="102">
        <v>0</v>
      </c>
    </row>
    <row r="3391" spans="1:10" hidden="1" x14ac:dyDescent="0.25">
      <c r="A3391" s="219"/>
      <c r="B3391" s="237"/>
      <c r="C3391" s="36" t="s">
        <v>23</v>
      </c>
      <c r="D3391" s="36" t="s">
        <v>12</v>
      </c>
      <c r="E3391" s="37">
        <v>8.8999999999999996E-2</v>
      </c>
      <c r="F3391" s="31">
        <v>16.1785</v>
      </c>
      <c r="G3391" s="34">
        <f t="shared" si="58"/>
        <v>1.4398864999999998</v>
      </c>
      <c r="H3391" s="39">
        <f>SUM(G3391:G3392)</f>
        <v>1.4954614999999998</v>
      </c>
      <c r="I3391" s="40"/>
      <c r="J3391" s="102">
        <v>0</v>
      </c>
    </row>
    <row r="3392" spans="1:10" ht="38.25" hidden="1" x14ac:dyDescent="0.25">
      <c r="A3392" s="219"/>
      <c r="B3392" s="237"/>
      <c r="C3392" s="36" t="s">
        <v>1008</v>
      </c>
      <c r="D3392" s="36" t="s">
        <v>33</v>
      </c>
      <c r="E3392" s="37">
        <v>1.4999999999999999E-2</v>
      </c>
      <c r="F3392" s="31">
        <v>3.7049999999999996</v>
      </c>
      <c r="G3392" s="34">
        <f t="shared" si="58"/>
        <v>5.5574999999999992E-2</v>
      </c>
      <c r="H3392" s="35"/>
      <c r="I3392" s="31"/>
      <c r="J3392" s="102">
        <v>0</v>
      </c>
    </row>
    <row r="3393" spans="1:10" ht="15.75" hidden="1" thickBot="1" x14ac:dyDescent="0.3">
      <c r="A3393" s="220"/>
      <c r="B3393" s="223"/>
      <c r="C3393" s="36"/>
      <c r="D3393" s="36"/>
      <c r="E3393" s="37"/>
      <c r="F3393" s="31" t="s">
        <v>522</v>
      </c>
      <c r="G3393" s="34" t="str">
        <f t="shared" si="58"/>
        <v/>
      </c>
      <c r="H3393" s="35"/>
      <c r="I3393" s="31"/>
      <c r="J3393" s="102">
        <v>0</v>
      </c>
    </row>
    <row r="3394" spans="1:10" ht="15.75" hidden="1" thickBot="1" x14ac:dyDescent="0.3">
      <c r="A3394" s="218" t="s">
        <v>1009</v>
      </c>
      <c r="B3394" s="221" t="e">
        <f>INDEX(#REF!,MATCH(Composições!A3394,#REF!,0),2)</f>
        <v>#REF!</v>
      </c>
      <c r="C3394" s="41"/>
      <c r="D3394" s="26" t="s">
        <v>95</v>
      </c>
      <c r="E3394" s="27"/>
      <c r="F3394" s="49" t="s">
        <v>522</v>
      </c>
      <c r="G3394" s="28" t="str">
        <f t="shared" si="58"/>
        <v/>
      </c>
      <c r="H3394" s="29"/>
      <c r="I3394" s="30"/>
      <c r="J3394" s="102">
        <v>0</v>
      </c>
    </row>
    <row r="3395" spans="1:10" hidden="1" x14ac:dyDescent="0.25">
      <c r="A3395" s="219"/>
      <c r="B3395" s="237"/>
      <c r="C3395" s="32"/>
      <c r="D3395" s="32"/>
      <c r="E3395" s="33"/>
      <c r="F3395" s="54" t="s">
        <v>522</v>
      </c>
      <c r="G3395" s="54" t="str">
        <f t="shared" si="58"/>
        <v/>
      </c>
      <c r="H3395" s="73"/>
      <c r="I3395" s="74"/>
      <c r="J3395" s="102">
        <v>0</v>
      </c>
    </row>
    <row r="3396" spans="1:10" hidden="1" x14ac:dyDescent="0.25">
      <c r="A3396" s="219"/>
      <c r="B3396" s="237"/>
      <c r="C3396" s="36" t="s">
        <v>54</v>
      </c>
      <c r="D3396" s="36" t="s">
        <v>12</v>
      </c>
      <c r="E3396" s="37">
        <v>0.25</v>
      </c>
      <c r="F3396" s="54">
        <v>21.403500000000001</v>
      </c>
      <c r="G3396" s="54">
        <f t="shared" si="58"/>
        <v>5.3508750000000003</v>
      </c>
      <c r="H3396" s="39">
        <f>SUM(G3396:G3397)</f>
        <v>5.3508750000000003</v>
      </c>
      <c r="I3396" s="40"/>
      <c r="J3396" s="102">
        <v>0</v>
      </c>
    </row>
    <row r="3397" spans="1:10" ht="15.75" hidden="1" thickBot="1" x14ac:dyDescent="0.3">
      <c r="A3397" s="220"/>
      <c r="B3397" s="223"/>
      <c r="C3397" s="36"/>
      <c r="D3397" s="36"/>
      <c r="E3397" s="37"/>
      <c r="F3397" s="54" t="s">
        <v>522</v>
      </c>
      <c r="G3397" s="54" t="str">
        <f t="shared" si="58"/>
        <v/>
      </c>
      <c r="H3397" s="73"/>
      <c r="I3397" s="74"/>
      <c r="J3397" s="102">
        <v>0</v>
      </c>
    </row>
    <row r="3398" spans="1:10" ht="15.75" hidden="1" thickBot="1" x14ac:dyDescent="0.3">
      <c r="A3398" s="218" t="s">
        <v>1010</v>
      </c>
      <c r="B3398" s="221" t="e">
        <f>INDEX(#REF!,MATCH(Composições!A3398,#REF!,0),2)</f>
        <v>#REF!</v>
      </c>
      <c r="C3398" s="41"/>
      <c r="D3398" s="26" t="s">
        <v>95</v>
      </c>
      <c r="E3398" s="27"/>
      <c r="F3398" s="49" t="s">
        <v>522</v>
      </c>
      <c r="G3398" s="28" t="str">
        <f t="shared" si="58"/>
        <v/>
      </c>
      <c r="H3398" s="29"/>
      <c r="I3398" s="30"/>
      <c r="J3398" s="102">
        <v>0</v>
      </c>
    </row>
    <row r="3399" spans="1:10" hidden="1" x14ac:dyDescent="0.25">
      <c r="A3399" s="219"/>
      <c r="B3399" s="237"/>
      <c r="C3399" s="32"/>
      <c r="D3399" s="32"/>
      <c r="E3399" s="33"/>
      <c r="F3399" s="54" t="s">
        <v>522</v>
      </c>
      <c r="G3399" s="54" t="str">
        <f t="shared" si="58"/>
        <v/>
      </c>
      <c r="H3399" s="73"/>
      <c r="I3399" s="74"/>
      <c r="J3399" s="102">
        <v>0</v>
      </c>
    </row>
    <row r="3400" spans="1:10" hidden="1" x14ac:dyDescent="0.25">
      <c r="A3400" s="219"/>
      <c r="B3400" s="237"/>
      <c r="C3400" s="36" t="s">
        <v>23</v>
      </c>
      <c r="D3400" s="36" t="s">
        <v>703</v>
      </c>
      <c r="E3400" s="37">
        <v>1.25</v>
      </c>
      <c r="F3400" s="54">
        <v>16.1785</v>
      </c>
      <c r="G3400" s="54">
        <f t="shared" si="58"/>
        <v>20.223125</v>
      </c>
      <c r="H3400" s="39">
        <f>SUM(G3400:G3400)</f>
        <v>20.223125</v>
      </c>
      <c r="I3400" s="40"/>
      <c r="J3400" s="102">
        <v>0</v>
      </c>
    </row>
    <row r="3401" spans="1:10" ht="15.75" hidden="1" thickBot="1" x14ac:dyDescent="0.3">
      <c r="A3401" s="220"/>
      <c r="B3401" s="223"/>
      <c r="C3401" s="36"/>
      <c r="D3401" s="36"/>
      <c r="E3401" s="37"/>
      <c r="F3401" s="54" t="s">
        <v>522</v>
      </c>
      <c r="G3401" s="54" t="str">
        <f t="shared" si="58"/>
        <v/>
      </c>
      <c r="H3401" s="73"/>
      <c r="I3401" s="74"/>
      <c r="J3401" s="102">
        <v>0</v>
      </c>
    </row>
    <row r="3402" spans="1:10" ht="15.75" hidden="1" thickBot="1" x14ac:dyDescent="0.3">
      <c r="A3402" s="218" t="s">
        <v>1011</v>
      </c>
      <c r="B3402" s="221" t="e">
        <f>INDEX(#REF!,MATCH(Composições!A3402,#REF!,0),2)</f>
        <v>#REF!</v>
      </c>
      <c r="C3402" s="41"/>
      <c r="D3402" s="26" t="s">
        <v>95</v>
      </c>
      <c r="E3402" s="27"/>
      <c r="F3402" s="49" t="s">
        <v>522</v>
      </c>
      <c r="G3402" s="28" t="str">
        <f t="shared" si="58"/>
        <v/>
      </c>
      <c r="H3402" s="29"/>
      <c r="I3402" s="30"/>
      <c r="J3402" s="102">
        <v>0</v>
      </c>
    </row>
    <row r="3403" spans="1:10" hidden="1" x14ac:dyDescent="0.25">
      <c r="A3403" s="219"/>
      <c r="B3403" s="237"/>
      <c r="C3403" s="32"/>
      <c r="D3403" s="32"/>
      <c r="E3403" s="33"/>
      <c r="F3403" s="54" t="s">
        <v>522</v>
      </c>
      <c r="G3403" s="54" t="str">
        <f t="shared" si="58"/>
        <v/>
      </c>
      <c r="H3403" s="73"/>
      <c r="I3403" s="74"/>
      <c r="J3403" s="102">
        <v>0</v>
      </c>
    </row>
    <row r="3404" spans="1:10" ht="38.25" hidden="1" x14ac:dyDescent="0.25">
      <c r="A3404" s="219"/>
      <c r="B3404" s="237"/>
      <c r="C3404" s="36" t="s">
        <v>1012</v>
      </c>
      <c r="D3404" s="36" t="s">
        <v>898</v>
      </c>
      <c r="E3404" s="37">
        <v>1.5</v>
      </c>
      <c r="F3404" s="54">
        <v>14.782</v>
      </c>
      <c r="G3404" s="54">
        <f t="shared" si="58"/>
        <v>22.173000000000002</v>
      </c>
      <c r="H3404" s="39">
        <f>SUM(G3404:G3407)</f>
        <v>40.810242499999994</v>
      </c>
      <c r="I3404" s="40"/>
      <c r="J3404" s="102">
        <v>0</v>
      </c>
    </row>
    <row r="3405" spans="1:10" hidden="1" x14ac:dyDescent="0.25">
      <c r="A3405" s="219"/>
      <c r="B3405" s="237"/>
      <c r="C3405" s="36" t="s">
        <v>1836</v>
      </c>
      <c r="D3405" s="36" t="s">
        <v>992</v>
      </c>
      <c r="E3405" s="37">
        <v>1.351</v>
      </c>
      <c r="F3405" s="54">
        <v>6.0134999999999996</v>
      </c>
      <c r="G3405" s="54">
        <f t="shared" si="58"/>
        <v>8.1242384999999988</v>
      </c>
      <c r="H3405" s="73"/>
      <c r="I3405" s="40"/>
      <c r="J3405" s="102">
        <v>0</v>
      </c>
    </row>
    <row r="3406" spans="1:10" hidden="1" x14ac:dyDescent="0.25">
      <c r="A3406" s="219"/>
      <c r="B3406" s="237"/>
      <c r="C3406" s="36" t="s">
        <v>1013</v>
      </c>
      <c r="D3406" s="36" t="s">
        <v>703</v>
      </c>
      <c r="E3406" s="37">
        <v>8.5000000000000006E-2</v>
      </c>
      <c r="F3406" s="54">
        <v>17.042999999999999</v>
      </c>
      <c r="G3406" s="54">
        <f t="shared" si="58"/>
        <v>1.448655</v>
      </c>
      <c r="H3406" s="73"/>
      <c r="I3406" s="74"/>
      <c r="J3406" s="102">
        <v>0</v>
      </c>
    </row>
    <row r="3407" spans="1:10" hidden="1" x14ac:dyDescent="0.25">
      <c r="A3407" s="219"/>
      <c r="B3407" s="237"/>
      <c r="C3407" s="36" t="s">
        <v>1014</v>
      </c>
      <c r="D3407" s="36" t="s">
        <v>703</v>
      </c>
      <c r="E3407" s="37">
        <v>0.42199999999999999</v>
      </c>
      <c r="F3407" s="54">
        <v>21.479499999999998</v>
      </c>
      <c r="G3407" s="54">
        <f t="shared" si="58"/>
        <v>9.0643489999999982</v>
      </c>
      <c r="H3407" s="73"/>
      <c r="I3407" s="74"/>
      <c r="J3407" s="102">
        <v>0</v>
      </c>
    </row>
    <row r="3408" spans="1:10" ht="15.75" hidden="1" thickBot="1" x14ac:dyDescent="0.3">
      <c r="A3408" s="220"/>
      <c r="B3408" s="223"/>
      <c r="C3408" s="36"/>
      <c r="D3408" s="36"/>
      <c r="E3408" s="37"/>
      <c r="F3408" s="54" t="s">
        <v>522</v>
      </c>
      <c r="G3408" s="54" t="str">
        <f t="shared" si="58"/>
        <v/>
      </c>
      <c r="H3408" s="73"/>
      <c r="I3408" s="74"/>
      <c r="J3408" s="102">
        <v>0</v>
      </c>
    </row>
    <row r="3409" spans="1:10" ht="15.75" hidden="1" thickBot="1" x14ac:dyDescent="0.3">
      <c r="A3409" s="218" t="s">
        <v>1015</v>
      </c>
      <c r="B3409" s="221" t="e">
        <f>INDEX(#REF!,MATCH(Composições!A3409,#REF!,0),2)</f>
        <v>#REF!</v>
      </c>
      <c r="C3409" s="41"/>
      <c r="D3409" s="26" t="s">
        <v>95</v>
      </c>
      <c r="E3409" s="27"/>
      <c r="F3409" s="49" t="s">
        <v>522</v>
      </c>
      <c r="G3409" s="28" t="str">
        <f t="shared" si="58"/>
        <v/>
      </c>
      <c r="H3409" s="29"/>
      <c r="I3409" s="30"/>
      <c r="J3409" s="102">
        <v>0</v>
      </c>
    </row>
    <row r="3410" spans="1:10" hidden="1" x14ac:dyDescent="0.25">
      <c r="A3410" s="219"/>
      <c r="B3410" s="237"/>
      <c r="C3410" s="32"/>
      <c r="D3410" s="32"/>
      <c r="E3410" s="33"/>
      <c r="F3410" s="54" t="s">
        <v>522</v>
      </c>
      <c r="G3410" s="54" t="str">
        <f t="shared" si="58"/>
        <v/>
      </c>
      <c r="H3410" s="73"/>
      <c r="I3410" s="74"/>
      <c r="J3410" s="102">
        <v>0</v>
      </c>
    </row>
    <row r="3411" spans="1:10" hidden="1" x14ac:dyDescent="0.25">
      <c r="A3411" s="219"/>
      <c r="B3411" s="237"/>
      <c r="C3411" s="36" t="s">
        <v>1016</v>
      </c>
      <c r="D3411" s="36" t="s">
        <v>992</v>
      </c>
      <c r="E3411" s="37">
        <v>1.04</v>
      </c>
      <c r="F3411" s="54">
        <v>1.7765</v>
      </c>
      <c r="G3411" s="54">
        <f t="shared" si="58"/>
        <v>1.8475600000000001</v>
      </c>
      <c r="H3411" s="39">
        <f>SUM(G3411:G3414)</f>
        <v>44.988019963125005</v>
      </c>
      <c r="I3411" s="40"/>
      <c r="J3411" s="102">
        <v>0</v>
      </c>
    </row>
    <row r="3412" spans="1:10" ht="25.5" hidden="1" x14ac:dyDescent="0.25">
      <c r="A3412" s="219"/>
      <c r="B3412" s="237"/>
      <c r="C3412" s="36" t="s">
        <v>1017</v>
      </c>
      <c r="D3412" s="36" t="s">
        <v>120</v>
      </c>
      <c r="E3412" s="37">
        <v>3.5000000000000003E-2</v>
      </c>
      <c r="F3412" s="54">
        <v>766.67797037499997</v>
      </c>
      <c r="G3412" s="54">
        <f t="shared" si="58"/>
        <v>26.833728963125001</v>
      </c>
      <c r="H3412" s="73"/>
      <c r="I3412" s="74"/>
      <c r="J3412" s="102">
        <v>0</v>
      </c>
    </row>
    <row r="3413" spans="1:10" hidden="1" x14ac:dyDescent="0.25">
      <c r="A3413" s="219"/>
      <c r="B3413" s="237"/>
      <c r="C3413" s="36" t="s">
        <v>22</v>
      </c>
      <c r="D3413" s="36" t="s">
        <v>703</v>
      </c>
      <c r="E3413" s="37">
        <v>0.65900000000000003</v>
      </c>
      <c r="F3413" s="54">
        <v>21.479499999999998</v>
      </c>
      <c r="G3413" s="54">
        <f t="shared" si="58"/>
        <v>14.154990499999998</v>
      </c>
      <c r="H3413" s="73"/>
      <c r="I3413" s="74"/>
      <c r="J3413" s="102">
        <v>0</v>
      </c>
    </row>
    <row r="3414" spans="1:10" hidden="1" x14ac:dyDescent="0.25">
      <c r="A3414" s="219"/>
      <c r="B3414" s="237"/>
      <c r="C3414" s="36" t="s">
        <v>23</v>
      </c>
      <c r="D3414" s="36" t="s">
        <v>703</v>
      </c>
      <c r="E3414" s="37">
        <v>0.13300000000000001</v>
      </c>
      <c r="F3414" s="54">
        <v>16.1785</v>
      </c>
      <c r="G3414" s="54">
        <f t="shared" si="58"/>
        <v>2.1517405000000003</v>
      </c>
      <c r="H3414" s="73"/>
      <c r="I3414" s="74"/>
      <c r="J3414" s="102">
        <v>0</v>
      </c>
    </row>
    <row r="3415" spans="1:10" ht="15.75" hidden="1" thickBot="1" x14ac:dyDescent="0.3">
      <c r="A3415" s="220"/>
      <c r="B3415" s="223"/>
      <c r="C3415" s="36"/>
      <c r="D3415" s="36"/>
      <c r="E3415" s="37"/>
      <c r="F3415" s="54" t="s">
        <v>522</v>
      </c>
      <c r="G3415" s="54" t="str">
        <f t="shared" si="58"/>
        <v/>
      </c>
      <c r="H3415" s="73"/>
      <c r="I3415" s="74"/>
      <c r="J3415" s="102">
        <v>0</v>
      </c>
    </row>
    <row r="3416" spans="1:10" ht="15.75" hidden="1" thickBot="1" x14ac:dyDescent="0.3">
      <c r="A3416" s="218" t="s">
        <v>1018</v>
      </c>
      <c r="B3416" s="221" t="e">
        <f>INDEX(#REF!,MATCH(Composições!A3416,#REF!,0),2)</f>
        <v>#REF!</v>
      </c>
      <c r="C3416" s="41"/>
      <c r="D3416" s="26" t="s">
        <v>95</v>
      </c>
      <c r="E3416" s="27"/>
      <c r="F3416" s="49" t="s">
        <v>522</v>
      </c>
      <c r="G3416" s="28" t="str">
        <f t="shared" si="58"/>
        <v/>
      </c>
      <c r="H3416" s="29"/>
      <c r="I3416" s="30"/>
      <c r="J3416" s="102">
        <v>0</v>
      </c>
    </row>
    <row r="3417" spans="1:10" hidden="1" x14ac:dyDescent="0.25">
      <c r="A3417" s="219"/>
      <c r="B3417" s="237"/>
      <c r="C3417" s="32"/>
      <c r="D3417" s="32"/>
      <c r="E3417" s="33"/>
      <c r="F3417" s="54" t="s">
        <v>522</v>
      </c>
      <c r="G3417" s="54" t="str">
        <f t="shared" si="58"/>
        <v/>
      </c>
      <c r="H3417" s="73"/>
      <c r="I3417" s="74"/>
      <c r="J3417" s="102">
        <v>0</v>
      </c>
    </row>
    <row r="3418" spans="1:10" ht="25.5" hidden="1" x14ac:dyDescent="0.25">
      <c r="A3418" s="219"/>
      <c r="B3418" s="237"/>
      <c r="C3418" s="36" t="s">
        <v>1019</v>
      </c>
      <c r="D3418" s="36" t="s">
        <v>992</v>
      </c>
      <c r="E3418" s="37">
        <v>1.05</v>
      </c>
      <c r="F3418" s="54">
        <v>12.682499999999999</v>
      </c>
      <c r="G3418" s="54">
        <f t="shared" si="58"/>
        <v>13.316625</v>
      </c>
      <c r="H3418" s="39">
        <f>SUM(G3418:G3421)</f>
        <v>57.628406463124996</v>
      </c>
      <c r="I3418" s="40"/>
      <c r="J3418" s="102">
        <v>0</v>
      </c>
    </row>
    <row r="3419" spans="1:10" ht="25.5" hidden="1" x14ac:dyDescent="0.25">
      <c r="A3419" s="219"/>
      <c r="B3419" s="237"/>
      <c r="C3419" s="36" t="s">
        <v>1017</v>
      </c>
      <c r="D3419" s="36" t="s">
        <v>120</v>
      </c>
      <c r="E3419" s="37">
        <v>3.5000000000000003E-2</v>
      </c>
      <c r="F3419" s="54">
        <v>766.67797037499997</v>
      </c>
      <c r="G3419" s="54">
        <f t="shared" si="58"/>
        <v>26.833728963125001</v>
      </c>
      <c r="H3419" s="73"/>
      <c r="I3419" s="74"/>
      <c r="J3419" s="102">
        <v>0</v>
      </c>
    </row>
    <row r="3420" spans="1:10" hidden="1" x14ac:dyDescent="0.25">
      <c r="A3420" s="219"/>
      <c r="B3420" s="237"/>
      <c r="C3420" s="36" t="s">
        <v>22</v>
      </c>
      <c r="D3420" s="36" t="s">
        <v>703</v>
      </c>
      <c r="E3420" s="37">
        <v>0.70599999999999996</v>
      </c>
      <c r="F3420" s="54">
        <v>21.479499999999998</v>
      </c>
      <c r="G3420" s="54">
        <f t="shared" si="58"/>
        <v>15.164526999999998</v>
      </c>
      <c r="H3420" s="73"/>
      <c r="I3420" s="74"/>
      <c r="J3420" s="102">
        <v>0</v>
      </c>
    </row>
    <row r="3421" spans="1:10" hidden="1" x14ac:dyDescent="0.25">
      <c r="A3421" s="219"/>
      <c r="B3421" s="237"/>
      <c r="C3421" s="36" t="s">
        <v>23</v>
      </c>
      <c r="D3421" s="36" t="s">
        <v>703</v>
      </c>
      <c r="E3421" s="37">
        <v>0.14299999999999999</v>
      </c>
      <c r="F3421" s="54">
        <v>16.1785</v>
      </c>
      <c r="G3421" s="54">
        <f t="shared" si="58"/>
        <v>2.3135254999999999</v>
      </c>
      <c r="H3421" s="73"/>
      <c r="I3421" s="74"/>
      <c r="J3421" s="102">
        <v>0</v>
      </c>
    </row>
    <row r="3422" spans="1:10" ht="15.75" hidden="1" thickBot="1" x14ac:dyDescent="0.3">
      <c r="A3422" s="220"/>
      <c r="B3422" s="223"/>
      <c r="C3422" s="36"/>
      <c r="D3422" s="36"/>
      <c r="E3422" s="37"/>
      <c r="F3422" s="54" t="s">
        <v>522</v>
      </c>
      <c r="G3422" s="54" t="str">
        <f t="shared" si="58"/>
        <v/>
      </c>
      <c r="H3422" s="73"/>
      <c r="I3422" s="74"/>
      <c r="J3422" s="102">
        <v>0</v>
      </c>
    </row>
    <row r="3423" spans="1:10" ht="15.75" hidden="1" thickBot="1" x14ac:dyDescent="0.3">
      <c r="A3423" s="218" t="s">
        <v>1020</v>
      </c>
      <c r="B3423" s="221" t="e">
        <f>INDEX(#REF!,MATCH(Composições!A3423,#REF!,0),2)</f>
        <v>#REF!</v>
      </c>
      <c r="C3423" s="41"/>
      <c r="D3423" s="26" t="s">
        <v>95</v>
      </c>
      <c r="E3423" s="27"/>
      <c r="F3423" s="49" t="s">
        <v>522</v>
      </c>
      <c r="G3423" s="28" t="str">
        <f t="shared" si="58"/>
        <v/>
      </c>
      <c r="H3423" s="29"/>
      <c r="I3423" s="30"/>
      <c r="J3423" s="102">
        <v>0</v>
      </c>
    </row>
    <row r="3424" spans="1:10" hidden="1" x14ac:dyDescent="0.25">
      <c r="A3424" s="219"/>
      <c r="B3424" s="237"/>
      <c r="C3424" s="32"/>
      <c r="D3424" s="32"/>
      <c r="E3424" s="33"/>
      <c r="F3424" s="54" t="s">
        <v>522</v>
      </c>
      <c r="G3424" s="54" t="str">
        <f t="shared" si="58"/>
        <v/>
      </c>
      <c r="H3424" s="73"/>
      <c r="I3424" s="74"/>
      <c r="J3424" s="102">
        <v>0</v>
      </c>
    </row>
    <row r="3425" spans="1:10" hidden="1" x14ac:dyDescent="0.25">
      <c r="A3425" s="219"/>
      <c r="B3425" s="237"/>
      <c r="C3425" s="36" t="s">
        <v>54</v>
      </c>
      <c r="D3425" s="36" t="s">
        <v>12</v>
      </c>
      <c r="E3425" s="37">
        <v>0.4</v>
      </c>
      <c r="F3425" s="54">
        <v>21.403500000000001</v>
      </c>
      <c r="G3425" s="54">
        <f t="shared" si="58"/>
        <v>8.5614000000000008</v>
      </c>
      <c r="H3425" s="39">
        <f>SUM(G3425:G3426)</f>
        <v>15.032800000000002</v>
      </c>
      <c r="I3425" s="40"/>
      <c r="J3425" s="102">
        <v>0</v>
      </c>
    </row>
    <row r="3426" spans="1:10" hidden="1" x14ac:dyDescent="0.25">
      <c r="A3426" s="219"/>
      <c r="B3426" s="237"/>
      <c r="C3426" s="36" t="s">
        <v>23</v>
      </c>
      <c r="D3426" s="36" t="s">
        <v>12</v>
      </c>
      <c r="E3426" s="37">
        <v>0.4</v>
      </c>
      <c r="F3426" s="54">
        <v>16.1785</v>
      </c>
      <c r="G3426" s="54">
        <f t="shared" si="58"/>
        <v>6.4714</v>
      </c>
      <c r="H3426" s="73"/>
      <c r="I3426" s="74"/>
      <c r="J3426" s="102">
        <v>0</v>
      </c>
    </row>
    <row r="3427" spans="1:10" ht="15.75" hidden="1" thickBot="1" x14ac:dyDescent="0.3">
      <c r="A3427" s="220"/>
      <c r="B3427" s="223"/>
      <c r="C3427" s="36"/>
      <c r="D3427" s="36"/>
      <c r="E3427" s="37"/>
      <c r="F3427" s="54" t="s">
        <v>522</v>
      </c>
      <c r="G3427" s="54" t="str">
        <f t="shared" si="58"/>
        <v/>
      </c>
      <c r="H3427" s="73"/>
      <c r="I3427" s="74"/>
      <c r="J3427" s="102">
        <v>0</v>
      </c>
    </row>
    <row r="3428" spans="1:10" ht="15.75" hidden="1" thickBot="1" x14ac:dyDescent="0.3">
      <c r="A3428" s="218" t="s">
        <v>1021</v>
      </c>
      <c r="B3428" s="221" t="e">
        <f>INDEX(#REF!,MATCH(Composições!A3428,#REF!,0),2)</f>
        <v>#REF!</v>
      </c>
      <c r="C3428" s="41"/>
      <c r="D3428" s="26" t="s">
        <v>95</v>
      </c>
      <c r="E3428" s="27"/>
      <c r="F3428" s="49" t="s">
        <v>522</v>
      </c>
      <c r="G3428" s="28" t="str">
        <f t="shared" si="58"/>
        <v/>
      </c>
      <c r="H3428" s="29"/>
      <c r="I3428" s="30"/>
      <c r="J3428" s="102">
        <v>0</v>
      </c>
    </row>
    <row r="3429" spans="1:10" hidden="1" x14ac:dyDescent="0.25">
      <c r="A3429" s="219"/>
      <c r="B3429" s="237"/>
      <c r="C3429" s="32"/>
      <c r="D3429" s="32"/>
      <c r="E3429" s="33"/>
      <c r="F3429" s="54" t="s">
        <v>522</v>
      </c>
      <c r="G3429" s="54" t="str">
        <f t="shared" si="58"/>
        <v/>
      </c>
      <c r="H3429" s="73"/>
      <c r="I3429" s="74"/>
      <c r="J3429" s="102">
        <v>0</v>
      </c>
    </row>
    <row r="3430" spans="1:10" hidden="1" x14ac:dyDescent="0.25">
      <c r="A3430" s="219"/>
      <c r="B3430" s="237"/>
      <c r="C3430" s="36" t="s">
        <v>54</v>
      </c>
      <c r="D3430" s="36" t="s">
        <v>12</v>
      </c>
      <c r="E3430" s="37">
        <v>1.2</v>
      </c>
      <c r="F3430" s="54">
        <v>21.403500000000001</v>
      </c>
      <c r="G3430" s="54">
        <f t="shared" si="58"/>
        <v>25.684200000000001</v>
      </c>
      <c r="H3430" s="39">
        <f>SUM(G3430:G3431)</f>
        <v>45.098399999999998</v>
      </c>
      <c r="I3430" s="40"/>
      <c r="J3430" s="102">
        <v>0</v>
      </c>
    </row>
    <row r="3431" spans="1:10" hidden="1" x14ac:dyDescent="0.25">
      <c r="A3431" s="219"/>
      <c r="B3431" s="237"/>
      <c r="C3431" s="36" t="s">
        <v>23</v>
      </c>
      <c r="D3431" s="36" t="s">
        <v>12</v>
      </c>
      <c r="E3431" s="37">
        <v>1.2</v>
      </c>
      <c r="F3431" s="54">
        <v>16.1785</v>
      </c>
      <c r="G3431" s="54">
        <f t="shared" si="58"/>
        <v>19.414199999999997</v>
      </c>
      <c r="H3431" s="73"/>
      <c r="I3431" s="74"/>
      <c r="J3431" s="102">
        <v>0</v>
      </c>
    </row>
    <row r="3432" spans="1:10" ht="15.75" hidden="1" thickBot="1" x14ac:dyDescent="0.3">
      <c r="A3432" s="220"/>
      <c r="B3432" s="223"/>
      <c r="C3432" s="36"/>
      <c r="D3432" s="36"/>
      <c r="E3432" s="37"/>
      <c r="F3432" s="54" t="s">
        <v>522</v>
      </c>
      <c r="G3432" s="54" t="str">
        <f t="shared" si="58"/>
        <v/>
      </c>
      <c r="H3432" s="73"/>
      <c r="I3432" s="74"/>
      <c r="J3432" s="102">
        <v>0</v>
      </c>
    </row>
    <row r="3433" spans="1:10" ht="15.75" hidden="1" thickBot="1" x14ac:dyDescent="0.3">
      <c r="A3433" s="218" t="s">
        <v>1022</v>
      </c>
      <c r="B3433" s="221" t="e">
        <f>INDEX(#REF!,MATCH(Composições!A3433,#REF!,0),2)</f>
        <v>#REF!</v>
      </c>
      <c r="C3433" s="41"/>
      <c r="D3433" s="26" t="s">
        <v>95</v>
      </c>
      <c r="E3433" s="27"/>
      <c r="F3433" s="49" t="s">
        <v>522</v>
      </c>
      <c r="G3433" s="28" t="str">
        <f t="shared" si="58"/>
        <v/>
      </c>
      <c r="H3433" s="29"/>
      <c r="I3433" s="30"/>
      <c r="J3433" s="102">
        <v>0</v>
      </c>
    </row>
    <row r="3434" spans="1:10" hidden="1" x14ac:dyDescent="0.25">
      <c r="A3434" s="219"/>
      <c r="B3434" s="237"/>
      <c r="C3434" s="32"/>
      <c r="D3434" s="32"/>
      <c r="E3434" s="33"/>
      <c r="F3434" s="54" t="s">
        <v>522</v>
      </c>
      <c r="G3434" s="54" t="str">
        <f t="shared" si="58"/>
        <v/>
      </c>
      <c r="H3434" s="73"/>
      <c r="I3434" s="74"/>
      <c r="J3434" s="102">
        <v>0</v>
      </c>
    </row>
    <row r="3435" spans="1:10" hidden="1" x14ac:dyDescent="0.25">
      <c r="A3435" s="219"/>
      <c r="B3435" s="237"/>
      <c r="C3435" s="36" t="s">
        <v>1023</v>
      </c>
      <c r="D3435" s="36" t="s">
        <v>95</v>
      </c>
      <c r="E3435" s="37">
        <v>1.05</v>
      </c>
      <c r="F3435" s="54">
        <v>4.7024999999999997</v>
      </c>
      <c r="G3435" s="54">
        <f t="shared" si="58"/>
        <v>4.9376249999999997</v>
      </c>
      <c r="H3435" s="39">
        <f>SUM(G3435:G3436)</f>
        <v>8.1733250000000002</v>
      </c>
      <c r="I3435" s="40"/>
      <c r="J3435" s="102">
        <v>0</v>
      </c>
    </row>
    <row r="3436" spans="1:10" hidden="1" x14ac:dyDescent="0.25">
      <c r="A3436" s="219"/>
      <c r="B3436" s="237"/>
      <c r="C3436" s="36" t="s">
        <v>23</v>
      </c>
      <c r="D3436" s="36" t="s">
        <v>12</v>
      </c>
      <c r="E3436" s="37">
        <v>0.2</v>
      </c>
      <c r="F3436" s="54">
        <v>16.1785</v>
      </c>
      <c r="G3436" s="54">
        <f t="shared" si="58"/>
        <v>3.2357</v>
      </c>
      <c r="H3436" s="73"/>
      <c r="I3436" s="74"/>
      <c r="J3436" s="102">
        <v>0</v>
      </c>
    </row>
    <row r="3437" spans="1:10" ht="15.75" hidden="1" thickBot="1" x14ac:dyDescent="0.3">
      <c r="A3437" s="220"/>
      <c r="B3437" s="223"/>
      <c r="C3437" s="36"/>
      <c r="D3437" s="36"/>
      <c r="E3437" s="37"/>
      <c r="F3437" s="54" t="s">
        <v>522</v>
      </c>
      <c r="G3437" s="54" t="str">
        <f t="shared" si="58"/>
        <v/>
      </c>
      <c r="H3437" s="73"/>
      <c r="I3437" s="74"/>
      <c r="J3437" s="102">
        <v>0</v>
      </c>
    </row>
    <row r="3438" spans="1:10" ht="15.75" hidden="1" thickBot="1" x14ac:dyDescent="0.3">
      <c r="A3438" s="218" t="s">
        <v>1024</v>
      </c>
      <c r="B3438" s="221" t="e">
        <f>INDEX(#REF!,MATCH(Composições!A3438,#REF!,0),2)</f>
        <v>#REF!</v>
      </c>
      <c r="C3438" s="41"/>
      <c r="D3438" s="26" t="s">
        <v>95</v>
      </c>
      <c r="E3438" s="27"/>
      <c r="F3438" s="49" t="s">
        <v>522</v>
      </c>
      <c r="G3438" s="28" t="str">
        <f t="shared" si="58"/>
        <v/>
      </c>
      <c r="H3438" s="29"/>
      <c r="I3438" s="30"/>
      <c r="J3438" s="102">
        <v>0</v>
      </c>
    </row>
    <row r="3439" spans="1:10" hidden="1" x14ac:dyDescent="0.25">
      <c r="A3439" s="219"/>
      <c r="B3439" s="237"/>
      <c r="C3439" s="32"/>
      <c r="D3439" s="32"/>
      <c r="E3439" s="33"/>
      <c r="F3439" s="54" t="s">
        <v>522</v>
      </c>
      <c r="G3439" s="54" t="str">
        <f t="shared" si="58"/>
        <v/>
      </c>
      <c r="H3439" s="73"/>
      <c r="I3439" s="74"/>
      <c r="J3439" s="102">
        <v>0</v>
      </c>
    </row>
    <row r="3440" spans="1:10" hidden="1" x14ac:dyDescent="0.25">
      <c r="A3440" s="219"/>
      <c r="B3440" s="237"/>
      <c r="C3440" s="36" t="s">
        <v>23</v>
      </c>
      <c r="D3440" s="36" t="s">
        <v>12</v>
      </c>
      <c r="E3440" s="37">
        <v>0.3</v>
      </c>
      <c r="F3440" s="54">
        <v>16.1785</v>
      </c>
      <c r="G3440" s="54">
        <f t="shared" si="58"/>
        <v>4.8535499999999994</v>
      </c>
      <c r="H3440" s="39">
        <f>SUM(G3440)</f>
        <v>4.8535499999999994</v>
      </c>
      <c r="I3440" s="40"/>
      <c r="J3440" s="102">
        <v>0</v>
      </c>
    </row>
    <row r="3441" spans="1:10" ht="15.75" hidden="1" thickBot="1" x14ac:dyDescent="0.3">
      <c r="A3441" s="220"/>
      <c r="B3441" s="223"/>
      <c r="C3441" s="36"/>
      <c r="D3441" s="36"/>
      <c r="E3441" s="37"/>
      <c r="F3441" s="54" t="s">
        <v>522</v>
      </c>
      <c r="G3441" s="54" t="str">
        <f t="shared" ref="G3441:G3504" si="59">IF(ISNUMBER(F3441),E3441*F3441,"")</f>
        <v/>
      </c>
      <c r="H3441" s="73"/>
      <c r="I3441" s="74"/>
      <c r="J3441" s="102">
        <v>0</v>
      </c>
    </row>
    <row r="3442" spans="1:10" ht="15.75" hidden="1" thickBot="1" x14ac:dyDescent="0.3">
      <c r="A3442" s="218" t="s">
        <v>1025</v>
      </c>
      <c r="B3442" s="221" t="e">
        <f>INDEX(#REF!,MATCH(Composições!A3442,#REF!,0),2)</f>
        <v>#REF!</v>
      </c>
      <c r="C3442" s="41"/>
      <c r="D3442" s="26" t="s">
        <v>20</v>
      </c>
      <c r="E3442" s="27"/>
      <c r="F3442" s="49" t="s">
        <v>522</v>
      </c>
      <c r="G3442" s="28" t="str">
        <f t="shared" si="59"/>
        <v/>
      </c>
      <c r="H3442" s="29"/>
      <c r="I3442" s="30"/>
      <c r="J3442" s="102">
        <v>0</v>
      </c>
    </row>
    <row r="3443" spans="1:10" hidden="1" x14ac:dyDescent="0.25">
      <c r="A3443" s="219"/>
      <c r="B3443" s="237"/>
      <c r="C3443" s="32"/>
      <c r="D3443" s="32"/>
      <c r="E3443" s="33"/>
      <c r="F3443" s="54" t="s">
        <v>522</v>
      </c>
      <c r="G3443" s="54" t="str">
        <f t="shared" si="59"/>
        <v/>
      </c>
      <c r="H3443" s="73"/>
      <c r="I3443" s="74"/>
      <c r="J3443" s="102">
        <v>0</v>
      </c>
    </row>
    <row r="3444" spans="1:10" hidden="1" x14ac:dyDescent="0.25">
      <c r="A3444" s="219"/>
      <c r="B3444" s="237"/>
      <c r="C3444" s="36" t="s">
        <v>23</v>
      </c>
      <c r="D3444" s="36" t="s">
        <v>12</v>
      </c>
      <c r="E3444" s="37">
        <v>0.1</v>
      </c>
      <c r="F3444" s="54">
        <v>16.1785</v>
      </c>
      <c r="G3444" s="54">
        <f t="shared" si="59"/>
        <v>1.61785</v>
      </c>
      <c r="H3444" s="39">
        <f>SUM(G3444)</f>
        <v>1.61785</v>
      </c>
      <c r="I3444" s="40"/>
      <c r="J3444" s="102">
        <v>0</v>
      </c>
    </row>
    <row r="3445" spans="1:10" ht="15.75" hidden="1" thickBot="1" x14ac:dyDescent="0.3">
      <c r="A3445" s="220"/>
      <c r="B3445" s="223"/>
      <c r="C3445" s="36"/>
      <c r="D3445" s="36"/>
      <c r="E3445" s="37"/>
      <c r="F3445" s="54" t="s">
        <v>522</v>
      </c>
      <c r="G3445" s="54" t="str">
        <f t="shared" si="59"/>
        <v/>
      </c>
      <c r="H3445" s="73"/>
      <c r="I3445" s="74"/>
      <c r="J3445" s="102">
        <v>0</v>
      </c>
    </row>
    <row r="3446" spans="1:10" ht="15.75" hidden="1" thickBot="1" x14ac:dyDescent="0.3">
      <c r="A3446" s="218" t="s">
        <v>1026</v>
      </c>
      <c r="B3446" s="221" t="e">
        <f>INDEX(#REF!,MATCH(Composições!A3446,#REF!,0),2)</f>
        <v>#REF!</v>
      </c>
      <c r="C3446" s="41"/>
      <c r="D3446" s="26" t="s">
        <v>20</v>
      </c>
      <c r="E3446" s="27"/>
      <c r="F3446" s="49" t="s">
        <v>522</v>
      </c>
      <c r="G3446" s="28" t="str">
        <f t="shared" si="59"/>
        <v/>
      </c>
      <c r="H3446" s="29"/>
      <c r="I3446" s="30"/>
      <c r="J3446" s="102">
        <v>0</v>
      </c>
    </row>
    <row r="3447" spans="1:10" hidden="1" x14ac:dyDescent="0.25">
      <c r="A3447" s="219"/>
      <c r="B3447" s="237"/>
      <c r="C3447" s="32"/>
      <c r="D3447" s="32"/>
      <c r="E3447" s="33"/>
      <c r="F3447" s="54" t="s">
        <v>522</v>
      </c>
      <c r="G3447" s="54" t="str">
        <f t="shared" si="59"/>
        <v/>
      </c>
      <c r="H3447" s="73"/>
      <c r="I3447" s="74"/>
      <c r="J3447" s="102">
        <v>0</v>
      </c>
    </row>
    <row r="3448" spans="1:10" hidden="1" x14ac:dyDescent="0.25">
      <c r="A3448" s="219"/>
      <c r="B3448" s="237"/>
      <c r="C3448" s="36" t="s">
        <v>22</v>
      </c>
      <c r="D3448" s="36" t="s">
        <v>12</v>
      </c>
      <c r="E3448" s="37">
        <f>0.1+0.1</f>
        <v>0.2</v>
      </c>
      <c r="F3448" s="54">
        <v>21.479499999999998</v>
      </c>
      <c r="G3448" s="54">
        <f t="shared" si="59"/>
        <v>4.2958999999999996</v>
      </c>
      <c r="H3448" s="39">
        <f>SUM(G3448:G3452)</f>
        <v>7.7808964218881753</v>
      </c>
      <c r="I3448" s="40"/>
      <c r="J3448" s="102">
        <v>0</v>
      </c>
    </row>
    <row r="3449" spans="1:10" hidden="1" x14ac:dyDescent="0.25">
      <c r="A3449" s="219"/>
      <c r="B3449" s="237"/>
      <c r="C3449" s="36" t="s">
        <v>23</v>
      </c>
      <c r="D3449" s="36" t="s">
        <v>12</v>
      </c>
      <c r="E3449" s="37">
        <f>0.1+0.1</f>
        <v>0.2</v>
      </c>
      <c r="F3449" s="54">
        <v>16.1785</v>
      </c>
      <c r="G3449" s="54">
        <f t="shared" si="59"/>
        <v>3.2357</v>
      </c>
      <c r="H3449" s="73"/>
      <c r="I3449" s="74"/>
      <c r="J3449" s="102">
        <v>0</v>
      </c>
    </row>
    <row r="3450" spans="1:10" hidden="1" x14ac:dyDescent="0.25">
      <c r="A3450" s="219"/>
      <c r="B3450" s="237"/>
      <c r="C3450" s="36" t="s">
        <v>1027</v>
      </c>
      <c r="D3450" s="36" t="s">
        <v>144</v>
      </c>
      <c r="E3450" s="37">
        <f>0.016*2</f>
        <v>3.2000000000000001E-2</v>
      </c>
      <c r="F3450" s="54">
        <v>0</v>
      </c>
      <c r="G3450" s="54">
        <f t="shared" si="59"/>
        <v>0</v>
      </c>
      <c r="H3450" s="73"/>
      <c r="I3450" s="74"/>
      <c r="J3450" s="102">
        <v>0</v>
      </c>
    </row>
    <row r="3451" spans="1:10" hidden="1" x14ac:dyDescent="0.25">
      <c r="A3451" s="219"/>
      <c r="B3451" s="237"/>
      <c r="C3451" s="36" t="s">
        <v>1028</v>
      </c>
      <c r="D3451" s="36" t="s">
        <v>1029</v>
      </c>
      <c r="E3451" s="37">
        <f>0.1*2</f>
        <v>0.2</v>
      </c>
      <c r="F3451" s="54">
        <v>0</v>
      </c>
      <c r="G3451" s="54">
        <f t="shared" si="59"/>
        <v>0</v>
      </c>
      <c r="H3451" s="73"/>
      <c r="I3451" s="74"/>
      <c r="J3451" s="102">
        <v>0</v>
      </c>
    </row>
    <row r="3452" spans="1:10" ht="38.25" hidden="1" x14ac:dyDescent="0.25">
      <c r="A3452" s="219"/>
      <c r="B3452" s="237"/>
      <c r="C3452" s="36" t="s">
        <v>1030</v>
      </c>
      <c r="D3452" s="36" t="s">
        <v>109</v>
      </c>
      <c r="E3452" s="37">
        <f>ROUND(0.15*0.05*0.05,4)</f>
        <v>4.0000000000000002E-4</v>
      </c>
      <c r="F3452" s="54">
        <v>623.24105472043993</v>
      </c>
      <c r="G3452" s="54">
        <f t="shared" si="59"/>
        <v>0.249296421888176</v>
      </c>
      <c r="H3452" s="73"/>
      <c r="I3452" s="74"/>
      <c r="J3452" s="102">
        <v>0</v>
      </c>
    </row>
    <row r="3453" spans="1:10" hidden="1" x14ac:dyDescent="0.25">
      <c r="A3453" s="219"/>
      <c r="B3453" s="237"/>
      <c r="C3453" s="36"/>
      <c r="D3453" s="36"/>
      <c r="E3453" s="37"/>
      <c r="F3453" s="54" t="s">
        <v>522</v>
      </c>
      <c r="G3453" s="54" t="str">
        <f t="shared" si="59"/>
        <v/>
      </c>
      <c r="H3453" s="73"/>
      <c r="I3453" s="74"/>
      <c r="J3453" s="102">
        <v>0</v>
      </c>
    </row>
    <row r="3454" spans="1:10" hidden="1" x14ac:dyDescent="0.25">
      <c r="A3454" s="219"/>
      <c r="B3454" s="237"/>
      <c r="C3454" s="99" t="s">
        <v>1031</v>
      </c>
      <c r="D3454" s="36"/>
      <c r="E3454" s="37"/>
      <c r="F3454" s="54" t="s">
        <v>522</v>
      </c>
      <c r="G3454" s="54" t="str">
        <f t="shared" si="59"/>
        <v/>
      </c>
      <c r="H3454" s="73"/>
      <c r="I3454" s="74"/>
      <c r="J3454" s="102">
        <v>0</v>
      </c>
    </row>
    <row r="3455" spans="1:10" ht="15.75" hidden="1" thickBot="1" x14ac:dyDescent="0.3">
      <c r="A3455" s="220"/>
      <c r="B3455" s="223"/>
      <c r="C3455" s="36"/>
      <c r="D3455" s="36"/>
      <c r="E3455" s="37"/>
      <c r="F3455" s="54" t="s">
        <v>522</v>
      </c>
      <c r="G3455" s="54" t="str">
        <f t="shared" si="59"/>
        <v/>
      </c>
      <c r="H3455" s="73"/>
      <c r="I3455" s="74"/>
      <c r="J3455" s="102">
        <v>0</v>
      </c>
    </row>
    <row r="3456" spans="1:10" ht="15.75" hidden="1" thickBot="1" x14ac:dyDescent="0.3">
      <c r="A3456" s="218" t="s">
        <v>1032</v>
      </c>
      <c r="B3456" s="221" t="e">
        <f>INDEX(#REF!,MATCH(Composições!A3456,#REF!,0),2)</f>
        <v>#REF!</v>
      </c>
      <c r="C3456" s="41"/>
      <c r="D3456" s="26" t="s">
        <v>20</v>
      </c>
      <c r="E3456" s="27"/>
      <c r="F3456" s="49" t="s">
        <v>522</v>
      </c>
      <c r="G3456" s="28" t="str">
        <f t="shared" si="59"/>
        <v/>
      </c>
      <c r="H3456" s="29"/>
      <c r="I3456" s="30"/>
      <c r="J3456" s="102">
        <v>0</v>
      </c>
    </row>
    <row r="3457" spans="1:10" hidden="1" x14ac:dyDescent="0.25">
      <c r="A3457" s="219"/>
      <c r="B3457" s="237"/>
      <c r="C3457" s="32"/>
      <c r="D3457" s="32"/>
      <c r="E3457" s="33"/>
      <c r="F3457" s="54" t="s">
        <v>522</v>
      </c>
      <c r="G3457" s="54" t="str">
        <f t="shared" si="59"/>
        <v/>
      </c>
      <c r="H3457" s="73"/>
      <c r="I3457" s="74"/>
      <c r="J3457" s="102">
        <v>0</v>
      </c>
    </row>
    <row r="3458" spans="1:10" hidden="1" x14ac:dyDescent="0.25">
      <c r="A3458" s="219"/>
      <c r="B3458" s="237"/>
      <c r="C3458" s="36" t="s">
        <v>22</v>
      </c>
      <c r="D3458" s="36" t="s">
        <v>12</v>
      </c>
      <c r="E3458" s="37">
        <f>0.1+0.1</f>
        <v>0.2</v>
      </c>
      <c r="F3458" s="54">
        <v>21.479499999999998</v>
      </c>
      <c r="G3458" s="54">
        <f t="shared" si="59"/>
        <v>4.2958999999999996</v>
      </c>
      <c r="H3458" s="39">
        <f>SUM(G3458:G3463)</f>
        <v>7.7808964218881753</v>
      </c>
      <c r="I3458" s="40"/>
      <c r="J3458" s="102">
        <v>0</v>
      </c>
    </row>
    <row r="3459" spans="1:10" hidden="1" x14ac:dyDescent="0.25">
      <c r="A3459" s="219"/>
      <c r="B3459" s="237"/>
      <c r="C3459" s="36" t="s">
        <v>23</v>
      </c>
      <c r="D3459" s="36" t="s">
        <v>12</v>
      </c>
      <c r="E3459" s="37">
        <f>0.1+0.1</f>
        <v>0.2</v>
      </c>
      <c r="F3459" s="54">
        <v>16.1785</v>
      </c>
      <c r="G3459" s="54">
        <f t="shared" si="59"/>
        <v>3.2357</v>
      </c>
      <c r="H3459" s="73"/>
      <c r="I3459" s="74"/>
      <c r="J3459" s="102">
        <v>0</v>
      </c>
    </row>
    <row r="3460" spans="1:10" hidden="1" x14ac:dyDescent="0.25">
      <c r="A3460" s="219"/>
      <c r="B3460" s="237"/>
      <c r="C3460" s="36" t="s">
        <v>1027</v>
      </c>
      <c r="D3460" s="36" t="s">
        <v>144</v>
      </c>
      <c r="E3460" s="37">
        <f>0.016*2</f>
        <v>3.2000000000000001E-2</v>
      </c>
      <c r="F3460" s="54">
        <v>0</v>
      </c>
      <c r="G3460" s="54">
        <f t="shared" si="59"/>
        <v>0</v>
      </c>
      <c r="H3460" s="73"/>
      <c r="I3460" s="74"/>
      <c r="J3460" s="102">
        <v>0</v>
      </c>
    </row>
    <row r="3461" spans="1:10" hidden="1" x14ac:dyDescent="0.25">
      <c r="A3461" s="219"/>
      <c r="B3461" s="237"/>
      <c r="C3461" s="36" t="s">
        <v>1028</v>
      </c>
      <c r="D3461" s="36" t="s">
        <v>1029</v>
      </c>
      <c r="E3461" s="37">
        <f>0.1*2</f>
        <v>0.2</v>
      </c>
      <c r="F3461" s="54">
        <v>0</v>
      </c>
      <c r="G3461" s="54">
        <f t="shared" si="59"/>
        <v>0</v>
      </c>
      <c r="H3461" s="73"/>
      <c r="I3461" s="74"/>
      <c r="J3461" s="102">
        <v>0</v>
      </c>
    </row>
    <row r="3462" spans="1:10" hidden="1" x14ac:dyDescent="0.25">
      <c r="A3462" s="219"/>
      <c r="B3462" s="237"/>
      <c r="C3462" s="36" t="s">
        <v>1033</v>
      </c>
      <c r="D3462" s="36" t="s">
        <v>144</v>
      </c>
      <c r="E3462" s="37">
        <v>1</v>
      </c>
      <c r="F3462" s="54" t="s">
        <v>522</v>
      </c>
      <c r="G3462" s="54" t="str">
        <f t="shared" si="59"/>
        <v/>
      </c>
      <c r="H3462" s="73"/>
      <c r="I3462" s="74"/>
      <c r="J3462" s="102">
        <v>0</v>
      </c>
    </row>
    <row r="3463" spans="1:10" ht="38.25" hidden="1" x14ac:dyDescent="0.25">
      <c r="A3463" s="219"/>
      <c r="B3463" s="237"/>
      <c r="C3463" s="36" t="s">
        <v>1030</v>
      </c>
      <c r="D3463" s="36" t="s">
        <v>109</v>
      </c>
      <c r="E3463" s="37">
        <f>ROUND(0.15*0.05*0.05,4)</f>
        <v>4.0000000000000002E-4</v>
      </c>
      <c r="F3463" s="54">
        <v>623.24105472043993</v>
      </c>
      <c r="G3463" s="54">
        <f t="shared" si="59"/>
        <v>0.249296421888176</v>
      </c>
      <c r="H3463" s="73"/>
      <c r="I3463" s="74"/>
      <c r="J3463" s="102">
        <v>0</v>
      </c>
    </row>
    <row r="3464" spans="1:10" hidden="1" x14ac:dyDescent="0.25">
      <c r="A3464" s="219"/>
      <c r="B3464" s="237"/>
      <c r="C3464" s="36"/>
      <c r="D3464" s="36"/>
      <c r="E3464" s="37"/>
      <c r="F3464" s="54" t="s">
        <v>522</v>
      </c>
      <c r="G3464" s="54" t="str">
        <f t="shared" si="59"/>
        <v/>
      </c>
      <c r="H3464" s="73"/>
      <c r="I3464" s="74"/>
      <c r="J3464" s="102">
        <v>0</v>
      </c>
    </row>
    <row r="3465" spans="1:10" hidden="1" x14ac:dyDescent="0.25">
      <c r="A3465" s="219"/>
      <c r="B3465" s="237"/>
      <c r="C3465" s="99" t="s">
        <v>1031</v>
      </c>
      <c r="D3465" s="36"/>
      <c r="E3465" s="37"/>
      <c r="F3465" s="54" t="s">
        <v>522</v>
      </c>
      <c r="G3465" s="54" t="str">
        <f t="shared" si="59"/>
        <v/>
      </c>
      <c r="H3465" s="73"/>
      <c r="I3465" s="74"/>
      <c r="J3465" s="102">
        <v>0</v>
      </c>
    </row>
    <row r="3466" spans="1:10" ht="15.75" hidden="1" thickBot="1" x14ac:dyDescent="0.3">
      <c r="A3466" s="220"/>
      <c r="B3466" s="223"/>
      <c r="C3466" s="36"/>
      <c r="D3466" s="36"/>
      <c r="E3466" s="37"/>
      <c r="F3466" s="54" t="s">
        <v>522</v>
      </c>
      <c r="G3466" s="54" t="str">
        <f t="shared" si="59"/>
        <v/>
      </c>
      <c r="H3466" s="73"/>
      <c r="I3466" s="74"/>
      <c r="J3466" s="102">
        <v>0</v>
      </c>
    </row>
    <row r="3467" spans="1:10" ht="15.75" hidden="1" thickBot="1" x14ac:dyDescent="0.3">
      <c r="A3467" s="218" t="s">
        <v>1585</v>
      </c>
      <c r="B3467" s="221" t="e">
        <f>INDEX(#REF!,MATCH(Composições!A3467,#REF!,0),2)</f>
        <v>#REF!</v>
      </c>
      <c r="C3467" s="41"/>
      <c r="D3467" s="26" t="s">
        <v>20</v>
      </c>
      <c r="E3467" s="27"/>
      <c r="F3467" s="49" t="s">
        <v>522</v>
      </c>
      <c r="G3467" s="28" t="str">
        <f t="shared" si="59"/>
        <v/>
      </c>
      <c r="H3467" s="29"/>
      <c r="I3467" s="30"/>
      <c r="J3467" s="102">
        <v>0</v>
      </c>
    </row>
    <row r="3468" spans="1:10" hidden="1" x14ac:dyDescent="0.25">
      <c r="A3468" s="219"/>
      <c r="B3468" s="237"/>
      <c r="C3468" s="32"/>
      <c r="D3468" s="32"/>
      <c r="E3468" s="33"/>
      <c r="F3468" s="54" t="s">
        <v>522</v>
      </c>
      <c r="G3468" s="54" t="str">
        <f t="shared" si="59"/>
        <v/>
      </c>
      <c r="H3468" s="73"/>
      <c r="I3468" s="74"/>
      <c r="J3468" s="102">
        <v>0</v>
      </c>
    </row>
    <row r="3469" spans="1:10" hidden="1" x14ac:dyDescent="0.25">
      <c r="A3469" s="219"/>
      <c r="B3469" s="237"/>
      <c r="C3469" s="36" t="s">
        <v>22</v>
      </c>
      <c r="D3469" s="36" t="s">
        <v>12</v>
      </c>
      <c r="E3469" s="37">
        <f>0.1+0.1</f>
        <v>0.2</v>
      </c>
      <c r="F3469" s="54">
        <v>21.479499999999998</v>
      </c>
      <c r="G3469" s="54">
        <f t="shared" si="59"/>
        <v>4.2958999999999996</v>
      </c>
      <c r="H3469" s="39">
        <f>SUM(G3469:G3474)</f>
        <v>7.7808964218881753</v>
      </c>
      <c r="I3469" s="40"/>
      <c r="J3469" s="102">
        <v>0</v>
      </c>
    </row>
    <row r="3470" spans="1:10" hidden="1" x14ac:dyDescent="0.25">
      <c r="A3470" s="219"/>
      <c r="B3470" s="237"/>
      <c r="C3470" s="36" t="s">
        <v>23</v>
      </c>
      <c r="D3470" s="36" t="s">
        <v>12</v>
      </c>
      <c r="E3470" s="37">
        <f>0.1+0.1</f>
        <v>0.2</v>
      </c>
      <c r="F3470" s="54">
        <v>16.1785</v>
      </c>
      <c r="G3470" s="54">
        <f t="shared" si="59"/>
        <v>3.2357</v>
      </c>
      <c r="H3470" s="73"/>
      <c r="I3470" s="74"/>
      <c r="J3470" s="102">
        <v>0</v>
      </c>
    </row>
    <row r="3471" spans="1:10" hidden="1" x14ac:dyDescent="0.25">
      <c r="A3471" s="219"/>
      <c r="B3471" s="237"/>
      <c r="C3471" s="36" t="s">
        <v>1027</v>
      </c>
      <c r="D3471" s="36" t="s">
        <v>144</v>
      </c>
      <c r="E3471" s="37">
        <f>0.016*2</f>
        <v>3.2000000000000001E-2</v>
      </c>
      <c r="F3471" s="54">
        <v>0</v>
      </c>
      <c r="G3471" s="54">
        <f t="shared" si="59"/>
        <v>0</v>
      </c>
      <c r="H3471" s="73"/>
      <c r="I3471" s="74"/>
      <c r="J3471" s="102">
        <v>0</v>
      </c>
    </row>
    <row r="3472" spans="1:10" hidden="1" x14ac:dyDescent="0.25">
      <c r="A3472" s="219"/>
      <c r="B3472" s="237"/>
      <c r="C3472" s="36" t="s">
        <v>1028</v>
      </c>
      <c r="D3472" s="36" t="s">
        <v>1029</v>
      </c>
      <c r="E3472" s="37">
        <f>0.1*2</f>
        <v>0.2</v>
      </c>
      <c r="F3472" s="54">
        <v>0</v>
      </c>
      <c r="G3472" s="54">
        <f t="shared" si="59"/>
        <v>0</v>
      </c>
      <c r="H3472" s="73"/>
      <c r="I3472" s="74"/>
      <c r="J3472" s="102">
        <v>0</v>
      </c>
    </row>
    <row r="3473" spans="1:10" hidden="1" x14ac:dyDescent="0.25">
      <c r="A3473" s="219"/>
      <c r="B3473" s="237"/>
      <c r="C3473" s="36" t="s">
        <v>1105</v>
      </c>
      <c r="D3473" s="36" t="s">
        <v>144</v>
      </c>
      <c r="E3473" s="37">
        <v>1</v>
      </c>
      <c r="F3473" s="54" t="s">
        <v>522</v>
      </c>
      <c r="G3473" s="54" t="str">
        <f t="shared" si="59"/>
        <v/>
      </c>
      <c r="H3473" s="73"/>
      <c r="I3473" s="74"/>
      <c r="J3473" s="102">
        <v>0</v>
      </c>
    </row>
    <row r="3474" spans="1:10" ht="38.25" hidden="1" x14ac:dyDescent="0.25">
      <c r="A3474" s="219"/>
      <c r="B3474" s="237"/>
      <c r="C3474" s="36" t="s">
        <v>1030</v>
      </c>
      <c r="D3474" s="36" t="s">
        <v>109</v>
      </c>
      <c r="E3474" s="37">
        <f>ROUND(0.15*0.05*0.05,4)</f>
        <v>4.0000000000000002E-4</v>
      </c>
      <c r="F3474" s="54">
        <v>623.24105472043993</v>
      </c>
      <c r="G3474" s="54">
        <f t="shared" si="59"/>
        <v>0.249296421888176</v>
      </c>
      <c r="H3474" s="73"/>
      <c r="I3474" s="74"/>
      <c r="J3474" s="102">
        <v>0</v>
      </c>
    </row>
    <row r="3475" spans="1:10" hidden="1" x14ac:dyDescent="0.25">
      <c r="A3475" s="219"/>
      <c r="B3475" s="237"/>
      <c r="C3475" s="36"/>
      <c r="D3475" s="36"/>
      <c r="E3475" s="37"/>
      <c r="F3475" s="54" t="s">
        <v>522</v>
      </c>
      <c r="G3475" s="54" t="str">
        <f t="shared" si="59"/>
        <v/>
      </c>
      <c r="H3475" s="73"/>
      <c r="I3475" s="74"/>
      <c r="J3475" s="102">
        <v>0</v>
      </c>
    </row>
    <row r="3476" spans="1:10" hidden="1" x14ac:dyDescent="0.25">
      <c r="A3476" s="219"/>
      <c r="B3476" s="237"/>
      <c r="C3476" s="99" t="s">
        <v>1031</v>
      </c>
      <c r="D3476" s="36"/>
      <c r="E3476" s="37"/>
      <c r="F3476" s="54" t="s">
        <v>522</v>
      </c>
      <c r="G3476" s="54" t="str">
        <f t="shared" si="59"/>
        <v/>
      </c>
      <c r="H3476" s="73"/>
      <c r="I3476" s="74"/>
      <c r="J3476" s="102">
        <v>0</v>
      </c>
    </row>
    <row r="3477" spans="1:10" ht="15.75" hidden="1" thickBot="1" x14ac:dyDescent="0.3">
      <c r="A3477" s="220"/>
      <c r="B3477" s="223"/>
      <c r="C3477" s="36"/>
      <c r="D3477" s="36"/>
      <c r="E3477" s="37"/>
      <c r="F3477" s="54" t="s">
        <v>522</v>
      </c>
      <c r="G3477" s="54" t="str">
        <f t="shared" si="59"/>
        <v/>
      </c>
      <c r="H3477" s="73"/>
      <c r="I3477" s="74"/>
      <c r="J3477" s="102">
        <v>0</v>
      </c>
    </row>
    <row r="3478" spans="1:10" ht="15.75" hidden="1" thickBot="1" x14ac:dyDescent="0.3">
      <c r="A3478" s="218" t="s">
        <v>1034</v>
      </c>
      <c r="B3478" s="221" t="e">
        <f>INDEX(#REF!,MATCH(Composições!A3478,#REF!,0),2)</f>
        <v>#REF!</v>
      </c>
      <c r="C3478" s="41"/>
      <c r="D3478" s="26" t="s">
        <v>95</v>
      </c>
      <c r="E3478" s="27"/>
      <c r="F3478" s="49" t="s">
        <v>522</v>
      </c>
      <c r="G3478" s="28" t="str">
        <f t="shared" si="59"/>
        <v/>
      </c>
      <c r="H3478" s="29"/>
      <c r="I3478" s="30"/>
      <c r="J3478" s="102">
        <v>0</v>
      </c>
    </row>
    <row r="3479" spans="1:10" hidden="1" x14ac:dyDescent="0.25">
      <c r="A3479" s="219"/>
      <c r="B3479" s="237"/>
      <c r="C3479" s="32"/>
      <c r="D3479" s="32"/>
      <c r="E3479" s="33"/>
      <c r="F3479" s="54" t="s">
        <v>522</v>
      </c>
      <c r="G3479" s="54" t="str">
        <f t="shared" si="59"/>
        <v/>
      </c>
      <c r="H3479" s="73"/>
      <c r="I3479" s="74"/>
      <c r="J3479" s="102">
        <v>0</v>
      </c>
    </row>
    <row r="3480" spans="1:10" hidden="1" x14ac:dyDescent="0.25">
      <c r="A3480" s="219"/>
      <c r="B3480" s="237"/>
      <c r="C3480" s="36" t="s">
        <v>1035</v>
      </c>
      <c r="D3480" s="36" t="s">
        <v>95</v>
      </c>
      <c r="E3480" s="37">
        <v>1.05</v>
      </c>
      <c r="F3480" s="54" t="s">
        <v>522</v>
      </c>
      <c r="G3480" s="54" t="str">
        <f t="shared" si="59"/>
        <v/>
      </c>
      <c r="H3480" s="39">
        <f>SUM(G3480:G3484)</f>
        <v>45.97762500000001</v>
      </c>
      <c r="I3480" s="40"/>
      <c r="J3480" s="102">
        <v>0</v>
      </c>
    </row>
    <row r="3481" spans="1:10" hidden="1" x14ac:dyDescent="0.25">
      <c r="A3481" s="219"/>
      <c r="B3481" s="237"/>
      <c r="C3481" s="36" t="s">
        <v>54</v>
      </c>
      <c r="D3481" s="36" t="s">
        <v>12</v>
      </c>
      <c r="E3481" s="37">
        <v>1.35</v>
      </c>
      <c r="F3481" s="54">
        <v>21.403500000000001</v>
      </c>
      <c r="G3481" s="54">
        <f t="shared" si="59"/>
        <v>28.894725000000005</v>
      </c>
      <c r="H3481" s="73"/>
      <c r="I3481" s="74"/>
      <c r="J3481" s="102">
        <v>0</v>
      </c>
    </row>
    <row r="3482" spans="1:10" hidden="1" x14ac:dyDescent="0.25">
      <c r="A3482" s="219"/>
      <c r="B3482" s="237"/>
      <c r="C3482" s="36" t="s">
        <v>23</v>
      </c>
      <c r="D3482" s="36" t="s">
        <v>12</v>
      </c>
      <c r="E3482" s="37">
        <v>0.6</v>
      </c>
      <c r="F3482" s="54">
        <v>16.1785</v>
      </c>
      <c r="G3482" s="54">
        <f t="shared" si="59"/>
        <v>9.7070999999999987</v>
      </c>
      <c r="H3482" s="73"/>
      <c r="I3482" s="74"/>
      <c r="J3482" s="102">
        <v>0</v>
      </c>
    </row>
    <row r="3483" spans="1:10" hidden="1" x14ac:dyDescent="0.25">
      <c r="A3483" s="219"/>
      <c r="B3483" s="237"/>
      <c r="C3483" s="36" t="s">
        <v>1918</v>
      </c>
      <c r="D3483" s="36" t="s">
        <v>42</v>
      </c>
      <c r="E3483" s="37">
        <v>4.5</v>
      </c>
      <c r="F3483" s="54">
        <v>1.4535</v>
      </c>
      <c r="G3483" s="54">
        <f t="shared" si="59"/>
        <v>6.5407500000000001</v>
      </c>
      <c r="H3483" s="73"/>
      <c r="I3483" s="74"/>
      <c r="J3483" s="102">
        <v>0</v>
      </c>
    </row>
    <row r="3484" spans="1:10" hidden="1" x14ac:dyDescent="0.25">
      <c r="A3484" s="219"/>
      <c r="B3484" s="237"/>
      <c r="C3484" s="36" t="s">
        <v>1917</v>
      </c>
      <c r="D3484" s="36" t="s">
        <v>42</v>
      </c>
      <c r="E3484" s="37">
        <v>0.3</v>
      </c>
      <c r="F3484" s="54">
        <v>2.7835000000000001</v>
      </c>
      <c r="G3484" s="54">
        <f t="shared" si="59"/>
        <v>0.83504999999999996</v>
      </c>
      <c r="H3484" s="73"/>
      <c r="I3484" s="74"/>
      <c r="J3484" s="102">
        <v>0</v>
      </c>
    </row>
    <row r="3485" spans="1:10" ht="15.75" hidden="1" thickBot="1" x14ac:dyDescent="0.3">
      <c r="A3485" s="220"/>
      <c r="B3485" s="223"/>
      <c r="C3485" s="36"/>
      <c r="D3485" s="36"/>
      <c r="E3485" s="37"/>
      <c r="F3485" s="54" t="s">
        <v>522</v>
      </c>
      <c r="G3485" s="54" t="str">
        <f t="shared" si="59"/>
        <v/>
      </c>
      <c r="H3485" s="73"/>
      <c r="I3485" s="74"/>
      <c r="J3485" s="102">
        <v>0</v>
      </c>
    </row>
    <row r="3486" spans="1:10" ht="15.75" hidden="1" thickBot="1" x14ac:dyDescent="0.3">
      <c r="A3486" s="218" t="s">
        <v>1036</v>
      </c>
      <c r="B3486" s="221" t="e">
        <f>INDEX(#REF!,MATCH(Composições!A3486,#REF!,0),2)</f>
        <v>#REF!</v>
      </c>
      <c r="C3486" s="41"/>
      <c r="D3486" s="26" t="s">
        <v>95</v>
      </c>
      <c r="E3486" s="27"/>
      <c r="F3486" s="49" t="s">
        <v>522</v>
      </c>
      <c r="G3486" s="28" t="str">
        <f t="shared" si="59"/>
        <v/>
      </c>
      <c r="H3486" s="29"/>
      <c r="I3486" s="30"/>
      <c r="J3486" s="102">
        <v>0</v>
      </c>
    </row>
    <row r="3487" spans="1:10" hidden="1" x14ac:dyDescent="0.25">
      <c r="A3487" s="219"/>
      <c r="B3487" s="237"/>
      <c r="C3487" s="32"/>
      <c r="D3487" s="32"/>
      <c r="E3487" s="33"/>
      <c r="F3487" s="54" t="s">
        <v>522</v>
      </c>
      <c r="G3487" s="54" t="str">
        <f t="shared" si="59"/>
        <v/>
      </c>
      <c r="H3487" s="73"/>
      <c r="I3487" s="74"/>
      <c r="J3487" s="102">
        <v>0</v>
      </c>
    </row>
    <row r="3488" spans="1:10" hidden="1" x14ac:dyDescent="0.25">
      <c r="A3488" s="219"/>
      <c r="B3488" s="237"/>
      <c r="C3488" s="36" t="s">
        <v>1035</v>
      </c>
      <c r="D3488" s="36" t="s">
        <v>95</v>
      </c>
      <c r="E3488" s="37">
        <v>1.05</v>
      </c>
      <c r="F3488" s="54" t="s">
        <v>522</v>
      </c>
      <c r="G3488" s="54" t="str">
        <f t="shared" si="59"/>
        <v/>
      </c>
      <c r="H3488" s="39">
        <f>SUM(G3488:G3498)</f>
        <v>66.089224105472056</v>
      </c>
      <c r="I3488" s="40"/>
      <c r="J3488" s="102">
        <v>0</v>
      </c>
    </row>
    <row r="3489" spans="1:10" hidden="1" x14ac:dyDescent="0.25">
      <c r="A3489" s="219"/>
      <c r="B3489" s="237"/>
      <c r="C3489" s="36" t="s">
        <v>54</v>
      </c>
      <c r="D3489" s="36" t="s">
        <v>12</v>
      </c>
      <c r="E3489" s="37">
        <f>1.35</f>
        <v>1.35</v>
      </c>
      <c r="F3489" s="54">
        <v>21.403500000000001</v>
      </c>
      <c r="G3489" s="54">
        <f t="shared" si="59"/>
        <v>28.894725000000005</v>
      </c>
      <c r="H3489" s="73"/>
      <c r="I3489" s="74"/>
      <c r="J3489" s="102">
        <v>0</v>
      </c>
    </row>
    <row r="3490" spans="1:10" hidden="1" x14ac:dyDescent="0.25">
      <c r="A3490" s="219"/>
      <c r="B3490" s="237"/>
      <c r="C3490" s="36" t="s">
        <v>22</v>
      </c>
      <c r="D3490" s="36" t="s">
        <v>12</v>
      </c>
      <c r="E3490" s="37">
        <v>0.1</v>
      </c>
      <c r="F3490" s="54">
        <v>21.479499999999998</v>
      </c>
      <c r="G3490" s="54">
        <f t="shared" si="59"/>
        <v>2.1479499999999998</v>
      </c>
      <c r="H3490" s="73"/>
      <c r="I3490" s="74"/>
      <c r="J3490" s="102">
        <v>0</v>
      </c>
    </row>
    <row r="3491" spans="1:10" hidden="1" x14ac:dyDescent="0.25">
      <c r="A3491" s="219"/>
      <c r="B3491" s="237"/>
      <c r="C3491" s="36" t="s">
        <v>23</v>
      </c>
      <c r="D3491" s="36" t="s">
        <v>12</v>
      </c>
      <c r="E3491" s="37">
        <f>0.6+0.1+0.1</f>
        <v>0.79999999999999993</v>
      </c>
      <c r="F3491" s="54">
        <v>16.1785</v>
      </c>
      <c r="G3491" s="54">
        <f t="shared" si="59"/>
        <v>12.942799999999998</v>
      </c>
      <c r="H3491" s="73"/>
      <c r="I3491" s="74"/>
      <c r="J3491" s="102">
        <v>0</v>
      </c>
    </row>
    <row r="3492" spans="1:10" hidden="1" x14ac:dyDescent="0.25">
      <c r="A3492" s="219"/>
      <c r="B3492" s="237"/>
      <c r="C3492" s="36" t="s">
        <v>1918</v>
      </c>
      <c r="D3492" s="36" t="s">
        <v>42</v>
      </c>
      <c r="E3492" s="37">
        <v>4.5</v>
      </c>
      <c r="F3492" s="54">
        <v>1.4535</v>
      </c>
      <c r="G3492" s="54">
        <f t="shared" si="59"/>
        <v>6.5407500000000001</v>
      </c>
      <c r="H3492" s="73"/>
      <c r="I3492" s="74"/>
      <c r="J3492" s="102">
        <v>0</v>
      </c>
    </row>
    <row r="3493" spans="1:10" hidden="1" x14ac:dyDescent="0.25">
      <c r="A3493" s="219"/>
      <c r="B3493" s="237"/>
      <c r="C3493" s="36" t="s">
        <v>1917</v>
      </c>
      <c r="D3493" s="36" t="s">
        <v>42</v>
      </c>
      <c r="E3493" s="37">
        <v>0.3</v>
      </c>
      <c r="F3493" s="54">
        <v>2.7835000000000001</v>
      </c>
      <c r="G3493" s="54">
        <f t="shared" si="59"/>
        <v>0.83504999999999996</v>
      </c>
      <c r="H3493" s="73"/>
      <c r="I3493" s="74"/>
      <c r="J3493" s="102">
        <v>0</v>
      </c>
    </row>
    <row r="3494" spans="1:10" ht="25.5" hidden="1" x14ac:dyDescent="0.25">
      <c r="A3494" s="219"/>
      <c r="B3494" s="237"/>
      <c r="C3494" s="36" t="s">
        <v>1037</v>
      </c>
      <c r="D3494" s="36" t="s">
        <v>279</v>
      </c>
      <c r="E3494" s="37">
        <f>2/(0.4*0.8)</f>
        <v>6.2499999999999991</v>
      </c>
      <c r="F3494" s="54">
        <v>2.3465000000000003</v>
      </c>
      <c r="G3494" s="54">
        <f t="shared" si="59"/>
        <v>14.665625</v>
      </c>
      <c r="H3494" s="73"/>
      <c r="I3494" s="74"/>
      <c r="J3494" s="102">
        <v>0</v>
      </c>
    </row>
    <row r="3495" spans="1:10" hidden="1" x14ac:dyDescent="0.25">
      <c r="A3495" s="219"/>
      <c r="B3495" s="237"/>
      <c r="C3495" s="36" t="s">
        <v>1027</v>
      </c>
      <c r="D3495" s="36" t="s">
        <v>144</v>
      </c>
      <c r="E3495" s="37">
        <f>(2/(0.4*0.8))*(0.016)*1.5</f>
        <v>0.15</v>
      </c>
      <c r="F3495" s="54">
        <v>0</v>
      </c>
      <c r="G3495" s="54">
        <f t="shared" si="59"/>
        <v>0</v>
      </c>
      <c r="H3495" s="73"/>
      <c r="I3495" s="74"/>
      <c r="J3495" s="102">
        <v>0</v>
      </c>
    </row>
    <row r="3496" spans="1:10" hidden="1" x14ac:dyDescent="0.25">
      <c r="A3496" s="219"/>
      <c r="B3496" s="237"/>
      <c r="C3496" s="36" t="s">
        <v>1028</v>
      </c>
      <c r="D3496" s="36" t="s">
        <v>1029</v>
      </c>
      <c r="E3496" s="37">
        <f>(2/(0.4*0.8))*0.1*1.5</f>
        <v>0.9375</v>
      </c>
      <c r="F3496" s="54">
        <v>0</v>
      </c>
      <c r="G3496" s="54">
        <f t="shared" si="59"/>
        <v>0</v>
      </c>
      <c r="H3496" s="73"/>
      <c r="I3496" s="74"/>
      <c r="J3496" s="102">
        <v>0</v>
      </c>
    </row>
    <row r="3497" spans="1:10" hidden="1" x14ac:dyDescent="0.25">
      <c r="A3497" s="219"/>
      <c r="B3497" s="237"/>
      <c r="C3497" s="36" t="s">
        <v>1038</v>
      </c>
      <c r="D3497" s="36" t="s">
        <v>144</v>
      </c>
      <c r="E3497" s="37">
        <f>2/(0.4*0.8)</f>
        <v>6.2499999999999991</v>
      </c>
      <c r="F3497" s="54" t="s">
        <v>522</v>
      </c>
      <c r="G3497" s="54" t="str">
        <f t="shared" si="59"/>
        <v/>
      </c>
      <c r="H3497" s="73"/>
      <c r="I3497" s="74"/>
      <c r="J3497" s="102">
        <v>0</v>
      </c>
    </row>
    <row r="3498" spans="1:10" ht="38.25" hidden="1" x14ac:dyDescent="0.25">
      <c r="A3498" s="219"/>
      <c r="B3498" s="237"/>
      <c r="C3498" s="36" t="s">
        <v>1030</v>
      </c>
      <c r="D3498" s="36" t="s">
        <v>109</v>
      </c>
      <c r="E3498" s="37">
        <v>1E-4</v>
      </c>
      <c r="F3498" s="54">
        <v>623.24105472043993</v>
      </c>
      <c r="G3498" s="54">
        <f t="shared" si="59"/>
        <v>6.2324105472043999E-2</v>
      </c>
      <c r="H3498" s="73"/>
      <c r="I3498" s="74"/>
      <c r="J3498" s="102">
        <v>0</v>
      </c>
    </row>
    <row r="3499" spans="1:10" hidden="1" x14ac:dyDescent="0.25">
      <c r="A3499" s="219"/>
      <c r="B3499" s="237"/>
      <c r="C3499" s="36"/>
      <c r="D3499" s="36"/>
      <c r="E3499" s="37"/>
      <c r="F3499" s="54" t="s">
        <v>522</v>
      </c>
      <c r="G3499" s="54" t="str">
        <f t="shared" si="59"/>
        <v/>
      </c>
      <c r="H3499" s="73"/>
      <c r="I3499" s="74"/>
      <c r="J3499" s="102">
        <v>0</v>
      </c>
    </row>
    <row r="3500" spans="1:10" hidden="1" x14ac:dyDescent="0.25">
      <c r="A3500" s="219"/>
      <c r="B3500" s="237"/>
      <c r="C3500" s="99" t="s">
        <v>1039</v>
      </c>
      <c r="D3500" s="36"/>
      <c r="E3500" s="37"/>
      <c r="F3500" s="54" t="s">
        <v>522</v>
      </c>
      <c r="G3500" s="54" t="str">
        <f t="shared" si="59"/>
        <v/>
      </c>
      <c r="H3500" s="73"/>
      <c r="I3500" s="74"/>
      <c r="J3500" s="102">
        <v>0</v>
      </c>
    </row>
    <row r="3501" spans="1:10" ht="25.5" hidden="1" x14ac:dyDescent="0.25">
      <c r="A3501" s="219"/>
      <c r="B3501" s="237"/>
      <c r="C3501" s="99" t="s">
        <v>1040</v>
      </c>
      <c r="D3501" s="36"/>
      <c r="E3501" s="37"/>
      <c r="F3501" s="54" t="s">
        <v>522</v>
      </c>
      <c r="G3501" s="54" t="str">
        <f t="shared" si="59"/>
        <v/>
      </c>
      <c r="H3501" s="73"/>
      <c r="I3501" s="74"/>
      <c r="J3501" s="102">
        <v>0</v>
      </c>
    </row>
    <row r="3502" spans="1:10" ht="15.75" hidden="1" thickBot="1" x14ac:dyDescent="0.3">
      <c r="A3502" s="220"/>
      <c r="B3502" s="223"/>
      <c r="C3502" s="36"/>
      <c r="D3502" s="36"/>
      <c r="E3502" s="37"/>
      <c r="F3502" s="54" t="s">
        <v>522</v>
      </c>
      <c r="G3502" s="54" t="str">
        <f t="shared" si="59"/>
        <v/>
      </c>
      <c r="H3502" s="73"/>
      <c r="I3502" s="74"/>
      <c r="J3502" s="102">
        <v>0</v>
      </c>
    </row>
    <row r="3503" spans="1:10" ht="15.75" hidden="1" thickBot="1" x14ac:dyDescent="0.3">
      <c r="A3503" s="218" t="s">
        <v>1041</v>
      </c>
      <c r="B3503" s="221" t="e">
        <f>INDEX(#REF!,MATCH(Composições!A3503,#REF!,0),2)</f>
        <v>#REF!</v>
      </c>
      <c r="C3503" s="41"/>
      <c r="D3503" s="26" t="s">
        <v>95</v>
      </c>
      <c r="E3503" s="27"/>
      <c r="F3503" s="49" t="s">
        <v>522</v>
      </c>
      <c r="G3503" s="28" t="str">
        <f t="shared" si="59"/>
        <v/>
      </c>
      <c r="H3503" s="29"/>
      <c r="I3503" s="30"/>
      <c r="J3503" s="102">
        <v>0</v>
      </c>
    </row>
    <row r="3504" spans="1:10" hidden="1" x14ac:dyDescent="0.25">
      <c r="A3504" s="219"/>
      <c r="B3504" s="237"/>
      <c r="C3504" s="32"/>
      <c r="D3504" s="32"/>
      <c r="E3504" s="33"/>
      <c r="F3504" s="54" t="s">
        <v>522</v>
      </c>
      <c r="G3504" s="54" t="str">
        <f t="shared" si="59"/>
        <v/>
      </c>
      <c r="H3504" s="73"/>
      <c r="I3504" s="74"/>
      <c r="J3504" s="102">
        <v>0</v>
      </c>
    </row>
    <row r="3505" spans="1:10" hidden="1" x14ac:dyDescent="0.25">
      <c r="A3505" s="219"/>
      <c r="B3505" s="237"/>
      <c r="C3505" s="36" t="s">
        <v>1042</v>
      </c>
      <c r="D3505" s="36" t="s">
        <v>95</v>
      </c>
      <c r="E3505" s="37">
        <v>1.05</v>
      </c>
      <c r="F3505" s="54" t="s">
        <v>522</v>
      </c>
      <c r="G3505" s="54" t="str">
        <f t="shared" ref="G3505:G3568" si="60">IF(ISNUMBER(F3505),E3505*F3505,"")</f>
        <v/>
      </c>
      <c r="H3505" s="39">
        <f>SUM(G3505:G3509)</f>
        <v>45.97762500000001</v>
      </c>
      <c r="I3505" s="40"/>
      <c r="J3505" s="102">
        <v>0</v>
      </c>
    </row>
    <row r="3506" spans="1:10" hidden="1" x14ac:dyDescent="0.25">
      <c r="A3506" s="219"/>
      <c r="B3506" s="237"/>
      <c r="C3506" s="36" t="s">
        <v>54</v>
      </c>
      <c r="D3506" s="36" t="s">
        <v>12</v>
      </c>
      <c r="E3506" s="37">
        <v>1.35</v>
      </c>
      <c r="F3506" s="54">
        <v>21.403500000000001</v>
      </c>
      <c r="G3506" s="54">
        <f t="shared" si="60"/>
        <v>28.894725000000005</v>
      </c>
      <c r="H3506" s="73"/>
      <c r="I3506" s="74"/>
      <c r="J3506" s="102">
        <v>0</v>
      </c>
    </row>
    <row r="3507" spans="1:10" hidden="1" x14ac:dyDescent="0.25">
      <c r="A3507" s="219"/>
      <c r="B3507" s="237"/>
      <c r="C3507" s="36" t="s">
        <v>23</v>
      </c>
      <c r="D3507" s="36" t="s">
        <v>12</v>
      </c>
      <c r="E3507" s="37">
        <v>0.6</v>
      </c>
      <c r="F3507" s="54">
        <v>16.1785</v>
      </c>
      <c r="G3507" s="54">
        <f t="shared" si="60"/>
        <v>9.7070999999999987</v>
      </c>
      <c r="H3507" s="73"/>
      <c r="I3507" s="74"/>
      <c r="J3507" s="102">
        <v>0</v>
      </c>
    </row>
    <row r="3508" spans="1:10" hidden="1" x14ac:dyDescent="0.25">
      <c r="A3508" s="219"/>
      <c r="B3508" s="237"/>
      <c r="C3508" s="36" t="s">
        <v>1918</v>
      </c>
      <c r="D3508" s="36" t="s">
        <v>42</v>
      </c>
      <c r="E3508" s="37">
        <v>4.5</v>
      </c>
      <c r="F3508" s="54">
        <v>1.4535</v>
      </c>
      <c r="G3508" s="54">
        <f t="shared" si="60"/>
        <v>6.5407500000000001</v>
      </c>
      <c r="H3508" s="73"/>
      <c r="I3508" s="74"/>
      <c r="J3508" s="102">
        <v>0</v>
      </c>
    </row>
    <row r="3509" spans="1:10" hidden="1" x14ac:dyDescent="0.25">
      <c r="A3509" s="219"/>
      <c r="B3509" s="237"/>
      <c r="C3509" s="36" t="s">
        <v>1917</v>
      </c>
      <c r="D3509" s="36" t="s">
        <v>42</v>
      </c>
      <c r="E3509" s="37">
        <v>0.3</v>
      </c>
      <c r="F3509" s="54">
        <v>2.7835000000000001</v>
      </c>
      <c r="G3509" s="54">
        <f t="shared" si="60"/>
        <v>0.83504999999999996</v>
      </c>
      <c r="H3509" s="73"/>
      <c r="I3509" s="74"/>
      <c r="J3509" s="102">
        <v>0</v>
      </c>
    </row>
    <row r="3510" spans="1:10" ht="15.75" hidden="1" thickBot="1" x14ac:dyDescent="0.3">
      <c r="A3510" s="220"/>
      <c r="B3510" s="223"/>
      <c r="C3510" s="36"/>
      <c r="D3510" s="36"/>
      <c r="E3510" s="37"/>
      <c r="F3510" s="54" t="s">
        <v>522</v>
      </c>
      <c r="G3510" s="54" t="str">
        <f t="shared" si="60"/>
        <v/>
      </c>
      <c r="H3510" s="73"/>
      <c r="I3510" s="74"/>
      <c r="J3510" s="102">
        <v>0</v>
      </c>
    </row>
    <row r="3511" spans="1:10" ht="15.75" hidden="1" thickBot="1" x14ac:dyDescent="0.3">
      <c r="A3511" s="218" t="s">
        <v>1043</v>
      </c>
      <c r="B3511" s="221" t="e">
        <f>INDEX(#REF!,MATCH(Composições!A3511,#REF!,0),2)</f>
        <v>#REF!</v>
      </c>
      <c r="C3511" s="41"/>
      <c r="D3511" s="26" t="s">
        <v>95</v>
      </c>
      <c r="E3511" s="27"/>
      <c r="F3511" s="49" t="s">
        <v>522</v>
      </c>
      <c r="G3511" s="28" t="str">
        <f t="shared" si="60"/>
        <v/>
      </c>
      <c r="H3511" s="29"/>
      <c r="I3511" s="30"/>
      <c r="J3511" s="102">
        <v>0</v>
      </c>
    </row>
    <row r="3512" spans="1:10" hidden="1" x14ac:dyDescent="0.25">
      <c r="A3512" s="219"/>
      <c r="B3512" s="237"/>
      <c r="C3512" s="32"/>
      <c r="D3512" s="32"/>
      <c r="E3512" s="33"/>
      <c r="F3512" s="54" t="s">
        <v>522</v>
      </c>
      <c r="G3512" s="54" t="str">
        <f t="shared" si="60"/>
        <v/>
      </c>
      <c r="H3512" s="73"/>
      <c r="I3512" s="74"/>
      <c r="J3512" s="102">
        <v>0</v>
      </c>
    </row>
    <row r="3513" spans="1:10" hidden="1" x14ac:dyDescent="0.25">
      <c r="A3513" s="219"/>
      <c r="B3513" s="237"/>
      <c r="C3513" s="36" t="s">
        <v>1042</v>
      </c>
      <c r="D3513" s="36" t="s">
        <v>95</v>
      </c>
      <c r="E3513" s="37">
        <v>1.05</v>
      </c>
      <c r="F3513" s="54" t="s">
        <v>522</v>
      </c>
      <c r="G3513" s="54" t="str">
        <f t="shared" si="60"/>
        <v/>
      </c>
      <c r="H3513" s="39">
        <f>SUM(G3513:G3523)</f>
        <v>66.089224105472056</v>
      </c>
      <c r="I3513" s="40"/>
      <c r="J3513" s="102">
        <v>0</v>
      </c>
    </row>
    <row r="3514" spans="1:10" hidden="1" x14ac:dyDescent="0.25">
      <c r="A3514" s="219"/>
      <c r="B3514" s="237"/>
      <c r="C3514" s="36" t="s">
        <v>54</v>
      </c>
      <c r="D3514" s="36" t="s">
        <v>12</v>
      </c>
      <c r="E3514" s="37">
        <f>1.35</f>
        <v>1.35</v>
      </c>
      <c r="F3514" s="54">
        <v>21.403500000000001</v>
      </c>
      <c r="G3514" s="54">
        <f t="shared" si="60"/>
        <v>28.894725000000005</v>
      </c>
      <c r="H3514" s="73"/>
      <c r="I3514" s="74"/>
      <c r="J3514" s="102">
        <v>0</v>
      </c>
    </row>
    <row r="3515" spans="1:10" hidden="1" x14ac:dyDescent="0.25">
      <c r="A3515" s="219"/>
      <c r="B3515" s="237"/>
      <c r="C3515" s="36" t="s">
        <v>22</v>
      </c>
      <c r="D3515" s="36" t="s">
        <v>12</v>
      </c>
      <c r="E3515" s="37">
        <v>0.1</v>
      </c>
      <c r="F3515" s="54">
        <v>21.479499999999998</v>
      </c>
      <c r="G3515" s="54">
        <f t="shared" si="60"/>
        <v>2.1479499999999998</v>
      </c>
      <c r="H3515" s="73"/>
      <c r="I3515" s="74"/>
      <c r="J3515" s="102">
        <v>0</v>
      </c>
    </row>
    <row r="3516" spans="1:10" hidden="1" x14ac:dyDescent="0.25">
      <c r="A3516" s="219"/>
      <c r="B3516" s="237"/>
      <c r="C3516" s="36" t="s">
        <v>23</v>
      </c>
      <c r="D3516" s="36" t="s">
        <v>12</v>
      </c>
      <c r="E3516" s="37">
        <f>0.6+0.1+0.1</f>
        <v>0.79999999999999993</v>
      </c>
      <c r="F3516" s="54">
        <v>16.1785</v>
      </c>
      <c r="G3516" s="54">
        <f t="shared" si="60"/>
        <v>12.942799999999998</v>
      </c>
      <c r="H3516" s="73"/>
      <c r="I3516" s="74"/>
      <c r="J3516" s="102">
        <v>0</v>
      </c>
    </row>
    <row r="3517" spans="1:10" hidden="1" x14ac:dyDescent="0.25">
      <c r="A3517" s="219"/>
      <c r="B3517" s="237"/>
      <c r="C3517" s="36" t="s">
        <v>1918</v>
      </c>
      <c r="D3517" s="36" t="s">
        <v>42</v>
      </c>
      <c r="E3517" s="37">
        <v>4.5</v>
      </c>
      <c r="F3517" s="54">
        <v>1.4535</v>
      </c>
      <c r="G3517" s="54">
        <f t="shared" si="60"/>
        <v>6.5407500000000001</v>
      </c>
      <c r="H3517" s="73"/>
      <c r="I3517" s="74"/>
      <c r="J3517" s="102">
        <v>0</v>
      </c>
    </row>
    <row r="3518" spans="1:10" hidden="1" x14ac:dyDescent="0.25">
      <c r="A3518" s="219"/>
      <c r="B3518" s="237"/>
      <c r="C3518" s="36" t="s">
        <v>1917</v>
      </c>
      <c r="D3518" s="36" t="s">
        <v>42</v>
      </c>
      <c r="E3518" s="37">
        <v>0.3</v>
      </c>
      <c r="F3518" s="54">
        <v>2.7835000000000001</v>
      </c>
      <c r="G3518" s="54">
        <f t="shared" si="60"/>
        <v>0.83504999999999996</v>
      </c>
      <c r="H3518" s="73"/>
      <c r="I3518" s="74"/>
      <c r="J3518" s="102">
        <v>0</v>
      </c>
    </row>
    <row r="3519" spans="1:10" ht="25.5" hidden="1" x14ac:dyDescent="0.25">
      <c r="A3519" s="219"/>
      <c r="B3519" s="237"/>
      <c r="C3519" s="36" t="s">
        <v>1037</v>
      </c>
      <c r="D3519" s="36" t="s">
        <v>279</v>
      </c>
      <c r="E3519" s="37">
        <f>2/(0.4*0.8)</f>
        <v>6.2499999999999991</v>
      </c>
      <c r="F3519" s="54">
        <v>2.3465000000000003</v>
      </c>
      <c r="G3519" s="54">
        <f t="shared" si="60"/>
        <v>14.665625</v>
      </c>
      <c r="H3519" s="73"/>
      <c r="I3519" s="74"/>
      <c r="J3519" s="102">
        <v>0</v>
      </c>
    </row>
    <row r="3520" spans="1:10" hidden="1" x14ac:dyDescent="0.25">
      <c r="A3520" s="219"/>
      <c r="B3520" s="237"/>
      <c r="C3520" s="36" t="s">
        <v>1027</v>
      </c>
      <c r="D3520" s="36" t="s">
        <v>144</v>
      </c>
      <c r="E3520" s="37">
        <f>(2/(0.4*0.8))*(0.016)*1.5</f>
        <v>0.15</v>
      </c>
      <c r="F3520" s="54">
        <v>0</v>
      </c>
      <c r="G3520" s="54">
        <f t="shared" si="60"/>
        <v>0</v>
      </c>
      <c r="H3520" s="73"/>
      <c r="I3520" s="74"/>
      <c r="J3520" s="102">
        <v>0</v>
      </c>
    </row>
    <row r="3521" spans="1:10" hidden="1" x14ac:dyDescent="0.25">
      <c r="A3521" s="219"/>
      <c r="B3521" s="237"/>
      <c r="C3521" s="36" t="s">
        <v>1028</v>
      </c>
      <c r="D3521" s="36" t="s">
        <v>1029</v>
      </c>
      <c r="E3521" s="37">
        <f>(2/(0.4*0.8))*0.1*1.5</f>
        <v>0.9375</v>
      </c>
      <c r="F3521" s="54">
        <v>0</v>
      </c>
      <c r="G3521" s="54">
        <f t="shared" si="60"/>
        <v>0</v>
      </c>
      <c r="H3521" s="73"/>
      <c r="I3521" s="74"/>
      <c r="J3521" s="102">
        <v>0</v>
      </c>
    </row>
    <row r="3522" spans="1:10" hidden="1" x14ac:dyDescent="0.25">
      <c r="A3522" s="219"/>
      <c r="B3522" s="237"/>
      <c r="C3522" s="36" t="s">
        <v>1038</v>
      </c>
      <c r="D3522" s="36" t="s">
        <v>144</v>
      </c>
      <c r="E3522" s="37">
        <f>2/(0.4*0.8)</f>
        <v>6.2499999999999991</v>
      </c>
      <c r="F3522" s="54" t="s">
        <v>522</v>
      </c>
      <c r="G3522" s="54" t="str">
        <f t="shared" si="60"/>
        <v/>
      </c>
      <c r="H3522" s="73"/>
      <c r="I3522" s="74"/>
      <c r="J3522" s="102">
        <v>0</v>
      </c>
    </row>
    <row r="3523" spans="1:10" ht="38.25" hidden="1" x14ac:dyDescent="0.25">
      <c r="A3523" s="219"/>
      <c r="B3523" s="237"/>
      <c r="C3523" s="36" t="s">
        <v>1030</v>
      </c>
      <c r="D3523" s="36" t="s">
        <v>109</v>
      </c>
      <c r="E3523" s="37">
        <v>1E-4</v>
      </c>
      <c r="F3523" s="54">
        <v>623.24105472043993</v>
      </c>
      <c r="G3523" s="54">
        <f t="shared" si="60"/>
        <v>6.2324105472043999E-2</v>
      </c>
      <c r="H3523" s="73"/>
      <c r="I3523" s="74"/>
      <c r="J3523" s="102">
        <v>0</v>
      </c>
    </row>
    <row r="3524" spans="1:10" hidden="1" x14ac:dyDescent="0.25">
      <c r="A3524" s="219"/>
      <c r="B3524" s="237"/>
      <c r="C3524" s="36"/>
      <c r="D3524" s="36"/>
      <c r="E3524" s="37"/>
      <c r="F3524" s="54" t="s">
        <v>522</v>
      </c>
      <c r="G3524" s="54" t="str">
        <f t="shared" si="60"/>
        <v/>
      </c>
      <c r="H3524" s="73"/>
      <c r="I3524" s="74"/>
      <c r="J3524" s="102">
        <v>0</v>
      </c>
    </row>
    <row r="3525" spans="1:10" hidden="1" x14ac:dyDescent="0.25">
      <c r="A3525" s="219"/>
      <c r="B3525" s="237"/>
      <c r="C3525" s="99" t="s">
        <v>1039</v>
      </c>
      <c r="D3525" s="36"/>
      <c r="E3525" s="37"/>
      <c r="F3525" s="54" t="s">
        <v>522</v>
      </c>
      <c r="G3525" s="54" t="str">
        <f t="shared" si="60"/>
        <v/>
      </c>
      <c r="H3525" s="73"/>
      <c r="I3525" s="74"/>
      <c r="J3525" s="102">
        <v>0</v>
      </c>
    </row>
    <row r="3526" spans="1:10" ht="25.5" hidden="1" x14ac:dyDescent="0.25">
      <c r="A3526" s="219"/>
      <c r="B3526" s="237"/>
      <c r="C3526" s="99" t="s">
        <v>1040</v>
      </c>
      <c r="D3526" s="36"/>
      <c r="E3526" s="37"/>
      <c r="F3526" s="54" t="s">
        <v>522</v>
      </c>
      <c r="G3526" s="54" t="str">
        <f t="shared" si="60"/>
        <v/>
      </c>
      <c r="H3526" s="73"/>
      <c r="I3526" s="74"/>
      <c r="J3526" s="102">
        <v>0</v>
      </c>
    </row>
    <row r="3527" spans="1:10" ht="15.75" hidden="1" thickBot="1" x14ac:dyDescent="0.3">
      <c r="A3527" s="220"/>
      <c r="B3527" s="223"/>
      <c r="C3527" s="36"/>
      <c r="D3527" s="36"/>
      <c r="E3527" s="37"/>
      <c r="F3527" s="54" t="s">
        <v>522</v>
      </c>
      <c r="G3527" s="54" t="str">
        <f t="shared" si="60"/>
        <v/>
      </c>
      <c r="H3527" s="73"/>
      <c r="I3527" s="74"/>
      <c r="J3527" s="102">
        <v>0</v>
      </c>
    </row>
    <row r="3528" spans="1:10" ht="15.75" hidden="1" thickBot="1" x14ac:dyDescent="0.3">
      <c r="A3528" s="218" t="s">
        <v>1044</v>
      </c>
      <c r="B3528" s="221" t="e">
        <f>INDEX(#REF!,MATCH(Composições!A3528,#REF!,0),2)</f>
        <v>#REF!</v>
      </c>
      <c r="C3528" s="41"/>
      <c r="D3528" s="26" t="s">
        <v>95</v>
      </c>
      <c r="E3528" s="27"/>
      <c r="F3528" s="49" t="s">
        <v>522</v>
      </c>
      <c r="G3528" s="28" t="str">
        <f t="shared" si="60"/>
        <v/>
      </c>
      <c r="H3528" s="29"/>
      <c r="I3528" s="30"/>
      <c r="J3528" s="102">
        <v>0</v>
      </c>
    </row>
    <row r="3529" spans="1:10" hidden="1" x14ac:dyDescent="0.25">
      <c r="A3529" s="219"/>
      <c r="B3529" s="237"/>
      <c r="C3529" s="32"/>
      <c r="D3529" s="32"/>
      <c r="E3529" s="33"/>
      <c r="F3529" s="54" t="s">
        <v>522</v>
      </c>
      <c r="G3529" s="54" t="str">
        <f t="shared" si="60"/>
        <v/>
      </c>
      <c r="H3529" s="73"/>
      <c r="I3529" s="74"/>
      <c r="J3529" s="102">
        <v>0</v>
      </c>
    </row>
    <row r="3530" spans="1:10" hidden="1" x14ac:dyDescent="0.25">
      <c r="A3530" s="219"/>
      <c r="B3530" s="237"/>
      <c r="C3530" s="36" t="s">
        <v>1042</v>
      </c>
      <c r="D3530" s="36" t="s">
        <v>95</v>
      </c>
      <c r="E3530" s="37">
        <v>1.05</v>
      </c>
      <c r="F3530" s="54" t="s">
        <v>522</v>
      </c>
      <c r="G3530" s="54" t="str">
        <f t="shared" si="60"/>
        <v/>
      </c>
      <c r="H3530" s="39">
        <f>SUM(G3530:G3534)</f>
        <v>6.9687250000000001</v>
      </c>
      <c r="I3530" s="40"/>
      <c r="J3530" s="102">
        <v>0</v>
      </c>
    </row>
    <row r="3531" spans="1:10" hidden="1" x14ac:dyDescent="0.25">
      <c r="A3531" s="219"/>
      <c r="B3531" s="237"/>
      <c r="C3531" s="36" t="s">
        <v>54</v>
      </c>
      <c r="D3531" s="36" t="s">
        <v>12</v>
      </c>
      <c r="E3531" s="37">
        <v>0.25</v>
      </c>
      <c r="F3531" s="54">
        <v>21.403500000000001</v>
      </c>
      <c r="G3531" s="54">
        <f t="shared" si="60"/>
        <v>5.3508750000000003</v>
      </c>
      <c r="H3531" s="73"/>
      <c r="I3531" s="74"/>
      <c r="J3531" s="102">
        <v>0</v>
      </c>
    </row>
    <row r="3532" spans="1:10" hidden="1" x14ac:dyDescent="0.25">
      <c r="A3532" s="219"/>
      <c r="B3532" s="237"/>
      <c r="C3532" s="36" t="s">
        <v>23</v>
      </c>
      <c r="D3532" s="36" t="s">
        <v>12</v>
      </c>
      <c r="E3532" s="37">
        <v>0.1</v>
      </c>
      <c r="F3532" s="54">
        <v>16.1785</v>
      </c>
      <c r="G3532" s="54">
        <f t="shared" si="60"/>
        <v>1.61785</v>
      </c>
      <c r="H3532" s="73"/>
      <c r="I3532" s="74"/>
      <c r="J3532" s="102">
        <v>0</v>
      </c>
    </row>
    <row r="3533" spans="1:10" hidden="1" x14ac:dyDescent="0.25">
      <c r="A3533" s="219"/>
      <c r="B3533" s="237"/>
      <c r="C3533" s="36" t="s">
        <v>1027</v>
      </c>
      <c r="D3533" s="36" t="s">
        <v>144</v>
      </c>
      <c r="E3533" s="37">
        <f>(2/(0.4*0.8))*0.016/2</f>
        <v>4.9999999999999996E-2</v>
      </c>
      <c r="F3533" s="54">
        <v>0</v>
      </c>
      <c r="G3533" s="54">
        <f t="shared" si="60"/>
        <v>0</v>
      </c>
      <c r="H3533" s="73"/>
      <c r="I3533" s="74"/>
      <c r="J3533" s="102">
        <v>0</v>
      </c>
    </row>
    <row r="3534" spans="1:10" hidden="1" x14ac:dyDescent="0.25">
      <c r="A3534" s="219"/>
      <c r="B3534" s="237"/>
      <c r="C3534" s="36" t="s">
        <v>1028</v>
      </c>
      <c r="D3534" s="36" t="s">
        <v>1029</v>
      </c>
      <c r="E3534" s="37">
        <f>(2/(0.4*0.8))*0.1/2</f>
        <v>0.3125</v>
      </c>
      <c r="F3534" s="54">
        <v>0</v>
      </c>
      <c r="G3534" s="54">
        <f t="shared" si="60"/>
        <v>0</v>
      </c>
      <c r="H3534" s="73"/>
      <c r="I3534" s="74"/>
      <c r="J3534" s="102">
        <v>0</v>
      </c>
    </row>
    <row r="3535" spans="1:10" hidden="1" x14ac:dyDescent="0.25">
      <c r="A3535" s="219"/>
      <c r="B3535" s="237"/>
      <c r="C3535" s="36"/>
      <c r="D3535" s="36"/>
      <c r="E3535" s="37"/>
      <c r="F3535" s="54" t="s">
        <v>522</v>
      </c>
      <c r="G3535" s="54" t="str">
        <f t="shared" si="60"/>
        <v/>
      </c>
      <c r="H3535" s="73"/>
      <c r="I3535" s="74"/>
      <c r="J3535" s="102">
        <v>0</v>
      </c>
    </row>
    <row r="3536" spans="1:10" hidden="1" x14ac:dyDescent="0.25">
      <c r="A3536" s="219"/>
      <c r="B3536" s="237"/>
      <c r="C3536" s="99" t="s">
        <v>1045</v>
      </c>
      <c r="D3536" s="36"/>
      <c r="E3536" s="37"/>
      <c r="F3536" s="54" t="s">
        <v>522</v>
      </c>
      <c r="G3536" s="54" t="str">
        <f t="shared" si="60"/>
        <v/>
      </c>
      <c r="H3536" s="73"/>
      <c r="I3536" s="74"/>
      <c r="J3536" s="102">
        <v>0</v>
      </c>
    </row>
    <row r="3537" spans="1:10" ht="15.75" hidden="1" thickBot="1" x14ac:dyDescent="0.3">
      <c r="A3537" s="220"/>
      <c r="B3537" s="223"/>
      <c r="C3537" s="36"/>
      <c r="D3537" s="36"/>
      <c r="E3537" s="37"/>
      <c r="F3537" s="54" t="s">
        <v>522</v>
      </c>
      <c r="G3537" s="54" t="str">
        <f t="shared" si="60"/>
        <v/>
      </c>
      <c r="H3537" s="73"/>
      <c r="I3537" s="74"/>
      <c r="J3537" s="102">
        <v>0</v>
      </c>
    </row>
    <row r="3538" spans="1:10" ht="15.75" hidden="1" thickBot="1" x14ac:dyDescent="0.3">
      <c r="A3538" s="218" t="s">
        <v>1586</v>
      </c>
      <c r="B3538" s="221" t="e">
        <f>INDEX(#REF!,MATCH(Composições!A3538,#REF!,0),2)</f>
        <v>#REF!</v>
      </c>
      <c r="C3538" s="41"/>
      <c r="D3538" s="26" t="s">
        <v>95</v>
      </c>
      <c r="E3538" s="27"/>
      <c r="F3538" s="49" t="s">
        <v>522</v>
      </c>
      <c r="G3538" s="28" t="str">
        <f t="shared" si="60"/>
        <v/>
      </c>
      <c r="H3538" s="29"/>
      <c r="I3538" s="30"/>
      <c r="J3538" s="102">
        <v>0</v>
      </c>
    </row>
    <row r="3539" spans="1:10" hidden="1" x14ac:dyDescent="0.25">
      <c r="A3539" s="219"/>
      <c r="B3539" s="237"/>
      <c r="C3539" s="32"/>
      <c r="D3539" s="32"/>
      <c r="E3539" s="33"/>
      <c r="F3539" s="54" t="s">
        <v>522</v>
      </c>
      <c r="G3539" s="54" t="str">
        <f t="shared" si="60"/>
        <v/>
      </c>
      <c r="H3539" s="73"/>
      <c r="I3539" s="74"/>
      <c r="J3539" s="102">
        <v>0</v>
      </c>
    </row>
    <row r="3540" spans="1:10" hidden="1" x14ac:dyDescent="0.25">
      <c r="A3540" s="219"/>
      <c r="B3540" s="237"/>
      <c r="C3540" s="36" t="s">
        <v>54</v>
      </c>
      <c r="D3540" s="36" t="s">
        <v>12</v>
      </c>
      <c r="E3540" s="37">
        <v>0.25</v>
      </c>
      <c r="F3540" s="54">
        <v>21.403500000000001</v>
      </c>
      <c r="G3540" s="54">
        <f t="shared" si="60"/>
        <v>5.3508750000000003</v>
      </c>
      <c r="H3540" s="39">
        <f>SUM(G3540:G3543)</f>
        <v>6.9687250000000001</v>
      </c>
      <c r="I3540" s="40"/>
      <c r="J3540" s="102">
        <v>0</v>
      </c>
    </row>
    <row r="3541" spans="1:10" hidden="1" x14ac:dyDescent="0.25">
      <c r="A3541" s="219"/>
      <c r="B3541" s="237"/>
      <c r="C3541" s="36" t="s">
        <v>23</v>
      </c>
      <c r="D3541" s="36" t="s">
        <v>12</v>
      </c>
      <c r="E3541" s="37">
        <v>0.1</v>
      </c>
      <c r="F3541" s="54">
        <v>16.1785</v>
      </c>
      <c r="G3541" s="54">
        <f t="shared" si="60"/>
        <v>1.61785</v>
      </c>
      <c r="H3541" s="73"/>
      <c r="I3541" s="74"/>
      <c r="J3541" s="102">
        <v>0</v>
      </c>
    </row>
    <row r="3542" spans="1:10" hidden="1" x14ac:dyDescent="0.25">
      <c r="A3542" s="219"/>
      <c r="B3542" s="237"/>
      <c r="C3542" s="36" t="s">
        <v>1027</v>
      </c>
      <c r="D3542" s="36" t="s">
        <v>144</v>
      </c>
      <c r="E3542" s="37">
        <f>(2/(0.4*0.8))*0.016/2</f>
        <v>4.9999999999999996E-2</v>
      </c>
      <c r="F3542" s="54">
        <v>0</v>
      </c>
      <c r="G3542" s="54">
        <f t="shared" si="60"/>
        <v>0</v>
      </c>
      <c r="H3542" s="73"/>
      <c r="I3542" s="74"/>
      <c r="J3542" s="102">
        <v>0</v>
      </c>
    </row>
    <row r="3543" spans="1:10" hidden="1" x14ac:dyDescent="0.25">
      <c r="A3543" s="219"/>
      <c r="B3543" s="237"/>
      <c r="C3543" s="36" t="s">
        <v>1028</v>
      </c>
      <c r="D3543" s="36" t="s">
        <v>1029</v>
      </c>
      <c r="E3543" s="37">
        <f>(2/(0.4*0.8))*0.1/2</f>
        <v>0.3125</v>
      </c>
      <c r="F3543" s="54">
        <v>0</v>
      </c>
      <c r="G3543" s="54">
        <f t="shared" si="60"/>
        <v>0</v>
      </c>
      <c r="H3543" s="73"/>
      <c r="I3543" s="74"/>
      <c r="J3543" s="102">
        <v>0</v>
      </c>
    </row>
    <row r="3544" spans="1:10" hidden="1" x14ac:dyDescent="0.25">
      <c r="A3544" s="219"/>
      <c r="B3544" s="237"/>
      <c r="C3544" s="36"/>
      <c r="D3544" s="36"/>
      <c r="E3544" s="37"/>
      <c r="F3544" s="54" t="s">
        <v>522</v>
      </c>
      <c r="G3544" s="54" t="str">
        <f t="shared" si="60"/>
        <v/>
      </c>
      <c r="H3544" s="73"/>
      <c r="I3544" s="74"/>
      <c r="J3544" s="102">
        <v>0</v>
      </c>
    </row>
    <row r="3545" spans="1:10" hidden="1" x14ac:dyDescent="0.25">
      <c r="A3545" s="219"/>
      <c r="B3545" s="237"/>
      <c r="C3545" s="99" t="s">
        <v>1045</v>
      </c>
      <c r="D3545" s="36"/>
      <c r="E3545" s="37"/>
      <c r="F3545" s="54" t="s">
        <v>522</v>
      </c>
      <c r="G3545" s="54" t="str">
        <f t="shared" si="60"/>
        <v/>
      </c>
      <c r="H3545" s="73"/>
      <c r="I3545" s="74"/>
      <c r="J3545" s="102">
        <v>0</v>
      </c>
    </row>
    <row r="3546" spans="1:10" ht="15.75" hidden="1" thickBot="1" x14ac:dyDescent="0.3">
      <c r="A3546" s="220"/>
      <c r="B3546" s="223"/>
      <c r="C3546" s="36"/>
      <c r="D3546" s="36"/>
      <c r="E3546" s="37"/>
      <c r="F3546" s="54" t="s">
        <v>522</v>
      </c>
      <c r="G3546" s="54" t="str">
        <f t="shared" si="60"/>
        <v/>
      </c>
      <c r="H3546" s="73"/>
      <c r="I3546" s="74"/>
      <c r="J3546" s="102">
        <v>0</v>
      </c>
    </row>
    <row r="3547" spans="1:10" ht="15.75" hidden="1" thickBot="1" x14ac:dyDescent="0.3">
      <c r="A3547" s="218" t="s">
        <v>1046</v>
      </c>
      <c r="B3547" s="221" t="e">
        <f>INDEX(#REF!,MATCH(Composições!A3547,#REF!,0),2)</f>
        <v>#REF!</v>
      </c>
      <c r="C3547" s="41"/>
      <c r="D3547" s="26" t="s">
        <v>95</v>
      </c>
      <c r="E3547" s="27"/>
      <c r="F3547" s="49" t="s">
        <v>522</v>
      </c>
      <c r="G3547" s="28" t="str">
        <f t="shared" si="60"/>
        <v/>
      </c>
      <c r="H3547" s="29"/>
      <c r="I3547" s="30"/>
      <c r="J3547" s="102">
        <v>0</v>
      </c>
    </row>
    <row r="3548" spans="1:10" hidden="1" x14ac:dyDescent="0.25">
      <c r="A3548" s="219"/>
      <c r="B3548" s="237"/>
      <c r="C3548" s="32"/>
      <c r="D3548" s="32"/>
      <c r="E3548" s="33"/>
      <c r="F3548" s="54" t="s">
        <v>522</v>
      </c>
      <c r="G3548" s="54" t="str">
        <f t="shared" si="60"/>
        <v/>
      </c>
      <c r="H3548" s="73"/>
      <c r="I3548" s="74"/>
      <c r="J3548" s="102">
        <v>0</v>
      </c>
    </row>
    <row r="3549" spans="1:10" hidden="1" x14ac:dyDescent="0.25">
      <c r="A3549" s="219"/>
      <c r="B3549" s="237"/>
      <c r="C3549" s="36" t="s">
        <v>54</v>
      </c>
      <c r="D3549" s="36" t="s">
        <v>12</v>
      </c>
      <c r="E3549" s="37">
        <v>1.35</v>
      </c>
      <c r="F3549" s="54">
        <v>21.403500000000001</v>
      </c>
      <c r="G3549" s="54">
        <f t="shared" si="60"/>
        <v>28.894725000000005</v>
      </c>
      <c r="H3549" s="39">
        <f>SUM(G3549:G3552)</f>
        <v>45.97762500000001</v>
      </c>
      <c r="I3549" s="40"/>
      <c r="J3549" s="102">
        <v>0</v>
      </c>
    </row>
    <row r="3550" spans="1:10" hidden="1" x14ac:dyDescent="0.25">
      <c r="A3550" s="219"/>
      <c r="B3550" s="237"/>
      <c r="C3550" s="36" t="s">
        <v>23</v>
      </c>
      <c r="D3550" s="36" t="s">
        <v>12</v>
      </c>
      <c r="E3550" s="37">
        <v>0.6</v>
      </c>
      <c r="F3550" s="54">
        <v>16.1785</v>
      </c>
      <c r="G3550" s="54">
        <f t="shared" si="60"/>
        <v>9.7070999999999987</v>
      </c>
      <c r="H3550" s="73"/>
      <c r="I3550" s="74"/>
      <c r="J3550" s="102">
        <v>0</v>
      </c>
    </row>
    <row r="3551" spans="1:10" hidden="1" x14ac:dyDescent="0.25">
      <c r="A3551" s="219"/>
      <c r="B3551" s="237"/>
      <c r="C3551" s="36" t="s">
        <v>1918</v>
      </c>
      <c r="D3551" s="36" t="s">
        <v>42</v>
      </c>
      <c r="E3551" s="37">
        <v>4.5</v>
      </c>
      <c r="F3551" s="54">
        <v>1.4535</v>
      </c>
      <c r="G3551" s="54">
        <f t="shared" si="60"/>
        <v>6.5407500000000001</v>
      </c>
      <c r="H3551" s="73"/>
      <c r="I3551" s="74"/>
      <c r="J3551" s="102">
        <v>0</v>
      </c>
    </row>
    <row r="3552" spans="1:10" hidden="1" x14ac:dyDescent="0.25">
      <c r="A3552" s="219"/>
      <c r="B3552" s="237"/>
      <c r="C3552" s="36" t="s">
        <v>1917</v>
      </c>
      <c r="D3552" s="36" t="s">
        <v>42</v>
      </c>
      <c r="E3552" s="37">
        <v>0.3</v>
      </c>
      <c r="F3552" s="54">
        <v>2.7835000000000001</v>
      </c>
      <c r="G3552" s="54">
        <f t="shared" si="60"/>
        <v>0.83504999999999996</v>
      </c>
      <c r="H3552" s="73"/>
      <c r="I3552" s="74"/>
      <c r="J3552" s="102">
        <v>0</v>
      </c>
    </row>
    <row r="3553" spans="1:10" ht="15.75" hidden="1" thickBot="1" x14ac:dyDescent="0.3">
      <c r="A3553" s="220"/>
      <c r="B3553" s="223"/>
      <c r="C3553" s="36"/>
      <c r="D3553" s="36"/>
      <c r="E3553" s="37"/>
      <c r="F3553" s="54" t="s">
        <v>522</v>
      </c>
      <c r="G3553" s="54" t="str">
        <f t="shared" si="60"/>
        <v/>
      </c>
      <c r="H3553" s="73"/>
      <c r="I3553" s="74"/>
      <c r="J3553" s="102">
        <v>0</v>
      </c>
    </row>
    <row r="3554" spans="1:10" ht="15.75" hidden="1" thickBot="1" x14ac:dyDescent="0.3">
      <c r="A3554" s="218" t="s">
        <v>1047</v>
      </c>
      <c r="B3554" s="221" t="e">
        <f>INDEX(#REF!,MATCH(Composições!A3554,#REF!,0),2)</f>
        <v>#REF!</v>
      </c>
      <c r="C3554" s="41"/>
      <c r="D3554" s="26" t="s">
        <v>95</v>
      </c>
      <c r="E3554" s="27"/>
      <c r="F3554" s="49" t="s">
        <v>522</v>
      </c>
      <c r="G3554" s="28" t="str">
        <f t="shared" si="60"/>
        <v/>
      </c>
      <c r="H3554" s="29"/>
      <c r="I3554" s="30"/>
      <c r="J3554" s="102">
        <v>0</v>
      </c>
    </row>
    <row r="3555" spans="1:10" hidden="1" x14ac:dyDescent="0.25">
      <c r="A3555" s="219"/>
      <c r="B3555" s="237"/>
      <c r="C3555" s="32"/>
      <c r="D3555" s="32"/>
      <c r="E3555" s="33"/>
      <c r="F3555" s="54" t="s">
        <v>522</v>
      </c>
      <c r="G3555" s="54" t="str">
        <f t="shared" si="60"/>
        <v/>
      </c>
      <c r="H3555" s="73"/>
      <c r="I3555" s="74"/>
      <c r="J3555" s="102">
        <v>0</v>
      </c>
    </row>
    <row r="3556" spans="1:10" hidden="1" x14ac:dyDescent="0.25">
      <c r="A3556" s="219"/>
      <c r="B3556" s="237"/>
      <c r="C3556" s="36" t="s">
        <v>54</v>
      </c>
      <c r="D3556" s="36" t="s">
        <v>12</v>
      </c>
      <c r="E3556" s="37">
        <f>1.35</f>
        <v>1.35</v>
      </c>
      <c r="F3556" s="54">
        <v>21.403500000000001</v>
      </c>
      <c r="G3556" s="54">
        <f t="shared" si="60"/>
        <v>28.894725000000005</v>
      </c>
      <c r="H3556" s="39">
        <f>SUM(G3556:G3565)</f>
        <v>66.089224105472056</v>
      </c>
      <c r="I3556" s="40"/>
      <c r="J3556" s="102">
        <v>0</v>
      </c>
    </row>
    <row r="3557" spans="1:10" hidden="1" x14ac:dyDescent="0.25">
      <c r="A3557" s="219"/>
      <c r="B3557" s="237"/>
      <c r="C3557" s="36" t="s">
        <v>22</v>
      </c>
      <c r="D3557" s="36" t="s">
        <v>12</v>
      </c>
      <c r="E3557" s="37">
        <v>0.1</v>
      </c>
      <c r="F3557" s="54">
        <v>21.479499999999998</v>
      </c>
      <c r="G3557" s="54">
        <f t="shared" si="60"/>
        <v>2.1479499999999998</v>
      </c>
      <c r="H3557" s="73"/>
      <c r="I3557" s="74"/>
      <c r="J3557" s="102">
        <v>0</v>
      </c>
    </row>
    <row r="3558" spans="1:10" hidden="1" x14ac:dyDescent="0.25">
      <c r="A3558" s="219"/>
      <c r="B3558" s="237"/>
      <c r="C3558" s="36" t="s">
        <v>23</v>
      </c>
      <c r="D3558" s="36" t="s">
        <v>12</v>
      </c>
      <c r="E3558" s="37">
        <f>0.6+0.1+0.1</f>
        <v>0.79999999999999993</v>
      </c>
      <c r="F3558" s="54">
        <v>16.1785</v>
      </c>
      <c r="G3558" s="54">
        <f t="shared" si="60"/>
        <v>12.942799999999998</v>
      </c>
      <c r="H3558" s="73"/>
      <c r="I3558" s="74"/>
      <c r="J3558" s="102">
        <v>0</v>
      </c>
    </row>
    <row r="3559" spans="1:10" hidden="1" x14ac:dyDescent="0.25">
      <c r="A3559" s="219"/>
      <c r="B3559" s="237"/>
      <c r="C3559" s="36" t="s">
        <v>1918</v>
      </c>
      <c r="D3559" s="36" t="s">
        <v>42</v>
      </c>
      <c r="E3559" s="37">
        <v>4.5</v>
      </c>
      <c r="F3559" s="54">
        <v>1.4535</v>
      </c>
      <c r="G3559" s="54">
        <f t="shared" si="60"/>
        <v>6.5407500000000001</v>
      </c>
      <c r="H3559" s="73"/>
      <c r="I3559" s="74"/>
      <c r="J3559" s="102">
        <v>0</v>
      </c>
    </row>
    <row r="3560" spans="1:10" hidden="1" x14ac:dyDescent="0.25">
      <c r="A3560" s="219"/>
      <c r="B3560" s="237"/>
      <c r="C3560" s="36" t="s">
        <v>1917</v>
      </c>
      <c r="D3560" s="36" t="s">
        <v>42</v>
      </c>
      <c r="E3560" s="37">
        <v>0.3</v>
      </c>
      <c r="F3560" s="54">
        <v>2.7835000000000001</v>
      </c>
      <c r="G3560" s="54">
        <f t="shared" si="60"/>
        <v>0.83504999999999996</v>
      </c>
      <c r="H3560" s="73"/>
      <c r="I3560" s="74"/>
      <c r="J3560" s="102">
        <v>0</v>
      </c>
    </row>
    <row r="3561" spans="1:10" ht="25.5" hidden="1" x14ac:dyDescent="0.25">
      <c r="A3561" s="219"/>
      <c r="B3561" s="237"/>
      <c r="C3561" s="36" t="s">
        <v>1037</v>
      </c>
      <c r="D3561" s="36" t="s">
        <v>279</v>
      </c>
      <c r="E3561" s="37">
        <f>2/(0.4*0.8)</f>
        <v>6.2499999999999991</v>
      </c>
      <c r="F3561" s="54">
        <v>2.3465000000000003</v>
      </c>
      <c r="G3561" s="54">
        <f t="shared" si="60"/>
        <v>14.665625</v>
      </c>
      <c r="H3561" s="73"/>
      <c r="I3561" s="74"/>
      <c r="J3561" s="102">
        <v>0</v>
      </c>
    </row>
    <row r="3562" spans="1:10" hidden="1" x14ac:dyDescent="0.25">
      <c r="A3562" s="219"/>
      <c r="B3562" s="237"/>
      <c r="C3562" s="36" t="s">
        <v>1027</v>
      </c>
      <c r="D3562" s="36" t="s">
        <v>144</v>
      </c>
      <c r="E3562" s="37">
        <f>(2/(0.4*0.8))*(0.016)*1.5</f>
        <v>0.15</v>
      </c>
      <c r="F3562" s="54">
        <v>0</v>
      </c>
      <c r="G3562" s="54">
        <f t="shared" si="60"/>
        <v>0</v>
      </c>
      <c r="H3562" s="73"/>
      <c r="I3562" s="74"/>
      <c r="J3562" s="102">
        <v>0</v>
      </c>
    </row>
    <row r="3563" spans="1:10" hidden="1" x14ac:dyDescent="0.25">
      <c r="A3563" s="219"/>
      <c r="B3563" s="237"/>
      <c r="C3563" s="36" t="s">
        <v>1028</v>
      </c>
      <c r="D3563" s="36" t="s">
        <v>1029</v>
      </c>
      <c r="E3563" s="37">
        <f>(2/(0.4*0.8))*0.1*1.5</f>
        <v>0.9375</v>
      </c>
      <c r="F3563" s="54">
        <v>0</v>
      </c>
      <c r="G3563" s="54">
        <f t="shared" si="60"/>
        <v>0</v>
      </c>
      <c r="H3563" s="73"/>
      <c r="I3563" s="74"/>
      <c r="J3563" s="102">
        <v>0</v>
      </c>
    </row>
    <row r="3564" spans="1:10" hidden="1" x14ac:dyDescent="0.25">
      <c r="A3564" s="219"/>
      <c r="B3564" s="237"/>
      <c r="C3564" s="36" t="s">
        <v>1038</v>
      </c>
      <c r="D3564" s="36" t="s">
        <v>144</v>
      </c>
      <c r="E3564" s="37">
        <f>2/(0.4*0.8)</f>
        <v>6.2499999999999991</v>
      </c>
      <c r="F3564" s="54" t="s">
        <v>522</v>
      </c>
      <c r="G3564" s="54" t="str">
        <f t="shared" si="60"/>
        <v/>
      </c>
      <c r="H3564" s="73"/>
      <c r="I3564" s="74"/>
      <c r="J3564" s="102">
        <v>0</v>
      </c>
    </row>
    <row r="3565" spans="1:10" ht="38.25" hidden="1" x14ac:dyDescent="0.25">
      <c r="A3565" s="219"/>
      <c r="B3565" s="237"/>
      <c r="C3565" s="36" t="s">
        <v>1030</v>
      </c>
      <c r="D3565" s="36" t="s">
        <v>109</v>
      </c>
      <c r="E3565" s="37">
        <v>1E-4</v>
      </c>
      <c r="F3565" s="54">
        <v>623.24105472043993</v>
      </c>
      <c r="G3565" s="54">
        <f t="shared" si="60"/>
        <v>6.2324105472043999E-2</v>
      </c>
      <c r="H3565" s="73"/>
      <c r="I3565" s="74"/>
      <c r="J3565" s="102">
        <v>0</v>
      </c>
    </row>
    <row r="3566" spans="1:10" hidden="1" x14ac:dyDescent="0.25">
      <c r="A3566" s="219"/>
      <c r="B3566" s="237"/>
      <c r="C3566" s="36"/>
      <c r="D3566" s="36"/>
      <c r="E3566" s="37"/>
      <c r="F3566" s="54" t="s">
        <v>522</v>
      </c>
      <c r="G3566" s="54" t="str">
        <f t="shared" si="60"/>
        <v/>
      </c>
      <c r="H3566" s="73"/>
      <c r="I3566" s="74"/>
      <c r="J3566" s="102">
        <v>0</v>
      </c>
    </row>
    <row r="3567" spans="1:10" hidden="1" x14ac:dyDescent="0.25">
      <c r="A3567" s="219"/>
      <c r="B3567" s="237"/>
      <c r="C3567" s="99" t="s">
        <v>1039</v>
      </c>
      <c r="D3567" s="36"/>
      <c r="E3567" s="37"/>
      <c r="F3567" s="54" t="s">
        <v>522</v>
      </c>
      <c r="G3567" s="54" t="str">
        <f t="shared" si="60"/>
        <v/>
      </c>
      <c r="H3567" s="73"/>
      <c r="I3567" s="74"/>
      <c r="J3567" s="102">
        <v>0</v>
      </c>
    </row>
    <row r="3568" spans="1:10" ht="25.5" hidden="1" x14ac:dyDescent="0.25">
      <c r="A3568" s="219"/>
      <c r="B3568" s="237"/>
      <c r="C3568" s="99" t="s">
        <v>1040</v>
      </c>
      <c r="D3568" s="36"/>
      <c r="E3568" s="37"/>
      <c r="F3568" s="54" t="s">
        <v>522</v>
      </c>
      <c r="G3568" s="54" t="str">
        <f t="shared" si="60"/>
        <v/>
      </c>
      <c r="H3568" s="73"/>
      <c r="I3568" s="74"/>
      <c r="J3568" s="102">
        <v>0</v>
      </c>
    </row>
    <row r="3569" spans="1:10" ht="15.75" hidden="1" thickBot="1" x14ac:dyDescent="0.3">
      <c r="A3569" s="220"/>
      <c r="B3569" s="223"/>
      <c r="C3569" s="36"/>
      <c r="D3569" s="36"/>
      <c r="E3569" s="37"/>
      <c r="F3569" s="54" t="s">
        <v>522</v>
      </c>
      <c r="G3569" s="54" t="str">
        <f t="shared" ref="G3569:G3632" si="61">IF(ISNUMBER(F3569),E3569*F3569,"")</f>
        <v/>
      </c>
      <c r="H3569" s="73"/>
      <c r="I3569" s="74"/>
      <c r="J3569" s="102">
        <v>0</v>
      </c>
    </row>
    <row r="3570" spans="1:10" ht="15.75" hidden="1" thickBot="1" x14ac:dyDescent="0.3">
      <c r="A3570" s="218" t="s">
        <v>1048</v>
      </c>
      <c r="B3570" s="221" t="e">
        <f>INDEX(#REF!,MATCH(Composições!A3570,#REF!,0),2)</f>
        <v>#REF!</v>
      </c>
      <c r="C3570" s="41"/>
      <c r="D3570" s="26" t="s">
        <v>95</v>
      </c>
      <c r="E3570" s="27"/>
      <c r="F3570" s="49" t="s">
        <v>522</v>
      </c>
      <c r="G3570" s="28" t="str">
        <f t="shared" si="61"/>
        <v/>
      </c>
      <c r="H3570" s="29"/>
      <c r="I3570" s="30"/>
      <c r="J3570" s="102">
        <v>0</v>
      </c>
    </row>
    <row r="3571" spans="1:10" hidden="1" x14ac:dyDescent="0.25">
      <c r="A3571" s="224"/>
      <c r="B3571" s="237"/>
      <c r="C3571" s="32"/>
      <c r="D3571" s="32"/>
      <c r="E3571" s="33"/>
      <c r="F3571" s="54" t="s">
        <v>522</v>
      </c>
      <c r="G3571" s="54" t="str">
        <f t="shared" si="61"/>
        <v/>
      </c>
      <c r="H3571" s="73"/>
      <c r="I3571" s="74"/>
      <c r="J3571" s="102">
        <v>0</v>
      </c>
    </row>
    <row r="3572" spans="1:10" hidden="1" x14ac:dyDescent="0.25">
      <c r="A3572" s="224"/>
      <c r="B3572" s="237"/>
      <c r="C3572" s="36" t="s">
        <v>100</v>
      </c>
      <c r="D3572" s="36" t="s">
        <v>12</v>
      </c>
      <c r="E3572" s="37">
        <v>0.4</v>
      </c>
      <c r="F3572" s="54">
        <v>22.495999999999999</v>
      </c>
      <c r="G3572" s="54">
        <f t="shared" si="61"/>
        <v>8.9984000000000002</v>
      </c>
      <c r="H3572" s="39">
        <f>SUM(G3572:G3574)</f>
        <v>10.8262</v>
      </c>
      <c r="I3572" s="40"/>
      <c r="J3572" s="102">
        <v>0</v>
      </c>
    </row>
    <row r="3573" spans="1:10" hidden="1" x14ac:dyDescent="0.25">
      <c r="A3573" s="224"/>
      <c r="B3573" s="237"/>
      <c r="C3573" s="36" t="s">
        <v>1049</v>
      </c>
      <c r="D3573" s="36" t="s">
        <v>703</v>
      </c>
      <c r="E3573" s="37">
        <v>0.1</v>
      </c>
      <c r="F3573" s="54">
        <v>18.277999999999999</v>
      </c>
      <c r="G3573" s="54">
        <f t="shared" si="61"/>
        <v>1.8277999999999999</v>
      </c>
      <c r="H3573" s="73"/>
      <c r="I3573" s="74"/>
      <c r="J3573" s="102">
        <v>0</v>
      </c>
    </row>
    <row r="3574" spans="1:10" hidden="1" x14ac:dyDescent="0.25">
      <c r="A3574" s="224"/>
      <c r="B3574" s="237"/>
      <c r="C3574" s="36" t="s">
        <v>1050</v>
      </c>
      <c r="D3574" s="50" t="s">
        <v>102</v>
      </c>
      <c r="E3574" s="37">
        <v>0.33</v>
      </c>
      <c r="F3574" s="54">
        <v>0</v>
      </c>
      <c r="G3574" s="54">
        <f t="shared" si="61"/>
        <v>0</v>
      </c>
      <c r="H3574" s="73"/>
      <c r="I3574" s="74"/>
      <c r="J3574" s="102">
        <v>0</v>
      </c>
    </row>
    <row r="3575" spans="1:10" ht="15.75" hidden="1" thickBot="1" x14ac:dyDescent="0.3">
      <c r="A3575" s="225"/>
      <c r="B3575" s="223"/>
      <c r="C3575" s="36"/>
      <c r="D3575" s="36"/>
      <c r="E3575" s="37"/>
      <c r="F3575" s="54" t="s">
        <v>522</v>
      </c>
      <c r="G3575" s="54" t="str">
        <f t="shared" si="61"/>
        <v/>
      </c>
      <c r="H3575" s="73"/>
      <c r="I3575" s="74"/>
      <c r="J3575" s="102">
        <v>0</v>
      </c>
    </row>
    <row r="3576" spans="1:10" ht="15.75" hidden="1" thickBot="1" x14ac:dyDescent="0.3">
      <c r="A3576" s="218" t="s">
        <v>1051</v>
      </c>
      <c r="B3576" s="221" t="e">
        <f>INDEX(#REF!,MATCH(Composições!A3576,#REF!,0),2)</f>
        <v>#REF!</v>
      </c>
      <c r="C3576" s="41"/>
      <c r="D3576" s="26" t="s">
        <v>93</v>
      </c>
      <c r="E3576" s="27"/>
      <c r="F3576" s="49" t="s">
        <v>522</v>
      </c>
      <c r="G3576" s="28" t="str">
        <f t="shared" si="61"/>
        <v/>
      </c>
      <c r="H3576" s="29"/>
      <c r="I3576" s="30"/>
      <c r="J3576" s="102">
        <v>0</v>
      </c>
    </row>
    <row r="3577" spans="1:10" hidden="1" x14ac:dyDescent="0.25">
      <c r="A3577" s="224"/>
      <c r="B3577" s="237"/>
      <c r="C3577" s="32"/>
      <c r="D3577" s="32"/>
      <c r="E3577" s="33"/>
      <c r="F3577" s="54" t="s">
        <v>522</v>
      </c>
      <c r="G3577" s="54" t="str">
        <f t="shared" si="61"/>
        <v/>
      </c>
      <c r="H3577" s="73"/>
      <c r="I3577" s="74"/>
      <c r="J3577" s="102">
        <v>0</v>
      </c>
    </row>
    <row r="3578" spans="1:10" hidden="1" x14ac:dyDescent="0.25">
      <c r="A3578" s="224"/>
      <c r="B3578" s="237"/>
      <c r="C3578" s="36" t="s">
        <v>54</v>
      </c>
      <c r="D3578" s="36" t="s">
        <v>12</v>
      </c>
      <c r="E3578" s="37">
        <v>0.6</v>
      </c>
      <c r="F3578" s="54">
        <v>21.403500000000001</v>
      </c>
      <c r="G3578" s="54">
        <f t="shared" si="61"/>
        <v>12.8421</v>
      </c>
      <c r="H3578" s="39">
        <f>SUM(G3578:G3580)</f>
        <v>19.313500000000001</v>
      </c>
      <c r="I3578" s="40"/>
      <c r="J3578" s="102">
        <v>0</v>
      </c>
    </row>
    <row r="3579" spans="1:10" hidden="1" x14ac:dyDescent="0.25">
      <c r="A3579" s="224"/>
      <c r="B3579" s="237"/>
      <c r="C3579" s="36" t="s">
        <v>23</v>
      </c>
      <c r="D3579" s="36" t="s">
        <v>12</v>
      </c>
      <c r="E3579" s="37">
        <v>0.4</v>
      </c>
      <c r="F3579" s="54">
        <v>16.1785</v>
      </c>
      <c r="G3579" s="54">
        <f t="shared" si="61"/>
        <v>6.4714</v>
      </c>
      <c r="H3579" s="73"/>
      <c r="I3579" s="74"/>
      <c r="J3579" s="102">
        <v>0</v>
      </c>
    </row>
    <row r="3580" spans="1:10" ht="25.5" hidden="1" x14ac:dyDescent="0.25">
      <c r="A3580" s="224"/>
      <c r="B3580" s="237"/>
      <c r="C3580" s="36" t="s">
        <v>1052</v>
      </c>
      <c r="D3580" s="47" t="s">
        <v>93</v>
      </c>
      <c r="E3580" s="37">
        <v>1</v>
      </c>
      <c r="F3580" s="54" t="s">
        <v>522</v>
      </c>
      <c r="G3580" s="54" t="str">
        <f t="shared" si="61"/>
        <v/>
      </c>
      <c r="H3580" s="73"/>
      <c r="I3580" s="74"/>
      <c r="J3580" s="102">
        <v>0</v>
      </c>
    </row>
    <row r="3581" spans="1:10" ht="15.75" hidden="1" thickBot="1" x14ac:dyDescent="0.3">
      <c r="A3581" s="225"/>
      <c r="B3581" s="223"/>
      <c r="C3581" s="36"/>
      <c r="D3581" s="36"/>
      <c r="E3581" s="37"/>
      <c r="F3581" s="54" t="s">
        <v>522</v>
      </c>
      <c r="G3581" s="54" t="str">
        <f t="shared" si="61"/>
        <v/>
      </c>
      <c r="H3581" s="73"/>
      <c r="I3581" s="74"/>
      <c r="J3581" s="102">
        <v>0</v>
      </c>
    </row>
    <row r="3582" spans="1:10" ht="15.75" hidden="1" thickBot="1" x14ac:dyDescent="0.3">
      <c r="A3582" s="218" t="s">
        <v>1053</v>
      </c>
      <c r="B3582" s="221" t="e">
        <f>INDEX(#REF!,MATCH(Composições!A3582,#REF!,0),2)</f>
        <v>#REF!</v>
      </c>
      <c r="C3582" s="41"/>
      <c r="D3582" s="26" t="s">
        <v>95</v>
      </c>
      <c r="E3582" s="27"/>
      <c r="F3582" s="49" t="s">
        <v>522</v>
      </c>
      <c r="G3582" s="28" t="str">
        <f t="shared" si="61"/>
        <v/>
      </c>
      <c r="H3582" s="29"/>
      <c r="I3582" s="30"/>
      <c r="J3582" s="102">
        <v>0</v>
      </c>
    </row>
    <row r="3583" spans="1:10" hidden="1" x14ac:dyDescent="0.25">
      <c r="A3583" s="224"/>
      <c r="B3583" s="237"/>
      <c r="C3583" s="32"/>
      <c r="D3583" s="32"/>
      <c r="E3583" s="33"/>
      <c r="F3583" s="54" t="s">
        <v>522</v>
      </c>
      <c r="G3583" s="54" t="str">
        <f t="shared" si="61"/>
        <v/>
      </c>
      <c r="H3583" s="73"/>
      <c r="I3583" s="74"/>
      <c r="J3583" s="102">
        <v>0</v>
      </c>
    </row>
    <row r="3584" spans="1:10" hidden="1" x14ac:dyDescent="0.25">
      <c r="A3584" s="224"/>
      <c r="B3584" s="237"/>
      <c r="C3584" s="36" t="s">
        <v>1054</v>
      </c>
      <c r="D3584" s="36" t="s">
        <v>95</v>
      </c>
      <c r="E3584" s="37">
        <v>1.05</v>
      </c>
      <c r="F3584" s="54" t="s">
        <v>522</v>
      </c>
      <c r="G3584" s="54" t="str">
        <f t="shared" si="61"/>
        <v/>
      </c>
      <c r="H3584" s="39">
        <f>SUM(G3584:G3588)</f>
        <v>104.12486399999999</v>
      </c>
      <c r="I3584" s="40"/>
      <c r="J3584" s="102">
        <v>0</v>
      </c>
    </row>
    <row r="3585" spans="1:10" hidden="1" x14ac:dyDescent="0.25">
      <c r="A3585" s="224"/>
      <c r="B3585" s="237"/>
      <c r="C3585" s="36" t="s">
        <v>1918</v>
      </c>
      <c r="D3585" s="36" t="s">
        <v>42</v>
      </c>
      <c r="E3585" s="37">
        <f>0.8614/0.1</f>
        <v>8.6140000000000008</v>
      </c>
      <c r="F3585" s="54">
        <v>1.4535</v>
      </c>
      <c r="G3585" s="54">
        <f t="shared" si="61"/>
        <v>12.520449000000001</v>
      </c>
      <c r="H3585" s="73"/>
      <c r="I3585" s="74"/>
      <c r="J3585" s="102">
        <v>0</v>
      </c>
    </row>
    <row r="3586" spans="1:10" hidden="1" x14ac:dyDescent="0.25">
      <c r="A3586" s="224"/>
      <c r="B3586" s="237"/>
      <c r="C3586" s="36" t="s">
        <v>54</v>
      </c>
      <c r="D3586" s="36" t="s">
        <v>12</v>
      </c>
      <c r="E3586" s="37">
        <f>0.299/0.1</f>
        <v>2.9899999999999998</v>
      </c>
      <c r="F3586" s="54">
        <v>21.403500000000001</v>
      </c>
      <c r="G3586" s="54">
        <f t="shared" si="61"/>
        <v>63.996465000000001</v>
      </c>
      <c r="H3586" s="73"/>
      <c r="I3586" s="74"/>
      <c r="J3586" s="102">
        <v>0</v>
      </c>
    </row>
    <row r="3587" spans="1:10" hidden="1" x14ac:dyDescent="0.25">
      <c r="A3587" s="224"/>
      <c r="B3587" s="237"/>
      <c r="C3587" s="36" t="s">
        <v>23</v>
      </c>
      <c r="D3587" s="36" t="s">
        <v>12</v>
      </c>
      <c r="E3587" s="37">
        <f>0.15/0.1</f>
        <v>1.4999999999999998</v>
      </c>
      <c r="F3587" s="54">
        <v>16.1785</v>
      </c>
      <c r="G3587" s="54">
        <f t="shared" si="61"/>
        <v>24.267749999999996</v>
      </c>
      <c r="H3587" s="73"/>
      <c r="I3587" s="74"/>
      <c r="J3587" s="102">
        <v>0</v>
      </c>
    </row>
    <row r="3588" spans="1:10" hidden="1" x14ac:dyDescent="0.25">
      <c r="A3588" s="224"/>
      <c r="B3588" s="237"/>
      <c r="C3588" s="36" t="s">
        <v>1917</v>
      </c>
      <c r="D3588" s="36" t="s">
        <v>42</v>
      </c>
      <c r="E3588" s="37">
        <f>0.12/0.1</f>
        <v>1.2</v>
      </c>
      <c r="F3588" s="54">
        <v>2.7835000000000001</v>
      </c>
      <c r="G3588" s="54">
        <f t="shared" si="61"/>
        <v>3.3401999999999998</v>
      </c>
      <c r="H3588" s="73"/>
      <c r="I3588" s="74"/>
      <c r="J3588" s="102">
        <v>0</v>
      </c>
    </row>
    <row r="3589" spans="1:10" hidden="1" x14ac:dyDescent="0.25">
      <c r="A3589" s="224"/>
      <c r="B3589" s="237"/>
      <c r="C3589" s="36"/>
      <c r="D3589" s="36"/>
      <c r="E3589" s="37"/>
      <c r="F3589" s="54" t="s">
        <v>522</v>
      </c>
      <c r="G3589" s="54" t="str">
        <f t="shared" si="61"/>
        <v/>
      </c>
      <c r="H3589" s="73"/>
      <c r="I3589" s="74"/>
      <c r="J3589" s="102">
        <v>0</v>
      </c>
    </row>
    <row r="3590" spans="1:10" ht="15.75" hidden="1" thickBot="1" x14ac:dyDescent="0.3">
      <c r="A3590" s="218" t="s">
        <v>1055</v>
      </c>
      <c r="B3590" s="221" t="e">
        <f>INDEX(#REF!,MATCH(Composições!A3590,#REF!,0),2)</f>
        <v>#REF!</v>
      </c>
      <c r="C3590" s="41"/>
      <c r="D3590" s="26" t="s">
        <v>20</v>
      </c>
      <c r="E3590" s="27"/>
      <c r="F3590" s="49" t="s">
        <v>522</v>
      </c>
      <c r="G3590" s="28" t="str">
        <f t="shared" si="61"/>
        <v/>
      </c>
      <c r="H3590" s="29"/>
      <c r="I3590" s="30"/>
      <c r="J3590" s="102">
        <v>0</v>
      </c>
    </row>
    <row r="3591" spans="1:10" hidden="1" x14ac:dyDescent="0.25">
      <c r="A3591" s="224"/>
      <c r="B3591" s="237"/>
      <c r="C3591" s="32"/>
      <c r="D3591" s="32"/>
      <c r="E3591" s="33"/>
      <c r="F3591" s="54" t="s">
        <v>522</v>
      </c>
      <c r="G3591" s="54" t="str">
        <f t="shared" si="61"/>
        <v/>
      </c>
      <c r="H3591" s="73"/>
      <c r="I3591" s="74"/>
      <c r="J3591" s="102">
        <v>0</v>
      </c>
    </row>
    <row r="3592" spans="1:10" hidden="1" x14ac:dyDescent="0.25">
      <c r="A3592" s="224"/>
      <c r="B3592" s="237"/>
      <c r="C3592" s="36" t="s">
        <v>23</v>
      </c>
      <c r="D3592" s="36" t="s">
        <v>12</v>
      </c>
      <c r="E3592" s="37">
        <v>0.05</v>
      </c>
      <c r="F3592" s="54">
        <v>16.1785</v>
      </c>
      <c r="G3592" s="54">
        <f t="shared" si="61"/>
        <v>0.80892500000000001</v>
      </c>
      <c r="H3592" s="39">
        <f>SUM(G3592:G3595)</f>
        <v>0.94810000000000005</v>
      </c>
      <c r="I3592" s="40"/>
      <c r="J3592" s="102">
        <v>0</v>
      </c>
    </row>
    <row r="3593" spans="1:10" hidden="1" x14ac:dyDescent="0.25">
      <c r="A3593" s="224"/>
      <c r="B3593" s="237"/>
      <c r="C3593" s="36" t="s">
        <v>1056</v>
      </c>
      <c r="D3593" s="36" t="s">
        <v>1057</v>
      </c>
      <c r="E3593" s="37">
        <f>0.25/10</f>
        <v>2.5000000000000001E-2</v>
      </c>
      <c r="F3593" s="54">
        <v>0</v>
      </c>
      <c r="G3593" s="54">
        <f t="shared" si="61"/>
        <v>0</v>
      </c>
      <c r="H3593" s="73"/>
      <c r="I3593" s="74"/>
      <c r="J3593" s="102">
        <v>0</v>
      </c>
    </row>
    <row r="3594" spans="1:10" hidden="1" x14ac:dyDescent="0.25">
      <c r="A3594" s="224"/>
      <c r="B3594" s="237"/>
      <c r="C3594" s="36" t="s">
        <v>1058</v>
      </c>
      <c r="D3594" s="36" t="s">
        <v>20</v>
      </c>
      <c r="E3594" s="37">
        <v>0.25</v>
      </c>
      <c r="F3594" s="54" t="s">
        <v>522</v>
      </c>
      <c r="G3594" s="54" t="str">
        <f t="shared" si="61"/>
        <v/>
      </c>
      <c r="H3594" s="73"/>
      <c r="I3594" s="74"/>
      <c r="J3594" s="102">
        <v>0</v>
      </c>
    </row>
    <row r="3595" spans="1:10" hidden="1" x14ac:dyDescent="0.25">
      <c r="A3595" s="224"/>
      <c r="B3595" s="237"/>
      <c r="C3595" s="36" t="s">
        <v>1917</v>
      </c>
      <c r="D3595" s="47" t="s">
        <v>42</v>
      </c>
      <c r="E3595" s="37">
        <v>0.05</v>
      </c>
      <c r="F3595" s="54">
        <v>2.7835000000000001</v>
      </c>
      <c r="G3595" s="54">
        <f t="shared" si="61"/>
        <v>0.13917500000000002</v>
      </c>
      <c r="H3595" s="73"/>
      <c r="I3595" s="74"/>
      <c r="J3595" s="102">
        <v>0</v>
      </c>
    </row>
    <row r="3596" spans="1:10" ht="15.75" hidden="1" thickBot="1" x14ac:dyDescent="0.3">
      <c r="A3596" s="225"/>
      <c r="B3596" s="223"/>
      <c r="C3596" s="36"/>
      <c r="D3596" s="36"/>
      <c r="E3596" s="37"/>
      <c r="F3596" s="54" t="s">
        <v>522</v>
      </c>
      <c r="G3596" s="54" t="str">
        <f t="shared" si="61"/>
        <v/>
      </c>
      <c r="H3596" s="73"/>
      <c r="I3596" s="74"/>
      <c r="J3596" s="102">
        <v>0</v>
      </c>
    </row>
    <row r="3597" spans="1:10" ht="15.75" hidden="1" thickBot="1" x14ac:dyDescent="0.3">
      <c r="A3597" s="218" t="s">
        <v>1059</v>
      </c>
      <c r="B3597" s="221" t="e">
        <f>INDEX(#REF!,MATCH(Composições!A3597,#REF!,0),2)</f>
        <v>#REF!</v>
      </c>
      <c r="C3597" s="41"/>
      <c r="D3597" s="26" t="s">
        <v>95</v>
      </c>
      <c r="E3597" s="27"/>
      <c r="F3597" s="49" t="s">
        <v>522</v>
      </c>
      <c r="G3597" s="28" t="str">
        <f t="shared" si="61"/>
        <v/>
      </c>
      <c r="H3597" s="29"/>
      <c r="I3597" s="30"/>
      <c r="J3597" s="102">
        <v>0</v>
      </c>
    </row>
    <row r="3598" spans="1:10" hidden="1" x14ac:dyDescent="0.25">
      <c r="A3598" s="224"/>
      <c r="B3598" s="237"/>
      <c r="C3598" s="32"/>
      <c r="D3598" s="32"/>
      <c r="E3598" s="33"/>
      <c r="F3598" s="54" t="s">
        <v>522</v>
      </c>
      <c r="G3598" s="54" t="str">
        <f t="shared" si="61"/>
        <v/>
      </c>
      <c r="H3598" s="73"/>
      <c r="I3598" s="74"/>
      <c r="J3598" s="102">
        <v>0</v>
      </c>
    </row>
    <row r="3599" spans="1:10" hidden="1" x14ac:dyDescent="0.25">
      <c r="A3599" s="224"/>
      <c r="B3599" s="237"/>
      <c r="C3599" s="36" t="s">
        <v>23</v>
      </c>
      <c r="D3599" s="36" t="s">
        <v>12</v>
      </c>
      <c r="E3599" s="37">
        <v>0.25</v>
      </c>
      <c r="F3599" s="54">
        <v>16.1785</v>
      </c>
      <c r="G3599" s="54">
        <f t="shared" si="61"/>
        <v>4.0446249999999999</v>
      </c>
      <c r="H3599" s="39">
        <f>SUM(G3599:G3600)</f>
        <v>5.5170965000000001</v>
      </c>
      <c r="I3599" s="40"/>
      <c r="J3599" s="102">
        <v>0</v>
      </c>
    </row>
    <row r="3600" spans="1:10" hidden="1" x14ac:dyDescent="0.25">
      <c r="A3600" s="224"/>
      <c r="B3600" s="237"/>
      <c r="C3600" s="36" t="s">
        <v>1917</v>
      </c>
      <c r="D3600" s="47" t="s">
        <v>42</v>
      </c>
      <c r="E3600" s="37">
        <v>0.52900000000000003</v>
      </c>
      <c r="F3600" s="54">
        <v>2.7835000000000001</v>
      </c>
      <c r="G3600" s="54">
        <f t="shared" si="61"/>
        <v>1.4724715000000002</v>
      </c>
      <c r="H3600" s="73"/>
      <c r="I3600" s="74"/>
      <c r="J3600" s="102">
        <v>0</v>
      </c>
    </row>
    <row r="3601" spans="1:10" ht="15.75" hidden="1" thickBot="1" x14ac:dyDescent="0.3">
      <c r="A3601" s="225"/>
      <c r="B3601" s="223"/>
      <c r="C3601" s="36"/>
      <c r="D3601" s="36"/>
      <c r="E3601" s="37"/>
      <c r="F3601" s="54" t="s">
        <v>522</v>
      </c>
      <c r="G3601" s="54" t="str">
        <f t="shared" si="61"/>
        <v/>
      </c>
      <c r="H3601" s="73"/>
      <c r="I3601" s="74"/>
      <c r="J3601" s="102">
        <v>0</v>
      </c>
    </row>
    <row r="3602" spans="1:10" ht="15.75" hidden="1" thickBot="1" x14ac:dyDescent="0.3">
      <c r="A3602" s="218" t="s">
        <v>1060</v>
      </c>
      <c r="B3602" s="221" t="e">
        <f>INDEX(#REF!,MATCH(Composições!A3602,#REF!,0),2)</f>
        <v>#REF!</v>
      </c>
      <c r="C3602" s="41"/>
      <c r="D3602" s="26" t="s">
        <v>93</v>
      </c>
      <c r="E3602" s="27"/>
      <c r="F3602" s="49" t="s">
        <v>522</v>
      </c>
      <c r="G3602" s="28" t="str">
        <f t="shared" si="61"/>
        <v/>
      </c>
      <c r="H3602" s="29"/>
      <c r="I3602" s="30"/>
      <c r="J3602" s="102">
        <v>0</v>
      </c>
    </row>
    <row r="3603" spans="1:10" hidden="1" x14ac:dyDescent="0.25">
      <c r="A3603" s="224"/>
      <c r="B3603" s="237"/>
      <c r="C3603" s="32"/>
      <c r="D3603" s="32"/>
      <c r="E3603" s="33"/>
      <c r="F3603" s="54" t="s">
        <v>522</v>
      </c>
      <c r="G3603" s="54" t="str">
        <f t="shared" si="61"/>
        <v/>
      </c>
      <c r="H3603" s="73"/>
      <c r="I3603" s="74"/>
      <c r="J3603" s="102">
        <v>0</v>
      </c>
    </row>
    <row r="3604" spans="1:10" hidden="1" x14ac:dyDescent="0.25">
      <c r="A3604" s="224"/>
      <c r="B3604" s="237"/>
      <c r="C3604" s="36" t="s">
        <v>22</v>
      </c>
      <c r="D3604" s="36" t="s">
        <v>12</v>
      </c>
      <c r="E3604" s="37">
        <v>0.33</v>
      </c>
      <c r="F3604" s="54">
        <v>21.479499999999998</v>
      </c>
      <c r="G3604" s="54">
        <f t="shared" si="61"/>
        <v>7.0882350000000001</v>
      </c>
      <c r="H3604" s="39">
        <f>SUM(G3604:G3608)</f>
        <v>25.990992999999996</v>
      </c>
      <c r="I3604" s="40"/>
      <c r="J3604" s="102">
        <v>0</v>
      </c>
    </row>
    <row r="3605" spans="1:10" hidden="1" x14ac:dyDescent="0.25">
      <c r="A3605" s="224"/>
      <c r="B3605" s="237"/>
      <c r="C3605" s="36" t="s">
        <v>23</v>
      </c>
      <c r="D3605" s="36" t="s">
        <v>12</v>
      </c>
      <c r="E3605" s="37">
        <v>0.1</v>
      </c>
      <c r="F3605" s="54">
        <v>16.1785</v>
      </c>
      <c r="G3605" s="54">
        <f t="shared" si="61"/>
        <v>1.61785</v>
      </c>
      <c r="H3605" s="73"/>
      <c r="I3605" s="74"/>
      <c r="J3605" s="102">
        <v>0</v>
      </c>
    </row>
    <row r="3606" spans="1:10" hidden="1" x14ac:dyDescent="0.25">
      <c r="A3606" s="224"/>
      <c r="B3606" s="237"/>
      <c r="C3606" s="36" t="s">
        <v>1061</v>
      </c>
      <c r="D3606" s="50" t="s">
        <v>102</v>
      </c>
      <c r="E3606" s="37">
        <v>0.15</v>
      </c>
      <c r="F3606" s="54">
        <v>0</v>
      </c>
      <c r="G3606" s="54">
        <f t="shared" si="61"/>
        <v>0</v>
      </c>
      <c r="H3606" s="73"/>
      <c r="I3606" s="74"/>
      <c r="J3606" s="102">
        <v>0</v>
      </c>
    </row>
    <row r="3607" spans="1:10" hidden="1" x14ac:dyDescent="0.25">
      <c r="A3607" s="224"/>
      <c r="B3607" s="237"/>
      <c r="C3607" s="36" t="s">
        <v>1062</v>
      </c>
      <c r="D3607" s="47" t="s">
        <v>93</v>
      </c>
      <c r="E3607" s="37">
        <v>1</v>
      </c>
      <c r="F3607" s="54">
        <v>0</v>
      </c>
      <c r="G3607" s="54">
        <f t="shared" si="61"/>
        <v>0</v>
      </c>
      <c r="H3607" s="73"/>
      <c r="I3607" s="74"/>
      <c r="J3607" s="102">
        <v>0</v>
      </c>
    </row>
    <row r="3608" spans="1:10" ht="25.5" hidden="1" x14ac:dyDescent="0.25">
      <c r="A3608" s="224"/>
      <c r="B3608" s="237"/>
      <c r="C3608" s="36" t="s">
        <v>1063</v>
      </c>
      <c r="D3608" s="47" t="s">
        <v>1064</v>
      </c>
      <c r="E3608" s="37">
        <f>ROUND(0.15/0.31,4)</f>
        <v>0.4839</v>
      </c>
      <c r="F3608" s="54">
        <v>35.72</v>
      </c>
      <c r="G3608" s="54">
        <f t="shared" si="61"/>
        <v>17.284907999999998</v>
      </c>
      <c r="H3608" s="73"/>
      <c r="I3608" s="74"/>
      <c r="J3608" s="102">
        <v>0</v>
      </c>
    </row>
    <row r="3609" spans="1:10" ht="15.75" hidden="1" thickBot="1" x14ac:dyDescent="0.3">
      <c r="A3609" s="225"/>
      <c r="B3609" s="223"/>
      <c r="C3609" s="36"/>
      <c r="D3609" s="36"/>
      <c r="E3609" s="37"/>
      <c r="F3609" s="54" t="s">
        <v>522</v>
      </c>
      <c r="G3609" s="54" t="str">
        <f t="shared" si="61"/>
        <v/>
      </c>
      <c r="H3609" s="73"/>
      <c r="I3609" s="74"/>
      <c r="J3609" s="102">
        <v>0</v>
      </c>
    </row>
    <row r="3610" spans="1:10" ht="15.75" hidden="1" thickBot="1" x14ac:dyDescent="0.3">
      <c r="A3610" s="218" t="s">
        <v>1065</v>
      </c>
      <c r="B3610" s="221" t="e">
        <f>INDEX(#REF!,MATCH(Composições!A3610,#REF!,0),2)</f>
        <v>#REF!</v>
      </c>
      <c r="C3610" s="41"/>
      <c r="D3610" s="26" t="s">
        <v>93</v>
      </c>
      <c r="E3610" s="27"/>
      <c r="F3610" s="49" t="s">
        <v>522</v>
      </c>
      <c r="G3610" s="28" t="str">
        <f t="shared" si="61"/>
        <v/>
      </c>
      <c r="H3610" s="29"/>
      <c r="I3610" s="30"/>
      <c r="J3610" s="102">
        <v>0</v>
      </c>
    </row>
    <row r="3611" spans="1:10" hidden="1" x14ac:dyDescent="0.25">
      <c r="A3611" s="224"/>
      <c r="B3611" s="237"/>
      <c r="C3611" s="32"/>
      <c r="D3611" s="32"/>
      <c r="E3611" s="33"/>
      <c r="F3611" s="54" t="s">
        <v>522</v>
      </c>
      <c r="G3611" s="54" t="str">
        <f t="shared" si="61"/>
        <v/>
      </c>
      <c r="H3611" s="73"/>
      <c r="I3611" s="74"/>
      <c r="J3611" s="102">
        <v>0</v>
      </c>
    </row>
    <row r="3612" spans="1:10" hidden="1" x14ac:dyDescent="0.25">
      <c r="A3612" s="224"/>
      <c r="B3612" s="237"/>
      <c r="C3612" s="36" t="s">
        <v>22</v>
      </c>
      <c r="D3612" s="36" t="s">
        <v>12</v>
      </c>
      <c r="E3612" s="37">
        <v>0.16500000000000001</v>
      </c>
      <c r="F3612" s="54">
        <v>21.479499999999998</v>
      </c>
      <c r="G3612" s="54">
        <f t="shared" si="61"/>
        <v>3.5441175</v>
      </c>
      <c r="H3612" s="39">
        <f>SUM(G3612:G3614)</f>
        <v>17.063871500000001</v>
      </c>
      <c r="I3612" s="40"/>
      <c r="J3612" s="102">
        <v>0</v>
      </c>
    </row>
    <row r="3613" spans="1:10" hidden="1" x14ac:dyDescent="0.25">
      <c r="A3613" s="224"/>
      <c r="B3613" s="237"/>
      <c r="C3613" s="36" t="s">
        <v>23</v>
      </c>
      <c r="D3613" s="36" t="s">
        <v>12</v>
      </c>
      <c r="E3613" s="37">
        <v>0.1</v>
      </c>
      <c r="F3613" s="54">
        <v>16.1785</v>
      </c>
      <c r="G3613" s="54">
        <f t="shared" si="61"/>
        <v>1.61785</v>
      </c>
      <c r="H3613" s="73"/>
      <c r="I3613" s="74"/>
      <c r="J3613" s="102">
        <v>0</v>
      </c>
    </row>
    <row r="3614" spans="1:10" ht="25.5" hidden="1" x14ac:dyDescent="0.25">
      <c r="A3614" s="224"/>
      <c r="B3614" s="237"/>
      <c r="C3614" s="36" t="s">
        <v>1063</v>
      </c>
      <c r="D3614" s="47" t="s">
        <v>1064</v>
      </c>
      <c r="E3614" s="37">
        <f>ROUND(0.1033/0.31,4)</f>
        <v>0.3332</v>
      </c>
      <c r="F3614" s="54">
        <v>35.72</v>
      </c>
      <c r="G3614" s="54">
        <f t="shared" si="61"/>
        <v>11.901904</v>
      </c>
      <c r="H3614" s="73"/>
      <c r="I3614" s="74"/>
      <c r="J3614" s="102">
        <v>0</v>
      </c>
    </row>
    <row r="3615" spans="1:10" ht="15.75" hidden="1" thickBot="1" x14ac:dyDescent="0.3">
      <c r="A3615" s="225"/>
      <c r="B3615" s="223"/>
      <c r="C3615" s="36"/>
      <c r="D3615" s="36"/>
      <c r="E3615" s="37"/>
      <c r="F3615" s="54" t="s">
        <v>522</v>
      </c>
      <c r="G3615" s="54" t="str">
        <f t="shared" si="61"/>
        <v/>
      </c>
      <c r="H3615" s="73"/>
      <c r="I3615" s="74"/>
      <c r="J3615" s="102">
        <v>0</v>
      </c>
    </row>
    <row r="3616" spans="1:10" ht="15.75" hidden="1" thickBot="1" x14ac:dyDescent="0.3">
      <c r="A3616" s="218" t="s">
        <v>1066</v>
      </c>
      <c r="B3616" s="221" t="e">
        <f>INDEX(#REF!,MATCH(Composições!A3616,#REF!,0),2)</f>
        <v>#REF!</v>
      </c>
      <c r="C3616" s="41"/>
      <c r="D3616" s="26" t="s">
        <v>20</v>
      </c>
      <c r="E3616" s="27"/>
      <c r="F3616" s="49" t="s">
        <v>522</v>
      </c>
      <c r="G3616" s="28" t="str">
        <f t="shared" si="61"/>
        <v/>
      </c>
      <c r="H3616" s="29"/>
      <c r="I3616" s="30"/>
      <c r="J3616" s="102">
        <v>0</v>
      </c>
    </row>
    <row r="3617" spans="1:10" hidden="1" x14ac:dyDescent="0.25">
      <c r="A3617" s="224"/>
      <c r="B3617" s="237"/>
      <c r="C3617" s="32"/>
      <c r="D3617" s="32"/>
      <c r="E3617" s="33"/>
      <c r="F3617" s="54" t="s">
        <v>522</v>
      </c>
      <c r="G3617" s="54" t="str">
        <f t="shared" si="61"/>
        <v/>
      </c>
      <c r="H3617" s="73"/>
      <c r="I3617" s="74"/>
      <c r="J3617" s="102">
        <v>0</v>
      </c>
    </row>
    <row r="3618" spans="1:10" ht="25.5" hidden="1" x14ac:dyDescent="0.25">
      <c r="A3618" s="224"/>
      <c r="B3618" s="237"/>
      <c r="C3618" s="36" t="s">
        <v>1067</v>
      </c>
      <c r="D3618" s="36" t="s">
        <v>279</v>
      </c>
      <c r="E3618" s="37">
        <v>1</v>
      </c>
      <c r="F3618" s="54">
        <v>57.550999999999995</v>
      </c>
      <c r="G3618" s="54">
        <f t="shared" si="61"/>
        <v>57.550999999999995</v>
      </c>
      <c r="H3618" s="39">
        <f>SUM(G3618:G3621)</f>
        <v>69.237359449999985</v>
      </c>
      <c r="I3618" s="40"/>
      <c r="J3618" s="102">
        <v>0</v>
      </c>
    </row>
    <row r="3619" spans="1:10" hidden="1" x14ac:dyDescent="0.25">
      <c r="A3619" s="224"/>
      <c r="B3619" s="237"/>
      <c r="C3619" s="36" t="s">
        <v>1068</v>
      </c>
      <c r="D3619" s="36" t="s">
        <v>279</v>
      </c>
      <c r="E3619" s="37">
        <v>2.1000000000000001E-2</v>
      </c>
      <c r="F3619" s="54">
        <v>3.5244999999999997</v>
      </c>
      <c r="G3619" s="54">
        <f t="shared" si="61"/>
        <v>7.4014499999999997E-2</v>
      </c>
      <c r="H3619" s="73"/>
      <c r="I3619" s="74"/>
      <c r="J3619" s="102">
        <v>0</v>
      </c>
    </row>
    <row r="3620" spans="1:10" ht="25.5" hidden="1" x14ac:dyDescent="0.25">
      <c r="A3620" s="224"/>
      <c r="B3620" s="237"/>
      <c r="C3620" s="36" t="s">
        <v>954</v>
      </c>
      <c r="D3620" s="36" t="s">
        <v>703</v>
      </c>
      <c r="E3620" s="37">
        <v>0.44669999999999999</v>
      </c>
      <c r="F3620" s="54">
        <v>20.9</v>
      </c>
      <c r="G3620" s="54">
        <f t="shared" si="61"/>
        <v>9.3360299999999992</v>
      </c>
      <c r="H3620" s="73"/>
      <c r="I3620" s="74"/>
      <c r="J3620" s="102">
        <v>0</v>
      </c>
    </row>
    <row r="3621" spans="1:10" hidden="1" x14ac:dyDescent="0.25">
      <c r="A3621" s="224"/>
      <c r="B3621" s="237"/>
      <c r="C3621" s="36" t="s">
        <v>704</v>
      </c>
      <c r="D3621" s="36" t="s">
        <v>703</v>
      </c>
      <c r="E3621" s="37">
        <v>0.14069999999999999</v>
      </c>
      <c r="F3621" s="54">
        <v>16.1785</v>
      </c>
      <c r="G3621" s="54">
        <f t="shared" si="61"/>
        <v>2.2763149499999997</v>
      </c>
      <c r="H3621" s="73"/>
      <c r="I3621" s="74"/>
      <c r="J3621" s="102">
        <v>0</v>
      </c>
    </row>
    <row r="3622" spans="1:10" ht="15.75" hidden="1" thickBot="1" x14ac:dyDescent="0.3">
      <c r="A3622" s="225"/>
      <c r="B3622" s="223"/>
      <c r="C3622" s="36"/>
      <c r="D3622" s="36"/>
      <c r="E3622" s="37"/>
      <c r="F3622" s="54" t="s">
        <v>522</v>
      </c>
      <c r="G3622" s="54" t="str">
        <f t="shared" si="61"/>
        <v/>
      </c>
      <c r="H3622" s="73"/>
      <c r="I3622" s="74"/>
      <c r="J3622" s="102">
        <v>0</v>
      </c>
    </row>
    <row r="3623" spans="1:10" ht="15.75" hidden="1" thickBot="1" x14ac:dyDescent="0.3">
      <c r="A3623" s="218" t="s">
        <v>1069</v>
      </c>
      <c r="B3623" s="221" t="e">
        <f>INDEX(#REF!,MATCH(Composições!A3623,#REF!,0),2)</f>
        <v>#REF!</v>
      </c>
      <c r="C3623" s="41"/>
      <c r="D3623" s="26" t="s">
        <v>109</v>
      </c>
      <c r="E3623" s="27"/>
      <c r="F3623" s="49" t="s">
        <v>522</v>
      </c>
      <c r="G3623" s="28" t="str">
        <f t="shared" si="61"/>
        <v/>
      </c>
      <c r="H3623" s="29"/>
      <c r="I3623" s="30"/>
      <c r="J3623" s="102">
        <v>0</v>
      </c>
    </row>
    <row r="3624" spans="1:10" hidden="1" x14ac:dyDescent="0.25">
      <c r="A3624" s="224"/>
      <c r="B3624" s="237"/>
      <c r="C3624" s="32"/>
      <c r="D3624" s="32"/>
      <c r="E3624" s="33"/>
      <c r="F3624" s="54" t="s">
        <v>522</v>
      </c>
      <c r="G3624" s="54" t="str">
        <f t="shared" si="61"/>
        <v/>
      </c>
      <c r="H3624" s="73"/>
      <c r="I3624" s="74"/>
      <c r="J3624" s="102">
        <v>0</v>
      </c>
    </row>
    <row r="3625" spans="1:10" hidden="1" x14ac:dyDescent="0.25">
      <c r="A3625" s="224"/>
      <c r="B3625" s="237"/>
      <c r="C3625" s="36" t="s">
        <v>22</v>
      </c>
      <c r="D3625" s="36" t="s">
        <v>703</v>
      </c>
      <c r="E3625" s="37">
        <v>5.4370000000000003</v>
      </c>
      <c r="F3625" s="54">
        <v>21.479499999999998</v>
      </c>
      <c r="G3625" s="54">
        <f t="shared" si="61"/>
        <v>116.7840415</v>
      </c>
      <c r="H3625" s="39">
        <f>SUM(G3625:G3627)</f>
        <v>664.77785702775338</v>
      </c>
      <c r="I3625" s="40"/>
      <c r="J3625" s="102">
        <v>0</v>
      </c>
    </row>
    <row r="3626" spans="1:10" hidden="1" x14ac:dyDescent="0.25">
      <c r="A3626" s="224"/>
      <c r="B3626" s="237"/>
      <c r="C3626" s="36" t="s">
        <v>23</v>
      </c>
      <c r="D3626" s="36" t="s">
        <v>703</v>
      </c>
      <c r="E3626" s="37">
        <v>1.4830000000000001</v>
      </c>
      <c r="F3626" s="54">
        <v>16.1785</v>
      </c>
      <c r="G3626" s="54">
        <f t="shared" si="61"/>
        <v>23.992715500000003</v>
      </c>
      <c r="H3626" s="73"/>
      <c r="I3626" s="74"/>
      <c r="J3626" s="102">
        <v>0</v>
      </c>
    </row>
    <row r="3627" spans="1:10" ht="38.25" hidden="1" x14ac:dyDescent="0.25">
      <c r="A3627" s="224"/>
      <c r="B3627" s="237"/>
      <c r="C3627" s="36" t="s">
        <v>1070</v>
      </c>
      <c r="D3627" s="47" t="s">
        <v>120</v>
      </c>
      <c r="E3627" s="37">
        <v>1.1299999999999999</v>
      </c>
      <c r="F3627" s="54">
        <v>463.71778763518006</v>
      </c>
      <c r="G3627" s="54">
        <f t="shared" si="61"/>
        <v>524.00110002775341</v>
      </c>
      <c r="H3627" s="73"/>
      <c r="I3627" s="74"/>
      <c r="J3627" s="102">
        <v>0</v>
      </c>
    </row>
    <row r="3628" spans="1:10" ht="15.75" hidden="1" thickBot="1" x14ac:dyDescent="0.3">
      <c r="A3628" s="225"/>
      <c r="B3628" s="223"/>
      <c r="C3628" s="36"/>
      <c r="D3628" s="36"/>
      <c r="E3628" s="37"/>
      <c r="F3628" s="54" t="s">
        <v>522</v>
      </c>
      <c r="G3628" s="54" t="str">
        <f t="shared" si="61"/>
        <v/>
      </c>
      <c r="H3628" s="73"/>
      <c r="I3628" s="74"/>
      <c r="J3628" s="102">
        <v>0</v>
      </c>
    </row>
    <row r="3629" spans="1:10" ht="15.75" hidden="1" thickBot="1" x14ac:dyDescent="0.3">
      <c r="A3629" s="218" t="s">
        <v>1071</v>
      </c>
      <c r="B3629" s="221" t="e">
        <f>INDEX(#REF!,MATCH(Composições!A3629,#REF!,0),2)</f>
        <v>#REF!</v>
      </c>
      <c r="C3629" s="41"/>
      <c r="D3629" s="26" t="s">
        <v>95</v>
      </c>
      <c r="E3629" s="27"/>
      <c r="F3629" s="49" t="s">
        <v>522</v>
      </c>
      <c r="G3629" s="28" t="str">
        <f t="shared" si="61"/>
        <v/>
      </c>
      <c r="H3629" s="29"/>
      <c r="I3629" s="30"/>
      <c r="J3629" s="102">
        <v>0</v>
      </c>
    </row>
    <row r="3630" spans="1:10" hidden="1" x14ac:dyDescent="0.25">
      <c r="A3630" s="219"/>
      <c r="B3630" s="237"/>
      <c r="C3630" s="32"/>
      <c r="D3630" s="32"/>
      <c r="E3630" s="33"/>
      <c r="F3630" s="54" t="s">
        <v>522</v>
      </c>
      <c r="G3630" s="54" t="str">
        <f t="shared" si="61"/>
        <v/>
      </c>
      <c r="H3630" s="73"/>
      <c r="I3630" s="74"/>
      <c r="J3630" s="102">
        <v>0</v>
      </c>
    </row>
    <row r="3631" spans="1:10" ht="38.25" hidden="1" x14ac:dyDescent="0.25">
      <c r="A3631" s="219"/>
      <c r="B3631" s="237"/>
      <c r="C3631" s="36" t="s">
        <v>1714</v>
      </c>
      <c r="D3631" s="36" t="s">
        <v>120</v>
      </c>
      <c r="E3631" s="37">
        <v>8.14E-2</v>
      </c>
      <c r="F3631" s="54">
        <v>361</v>
      </c>
      <c r="G3631" s="54">
        <f t="shared" si="61"/>
        <v>29.385400000000001</v>
      </c>
      <c r="H3631" s="39">
        <f>SUM(G3631:G3637)</f>
        <v>116.70585175000001</v>
      </c>
      <c r="I3631" s="40"/>
      <c r="J3631" s="102">
        <v>0</v>
      </c>
    </row>
    <row r="3632" spans="1:10" ht="25.5" hidden="1" x14ac:dyDescent="0.25">
      <c r="A3632" s="219"/>
      <c r="B3632" s="237"/>
      <c r="C3632" s="36" t="s">
        <v>1767</v>
      </c>
      <c r="D3632" s="36" t="s">
        <v>898</v>
      </c>
      <c r="E3632" s="37">
        <v>4</v>
      </c>
      <c r="F3632" s="54">
        <v>9.1675000000000004</v>
      </c>
      <c r="G3632" s="54">
        <f t="shared" si="61"/>
        <v>36.67</v>
      </c>
      <c r="H3632" s="73"/>
      <c r="I3632" s="74"/>
      <c r="J3632" s="102">
        <v>0</v>
      </c>
    </row>
    <row r="3633" spans="1:10" hidden="1" x14ac:dyDescent="0.25">
      <c r="A3633" s="219"/>
      <c r="B3633" s="237"/>
      <c r="C3633" s="36" t="s">
        <v>711</v>
      </c>
      <c r="D3633" s="36" t="s">
        <v>703</v>
      </c>
      <c r="E3633" s="37">
        <v>0.1119</v>
      </c>
      <c r="F3633" s="54">
        <v>21.479499999999998</v>
      </c>
      <c r="G3633" s="54">
        <f t="shared" ref="G3633:G3696" si="62">IF(ISNUMBER(F3633),E3633*F3633,"")</f>
        <v>2.4035560499999997</v>
      </c>
      <c r="H3633" s="73"/>
      <c r="I3633" s="74"/>
      <c r="J3633" s="102">
        <v>0</v>
      </c>
    </row>
    <row r="3634" spans="1:10" hidden="1" x14ac:dyDescent="0.25">
      <c r="A3634" s="219"/>
      <c r="B3634" s="237"/>
      <c r="C3634" s="36" t="s">
        <v>704</v>
      </c>
      <c r="D3634" s="47" t="s">
        <v>703</v>
      </c>
      <c r="E3634" s="37">
        <v>4.6600000000000003E-2</v>
      </c>
      <c r="F3634" s="54">
        <v>16.1785</v>
      </c>
      <c r="G3634" s="54">
        <f t="shared" si="62"/>
        <v>0.75391810000000004</v>
      </c>
      <c r="H3634" s="73"/>
      <c r="I3634" s="74"/>
      <c r="J3634" s="102">
        <v>0</v>
      </c>
    </row>
    <row r="3635" spans="1:10" ht="25.5" hidden="1" x14ac:dyDescent="0.25">
      <c r="A3635" s="219"/>
      <c r="B3635" s="237"/>
      <c r="C3635" s="36" t="s">
        <v>1664</v>
      </c>
      <c r="D3635" s="47" t="s">
        <v>942</v>
      </c>
      <c r="E3635" s="37">
        <v>7.0000000000000001E-3</v>
      </c>
      <c r="F3635" s="54">
        <v>10.792</v>
      </c>
      <c r="G3635" s="54">
        <f t="shared" si="62"/>
        <v>7.5544E-2</v>
      </c>
      <c r="H3635" s="73"/>
      <c r="I3635" s="74"/>
      <c r="J3635" s="102">
        <v>0</v>
      </c>
    </row>
    <row r="3636" spans="1:10" ht="38.25" hidden="1" x14ac:dyDescent="0.25">
      <c r="A3636" s="219"/>
      <c r="B3636" s="237"/>
      <c r="C3636" s="36" t="s">
        <v>1072</v>
      </c>
      <c r="D3636" s="47" t="s">
        <v>992</v>
      </c>
      <c r="E3636" s="37">
        <v>1.1224000000000001</v>
      </c>
      <c r="F3636" s="54">
        <v>39.063999999999993</v>
      </c>
      <c r="G3636" s="54">
        <f t="shared" si="62"/>
        <v>43.845433599999993</v>
      </c>
      <c r="H3636" s="73"/>
      <c r="I3636" s="74"/>
      <c r="J3636" s="102">
        <v>0</v>
      </c>
    </row>
    <row r="3637" spans="1:10" ht="25.5" hidden="1" x14ac:dyDescent="0.25">
      <c r="A3637" s="219"/>
      <c r="B3637" s="237"/>
      <c r="C3637" s="36" t="s">
        <v>1063</v>
      </c>
      <c r="D3637" s="47" t="s">
        <v>1074</v>
      </c>
      <c r="E3637" s="37">
        <v>0.1</v>
      </c>
      <c r="F3637" s="54">
        <v>35.72</v>
      </c>
      <c r="G3637" s="54">
        <f t="shared" si="62"/>
        <v>3.5720000000000001</v>
      </c>
      <c r="H3637" s="73"/>
      <c r="I3637" s="74"/>
      <c r="J3637" s="102">
        <v>0</v>
      </c>
    </row>
    <row r="3638" spans="1:10" ht="15.75" hidden="1" thickBot="1" x14ac:dyDescent="0.3">
      <c r="A3638" s="220"/>
      <c r="B3638" s="223"/>
      <c r="C3638" s="36"/>
      <c r="D3638" s="36"/>
      <c r="E3638" s="37"/>
      <c r="F3638" s="54" t="s">
        <v>522</v>
      </c>
      <c r="G3638" s="54" t="str">
        <f t="shared" si="62"/>
        <v/>
      </c>
      <c r="H3638" s="73"/>
      <c r="I3638" s="74"/>
      <c r="J3638" s="102">
        <v>0</v>
      </c>
    </row>
    <row r="3639" spans="1:10" ht="15.75" hidden="1" thickBot="1" x14ac:dyDescent="0.3">
      <c r="A3639" s="218" t="s">
        <v>1075</v>
      </c>
      <c r="B3639" s="221" t="e">
        <f>INDEX(#REF!,MATCH(Composições!A3639,#REF!,0),2)</f>
        <v>#REF!</v>
      </c>
      <c r="C3639" s="41"/>
      <c r="D3639" s="26" t="s">
        <v>20</v>
      </c>
      <c r="E3639" s="27"/>
      <c r="F3639" s="49" t="s">
        <v>522</v>
      </c>
      <c r="G3639" s="28" t="str">
        <f t="shared" si="62"/>
        <v/>
      </c>
      <c r="H3639" s="29"/>
      <c r="I3639" s="30"/>
      <c r="J3639" s="102">
        <v>0</v>
      </c>
    </row>
    <row r="3640" spans="1:10" hidden="1" x14ac:dyDescent="0.25">
      <c r="A3640" s="224"/>
      <c r="B3640" s="237"/>
      <c r="C3640" s="32"/>
      <c r="D3640" s="32"/>
      <c r="E3640" s="33"/>
      <c r="F3640" s="54" t="s">
        <v>522</v>
      </c>
      <c r="G3640" s="54" t="str">
        <f t="shared" si="62"/>
        <v/>
      </c>
      <c r="H3640" s="73"/>
      <c r="I3640" s="74"/>
      <c r="J3640" s="102">
        <v>0</v>
      </c>
    </row>
    <row r="3641" spans="1:10" hidden="1" x14ac:dyDescent="0.25">
      <c r="A3641" s="224"/>
      <c r="B3641" s="237"/>
      <c r="C3641" s="36" t="s">
        <v>39</v>
      </c>
      <c r="D3641" s="50" t="s">
        <v>12</v>
      </c>
      <c r="E3641" s="37">
        <v>4</v>
      </c>
      <c r="F3641" s="54">
        <v>20.9</v>
      </c>
      <c r="G3641" s="54">
        <f t="shared" si="62"/>
        <v>83.6</v>
      </c>
      <c r="H3641" s="39">
        <f>SUM(G3641:G3642)</f>
        <v>148.31399999999999</v>
      </c>
      <c r="I3641" s="40"/>
      <c r="J3641" s="102">
        <v>0</v>
      </c>
    </row>
    <row r="3642" spans="1:10" hidden="1" x14ac:dyDescent="0.25">
      <c r="A3642" s="224"/>
      <c r="B3642" s="237"/>
      <c r="C3642" s="36" t="s">
        <v>23</v>
      </c>
      <c r="D3642" s="36" t="s">
        <v>12</v>
      </c>
      <c r="E3642" s="37">
        <v>4</v>
      </c>
      <c r="F3642" s="54">
        <v>16.1785</v>
      </c>
      <c r="G3642" s="54">
        <f t="shared" si="62"/>
        <v>64.713999999999999</v>
      </c>
      <c r="H3642" s="73"/>
      <c r="I3642" s="74"/>
      <c r="J3642" s="102">
        <v>0</v>
      </c>
    </row>
    <row r="3643" spans="1:10" ht="15.75" hidden="1" thickBot="1" x14ac:dyDescent="0.3">
      <c r="A3643" s="225"/>
      <c r="B3643" s="223"/>
      <c r="C3643" s="36"/>
      <c r="D3643" s="36"/>
      <c r="E3643" s="37"/>
      <c r="F3643" s="54" t="s">
        <v>522</v>
      </c>
      <c r="G3643" s="54" t="str">
        <f t="shared" si="62"/>
        <v/>
      </c>
      <c r="H3643" s="73"/>
      <c r="I3643" s="74"/>
      <c r="J3643" s="102">
        <v>0</v>
      </c>
    </row>
    <row r="3644" spans="1:10" ht="15.75" hidden="1" thickBot="1" x14ac:dyDescent="0.3">
      <c r="A3644" s="218" t="s">
        <v>1076</v>
      </c>
      <c r="B3644" s="221" t="e">
        <f>INDEX(#REF!,MATCH(Composições!A3644,#REF!,0),2)</f>
        <v>#REF!</v>
      </c>
      <c r="C3644" s="41"/>
      <c r="D3644" s="26" t="s">
        <v>1587</v>
      </c>
      <c r="E3644" s="27"/>
      <c r="F3644" s="49" t="s">
        <v>522</v>
      </c>
      <c r="G3644" s="28" t="str">
        <f t="shared" si="62"/>
        <v/>
      </c>
      <c r="H3644" s="29"/>
      <c r="I3644" s="30"/>
      <c r="J3644" s="102">
        <v>0</v>
      </c>
    </row>
    <row r="3645" spans="1:10" hidden="1" x14ac:dyDescent="0.25">
      <c r="A3645" s="224"/>
      <c r="B3645" s="237"/>
      <c r="C3645" s="32"/>
      <c r="D3645" s="32"/>
      <c r="E3645" s="33"/>
      <c r="F3645" s="54" t="s">
        <v>522</v>
      </c>
      <c r="G3645" s="54" t="str">
        <f t="shared" si="62"/>
        <v/>
      </c>
      <c r="H3645" s="73"/>
      <c r="I3645" s="74"/>
      <c r="J3645" s="102">
        <v>0</v>
      </c>
    </row>
    <row r="3646" spans="1:10" ht="51" hidden="1" x14ac:dyDescent="0.25">
      <c r="A3646" s="224"/>
      <c r="B3646" s="237"/>
      <c r="C3646" s="36" t="s">
        <v>1077</v>
      </c>
      <c r="D3646" s="36" t="s">
        <v>942</v>
      </c>
      <c r="E3646" s="37">
        <v>1.3899999999999999E-2</v>
      </c>
      <c r="F3646" s="54">
        <v>152.76949999999999</v>
      </c>
      <c r="G3646" s="54">
        <f t="shared" si="62"/>
        <v>2.12349605</v>
      </c>
      <c r="H3646" s="39">
        <f>SUM(G3646:G3647)</f>
        <v>2.3630670500000002</v>
      </c>
      <c r="I3646" s="40"/>
      <c r="J3646" s="102">
        <v>0</v>
      </c>
    </row>
    <row r="3647" spans="1:10" ht="51" hidden="1" x14ac:dyDescent="0.25">
      <c r="A3647" s="224"/>
      <c r="B3647" s="237"/>
      <c r="C3647" s="36" t="s">
        <v>1078</v>
      </c>
      <c r="D3647" s="36" t="s">
        <v>944</v>
      </c>
      <c r="E3647" s="37">
        <v>6.0000000000000001E-3</v>
      </c>
      <c r="F3647" s="54">
        <v>39.9285</v>
      </c>
      <c r="G3647" s="54">
        <f t="shared" si="62"/>
        <v>0.23957100000000001</v>
      </c>
      <c r="H3647" s="73"/>
      <c r="I3647" s="74"/>
      <c r="J3647" s="102">
        <v>0</v>
      </c>
    </row>
    <row r="3648" spans="1:10" ht="15.75" hidden="1" thickBot="1" x14ac:dyDescent="0.3">
      <c r="A3648" s="225"/>
      <c r="B3648" s="223"/>
      <c r="C3648" s="36"/>
      <c r="D3648" s="36"/>
      <c r="E3648" s="37"/>
      <c r="F3648" s="54" t="s">
        <v>522</v>
      </c>
      <c r="G3648" s="54" t="str">
        <f t="shared" si="62"/>
        <v/>
      </c>
      <c r="H3648" s="73"/>
      <c r="I3648" s="74"/>
      <c r="J3648" s="102">
        <v>0</v>
      </c>
    </row>
    <row r="3649" spans="1:10" ht="15.75" hidden="1" thickBot="1" x14ac:dyDescent="0.3">
      <c r="A3649" s="218" t="s">
        <v>1079</v>
      </c>
      <c r="B3649" s="221" t="e">
        <f>INDEX(#REF!,MATCH(Composições!A3649,#REF!,0),2)</f>
        <v>#REF!</v>
      </c>
      <c r="C3649" s="41"/>
      <c r="D3649" s="26" t="s">
        <v>42</v>
      </c>
      <c r="E3649" s="27"/>
      <c r="F3649" s="49" t="s">
        <v>522</v>
      </c>
      <c r="G3649" s="28" t="str">
        <f t="shared" si="62"/>
        <v/>
      </c>
      <c r="H3649" s="29"/>
      <c r="I3649" s="30"/>
      <c r="J3649" s="102">
        <v>0</v>
      </c>
    </row>
    <row r="3650" spans="1:10" hidden="1" x14ac:dyDescent="0.25">
      <c r="A3650" s="224"/>
      <c r="B3650" s="237"/>
      <c r="C3650" s="32"/>
      <c r="D3650" s="32"/>
      <c r="E3650" s="33"/>
      <c r="F3650" s="54" t="s">
        <v>522</v>
      </c>
      <c r="G3650" s="54" t="str">
        <f t="shared" si="62"/>
        <v/>
      </c>
      <c r="H3650" s="73"/>
      <c r="I3650" s="74"/>
      <c r="J3650" s="102">
        <v>0</v>
      </c>
    </row>
    <row r="3651" spans="1:10" ht="25.5" hidden="1" x14ac:dyDescent="0.25">
      <c r="A3651" s="224"/>
      <c r="B3651" s="237"/>
      <c r="C3651" s="36" t="s">
        <v>133</v>
      </c>
      <c r="D3651" s="36" t="s">
        <v>109</v>
      </c>
      <c r="E3651" s="37">
        <v>2.1999999999999999E-2</v>
      </c>
      <c r="F3651" s="54">
        <v>10.402499999999998</v>
      </c>
      <c r="G3651" s="54">
        <f t="shared" si="62"/>
        <v>0.22885499999999995</v>
      </c>
      <c r="H3651" s="39">
        <f>SUM(G3651:G3655)</f>
        <v>2.9990169999999994</v>
      </c>
      <c r="I3651" s="40"/>
      <c r="J3651" s="102">
        <v>0</v>
      </c>
    </row>
    <row r="3652" spans="1:10" ht="38.25" hidden="1" x14ac:dyDescent="0.25">
      <c r="A3652" s="224"/>
      <c r="B3652" s="237"/>
      <c r="C3652" s="36" t="s">
        <v>3353</v>
      </c>
      <c r="D3652" s="36" t="s">
        <v>42</v>
      </c>
      <c r="E3652" s="37">
        <v>5.0000000000000001E-3</v>
      </c>
      <c r="F3652" s="54">
        <v>47.5</v>
      </c>
      <c r="G3652" s="54">
        <f t="shared" si="62"/>
        <v>0.23750000000000002</v>
      </c>
      <c r="H3652" s="73"/>
      <c r="I3652" s="74"/>
      <c r="J3652" s="102">
        <v>0</v>
      </c>
    </row>
    <row r="3653" spans="1:10" ht="25.5" hidden="1" x14ac:dyDescent="0.25">
      <c r="A3653" s="224"/>
      <c r="B3653" s="237"/>
      <c r="C3653" s="36" t="s">
        <v>1080</v>
      </c>
      <c r="D3653" s="36" t="s">
        <v>942</v>
      </c>
      <c r="E3653" s="37">
        <f>E3654</f>
        <v>4.3999999999999997E-2</v>
      </c>
      <c r="F3653" s="54">
        <v>19.247</v>
      </c>
      <c r="G3653" s="54">
        <f t="shared" si="62"/>
        <v>0.84686799999999995</v>
      </c>
      <c r="H3653" s="73"/>
      <c r="I3653" s="74"/>
      <c r="J3653" s="102">
        <v>0</v>
      </c>
    </row>
    <row r="3654" spans="1:10" hidden="1" x14ac:dyDescent="0.25">
      <c r="A3654" s="224"/>
      <c r="B3654" s="237"/>
      <c r="C3654" s="36" t="s">
        <v>1081</v>
      </c>
      <c r="D3654" s="36" t="s">
        <v>12</v>
      </c>
      <c r="E3654" s="37">
        <v>4.3999999999999997E-2</v>
      </c>
      <c r="F3654" s="54">
        <v>22.134999999999998</v>
      </c>
      <c r="G3654" s="54">
        <f t="shared" si="62"/>
        <v>0.97393999999999981</v>
      </c>
      <c r="H3654" s="73"/>
      <c r="I3654" s="74"/>
      <c r="J3654" s="102">
        <v>0</v>
      </c>
    </row>
    <row r="3655" spans="1:10" hidden="1" x14ac:dyDescent="0.25">
      <c r="A3655" s="224"/>
      <c r="B3655" s="237"/>
      <c r="C3655" s="36" t="s">
        <v>23</v>
      </c>
      <c r="D3655" s="36" t="s">
        <v>12</v>
      </c>
      <c r="E3655" s="37">
        <v>4.3999999999999997E-2</v>
      </c>
      <c r="F3655" s="54">
        <v>16.1785</v>
      </c>
      <c r="G3655" s="54">
        <f t="shared" si="62"/>
        <v>0.71185399999999999</v>
      </c>
      <c r="H3655" s="73"/>
      <c r="I3655" s="74"/>
      <c r="J3655" s="102">
        <v>0</v>
      </c>
    </row>
    <row r="3656" spans="1:10" ht="15.75" hidden="1" thickBot="1" x14ac:dyDescent="0.3">
      <c r="A3656" s="225"/>
      <c r="B3656" s="223"/>
      <c r="C3656" s="36"/>
      <c r="D3656" s="36"/>
      <c r="E3656" s="37"/>
      <c r="F3656" s="54" t="s">
        <v>522</v>
      </c>
      <c r="G3656" s="54" t="str">
        <f t="shared" si="62"/>
        <v/>
      </c>
      <c r="H3656" s="73"/>
      <c r="I3656" s="74"/>
      <c r="J3656" s="102">
        <v>0</v>
      </c>
    </row>
    <row r="3657" spans="1:10" ht="15.75" hidden="1" thickBot="1" x14ac:dyDescent="0.3">
      <c r="A3657" s="218" t="s">
        <v>1082</v>
      </c>
      <c r="B3657" s="221" t="e">
        <f>INDEX(#REF!,MATCH(Composições!A3657,#REF!,0),2)</f>
        <v>#REF!</v>
      </c>
      <c r="C3657" s="41"/>
      <c r="D3657" s="26" t="s">
        <v>109</v>
      </c>
      <c r="E3657" s="27"/>
      <c r="F3657" s="49" t="s">
        <v>522</v>
      </c>
      <c r="G3657" s="28" t="str">
        <f t="shared" si="62"/>
        <v/>
      </c>
      <c r="H3657" s="29"/>
      <c r="I3657" s="30"/>
      <c r="J3657" s="102">
        <v>0</v>
      </c>
    </row>
    <row r="3658" spans="1:10" hidden="1" x14ac:dyDescent="0.25">
      <c r="A3658" s="224"/>
      <c r="B3658" s="237"/>
      <c r="C3658" s="32"/>
      <c r="D3658" s="32"/>
      <c r="E3658" s="33"/>
      <c r="F3658" s="54" t="s">
        <v>522</v>
      </c>
      <c r="G3658" s="54" t="str">
        <f t="shared" si="62"/>
        <v/>
      </c>
      <c r="H3658" s="73"/>
      <c r="I3658" s="74"/>
      <c r="J3658" s="102">
        <v>0</v>
      </c>
    </row>
    <row r="3659" spans="1:10" hidden="1" x14ac:dyDescent="0.25">
      <c r="A3659" s="224"/>
      <c r="B3659" s="237"/>
      <c r="C3659" s="36" t="s">
        <v>23</v>
      </c>
      <c r="D3659" s="36" t="s">
        <v>12</v>
      </c>
      <c r="E3659" s="37">
        <v>4.3</v>
      </c>
      <c r="F3659" s="54">
        <v>16.1785</v>
      </c>
      <c r="G3659" s="54">
        <f t="shared" si="62"/>
        <v>69.567549999999997</v>
      </c>
      <c r="H3659" s="39">
        <f>SUM(G3659:G3659)</f>
        <v>69.567549999999997</v>
      </c>
      <c r="I3659" s="40"/>
      <c r="J3659" s="102">
        <v>0</v>
      </c>
    </row>
    <row r="3660" spans="1:10" ht="15.75" hidden="1" thickBot="1" x14ac:dyDescent="0.3">
      <c r="A3660" s="225"/>
      <c r="B3660" s="223"/>
      <c r="C3660" s="36"/>
      <c r="D3660" s="36"/>
      <c r="E3660" s="37"/>
      <c r="F3660" s="54" t="s">
        <v>522</v>
      </c>
      <c r="G3660" s="54" t="str">
        <f t="shared" si="62"/>
        <v/>
      </c>
      <c r="H3660" s="73"/>
      <c r="I3660" s="74"/>
      <c r="J3660" s="102">
        <v>0</v>
      </c>
    </row>
    <row r="3661" spans="1:10" ht="15.75" hidden="1" thickBot="1" x14ac:dyDescent="0.3">
      <c r="A3661" s="218" t="s">
        <v>1083</v>
      </c>
      <c r="B3661" s="221" t="e">
        <f>INDEX(#REF!,MATCH(Composições!A3661,#REF!,0),2)</f>
        <v>#REF!</v>
      </c>
      <c r="C3661" s="41"/>
      <c r="D3661" s="26" t="s">
        <v>109</v>
      </c>
      <c r="E3661" s="27"/>
      <c r="F3661" s="49" t="s">
        <v>522</v>
      </c>
      <c r="G3661" s="28" t="str">
        <f t="shared" si="62"/>
        <v/>
      </c>
      <c r="H3661" s="29"/>
      <c r="I3661" s="30"/>
      <c r="J3661" s="102">
        <v>0</v>
      </c>
    </row>
    <row r="3662" spans="1:10" hidden="1" x14ac:dyDescent="0.25">
      <c r="A3662" s="224"/>
      <c r="B3662" s="237"/>
      <c r="C3662" s="32"/>
      <c r="D3662" s="32"/>
      <c r="E3662" s="33"/>
      <c r="F3662" s="54" t="s">
        <v>522</v>
      </c>
      <c r="G3662" s="54" t="str">
        <f t="shared" si="62"/>
        <v/>
      </c>
      <c r="H3662" s="73"/>
      <c r="I3662" s="74"/>
      <c r="J3662" s="102">
        <v>0</v>
      </c>
    </row>
    <row r="3663" spans="1:10" ht="63.75" hidden="1" x14ac:dyDescent="0.25">
      <c r="A3663" s="224"/>
      <c r="B3663" s="237"/>
      <c r="C3663" s="36" t="s">
        <v>1661</v>
      </c>
      <c r="D3663" s="36" t="s">
        <v>942</v>
      </c>
      <c r="E3663" s="37">
        <v>2.4799999999999999E-2</v>
      </c>
      <c r="F3663" s="54">
        <v>121.581</v>
      </c>
      <c r="G3663" s="54">
        <f t="shared" si="62"/>
        <v>3.0152087999999999</v>
      </c>
      <c r="H3663" s="39">
        <f>SUM(G3663:G3665)</f>
        <v>5.215892349999999</v>
      </c>
      <c r="I3663" s="40"/>
      <c r="J3663" s="102">
        <v>0</v>
      </c>
    </row>
    <row r="3664" spans="1:10" ht="63.75" hidden="1" x14ac:dyDescent="0.25">
      <c r="A3664" s="224"/>
      <c r="B3664" s="237"/>
      <c r="C3664" s="36" t="s">
        <v>1666</v>
      </c>
      <c r="D3664" s="36" t="s">
        <v>944</v>
      </c>
      <c r="E3664" s="37">
        <v>2.9899999999999999E-2</v>
      </c>
      <c r="F3664" s="54">
        <v>44.003999999999998</v>
      </c>
      <c r="G3664" s="54">
        <f t="shared" si="62"/>
        <v>1.3157196</v>
      </c>
      <c r="H3664" s="73"/>
      <c r="I3664" s="74"/>
      <c r="J3664" s="102">
        <v>0</v>
      </c>
    </row>
    <row r="3665" spans="1:10" hidden="1" x14ac:dyDescent="0.25">
      <c r="A3665" s="224"/>
      <c r="B3665" s="237"/>
      <c r="C3665" s="36" t="s">
        <v>704</v>
      </c>
      <c r="D3665" s="36" t="s">
        <v>703</v>
      </c>
      <c r="E3665" s="37">
        <v>5.4699999999999999E-2</v>
      </c>
      <c r="F3665" s="54">
        <v>16.1785</v>
      </c>
      <c r="G3665" s="54">
        <f t="shared" si="62"/>
        <v>0.88496394999999994</v>
      </c>
      <c r="H3665" s="73"/>
      <c r="I3665" s="74"/>
      <c r="J3665" s="102">
        <v>0</v>
      </c>
    </row>
    <row r="3666" spans="1:10" ht="15.75" hidden="1" thickBot="1" x14ac:dyDescent="0.3">
      <c r="A3666" s="225"/>
      <c r="B3666" s="223"/>
      <c r="C3666" s="75"/>
      <c r="D3666" s="36"/>
      <c r="E3666" s="37"/>
      <c r="F3666" s="54" t="s">
        <v>522</v>
      </c>
      <c r="G3666" s="54" t="str">
        <f t="shared" si="62"/>
        <v/>
      </c>
      <c r="H3666" s="73"/>
      <c r="I3666" s="74"/>
      <c r="J3666" s="102">
        <v>0</v>
      </c>
    </row>
    <row r="3667" spans="1:10" ht="15.75" hidden="1" thickBot="1" x14ac:dyDescent="0.3">
      <c r="A3667" s="218" t="s">
        <v>1084</v>
      </c>
      <c r="B3667" s="221" t="e">
        <f>INDEX(#REF!,MATCH(Composições!A3667,#REF!,0),2)</f>
        <v>#REF!</v>
      </c>
      <c r="C3667" s="41"/>
      <c r="D3667" s="26" t="s">
        <v>95</v>
      </c>
      <c r="E3667" s="27"/>
      <c r="F3667" s="49" t="s">
        <v>522</v>
      </c>
      <c r="G3667" s="28" t="str">
        <f t="shared" si="62"/>
        <v/>
      </c>
      <c r="H3667" s="29"/>
      <c r="I3667" s="30"/>
      <c r="J3667" s="102">
        <v>0</v>
      </c>
    </row>
    <row r="3668" spans="1:10" hidden="1" x14ac:dyDescent="0.25">
      <c r="A3668" s="219"/>
      <c r="B3668" s="237"/>
      <c r="C3668" s="32"/>
      <c r="D3668" s="32"/>
      <c r="E3668" s="33"/>
      <c r="F3668" s="54" t="s">
        <v>522</v>
      </c>
      <c r="G3668" s="54" t="str">
        <f t="shared" si="62"/>
        <v/>
      </c>
      <c r="H3668" s="73"/>
      <c r="I3668" s="74"/>
      <c r="J3668" s="102">
        <v>0</v>
      </c>
    </row>
    <row r="3669" spans="1:10" hidden="1" x14ac:dyDescent="0.25">
      <c r="A3669" s="219"/>
      <c r="B3669" s="237"/>
      <c r="C3669" s="36" t="s">
        <v>1085</v>
      </c>
      <c r="D3669" s="50" t="s">
        <v>95</v>
      </c>
      <c r="E3669" s="37">
        <v>1</v>
      </c>
      <c r="F3669" s="54">
        <v>8.8159999999999989</v>
      </c>
      <c r="G3669" s="54">
        <f t="shared" si="62"/>
        <v>8.8159999999999989</v>
      </c>
      <c r="H3669" s="39">
        <f>SUM(G3669:G3679)</f>
        <v>49.952748743621996</v>
      </c>
      <c r="I3669" s="40"/>
      <c r="J3669" s="102">
        <v>0</v>
      </c>
    </row>
    <row r="3670" spans="1:10" hidden="1" x14ac:dyDescent="0.25">
      <c r="A3670" s="219"/>
      <c r="B3670" s="237"/>
      <c r="C3670" s="36" t="s">
        <v>23</v>
      </c>
      <c r="D3670" s="36" t="s">
        <v>12</v>
      </c>
      <c r="E3670" s="37">
        <v>0.15640000000000001</v>
      </c>
      <c r="F3670" s="54">
        <v>16.1785</v>
      </c>
      <c r="G3670" s="54">
        <f t="shared" si="62"/>
        <v>2.5303173999999999</v>
      </c>
      <c r="H3670" s="73"/>
      <c r="I3670" s="74"/>
      <c r="J3670" s="102">
        <v>0</v>
      </c>
    </row>
    <row r="3671" spans="1:10" hidden="1" x14ac:dyDescent="0.25">
      <c r="A3671" s="219"/>
      <c r="B3671" s="237"/>
      <c r="C3671" s="36" t="s">
        <v>1086</v>
      </c>
      <c r="D3671" s="36" t="s">
        <v>12</v>
      </c>
      <c r="E3671" s="37">
        <v>3.9100000000000003E-2</v>
      </c>
      <c r="F3671" s="54">
        <v>17.099999999999998</v>
      </c>
      <c r="G3671" s="54">
        <f t="shared" si="62"/>
        <v>0.66860999999999993</v>
      </c>
      <c r="H3671" s="73"/>
      <c r="I3671" s="74"/>
      <c r="J3671" s="102">
        <v>0</v>
      </c>
    </row>
    <row r="3672" spans="1:10" hidden="1" x14ac:dyDescent="0.25">
      <c r="A3672" s="219"/>
      <c r="B3672" s="237"/>
      <c r="C3672" s="36" t="s">
        <v>23</v>
      </c>
      <c r="D3672" s="36" t="s">
        <v>12</v>
      </c>
      <c r="E3672" s="37">
        <f>1.6*0.25</f>
        <v>0.4</v>
      </c>
      <c r="F3672" s="54">
        <v>16.1785</v>
      </c>
      <c r="G3672" s="54">
        <f t="shared" si="62"/>
        <v>6.4714</v>
      </c>
      <c r="H3672" s="73"/>
      <c r="I3672" s="74"/>
      <c r="J3672" s="102">
        <v>0</v>
      </c>
    </row>
    <row r="3673" spans="1:10" ht="25.5" hidden="1" x14ac:dyDescent="0.25">
      <c r="A3673" s="219"/>
      <c r="B3673" s="237"/>
      <c r="C3673" s="36" t="s">
        <v>1087</v>
      </c>
      <c r="D3673" s="36" t="s">
        <v>42</v>
      </c>
      <c r="E3673" s="37">
        <f>1*0.25</f>
        <v>0.25</v>
      </c>
      <c r="F3673" s="54">
        <v>0.2185</v>
      </c>
      <c r="G3673" s="54">
        <f t="shared" si="62"/>
        <v>5.4625E-2</v>
      </c>
      <c r="H3673" s="73"/>
      <c r="I3673" s="74"/>
      <c r="J3673" s="102">
        <v>0</v>
      </c>
    </row>
    <row r="3674" spans="1:10" hidden="1" x14ac:dyDescent="0.25">
      <c r="A3674" s="219"/>
      <c r="B3674" s="237"/>
      <c r="C3674" s="36" t="s">
        <v>1088</v>
      </c>
      <c r="D3674" s="36" t="s">
        <v>109</v>
      </c>
      <c r="E3674" s="37">
        <f>0.9*0.25</f>
        <v>0.22500000000000001</v>
      </c>
      <c r="F3674" s="54">
        <v>134.34899999999999</v>
      </c>
      <c r="G3674" s="54">
        <f t="shared" si="62"/>
        <v>30.228524999999998</v>
      </c>
      <c r="H3674" s="73"/>
      <c r="I3674" s="74"/>
      <c r="J3674" s="102">
        <v>0</v>
      </c>
    </row>
    <row r="3675" spans="1:10" hidden="1" x14ac:dyDescent="0.25">
      <c r="A3675" s="219"/>
      <c r="B3675" s="237"/>
      <c r="C3675" s="36" t="s">
        <v>1089</v>
      </c>
      <c r="D3675" s="47" t="s">
        <v>42</v>
      </c>
      <c r="E3675" s="37">
        <f>1*0.25</f>
        <v>0.25</v>
      </c>
      <c r="F3675" s="54">
        <v>4.5884999999999998</v>
      </c>
      <c r="G3675" s="54">
        <f t="shared" si="62"/>
        <v>1.147125</v>
      </c>
      <c r="H3675" s="73"/>
      <c r="I3675" s="74"/>
      <c r="J3675" s="102">
        <v>0</v>
      </c>
    </row>
    <row r="3676" spans="1:10" hidden="1" x14ac:dyDescent="0.25">
      <c r="A3676" s="219"/>
      <c r="B3676" s="237"/>
      <c r="C3676" s="36" t="s">
        <v>1090</v>
      </c>
      <c r="D3676" s="47" t="s">
        <v>42</v>
      </c>
      <c r="E3676" s="37">
        <f>0.1*0.25</f>
        <v>2.5000000000000001E-2</v>
      </c>
      <c r="F3676" s="54">
        <v>1.0734999999999999</v>
      </c>
      <c r="G3676" s="54">
        <f t="shared" si="62"/>
        <v>2.68375E-2</v>
      </c>
      <c r="H3676" s="73"/>
      <c r="I3676" s="74"/>
      <c r="J3676" s="102">
        <v>0</v>
      </c>
    </row>
    <row r="3677" spans="1:10" ht="38.25" hidden="1" x14ac:dyDescent="0.25">
      <c r="A3677" s="219"/>
      <c r="B3677" s="237"/>
      <c r="C3677" s="36" t="s">
        <v>119</v>
      </c>
      <c r="D3677" s="36" t="s">
        <v>1091</v>
      </c>
      <c r="E3677" s="37">
        <f>ROUND(1*E3673/1000,4)</f>
        <v>2.9999999999999997E-4</v>
      </c>
      <c r="F3677" s="34">
        <v>4.6883062400000002</v>
      </c>
      <c r="G3677" s="34">
        <f t="shared" si="62"/>
        <v>1.4064918719999999E-3</v>
      </c>
      <c r="H3677" s="35"/>
      <c r="I3677" s="31"/>
      <c r="J3677" s="102">
        <v>0</v>
      </c>
    </row>
    <row r="3678" spans="1:10" ht="38.25" hidden="1" x14ac:dyDescent="0.25">
      <c r="A3678" s="219"/>
      <c r="B3678" s="237"/>
      <c r="C3678" s="36" t="s">
        <v>753</v>
      </c>
      <c r="D3678" s="36" t="s">
        <v>754</v>
      </c>
      <c r="E3678" s="37">
        <f>20*E3673*1/1000</f>
        <v>5.0000000000000001E-3</v>
      </c>
      <c r="F3678" s="54">
        <v>1.5804703499999999</v>
      </c>
      <c r="G3678" s="54">
        <f t="shared" si="62"/>
        <v>7.9023517499999998E-3</v>
      </c>
      <c r="H3678" s="73"/>
      <c r="I3678" s="74"/>
      <c r="J3678" s="102">
        <v>0</v>
      </c>
    </row>
    <row r="3679" spans="1:10" hidden="1" x14ac:dyDescent="0.25">
      <c r="A3679" s="219"/>
      <c r="B3679" s="237"/>
      <c r="C3679" s="36"/>
      <c r="D3679" s="36"/>
      <c r="E3679" s="37"/>
      <c r="F3679" s="54" t="s">
        <v>522</v>
      </c>
      <c r="G3679" s="54" t="str">
        <f t="shared" si="62"/>
        <v/>
      </c>
      <c r="H3679" s="73"/>
      <c r="I3679" s="74"/>
      <c r="J3679" s="102">
        <v>0</v>
      </c>
    </row>
    <row r="3680" spans="1:10" ht="25.5" hidden="1" x14ac:dyDescent="0.25">
      <c r="A3680" s="219"/>
      <c r="B3680" s="237"/>
      <c r="C3680" s="48" t="s">
        <v>1092</v>
      </c>
      <c r="D3680" s="36"/>
      <c r="E3680" s="37"/>
      <c r="F3680" s="54" t="s">
        <v>522</v>
      </c>
      <c r="G3680" s="54" t="str">
        <f t="shared" si="62"/>
        <v/>
      </c>
      <c r="H3680" s="73"/>
      <c r="I3680" s="74"/>
      <c r="J3680" s="102">
        <v>0</v>
      </c>
    </row>
    <row r="3681" spans="1:10" ht="15.75" hidden="1" thickBot="1" x14ac:dyDescent="0.3">
      <c r="A3681" s="220"/>
      <c r="B3681" s="223"/>
      <c r="C3681" s="36"/>
      <c r="D3681" s="36"/>
      <c r="E3681" s="37"/>
      <c r="F3681" s="54" t="s">
        <v>522</v>
      </c>
      <c r="G3681" s="54" t="str">
        <f t="shared" si="62"/>
        <v/>
      </c>
      <c r="H3681" s="73"/>
      <c r="I3681" s="74"/>
      <c r="J3681" s="102">
        <v>0</v>
      </c>
    </row>
    <row r="3682" spans="1:10" ht="15.75" hidden="1" thickBot="1" x14ac:dyDescent="0.3">
      <c r="A3682" s="218" t="s">
        <v>1093</v>
      </c>
      <c r="B3682" s="221" t="e">
        <f>INDEX(#REF!,MATCH(Composições!A3682,#REF!,0),2)</f>
        <v>#REF!</v>
      </c>
      <c r="C3682" s="41"/>
      <c r="D3682" s="26" t="s">
        <v>93</v>
      </c>
      <c r="E3682" s="27"/>
      <c r="F3682" s="49" t="s">
        <v>522</v>
      </c>
      <c r="G3682" s="28" t="str">
        <f t="shared" si="62"/>
        <v/>
      </c>
      <c r="H3682" s="29"/>
      <c r="I3682" s="30"/>
      <c r="J3682" s="102">
        <v>0</v>
      </c>
    </row>
    <row r="3683" spans="1:10" hidden="1" x14ac:dyDescent="0.25">
      <c r="A3683" s="224"/>
      <c r="B3683" s="237"/>
      <c r="C3683" s="32"/>
      <c r="D3683" s="32"/>
      <c r="E3683" s="33"/>
      <c r="F3683" s="54" t="s">
        <v>522</v>
      </c>
      <c r="G3683" s="54" t="str">
        <f t="shared" si="62"/>
        <v/>
      </c>
      <c r="H3683" s="73"/>
      <c r="I3683" s="74"/>
      <c r="J3683" s="102">
        <v>0</v>
      </c>
    </row>
    <row r="3684" spans="1:10" hidden="1" x14ac:dyDescent="0.25">
      <c r="A3684" s="224"/>
      <c r="B3684" s="237"/>
      <c r="C3684" s="36" t="s">
        <v>1094</v>
      </c>
      <c r="D3684" s="50" t="s">
        <v>102</v>
      </c>
      <c r="E3684" s="37">
        <f>ROUND(0.427/2*(0.25+0.13+0.25),4)</f>
        <v>0.13450000000000001</v>
      </c>
      <c r="F3684" s="54">
        <v>15.2475</v>
      </c>
      <c r="G3684" s="54">
        <f t="shared" si="62"/>
        <v>2.0507887500000002</v>
      </c>
      <c r="H3684" s="39">
        <f>SUM(G3684:G3686)</f>
        <v>4.5855709125000006</v>
      </c>
      <c r="I3684" s="40"/>
      <c r="J3684" s="102">
        <v>0</v>
      </c>
    </row>
    <row r="3685" spans="1:10" hidden="1" x14ac:dyDescent="0.25">
      <c r="A3685" s="224"/>
      <c r="B3685" s="237"/>
      <c r="C3685" s="36" t="s">
        <v>1095</v>
      </c>
      <c r="D3685" s="36" t="s">
        <v>703</v>
      </c>
      <c r="E3685" s="37">
        <f>0.275*(0.25+0.13+0.25)/2</f>
        <v>8.6625000000000008E-2</v>
      </c>
      <c r="F3685" s="54">
        <v>22.495999999999999</v>
      </c>
      <c r="G3685" s="54">
        <f t="shared" si="62"/>
        <v>1.9487160000000001</v>
      </c>
      <c r="H3685" s="73"/>
      <c r="I3685" s="74"/>
      <c r="J3685" s="102">
        <v>0</v>
      </c>
    </row>
    <row r="3686" spans="1:10" hidden="1" x14ac:dyDescent="0.25">
      <c r="A3686" s="224"/>
      <c r="B3686" s="237"/>
      <c r="C3686" s="36" t="s">
        <v>23</v>
      </c>
      <c r="D3686" s="36" t="s">
        <v>703</v>
      </c>
      <c r="E3686" s="37">
        <f>0.115*(0.25+0.13+0.25)/2</f>
        <v>3.6225E-2</v>
      </c>
      <c r="F3686" s="54">
        <v>16.1785</v>
      </c>
      <c r="G3686" s="54">
        <f t="shared" si="62"/>
        <v>0.58606616249999999</v>
      </c>
      <c r="H3686" s="73"/>
      <c r="I3686" s="74"/>
      <c r="J3686" s="102">
        <v>0</v>
      </c>
    </row>
    <row r="3687" spans="1:10" hidden="1" x14ac:dyDescent="0.25">
      <c r="A3687" s="224"/>
      <c r="B3687" s="237"/>
      <c r="C3687" s="36"/>
      <c r="D3687" s="36"/>
      <c r="E3687" s="37"/>
      <c r="F3687" s="54" t="s">
        <v>522</v>
      </c>
      <c r="G3687" s="54" t="str">
        <f t="shared" si="62"/>
        <v/>
      </c>
      <c r="H3687" s="73"/>
      <c r="I3687" s="74"/>
      <c r="J3687" s="102">
        <v>0</v>
      </c>
    </row>
    <row r="3688" spans="1:10" ht="25.5" hidden="1" x14ac:dyDescent="0.25">
      <c r="A3688" s="224"/>
      <c r="B3688" s="237"/>
      <c r="C3688" s="48" t="s">
        <v>1096</v>
      </c>
      <c r="D3688" s="36"/>
      <c r="E3688" s="37"/>
      <c r="F3688" s="54" t="s">
        <v>522</v>
      </c>
      <c r="G3688" s="54" t="str">
        <f t="shared" si="62"/>
        <v/>
      </c>
      <c r="H3688" s="73"/>
      <c r="I3688" s="74"/>
      <c r="J3688" s="102">
        <v>0</v>
      </c>
    </row>
    <row r="3689" spans="1:10" ht="15.75" hidden="1" thickBot="1" x14ac:dyDescent="0.3">
      <c r="A3689" s="225"/>
      <c r="B3689" s="223"/>
      <c r="C3689" s="36"/>
      <c r="D3689" s="36"/>
      <c r="E3689" s="37"/>
      <c r="F3689" s="54" t="s">
        <v>522</v>
      </c>
      <c r="G3689" s="54" t="str">
        <f t="shared" si="62"/>
        <v/>
      </c>
      <c r="H3689" s="73"/>
      <c r="I3689" s="74"/>
      <c r="J3689" s="102">
        <v>0</v>
      </c>
    </row>
    <row r="3690" spans="1:10" ht="15.75" hidden="1" thickBot="1" x14ac:dyDescent="0.3">
      <c r="A3690" s="218" t="s">
        <v>1097</v>
      </c>
      <c r="B3690" s="221" t="e">
        <f>INDEX(#REF!,MATCH(Composições!A3690,#REF!,0),2)</f>
        <v>#REF!</v>
      </c>
      <c r="C3690" s="41"/>
      <c r="D3690" s="26" t="s">
        <v>93</v>
      </c>
      <c r="E3690" s="27"/>
      <c r="F3690" s="49" t="s">
        <v>522</v>
      </c>
      <c r="G3690" s="28" t="str">
        <f t="shared" si="62"/>
        <v/>
      </c>
      <c r="H3690" s="29"/>
      <c r="I3690" s="30"/>
      <c r="J3690" s="102">
        <v>0</v>
      </c>
    </row>
    <row r="3691" spans="1:10" hidden="1" x14ac:dyDescent="0.25">
      <c r="A3691" s="219"/>
      <c r="B3691" s="237"/>
      <c r="C3691" s="32"/>
      <c r="D3691" s="32"/>
      <c r="E3691" s="33"/>
      <c r="F3691" s="54" t="s">
        <v>522</v>
      </c>
      <c r="G3691" s="54" t="str">
        <f t="shared" si="62"/>
        <v/>
      </c>
      <c r="H3691" s="73"/>
      <c r="I3691" s="74"/>
      <c r="J3691" s="102">
        <v>0</v>
      </c>
    </row>
    <row r="3692" spans="1:10" ht="25.5" hidden="1" x14ac:dyDescent="0.25">
      <c r="A3692" s="219"/>
      <c r="B3692" s="237"/>
      <c r="C3692" s="36" t="s">
        <v>752</v>
      </c>
      <c r="D3692" s="36" t="s">
        <v>109</v>
      </c>
      <c r="E3692" s="37">
        <v>7.0000000000000001E-3</v>
      </c>
      <c r="F3692" s="54">
        <v>142.5</v>
      </c>
      <c r="G3692" s="54">
        <f t="shared" si="62"/>
        <v>0.99750000000000005</v>
      </c>
      <c r="H3692" s="39">
        <f>SUM(G3692:G3700)</f>
        <v>48.750617721611995</v>
      </c>
      <c r="I3692" s="40"/>
      <c r="J3692" s="102">
        <v>0</v>
      </c>
    </row>
    <row r="3693" spans="1:10" ht="25.5" hidden="1" x14ac:dyDescent="0.25">
      <c r="A3693" s="219"/>
      <c r="B3693" s="237"/>
      <c r="C3693" s="36" t="s">
        <v>2010</v>
      </c>
      <c r="D3693" s="36" t="s">
        <v>93</v>
      </c>
      <c r="E3693" s="37">
        <v>1.0049999999999999</v>
      </c>
      <c r="F3693" s="54">
        <v>31.112499999999997</v>
      </c>
      <c r="G3693" s="54">
        <f t="shared" si="62"/>
        <v>31.268062499999992</v>
      </c>
      <c r="H3693" s="73"/>
      <c r="I3693" s="74"/>
      <c r="J3693" s="102">
        <v>0</v>
      </c>
    </row>
    <row r="3694" spans="1:10" hidden="1" x14ac:dyDescent="0.25">
      <c r="A3694" s="219"/>
      <c r="B3694" s="237"/>
      <c r="C3694" s="36" t="s">
        <v>22</v>
      </c>
      <c r="D3694" s="36" t="s">
        <v>12</v>
      </c>
      <c r="E3694" s="37">
        <v>0.39400000000000002</v>
      </c>
      <c r="F3694" s="54">
        <v>21.479499999999998</v>
      </c>
      <c r="G3694" s="54">
        <f t="shared" si="62"/>
        <v>8.462923</v>
      </c>
      <c r="H3694" s="73"/>
      <c r="I3694" s="74"/>
      <c r="J3694" s="102">
        <v>0</v>
      </c>
    </row>
    <row r="3695" spans="1:10" hidden="1" x14ac:dyDescent="0.25">
      <c r="A3695" s="219"/>
      <c r="B3695" s="237"/>
      <c r="C3695" s="36" t="s">
        <v>23</v>
      </c>
      <c r="D3695" s="36" t="s">
        <v>12</v>
      </c>
      <c r="E3695" s="37">
        <v>0.39400000000000002</v>
      </c>
      <c r="F3695" s="54">
        <v>16.1785</v>
      </c>
      <c r="G3695" s="54">
        <f t="shared" si="62"/>
        <v>6.3743290000000004</v>
      </c>
      <c r="H3695" s="73"/>
      <c r="I3695" s="74"/>
      <c r="J3695" s="102">
        <v>0</v>
      </c>
    </row>
    <row r="3696" spans="1:10" ht="25.5" hidden="1" x14ac:dyDescent="0.25">
      <c r="A3696" s="219"/>
      <c r="B3696" s="237"/>
      <c r="C3696" s="36" t="s">
        <v>108</v>
      </c>
      <c r="D3696" s="36" t="s">
        <v>109</v>
      </c>
      <c r="E3696" s="37">
        <v>2E-3</v>
      </c>
      <c r="F3696" s="54">
        <v>633.89799368099989</v>
      </c>
      <c r="G3696" s="54">
        <f t="shared" si="62"/>
        <v>1.2677959873619997</v>
      </c>
      <c r="H3696" s="73"/>
      <c r="I3696" s="74"/>
      <c r="J3696" s="102">
        <v>0</v>
      </c>
    </row>
    <row r="3697" spans="1:10" ht="51" hidden="1" x14ac:dyDescent="0.25">
      <c r="A3697" s="219"/>
      <c r="B3697" s="237"/>
      <c r="C3697" s="36" t="s">
        <v>1914</v>
      </c>
      <c r="D3697" s="36" t="s">
        <v>109</v>
      </c>
      <c r="E3697" s="37">
        <f>1*E3692</f>
        <v>7.0000000000000001E-3</v>
      </c>
      <c r="F3697" s="34">
        <v>7.0254067499999993</v>
      </c>
      <c r="G3697" s="34">
        <f t="shared" ref="G3697:G3760" si="63">IF(ISNUMBER(F3697),E3697*F3697,"")</f>
        <v>4.9177847249999997E-2</v>
      </c>
      <c r="H3697" s="35"/>
      <c r="I3697" s="31"/>
      <c r="J3697" s="102">
        <v>0</v>
      </c>
    </row>
    <row r="3698" spans="1:10" ht="38.25" hidden="1" x14ac:dyDescent="0.25">
      <c r="A3698" s="219"/>
      <c r="B3698" s="237"/>
      <c r="C3698" s="36" t="s">
        <v>121</v>
      </c>
      <c r="D3698" s="36" t="s">
        <v>122</v>
      </c>
      <c r="E3698" s="37">
        <f>0.007*20</f>
        <v>0.14000000000000001</v>
      </c>
      <c r="F3698" s="54">
        <v>2.3630670500000002</v>
      </c>
      <c r="G3698" s="54">
        <f t="shared" si="63"/>
        <v>0.33082938700000003</v>
      </c>
      <c r="H3698" s="73"/>
      <c r="I3698" s="74"/>
      <c r="J3698" s="102">
        <v>0</v>
      </c>
    </row>
    <row r="3699" spans="1:10" hidden="1" x14ac:dyDescent="0.25">
      <c r="A3699" s="219"/>
      <c r="B3699" s="237"/>
      <c r="C3699" s="36"/>
      <c r="D3699" s="36"/>
      <c r="E3699" s="37"/>
      <c r="F3699" s="54" t="s">
        <v>522</v>
      </c>
      <c r="G3699" s="54" t="str">
        <f t="shared" si="63"/>
        <v/>
      </c>
      <c r="H3699" s="73"/>
      <c r="I3699" s="74"/>
      <c r="J3699" s="102">
        <v>0</v>
      </c>
    </row>
    <row r="3700" spans="1:10" hidden="1" x14ac:dyDescent="0.25">
      <c r="A3700" s="219"/>
      <c r="B3700" s="237"/>
      <c r="C3700" s="48" t="s">
        <v>1098</v>
      </c>
      <c r="D3700" s="36"/>
      <c r="E3700" s="37"/>
      <c r="F3700" s="54" t="s">
        <v>522</v>
      </c>
      <c r="G3700" s="54" t="str">
        <f t="shared" si="63"/>
        <v/>
      </c>
      <c r="H3700" s="73"/>
      <c r="I3700" s="74"/>
      <c r="J3700" s="102">
        <v>0</v>
      </c>
    </row>
    <row r="3701" spans="1:10" ht="15.75" hidden="1" thickBot="1" x14ac:dyDescent="0.3">
      <c r="A3701" s="220"/>
      <c r="B3701" s="223"/>
      <c r="C3701" s="36"/>
      <c r="D3701" s="36"/>
      <c r="E3701" s="37"/>
      <c r="F3701" s="54" t="s">
        <v>522</v>
      </c>
      <c r="G3701" s="54" t="str">
        <f t="shared" si="63"/>
        <v/>
      </c>
      <c r="H3701" s="73"/>
      <c r="I3701" s="74"/>
      <c r="J3701" s="102">
        <v>0</v>
      </c>
    </row>
    <row r="3702" spans="1:10" ht="15.75" hidden="1" thickBot="1" x14ac:dyDescent="0.3">
      <c r="A3702" s="218" t="s">
        <v>1099</v>
      </c>
      <c r="B3702" s="221" t="e">
        <f>INDEX(#REF!,MATCH(Composições!A3702,#REF!,0),2)</f>
        <v>#REF!</v>
      </c>
      <c r="C3702" s="41"/>
      <c r="D3702" s="26" t="s">
        <v>93</v>
      </c>
      <c r="E3702" s="27"/>
      <c r="F3702" s="49" t="s">
        <v>522</v>
      </c>
      <c r="G3702" s="28" t="str">
        <f t="shared" si="63"/>
        <v/>
      </c>
      <c r="H3702" s="29"/>
      <c r="I3702" s="30"/>
      <c r="J3702" s="102">
        <v>0</v>
      </c>
    </row>
    <row r="3703" spans="1:10" hidden="1" x14ac:dyDescent="0.25">
      <c r="A3703" s="219"/>
      <c r="B3703" s="237"/>
      <c r="C3703" s="32"/>
      <c r="D3703" s="32"/>
      <c r="E3703" s="33"/>
      <c r="F3703" s="54" t="s">
        <v>522</v>
      </c>
      <c r="G3703" s="54" t="str">
        <f t="shared" si="63"/>
        <v/>
      </c>
      <c r="H3703" s="73"/>
      <c r="I3703" s="74"/>
      <c r="J3703" s="102">
        <v>0</v>
      </c>
    </row>
    <row r="3704" spans="1:10" ht="25.5" hidden="1" x14ac:dyDescent="0.25">
      <c r="A3704" s="219"/>
      <c r="B3704" s="237"/>
      <c r="C3704" s="36" t="s">
        <v>1100</v>
      </c>
      <c r="D3704" s="36" t="s">
        <v>120</v>
      </c>
      <c r="E3704" s="37">
        <v>0.23</v>
      </c>
      <c r="F3704" s="54">
        <v>142.5</v>
      </c>
      <c r="G3704" s="54">
        <f t="shared" si="63"/>
        <v>32.774999999999999</v>
      </c>
      <c r="H3704" s="39">
        <f>SUM(G3704:G3714)</f>
        <v>129.44843198249998</v>
      </c>
      <c r="I3704" s="40"/>
      <c r="J3704" s="102">
        <v>0</v>
      </c>
    </row>
    <row r="3705" spans="1:10" ht="38.25" hidden="1" x14ac:dyDescent="0.25">
      <c r="A3705" s="219"/>
      <c r="B3705" s="237"/>
      <c r="C3705" s="36" t="s">
        <v>1101</v>
      </c>
      <c r="D3705" s="36" t="s">
        <v>479</v>
      </c>
      <c r="E3705" s="37">
        <v>1.01</v>
      </c>
      <c r="F3705" s="54">
        <v>11.058</v>
      </c>
      <c r="G3705" s="54">
        <f t="shared" si="63"/>
        <v>11.16858</v>
      </c>
      <c r="H3705" s="73"/>
      <c r="I3705" s="74"/>
      <c r="J3705" s="102">
        <v>0</v>
      </c>
    </row>
    <row r="3706" spans="1:10" ht="25.5" hidden="1" x14ac:dyDescent="0.25">
      <c r="A3706" s="219"/>
      <c r="B3706" s="237"/>
      <c r="C3706" s="36" t="s">
        <v>954</v>
      </c>
      <c r="D3706" s="36" t="s">
        <v>703</v>
      </c>
      <c r="E3706" s="37">
        <v>0.5</v>
      </c>
      <c r="F3706" s="54">
        <v>20.9</v>
      </c>
      <c r="G3706" s="54">
        <f t="shared" si="63"/>
        <v>10.45</v>
      </c>
      <c r="H3706" s="73"/>
      <c r="I3706" s="74"/>
      <c r="J3706" s="102">
        <v>0</v>
      </c>
    </row>
    <row r="3707" spans="1:10" hidden="1" x14ac:dyDescent="0.25">
      <c r="A3707" s="219"/>
      <c r="B3707" s="237"/>
      <c r="C3707" s="36" t="s">
        <v>704</v>
      </c>
      <c r="D3707" s="36" t="s">
        <v>703</v>
      </c>
      <c r="E3707" s="37">
        <v>0.7</v>
      </c>
      <c r="F3707" s="54">
        <v>16.1785</v>
      </c>
      <c r="G3707" s="54">
        <f t="shared" si="63"/>
        <v>11.324949999999999</v>
      </c>
      <c r="H3707" s="73"/>
      <c r="I3707" s="74"/>
      <c r="J3707" s="102">
        <v>0</v>
      </c>
    </row>
    <row r="3708" spans="1:10" ht="25.5" hidden="1" x14ac:dyDescent="0.25">
      <c r="A3708" s="219"/>
      <c r="B3708" s="237"/>
      <c r="C3708" s="36" t="s">
        <v>1771</v>
      </c>
      <c r="D3708" s="36" t="s">
        <v>992</v>
      </c>
      <c r="E3708" s="37">
        <v>2.2000000000000002</v>
      </c>
      <c r="F3708" s="54">
        <v>19.503499999999999</v>
      </c>
      <c r="G3708" s="54">
        <f t="shared" si="63"/>
        <v>42.907699999999998</v>
      </c>
      <c r="H3708" s="73"/>
      <c r="I3708" s="74"/>
      <c r="J3708" s="102">
        <v>0</v>
      </c>
    </row>
    <row r="3709" spans="1:10" ht="25.5" hidden="1" x14ac:dyDescent="0.25">
      <c r="A3709" s="219"/>
      <c r="B3709" s="237"/>
      <c r="C3709" s="36" t="s">
        <v>107</v>
      </c>
      <c r="D3709" s="36" t="s">
        <v>703</v>
      </c>
      <c r="E3709" s="37">
        <v>0.5</v>
      </c>
      <c r="F3709" s="54">
        <v>16.672499999999999</v>
      </c>
      <c r="G3709" s="54">
        <f t="shared" si="63"/>
        <v>8.3362499999999997</v>
      </c>
      <c r="H3709" s="73"/>
      <c r="I3709" s="74"/>
      <c r="J3709" s="102">
        <v>0</v>
      </c>
    </row>
    <row r="3710" spans="1:10" ht="51" hidden="1" x14ac:dyDescent="0.25">
      <c r="A3710" s="219"/>
      <c r="B3710" s="237"/>
      <c r="C3710" s="36" t="s">
        <v>1914</v>
      </c>
      <c r="D3710" s="36" t="s">
        <v>109</v>
      </c>
      <c r="E3710" s="37">
        <f>1*E3704</f>
        <v>0.23</v>
      </c>
      <c r="F3710" s="34">
        <v>7.0254067499999993</v>
      </c>
      <c r="G3710" s="34">
        <f t="shared" si="63"/>
        <v>1.6158435524999999</v>
      </c>
      <c r="H3710" s="35"/>
      <c r="I3710" s="31"/>
      <c r="J3710" s="102">
        <v>0</v>
      </c>
    </row>
    <row r="3711" spans="1:10" ht="38.25" hidden="1" x14ac:dyDescent="0.25">
      <c r="A3711" s="219"/>
      <c r="B3711" s="237"/>
      <c r="C3711" s="36" t="s">
        <v>121</v>
      </c>
      <c r="D3711" s="36" t="s">
        <v>122</v>
      </c>
      <c r="E3711" s="37">
        <f>E3704*20</f>
        <v>4.6000000000000005</v>
      </c>
      <c r="F3711" s="54">
        <v>2.3630670500000002</v>
      </c>
      <c r="G3711" s="54">
        <f t="shared" si="63"/>
        <v>10.870108430000002</v>
      </c>
      <c r="H3711" s="73"/>
      <c r="I3711" s="74"/>
      <c r="J3711" s="102">
        <v>0</v>
      </c>
    </row>
    <row r="3712" spans="1:10" hidden="1" x14ac:dyDescent="0.25">
      <c r="A3712" s="219"/>
      <c r="B3712" s="237"/>
      <c r="C3712" s="36"/>
      <c r="D3712" s="36"/>
      <c r="E3712" s="37"/>
      <c r="F3712" s="54" t="s">
        <v>522</v>
      </c>
      <c r="G3712" s="54" t="str">
        <f t="shared" si="63"/>
        <v/>
      </c>
      <c r="H3712" s="73"/>
      <c r="I3712" s="74"/>
      <c r="J3712" s="102">
        <v>0</v>
      </c>
    </row>
    <row r="3713" spans="1:10" hidden="1" x14ac:dyDescent="0.25">
      <c r="A3713" s="219"/>
      <c r="B3713" s="237"/>
      <c r="C3713" s="48" t="s">
        <v>1103</v>
      </c>
      <c r="D3713" s="36"/>
      <c r="E3713" s="37"/>
      <c r="F3713" s="54" t="s">
        <v>522</v>
      </c>
      <c r="G3713" s="54" t="str">
        <f t="shared" si="63"/>
        <v/>
      </c>
      <c r="H3713" s="73"/>
      <c r="I3713" s="74"/>
      <c r="J3713" s="102">
        <v>0</v>
      </c>
    </row>
    <row r="3714" spans="1:10" hidden="1" x14ac:dyDescent="0.25">
      <c r="A3714" s="219"/>
      <c r="B3714" s="237"/>
      <c r="C3714" s="36"/>
      <c r="D3714" s="36"/>
      <c r="E3714" s="37"/>
      <c r="F3714" s="54" t="s">
        <v>522</v>
      </c>
      <c r="G3714" s="54" t="str">
        <f t="shared" si="63"/>
        <v/>
      </c>
      <c r="H3714" s="73"/>
      <c r="I3714" s="74"/>
      <c r="J3714" s="102">
        <v>0</v>
      </c>
    </row>
    <row r="3715" spans="1:10" ht="15.75" hidden="1" thickBot="1" x14ac:dyDescent="0.3">
      <c r="A3715" s="218" t="s">
        <v>1104</v>
      </c>
      <c r="B3715" s="221" t="e">
        <f>INDEX(#REF!,MATCH(Composições!A3715,#REF!,0),2)</f>
        <v>#REF!</v>
      </c>
      <c r="C3715" s="41"/>
      <c r="D3715" s="26" t="s">
        <v>20</v>
      </c>
      <c r="E3715" s="27"/>
      <c r="F3715" s="49" t="s">
        <v>522</v>
      </c>
      <c r="G3715" s="28" t="str">
        <f t="shared" si="63"/>
        <v/>
      </c>
      <c r="H3715" s="29"/>
      <c r="I3715" s="30"/>
      <c r="J3715" s="102">
        <v>0</v>
      </c>
    </row>
    <row r="3716" spans="1:10" hidden="1" x14ac:dyDescent="0.25">
      <c r="A3716" s="219"/>
      <c r="B3716" s="237"/>
      <c r="C3716" s="32"/>
      <c r="D3716" s="32"/>
      <c r="E3716" s="33"/>
      <c r="F3716" s="54" t="s">
        <v>522</v>
      </c>
      <c r="G3716" s="54" t="str">
        <f t="shared" si="63"/>
        <v/>
      </c>
      <c r="H3716" s="73"/>
      <c r="I3716" s="74"/>
      <c r="J3716" s="102">
        <v>0</v>
      </c>
    </row>
    <row r="3717" spans="1:10" hidden="1" x14ac:dyDescent="0.25">
      <c r="A3717" s="219"/>
      <c r="B3717" s="237"/>
      <c r="C3717" s="36" t="s">
        <v>22</v>
      </c>
      <c r="D3717" s="36" t="s">
        <v>12</v>
      </c>
      <c r="E3717" s="37">
        <f>0.1+0.1</f>
        <v>0.2</v>
      </c>
      <c r="F3717" s="54">
        <v>21.479499999999998</v>
      </c>
      <c r="G3717" s="54">
        <f t="shared" si="63"/>
        <v>4.2958999999999996</v>
      </c>
      <c r="H3717" s="39">
        <f>SUM(G3717:G3722)</f>
        <v>7.7808964218881753</v>
      </c>
      <c r="I3717" s="40"/>
      <c r="J3717" s="102">
        <v>0</v>
      </c>
    </row>
    <row r="3718" spans="1:10" hidden="1" x14ac:dyDescent="0.25">
      <c r="A3718" s="219"/>
      <c r="B3718" s="237"/>
      <c r="C3718" s="36" t="s">
        <v>23</v>
      </c>
      <c r="D3718" s="36" t="s">
        <v>12</v>
      </c>
      <c r="E3718" s="37">
        <f>0.1+0.1</f>
        <v>0.2</v>
      </c>
      <c r="F3718" s="54">
        <v>16.1785</v>
      </c>
      <c r="G3718" s="54">
        <f t="shared" si="63"/>
        <v>3.2357</v>
      </c>
      <c r="H3718" s="73"/>
      <c r="I3718" s="74"/>
      <c r="J3718" s="102">
        <v>0</v>
      </c>
    </row>
    <row r="3719" spans="1:10" hidden="1" x14ac:dyDescent="0.25">
      <c r="A3719" s="219"/>
      <c r="B3719" s="237"/>
      <c r="C3719" s="36" t="s">
        <v>1027</v>
      </c>
      <c r="D3719" s="36" t="s">
        <v>144</v>
      </c>
      <c r="E3719" s="37">
        <f>0.016*2</f>
        <v>3.2000000000000001E-2</v>
      </c>
      <c r="F3719" s="54">
        <v>0</v>
      </c>
      <c r="G3719" s="54">
        <f t="shared" si="63"/>
        <v>0</v>
      </c>
      <c r="H3719" s="73"/>
      <c r="I3719" s="74"/>
      <c r="J3719" s="102">
        <v>0</v>
      </c>
    </row>
    <row r="3720" spans="1:10" hidden="1" x14ac:dyDescent="0.25">
      <c r="A3720" s="219"/>
      <c r="B3720" s="237"/>
      <c r="C3720" s="36" t="s">
        <v>1028</v>
      </c>
      <c r="D3720" s="36" t="s">
        <v>1029</v>
      </c>
      <c r="E3720" s="37">
        <f>0.1*2</f>
        <v>0.2</v>
      </c>
      <c r="F3720" s="54">
        <v>0</v>
      </c>
      <c r="G3720" s="54">
        <f t="shared" si="63"/>
        <v>0</v>
      </c>
      <c r="H3720" s="73"/>
      <c r="I3720" s="74"/>
      <c r="J3720" s="102">
        <v>0</v>
      </c>
    </row>
    <row r="3721" spans="1:10" hidden="1" x14ac:dyDescent="0.25">
      <c r="A3721" s="219"/>
      <c r="B3721" s="237"/>
      <c r="C3721" s="36" t="s">
        <v>1105</v>
      </c>
      <c r="D3721" s="36" t="s">
        <v>144</v>
      </c>
      <c r="E3721" s="37">
        <v>1</v>
      </c>
      <c r="F3721" s="54" t="s">
        <v>522</v>
      </c>
      <c r="G3721" s="54" t="str">
        <f t="shared" si="63"/>
        <v/>
      </c>
      <c r="H3721" s="73"/>
      <c r="I3721" s="74"/>
      <c r="J3721" s="102">
        <v>0</v>
      </c>
    </row>
    <row r="3722" spans="1:10" ht="38.25" hidden="1" x14ac:dyDescent="0.25">
      <c r="A3722" s="219"/>
      <c r="B3722" s="237"/>
      <c r="C3722" s="36" t="s">
        <v>1030</v>
      </c>
      <c r="D3722" s="36" t="s">
        <v>109</v>
      </c>
      <c r="E3722" s="37">
        <f>ROUND(0.15*0.05*0.05,4)</f>
        <v>4.0000000000000002E-4</v>
      </c>
      <c r="F3722" s="54">
        <v>623.24105472043993</v>
      </c>
      <c r="G3722" s="54">
        <f t="shared" si="63"/>
        <v>0.249296421888176</v>
      </c>
      <c r="H3722" s="73"/>
      <c r="I3722" s="74"/>
      <c r="J3722" s="102">
        <v>0</v>
      </c>
    </row>
    <row r="3723" spans="1:10" hidden="1" x14ac:dyDescent="0.25">
      <c r="A3723" s="219"/>
      <c r="B3723" s="237"/>
      <c r="C3723" s="36"/>
      <c r="D3723" s="36"/>
      <c r="E3723" s="37"/>
      <c r="F3723" s="54" t="s">
        <v>522</v>
      </c>
      <c r="G3723" s="54" t="str">
        <f t="shared" si="63"/>
        <v/>
      </c>
      <c r="H3723" s="73"/>
      <c r="I3723" s="74"/>
      <c r="J3723" s="102">
        <v>0</v>
      </c>
    </row>
    <row r="3724" spans="1:10" hidden="1" x14ac:dyDescent="0.25">
      <c r="A3724" s="219"/>
      <c r="B3724" s="237"/>
      <c r="C3724" s="99" t="s">
        <v>1031</v>
      </c>
      <c r="D3724" s="36"/>
      <c r="E3724" s="37"/>
      <c r="F3724" s="54" t="s">
        <v>522</v>
      </c>
      <c r="G3724" s="54" t="str">
        <f t="shared" si="63"/>
        <v/>
      </c>
      <c r="H3724" s="73"/>
      <c r="I3724" s="74"/>
      <c r="J3724" s="102">
        <v>0</v>
      </c>
    </row>
    <row r="3725" spans="1:10" ht="15.75" hidden="1" thickBot="1" x14ac:dyDescent="0.3">
      <c r="A3725" s="220"/>
      <c r="B3725" s="223"/>
      <c r="C3725" s="55"/>
      <c r="D3725" s="55"/>
      <c r="E3725" s="66"/>
      <c r="F3725" s="76" t="s">
        <v>522</v>
      </c>
      <c r="G3725" s="76" t="str">
        <f t="shared" si="63"/>
        <v/>
      </c>
      <c r="H3725" s="77"/>
      <c r="I3725" s="74"/>
      <c r="J3725" s="102">
        <v>0</v>
      </c>
    </row>
    <row r="3726" spans="1:10" ht="15.75" hidden="1" thickBot="1" x14ac:dyDescent="0.3">
      <c r="A3726" s="218" t="s">
        <v>1106</v>
      </c>
      <c r="B3726" s="221" t="e">
        <f>INDEX(#REF!,MATCH(Composições!A3726,#REF!,0),2)</f>
        <v>#REF!</v>
      </c>
      <c r="C3726" s="41"/>
      <c r="D3726" s="26" t="s">
        <v>2079</v>
      </c>
      <c r="E3726" s="27"/>
      <c r="F3726" s="49" t="s">
        <v>522</v>
      </c>
      <c r="G3726" s="28" t="str">
        <f t="shared" si="63"/>
        <v/>
      </c>
      <c r="H3726" s="29"/>
      <c r="I3726" s="30"/>
      <c r="J3726" s="102">
        <v>0</v>
      </c>
    </row>
    <row r="3727" spans="1:10" hidden="1" x14ac:dyDescent="0.25">
      <c r="A3727" s="224"/>
      <c r="B3727" s="237"/>
      <c r="C3727" s="32"/>
      <c r="D3727" s="32"/>
      <c r="E3727" s="33"/>
      <c r="F3727" s="54" t="s">
        <v>522</v>
      </c>
      <c r="G3727" s="54" t="str">
        <f t="shared" si="63"/>
        <v/>
      </c>
      <c r="H3727" s="73"/>
      <c r="I3727" s="74"/>
      <c r="J3727" s="102">
        <v>0</v>
      </c>
    </row>
    <row r="3728" spans="1:10" ht="38.25" hidden="1" x14ac:dyDescent="0.25">
      <c r="A3728" s="224"/>
      <c r="B3728" s="237"/>
      <c r="C3728" s="36" t="s">
        <v>3354</v>
      </c>
      <c r="D3728" s="50" t="s">
        <v>127</v>
      </c>
      <c r="E3728" s="37">
        <v>1</v>
      </c>
      <c r="F3728" s="54">
        <v>878.75</v>
      </c>
      <c r="G3728" s="54">
        <f t="shared" si="63"/>
        <v>878.75</v>
      </c>
      <c r="H3728" s="39">
        <f>SUM(G3728:G3728)</f>
        <v>878.75</v>
      </c>
      <c r="I3728" s="40"/>
      <c r="J3728" s="102">
        <v>0</v>
      </c>
    </row>
    <row r="3729" spans="1:10" ht="15.75" hidden="1" thickBot="1" x14ac:dyDescent="0.3">
      <c r="A3729" s="225"/>
      <c r="B3729" s="223"/>
      <c r="C3729" s="36"/>
      <c r="D3729" s="36"/>
      <c r="E3729" s="37"/>
      <c r="F3729" s="54" t="s">
        <v>522</v>
      </c>
      <c r="G3729" s="54" t="str">
        <f t="shared" si="63"/>
        <v/>
      </c>
      <c r="H3729" s="73"/>
      <c r="I3729" s="74"/>
      <c r="J3729" s="102">
        <v>0</v>
      </c>
    </row>
    <row r="3730" spans="1:10" ht="15.75" hidden="1" thickBot="1" x14ac:dyDescent="0.3">
      <c r="A3730" s="218" t="s">
        <v>1107</v>
      </c>
      <c r="B3730" s="221" t="e">
        <f>INDEX(#REF!,MATCH(Composições!A3730,#REF!,0),2)</f>
        <v>#REF!</v>
      </c>
      <c r="C3730" s="41"/>
      <c r="D3730" s="26" t="s">
        <v>93</v>
      </c>
      <c r="E3730" s="27"/>
      <c r="F3730" s="42" t="s">
        <v>522</v>
      </c>
      <c r="G3730" s="28" t="str">
        <f t="shared" si="63"/>
        <v/>
      </c>
      <c r="H3730" s="29"/>
      <c r="I3730" s="30"/>
      <c r="J3730" s="102">
        <v>0</v>
      </c>
    </row>
    <row r="3731" spans="1:10" hidden="1" x14ac:dyDescent="0.25">
      <c r="A3731" s="219"/>
      <c r="B3731" s="237"/>
      <c r="C3731" s="32"/>
      <c r="D3731" s="32"/>
      <c r="E3731" s="33"/>
      <c r="F3731" s="43" t="s">
        <v>522</v>
      </c>
      <c r="G3731" s="31" t="str">
        <f t="shared" si="63"/>
        <v/>
      </c>
      <c r="H3731" s="35"/>
      <c r="I3731" s="31"/>
      <c r="J3731" s="102">
        <v>0</v>
      </c>
    </row>
    <row r="3732" spans="1:10" ht="25.5" hidden="1" x14ac:dyDescent="0.25">
      <c r="A3732" s="219"/>
      <c r="B3732" s="237"/>
      <c r="C3732" s="36" t="s">
        <v>1108</v>
      </c>
      <c r="D3732" s="36" t="s">
        <v>942</v>
      </c>
      <c r="E3732" s="37">
        <v>0.183</v>
      </c>
      <c r="F3732" s="31">
        <v>19.3705</v>
      </c>
      <c r="G3732" s="31">
        <f t="shared" si="63"/>
        <v>3.5448014999999997</v>
      </c>
      <c r="H3732" s="39">
        <f>SUM(G3732:G3738)</f>
        <v>35.920001949447993</v>
      </c>
      <c r="I3732" s="40"/>
      <c r="J3732" s="102">
        <v>0</v>
      </c>
    </row>
    <row r="3733" spans="1:10" ht="25.5" hidden="1" x14ac:dyDescent="0.25">
      <c r="A3733" s="219"/>
      <c r="B3733" s="237"/>
      <c r="C3733" s="36" t="s">
        <v>1109</v>
      </c>
      <c r="D3733" s="36" t="s">
        <v>944</v>
      </c>
      <c r="E3733" s="37">
        <v>0.40100000000000002</v>
      </c>
      <c r="F3733" s="31">
        <v>18.164000000000001</v>
      </c>
      <c r="G3733" s="31">
        <f t="shared" si="63"/>
        <v>7.2837640000000006</v>
      </c>
      <c r="H3733" s="35"/>
      <c r="I3733" s="31"/>
      <c r="J3733" s="102">
        <v>0</v>
      </c>
    </row>
    <row r="3734" spans="1:10" ht="25.5" hidden="1" x14ac:dyDescent="0.25">
      <c r="A3734" s="219"/>
      <c r="B3734" s="237"/>
      <c r="C3734" s="36" t="s">
        <v>107</v>
      </c>
      <c r="D3734" s="36" t="s">
        <v>12</v>
      </c>
      <c r="E3734" s="37">
        <v>9.0999999999999998E-2</v>
      </c>
      <c r="F3734" s="31">
        <v>16.672499999999999</v>
      </c>
      <c r="G3734" s="31">
        <f t="shared" si="63"/>
        <v>1.5171975</v>
      </c>
      <c r="H3734" s="35"/>
      <c r="I3734" s="31"/>
      <c r="J3734" s="102">
        <v>0</v>
      </c>
    </row>
    <row r="3735" spans="1:10" hidden="1" x14ac:dyDescent="0.25">
      <c r="A3735" s="219"/>
      <c r="B3735" s="237"/>
      <c r="C3735" s="36" t="s">
        <v>39</v>
      </c>
      <c r="D3735" s="47" t="s">
        <v>12</v>
      </c>
      <c r="E3735" s="37">
        <v>0.58299999999999996</v>
      </c>
      <c r="F3735" s="31">
        <v>20.9</v>
      </c>
      <c r="G3735" s="31">
        <f t="shared" si="63"/>
        <v>12.184699999999998</v>
      </c>
      <c r="H3735" s="35"/>
      <c r="I3735" s="31"/>
      <c r="J3735" s="102">
        <v>0</v>
      </c>
    </row>
    <row r="3736" spans="1:10" ht="25.5" hidden="1" x14ac:dyDescent="0.25">
      <c r="A3736" s="219"/>
      <c r="B3736" s="237"/>
      <c r="C3736" s="36" t="s">
        <v>107</v>
      </c>
      <c r="D3736" s="36" t="s">
        <v>12</v>
      </c>
      <c r="E3736" s="37">
        <v>3.7999999999999999E-2</v>
      </c>
      <c r="F3736" s="31">
        <v>16.672499999999999</v>
      </c>
      <c r="G3736" s="31">
        <f t="shared" si="63"/>
        <v>0.63355499999999998</v>
      </c>
      <c r="H3736" s="35"/>
      <c r="I3736" s="31"/>
      <c r="J3736" s="102">
        <v>0</v>
      </c>
    </row>
    <row r="3737" spans="1:10" hidden="1" x14ac:dyDescent="0.25">
      <c r="A3737" s="219"/>
      <c r="B3737" s="237"/>
      <c r="C3737" s="36" t="s">
        <v>39</v>
      </c>
      <c r="D3737" s="47" t="s">
        <v>12</v>
      </c>
      <c r="E3737" s="37">
        <v>0.27200000000000002</v>
      </c>
      <c r="F3737" s="31">
        <v>20.9</v>
      </c>
      <c r="G3737" s="31">
        <f t="shared" si="63"/>
        <v>5.6848000000000001</v>
      </c>
      <c r="H3737" s="35"/>
      <c r="I3737" s="31"/>
      <c r="J3737" s="102">
        <v>0</v>
      </c>
    </row>
    <row r="3738" spans="1:10" ht="25.5" hidden="1" x14ac:dyDescent="0.25">
      <c r="A3738" s="219"/>
      <c r="B3738" s="237"/>
      <c r="C3738" s="36" t="s">
        <v>108</v>
      </c>
      <c r="D3738" s="36" t="s">
        <v>109</v>
      </c>
      <c r="E3738" s="37">
        <v>8.0000000000000002E-3</v>
      </c>
      <c r="F3738" s="34">
        <v>633.89799368099989</v>
      </c>
      <c r="G3738" s="34">
        <f t="shared" si="63"/>
        <v>5.0711839494479989</v>
      </c>
      <c r="H3738" s="35"/>
      <c r="I3738" s="31"/>
      <c r="J3738" s="102">
        <v>0</v>
      </c>
    </row>
    <row r="3739" spans="1:10" ht="15.75" hidden="1" thickBot="1" x14ac:dyDescent="0.3">
      <c r="A3739" s="220"/>
      <c r="B3739" s="223"/>
      <c r="C3739" s="36"/>
      <c r="D3739" s="36"/>
      <c r="E3739" s="37"/>
      <c r="F3739" s="31" t="s">
        <v>522</v>
      </c>
      <c r="G3739" s="31" t="str">
        <f t="shared" si="63"/>
        <v/>
      </c>
      <c r="H3739" s="35"/>
      <c r="I3739" s="31"/>
      <c r="J3739" s="102">
        <v>0</v>
      </c>
    </row>
    <row r="3740" spans="1:10" ht="15.75" hidden="1" thickBot="1" x14ac:dyDescent="0.3">
      <c r="A3740" s="218" t="s">
        <v>1110</v>
      </c>
      <c r="B3740" s="221" t="e">
        <f>INDEX(#REF!,MATCH(Composições!A3740,#REF!,0),2)</f>
        <v>#REF!</v>
      </c>
      <c r="C3740" s="41"/>
      <c r="D3740" s="26" t="s">
        <v>95</v>
      </c>
      <c r="E3740" s="27"/>
      <c r="F3740" s="49" t="s">
        <v>522</v>
      </c>
      <c r="G3740" s="28" t="str">
        <f t="shared" si="63"/>
        <v/>
      </c>
      <c r="H3740" s="29"/>
      <c r="I3740" s="30"/>
      <c r="J3740" s="102">
        <v>0</v>
      </c>
    </row>
    <row r="3741" spans="1:10" hidden="1" x14ac:dyDescent="0.25">
      <c r="A3741" s="224"/>
      <c r="B3741" s="237"/>
      <c r="C3741" s="32"/>
      <c r="D3741" s="32"/>
      <c r="E3741" s="33"/>
      <c r="F3741" s="54" t="s">
        <v>522</v>
      </c>
      <c r="G3741" s="54" t="str">
        <f t="shared" si="63"/>
        <v/>
      </c>
      <c r="H3741" s="73"/>
      <c r="I3741" s="74"/>
      <c r="J3741" s="102">
        <v>0</v>
      </c>
    </row>
    <row r="3742" spans="1:10" hidden="1" x14ac:dyDescent="0.25">
      <c r="A3742" s="224"/>
      <c r="B3742" s="237"/>
      <c r="C3742" s="36" t="s">
        <v>1917</v>
      </c>
      <c r="D3742" s="50" t="s">
        <v>42</v>
      </c>
      <c r="E3742" s="37">
        <v>0.25900000000000001</v>
      </c>
      <c r="F3742" s="54">
        <v>2.7835000000000001</v>
      </c>
      <c r="G3742" s="54">
        <f t="shared" si="63"/>
        <v>0.72092650000000003</v>
      </c>
      <c r="H3742" s="39">
        <f>SUM(G3742:G3743)</f>
        <v>8.8101765000000007</v>
      </c>
      <c r="I3742" s="40"/>
      <c r="J3742" s="102">
        <v>0</v>
      </c>
    </row>
    <row r="3743" spans="1:10" hidden="1" x14ac:dyDescent="0.25">
      <c r="A3743" s="224"/>
      <c r="B3743" s="237"/>
      <c r="C3743" s="36" t="s">
        <v>23</v>
      </c>
      <c r="D3743" s="36" t="s">
        <v>12</v>
      </c>
      <c r="E3743" s="37">
        <f>0.25*2</f>
        <v>0.5</v>
      </c>
      <c r="F3743" s="54">
        <v>16.1785</v>
      </c>
      <c r="G3743" s="54">
        <f t="shared" si="63"/>
        <v>8.0892499999999998</v>
      </c>
      <c r="H3743" s="73"/>
      <c r="I3743" s="74"/>
      <c r="J3743" s="102">
        <v>0</v>
      </c>
    </row>
    <row r="3744" spans="1:10" ht="15.75" hidden="1" thickBot="1" x14ac:dyDescent="0.3">
      <c r="A3744" s="225"/>
      <c r="B3744" s="223"/>
      <c r="C3744" s="36"/>
      <c r="D3744" s="36"/>
      <c r="E3744" s="37"/>
      <c r="F3744" s="54" t="s">
        <v>522</v>
      </c>
      <c r="G3744" s="54" t="str">
        <f t="shared" si="63"/>
        <v/>
      </c>
      <c r="H3744" s="73"/>
      <c r="I3744" s="74"/>
      <c r="J3744" s="102">
        <v>0</v>
      </c>
    </row>
    <row r="3745" spans="1:10" ht="15.75" hidden="1" thickBot="1" x14ac:dyDescent="0.3">
      <c r="A3745" s="218" t="s">
        <v>1111</v>
      </c>
      <c r="B3745" s="221" t="e">
        <f>INDEX(#REF!,MATCH(Composições!A3745,#REF!,0),2)</f>
        <v>#REF!</v>
      </c>
      <c r="C3745" s="41"/>
      <c r="D3745" s="26" t="s">
        <v>95</v>
      </c>
      <c r="E3745" s="27"/>
      <c r="F3745" s="49" t="s">
        <v>522</v>
      </c>
      <c r="G3745" s="28" t="str">
        <f t="shared" si="63"/>
        <v/>
      </c>
      <c r="H3745" s="29"/>
      <c r="I3745" s="30"/>
      <c r="J3745" s="102">
        <v>0</v>
      </c>
    </row>
    <row r="3746" spans="1:10" hidden="1" x14ac:dyDescent="0.25">
      <c r="A3746" s="224"/>
      <c r="B3746" s="237"/>
      <c r="C3746" s="32"/>
      <c r="D3746" s="32"/>
      <c r="E3746" s="33"/>
      <c r="F3746" s="54" t="s">
        <v>522</v>
      </c>
      <c r="G3746" s="54" t="str">
        <f t="shared" si="63"/>
        <v/>
      </c>
      <c r="H3746" s="73"/>
      <c r="I3746" s="74"/>
      <c r="J3746" s="102">
        <v>0</v>
      </c>
    </row>
    <row r="3747" spans="1:10" hidden="1" x14ac:dyDescent="0.25">
      <c r="A3747" s="224"/>
      <c r="B3747" s="237"/>
      <c r="C3747" s="36" t="s">
        <v>1112</v>
      </c>
      <c r="D3747" s="50" t="s">
        <v>102</v>
      </c>
      <c r="E3747" s="37">
        <f>ROUND(1/12,4)</f>
        <v>8.3299999999999999E-2</v>
      </c>
      <c r="F3747" s="54" t="s">
        <v>522</v>
      </c>
      <c r="G3747" s="54" t="str">
        <f t="shared" si="63"/>
        <v/>
      </c>
      <c r="H3747" s="39">
        <f>SUM(G3747:G3749)</f>
        <v>17.741249999999997</v>
      </c>
      <c r="I3747" s="40"/>
      <c r="J3747" s="102">
        <v>0</v>
      </c>
    </row>
    <row r="3748" spans="1:10" hidden="1" x14ac:dyDescent="0.25">
      <c r="A3748" s="224"/>
      <c r="B3748" s="237"/>
      <c r="C3748" s="36" t="s">
        <v>1014</v>
      </c>
      <c r="D3748" s="36" t="s">
        <v>703</v>
      </c>
      <c r="E3748" s="37">
        <f>1.2/2</f>
        <v>0.6</v>
      </c>
      <c r="F3748" s="54">
        <v>21.479499999999998</v>
      </c>
      <c r="G3748" s="54">
        <f t="shared" si="63"/>
        <v>12.887699999999999</v>
      </c>
      <c r="H3748" s="73"/>
      <c r="I3748" s="74"/>
      <c r="J3748" s="102">
        <v>0</v>
      </c>
    </row>
    <row r="3749" spans="1:10" hidden="1" x14ac:dyDescent="0.25">
      <c r="A3749" s="224"/>
      <c r="B3749" s="237"/>
      <c r="C3749" s="36" t="s">
        <v>23</v>
      </c>
      <c r="D3749" s="36" t="s">
        <v>703</v>
      </c>
      <c r="E3749" s="37">
        <f>0.6/2</f>
        <v>0.3</v>
      </c>
      <c r="F3749" s="54">
        <v>16.1785</v>
      </c>
      <c r="G3749" s="54">
        <f t="shared" si="63"/>
        <v>4.8535499999999994</v>
      </c>
      <c r="H3749" s="73"/>
      <c r="I3749" s="74"/>
      <c r="J3749" s="102">
        <v>0</v>
      </c>
    </row>
    <row r="3750" spans="1:10" hidden="1" x14ac:dyDescent="0.25">
      <c r="A3750" s="224"/>
      <c r="B3750" s="237"/>
      <c r="C3750" s="36"/>
      <c r="D3750" s="36"/>
      <c r="E3750" s="37"/>
      <c r="F3750" s="54" t="s">
        <v>522</v>
      </c>
      <c r="G3750" s="54" t="str">
        <f t="shared" si="63"/>
        <v/>
      </c>
      <c r="H3750" s="73"/>
      <c r="I3750" s="74"/>
      <c r="J3750" s="102">
        <v>0</v>
      </c>
    </row>
    <row r="3751" spans="1:10" ht="25.5" hidden="1" x14ac:dyDescent="0.25">
      <c r="A3751" s="224"/>
      <c r="B3751" s="237"/>
      <c r="C3751" s="48" t="s">
        <v>1113</v>
      </c>
      <c r="D3751" s="36"/>
      <c r="E3751" s="37"/>
      <c r="F3751" s="54" t="s">
        <v>522</v>
      </c>
      <c r="G3751" s="54" t="str">
        <f t="shared" si="63"/>
        <v/>
      </c>
      <c r="H3751" s="73"/>
      <c r="I3751" s="74"/>
      <c r="J3751" s="102">
        <v>0</v>
      </c>
    </row>
    <row r="3752" spans="1:10" hidden="1" x14ac:dyDescent="0.25">
      <c r="A3752" s="224"/>
      <c r="B3752" s="237"/>
      <c r="C3752" s="48" t="s">
        <v>1114</v>
      </c>
      <c r="D3752" s="36"/>
      <c r="E3752" s="37"/>
      <c r="F3752" s="54" t="s">
        <v>522</v>
      </c>
      <c r="G3752" s="54" t="str">
        <f t="shared" si="63"/>
        <v/>
      </c>
      <c r="H3752" s="73"/>
      <c r="I3752" s="74"/>
      <c r="J3752" s="102">
        <v>0</v>
      </c>
    </row>
    <row r="3753" spans="1:10" ht="15.75" hidden="1" thickBot="1" x14ac:dyDescent="0.3">
      <c r="A3753" s="225"/>
      <c r="B3753" s="223"/>
      <c r="C3753" s="36"/>
      <c r="D3753" s="36"/>
      <c r="E3753" s="37"/>
      <c r="F3753" s="54" t="s">
        <v>522</v>
      </c>
      <c r="G3753" s="54" t="str">
        <f t="shared" si="63"/>
        <v/>
      </c>
      <c r="H3753" s="73"/>
      <c r="I3753" s="74"/>
      <c r="J3753" s="102">
        <v>0</v>
      </c>
    </row>
    <row r="3754" spans="1:10" ht="15.75" hidden="1" thickBot="1" x14ac:dyDescent="0.3">
      <c r="A3754" s="218" t="s">
        <v>1115</v>
      </c>
      <c r="B3754" s="221" t="e">
        <f>INDEX(#REF!,MATCH(Composições!A3754,#REF!,0),2)</f>
        <v>#REF!</v>
      </c>
      <c r="C3754" s="41"/>
      <c r="D3754" s="26" t="s">
        <v>95</v>
      </c>
      <c r="E3754" s="27"/>
      <c r="F3754" s="49" t="s">
        <v>522</v>
      </c>
      <c r="G3754" s="28" t="str">
        <f t="shared" si="63"/>
        <v/>
      </c>
      <c r="H3754" s="29"/>
      <c r="I3754" s="30"/>
      <c r="J3754" s="102">
        <v>0</v>
      </c>
    </row>
    <row r="3755" spans="1:10" hidden="1" x14ac:dyDescent="0.25">
      <c r="A3755" s="219"/>
      <c r="B3755" s="237"/>
      <c r="C3755" s="32"/>
      <c r="D3755" s="32"/>
      <c r="E3755" s="33"/>
      <c r="F3755" s="54" t="s">
        <v>522</v>
      </c>
      <c r="G3755" s="54" t="str">
        <f t="shared" si="63"/>
        <v/>
      </c>
      <c r="H3755" s="73"/>
      <c r="I3755" s="74"/>
      <c r="J3755" s="102">
        <v>0</v>
      </c>
    </row>
    <row r="3756" spans="1:10" hidden="1" x14ac:dyDescent="0.25">
      <c r="A3756" s="219"/>
      <c r="B3756" s="237"/>
      <c r="C3756" s="36" t="s">
        <v>2376</v>
      </c>
      <c r="D3756" s="36" t="s">
        <v>898</v>
      </c>
      <c r="E3756" s="37">
        <v>9.5000000000000001E-2</v>
      </c>
      <c r="F3756" s="54">
        <v>45.751999999999995</v>
      </c>
      <c r="G3756" s="54">
        <f t="shared" si="63"/>
        <v>4.3464399999999994</v>
      </c>
      <c r="H3756" s="39">
        <f>SUM(G3756:G3759)</f>
        <v>105.82863200000001</v>
      </c>
      <c r="I3756" s="40"/>
      <c r="J3756" s="102">
        <v>0</v>
      </c>
    </row>
    <row r="3757" spans="1:10" ht="25.5" hidden="1" x14ac:dyDescent="0.25">
      <c r="A3757" s="219"/>
      <c r="B3757" s="237"/>
      <c r="C3757" s="36" t="s">
        <v>1116</v>
      </c>
      <c r="D3757" s="36" t="s">
        <v>992</v>
      </c>
      <c r="E3757" s="37">
        <v>1.1100000000000001</v>
      </c>
      <c r="F3757" s="54">
        <v>86.877499999999998</v>
      </c>
      <c r="G3757" s="54">
        <f t="shared" si="63"/>
        <v>96.434025000000005</v>
      </c>
      <c r="H3757" s="73"/>
      <c r="I3757" s="74"/>
      <c r="J3757" s="102">
        <v>0</v>
      </c>
    </row>
    <row r="3758" spans="1:10" hidden="1" x14ac:dyDescent="0.25">
      <c r="A3758" s="219"/>
      <c r="B3758" s="237"/>
      <c r="C3758" s="36" t="s">
        <v>711</v>
      </c>
      <c r="D3758" s="36" t="s">
        <v>703</v>
      </c>
      <c r="E3758" s="37">
        <v>0.17100000000000001</v>
      </c>
      <c r="F3758" s="54">
        <v>21.479499999999998</v>
      </c>
      <c r="G3758" s="54">
        <f t="shared" si="63"/>
        <v>3.6729945000000002</v>
      </c>
      <c r="H3758" s="73"/>
      <c r="I3758" s="74"/>
      <c r="J3758" s="102">
        <v>0</v>
      </c>
    </row>
    <row r="3759" spans="1:10" hidden="1" x14ac:dyDescent="0.25">
      <c r="A3759" s="219"/>
      <c r="B3759" s="237"/>
      <c r="C3759" s="36" t="s">
        <v>704</v>
      </c>
      <c r="D3759" s="36" t="s">
        <v>703</v>
      </c>
      <c r="E3759" s="37">
        <v>8.5000000000000006E-2</v>
      </c>
      <c r="F3759" s="54">
        <v>16.1785</v>
      </c>
      <c r="G3759" s="54">
        <f t="shared" si="63"/>
        <v>1.3751725000000001</v>
      </c>
      <c r="H3759" s="73"/>
      <c r="I3759" s="74"/>
      <c r="J3759" s="102">
        <v>0</v>
      </c>
    </row>
    <row r="3760" spans="1:10" hidden="1" x14ac:dyDescent="0.25">
      <c r="A3760" s="219"/>
      <c r="B3760" s="237"/>
      <c r="C3760" s="36"/>
      <c r="D3760" s="36"/>
      <c r="E3760" s="37"/>
      <c r="F3760" s="54" t="s">
        <v>522</v>
      </c>
      <c r="G3760" s="54" t="str">
        <f t="shared" si="63"/>
        <v/>
      </c>
      <c r="H3760" s="73"/>
      <c r="I3760" s="74"/>
      <c r="J3760" s="102">
        <v>0</v>
      </c>
    </row>
    <row r="3761" spans="1:10" ht="15.75" hidden="1" thickBot="1" x14ac:dyDescent="0.3">
      <c r="A3761" s="218" t="s">
        <v>1117</v>
      </c>
      <c r="B3761" s="221" t="e">
        <f>INDEX(#REF!,MATCH(Composições!A3761,#REF!,0),2)</f>
        <v>#REF!</v>
      </c>
      <c r="C3761" s="41"/>
      <c r="D3761" s="26" t="s">
        <v>2079</v>
      </c>
      <c r="E3761" s="27"/>
      <c r="F3761" s="49" t="s">
        <v>522</v>
      </c>
      <c r="G3761" s="28" t="str">
        <f t="shared" ref="G3761:G3824" si="64">IF(ISNUMBER(F3761),E3761*F3761,"")</f>
        <v/>
      </c>
      <c r="H3761" s="29"/>
      <c r="I3761" s="30"/>
      <c r="J3761" s="102">
        <v>0</v>
      </c>
    </row>
    <row r="3762" spans="1:10" hidden="1" x14ac:dyDescent="0.25">
      <c r="A3762" s="224"/>
      <c r="B3762" s="237"/>
      <c r="C3762" s="32"/>
      <c r="D3762" s="32"/>
      <c r="E3762" s="33"/>
      <c r="F3762" s="54" t="s">
        <v>522</v>
      </c>
      <c r="G3762" s="54" t="str">
        <f t="shared" si="64"/>
        <v/>
      </c>
      <c r="H3762" s="73"/>
      <c r="I3762" s="74"/>
      <c r="J3762" s="102">
        <v>0</v>
      </c>
    </row>
    <row r="3763" spans="1:10" ht="38.25" hidden="1" x14ac:dyDescent="0.25">
      <c r="A3763" s="224"/>
      <c r="B3763" s="237"/>
      <c r="C3763" s="36" t="s">
        <v>3356</v>
      </c>
      <c r="D3763" s="50" t="s">
        <v>127</v>
      </c>
      <c r="E3763" s="37">
        <v>1</v>
      </c>
      <c r="F3763" s="54">
        <v>1098.4375</v>
      </c>
      <c r="G3763" s="54">
        <f t="shared" si="64"/>
        <v>1098.4375</v>
      </c>
      <c r="H3763" s="39">
        <f>SUM(G3763:G3763)</f>
        <v>1098.4375</v>
      </c>
      <c r="I3763" s="40"/>
      <c r="J3763" s="102">
        <v>0</v>
      </c>
    </row>
    <row r="3764" spans="1:10" ht="15.75" hidden="1" thickBot="1" x14ac:dyDescent="0.3">
      <c r="A3764" s="225"/>
      <c r="B3764" s="223"/>
      <c r="C3764" s="36"/>
      <c r="D3764" s="36"/>
      <c r="E3764" s="37"/>
      <c r="F3764" s="54" t="s">
        <v>522</v>
      </c>
      <c r="G3764" s="54" t="str">
        <f t="shared" si="64"/>
        <v/>
      </c>
      <c r="H3764" s="73"/>
      <c r="I3764" s="74"/>
      <c r="J3764" s="102">
        <v>0</v>
      </c>
    </row>
    <row r="3765" spans="1:10" ht="15.75" hidden="1" thickBot="1" x14ac:dyDescent="0.3">
      <c r="A3765" s="218" t="s">
        <v>1118</v>
      </c>
      <c r="B3765" s="221" t="e">
        <f>INDEX(#REF!,MATCH(Composições!A3765,#REF!,0),2)</f>
        <v>#REF!</v>
      </c>
      <c r="C3765" s="41"/>
      <c r="D3765" s="26" t="s">
        <v>2079</v>
      </c>
      <c r="E3765" s="27"/>
      <c r="F3765" s="49" t="s">
        <v>522</v>
      </c>
      <c r="G3765" s="28" t="str">
        <f t="shared" si="64"/>
        <v/>
      </c>
      <c r="H3765" s="29"/>
      <c r="I3765" s="30"/>
      <c r="J3765" s="102">
        <v>0</v>
      </c>
    </row>
    <row r="3766" spans="1:10" hidden="1" x14ac:dyDescent="0.25">
      <c r="A3766" s="224"/>
      <c r="B3766" s="237"/>
      <c r="C3766" s="32"/>
      <c r="D3766" s="32"/>
      <c r="E3766" s="33"/>
      <c r="F3766" s="54" t="s">
        <v>522</v>
      </c>
      <c r="G3766" s="54" t="str">
        <f t="shared" si="64"/>
        <v/>
      </c>
      <c r="H3766" s="73"/>
      <c r="I3766" s="74"/>
      <c r="J3766" s="102">
        <v>0</v>
      </c>
    </row>
    <row r="3767" spans="1:10" ht="38.25" hidden="1" x14ac:dyDescent="0.25">
      <c r="A3767" s="224"/>
      <c r="B3767" s="237"/>
      <c r="C3767" s="36" t="s">
        <v>3355</v>
      </c>
      <c r="D3767" s="50" t="s">
        <v>127</v>
      </c>
      <c r="E3767" s="37">
        <v>1</v>
      </c>
      <c r="F3767" s="54">
        <v>686.51749999999993</v>
      </c>
      <c r="G3767" s="54">
        <f t="shared" si="64"/>
        <v>686.51749999999993</v>
      </c>
      <c r="H3767" s="39">
        <f>SUM(G3767:G3767)</f>
        <v>686.51749999999993</v>
      </c>
      <c r="I3767" s="40"/>
      <c r="J3767" s="102">
        <v>0</v>
      </c>
    </row>
    <row r="3768" spans="1:10" ht="15.75" hidden="1" thickBot="1" x14ac:dyDescent="0.3">
      <c r="A3768" s="225"/>
      <c r="B3768" s="223"/>
      <c r="C3768" s="36"/>
      <c r="D3768" s="36"/>
      <c r="E3768" s="37"/>
      <c r="F3768" s="54" t="s">
        <v>522</v>
      </c>
      <c r="G3768" s="54" t="str">
        <f t="shared" si="64"/>
        <v/>
      </c>
      <c r="H3768" s="73"/>
      <c r="I3768" s="74"/>
      <c r="J3768" s="102">
        <v>0</v>
      </c>
    </row>
    <row r="3769" spans="1:10" ht="15.75" hidden="1" thickBot="1" x14ac:dyDescent="0.3">
      <c r="A3769" s="218" t="s">
        <v>1119</v>
      </c>
      <c r="B3769" s="221" t="e">
        <f>INDEX(#REF!,MATCH(Composições!A3769,#REF!,0),2)</f>
        <v>#REF!</v>
      </c>
      <c r="C3769" s="41"/>
      <c r="D3769" s="26" t="s">
        <v>95</v>
      </c>
      <c r="E3769" s="27"/>
      <c r="F3769" s="49" t="s">
        <v>522</v>
      </c>
      <c r="G3769" s="28" t="str">
        <f t="shared" si="64"/>
        <v/>
      </c>
      <c r="H3769" s="29"/>
      <c r="I3769" s="30"/>
      <c r="J3769" s="102">
        <v>0</v>
      </c>
    </row>
    <row r="3770" spans="1:10" hidden="1" x14ac:dyDescent="0.25">
      <c r="A3770" s="219"/>
      <c r="B3770" s="237"/>
      <c r="C3770" s="32"/>
      <c r="D3770" s="32"/>
      <c r="E3770" s="33"/>
      <c r="F3770" s="54" t="s">
        <v>522</v>
      </c>
      <c r="G3770" s="54" t="str">
        <f t="shared" si="64"/>
        <v/>
      </c>
      <c r="H3770" s="73"/>
      <c r="I3770" s="74"/>
      <c r="J3770" s="102">
        <v>0</v>
      </c>
    </row>
    <row r="3771" spans="1:10" ht="38.25" hidden="1" x14ac:dyDescent="0.25">
      <c r="A3771" s="219"/>
      <c r="B3771" s="237"/>
      <c r="C3771" s="36" t="s">
        <v>2504</v>
      </c>
      <c r="D3771" s="36" t="s">
        <v>992</v>
      </c>
      <c r="E3771" s="37">
        <v>1</v>
      </c>
      <c r="F3771" s="54">
        <v>213.75</v>
      </c>
      <c r="G3771" s="54">
        <f t="shared" si="64"/>
        <v>213.75</v>
      </c>
      <c r="H3771" s="39">
        <f>SUM(G3771:G3772)</f>
        <v>213.75</v>
      </c>
      <c r="I3771" s="40"/>
      <c r="J3771" s="102">
        <v>0</v>
      </c>
    </row>
    <row r="3772" spans="1:10" ht="15.75" hidden="1" thickBot="1" x14ac:dyDescent="0.3">
      <c r="A3772" s="220"/>
      <c r="B3772" s="223"/>
      <c r="C3772" s="55"/>
      <c r="D3772" s="55"/>
      <c r="E3772" s="66"/>
      <c r="F3772" s="76" t="s">
        <v>522</v>
      </c>
      <c r="G3772" s="76" t="str">
        <f t="shared" si="64"/>
        <v/>
      </c>
      <c r="H3772" s="77"/>
      <c r="I3772" s="74"/>
      <c r="J3772" s="102">
        <v>0</v>
      </c>
    </row>
    <row r="3773" spans="1:10" ht="15.75" hidden="1" thickBot="1" x14ac:dyDescent="0.3">
      <c r="A3773" s="218" t="s">
        <v>1588</v>
      </c>
      <c r="B3773" s="221" t="e">
        <f>INDEX(#REF!,MATCH(Composições!A3773,#REF!,0),2)</f>
        <v>#REF!</v>
      </c>
      <c r="C3773" s="41"/>
      <c r="D3773" s="26" t="s">
        <v>1514</v>
      </c>
      <c r="E3773" s="27"/>
      <c r="F3773" s="49" t="s">
        <v>522</v>
      </c>
      <c r="G3773" s="28" t="str">
        <f t="shared" si="64"/>
        <v/>
      </c>
      <c r="H3773" s="29"/>
      <c r="I3773" s="30"/>
      <c r="J3773" s="102">
        <v>0</v>
      </c>
    </row>
    <row r="3774" spans="1:10" hidden="1" x14ac:dyDescent="0.25">
      <c r="A3774" s="219"/>
      <c r="B3774" s="237"/>
      <c r="C3774" s="32"/>
      <c r="D3774" s="32"/>
      <c r="E3774" s="33"/>
      <c r="F3774" s="54" t="s">
        <v>522</v>
      </c>
      <c r="G3774" s="54" t="str">
        <f t="shared" si="64"/>
        <v/>
      </c>
      <c r="H3774" s="73"/>
      <c r="I3774" s="74"/>
      <c r="J3774" s="102">
        <v>0</v>
      </c>
    </row>
    <row r="3775" spans="1:10" hidden="1" x14ac:dyDescent="0.25">
      <c r="A3775" s="219"/>
      <c r="B3775" s="237"/>
      <c r="C3775" s="36" t="s">
        <v>1212</v>
      </c>
      <c r="D3775" s="36" t="s">
        <v>127</v>
      </c>
      <c r="E3775" s="37">
        <f>ROUND(1/(1+70.03%),4)</f>
        <v>0.58809999999999996</v>
      </c>
      <c r="F3775" s="54">
        <v>2804.248</v>
      </c>
      <c r="G3775" s="54">
        <f t="shared" si="64"/>
        <v>1649.1782487999999</v>
      </c>
      <c r="H3775" s="39">
        <f>SUM(G3775:G3778)</f>
        <v>1649.1782487999999</v>
      </c>
      <c r="I3775" s="40"/>
      <c r="J3775" s="102">
        <v>0</v>
      </c>
    </row>
    <row r="3776" spans="1:10" hidden="1" x14ac:dyDescent="0.25">
      <c r="A3776" s="219"/>
      <c r="B3776" s="237"/>
      <c r="C3776" s="36"/>
      <c r="D3776" s="36"/>
      <c r="E3776" s="37"/>
      <c r="F3776" s="54" t="s">
        <v>522</v>
      </c>
      <c r="G3776" s="54" t="str">
        <f t="shared" si="64"/>
        <v/>
      </c>
      <c r="H3776" s="73"/>
      <c r="I3776" s="74"/>
      <c r="J3776" s="102">
        <v>0</v>
      </c>
    </row>
    <row r="3777" spans="1:10" ht="25.5" hidden="1" x14ac:dyDescent="0.25">
      <c r="A3777" s="219"/>
      <c r="B3777" s="237"/>
      <c r="C3777" s="48" t="s">
        <v>781</v>
      </c>
      <c r="D3777" s="36"/>
      <c r="E3777" s="37"/>
      <c r="F3777" s="54" t="s">
        <v>522</v>
      </c>
      <c r="G3777" s="54" t="str">
        <f t="shared" si="64"/>
        <v/>
      </c>
      <c r="H3777" s="73"/>
      <c r="I3777" s="74"/>
      <c r="J3777" s="102">
        <v>0</v>
      </c>
    </row>
    <row r="3778" spans="1:10" ht="15.75" hidden="1" thickBot="1" x14ac:dyDescent="0.3">
      <c r="A3778" s="220"/>
      <c r="B3778" s="223"/>
      <c r="C3778" s="55"/>
      <c r="D3778" s="55"/>
      <c r="E3778" s="66"/>
      <c r="F3778" s="76" t="s">
        <v>522</v>
      </c>
      <c r="G3778" s="76" t="str">
        <f t="shared" si="64"/>
        <v/>
      </c>
      <c r="H3778" s="77"/>
      <c r="I3778" s="74"/>
      <c r="J3778" s="102">
        <v>0</v>
      </c>
    </row>
    <row r="3779" spans="1:10" ht="15.75" hidden="1" thickBot="1" x14ac:dyDescent="0.3">
      <c r="A3779" s="218" t="s">
        <v>1589</v>
      </c>
      <c r="B3779" s="221" t="e">
        <f>INDEX(#REF!,MATCH(Composições!A3779,#REF!,0),2)</f>
        <v>#REF!</v>
      </c>
      <c r="C3779" s="41"/>
      <c r="D3779" s="26" t="s">
        <v>1514</v>
      </c>
      <c r="E3779" s="27"/>
      <c r="F3779" s="49" t="s">
        <v>522</v>
      </c>
      <c r="G3779" s="28" t="str">
        <f t="shared" si="64"/>
        <v/>
      </c>
      <c r="H3779" s="29"/>
      <c r="I3779" s="30"/>
      <c r="J3779" s="102">
        <v>0</v>
      </c>
    </row>
    <row r="3780" spans="1:10" hidden="1" x14ac:dyDescent="0.25">
      <c r="A3780" s="219"/>
      <c r="B3780" s="237"/>
      <c r="C3780" s="32"/>
      <c r="D3780" s="32"/>
      <c r="E3780" s="33"/>
      <c r="F3780" s="54" t="s">
        <v>522</v>
      </c>
      <c r="G3780" s="54" t="str">
        <f t="shared" si="64"/>
        <v/>
      </c>
      <c r="H3780" s="73"/>
      <c r="I3780" s="74"/>
      <c r="J3780" s="102">
        <v>0</v>
      </c>
    </row>
    <row r="3781" spans="1:10" hidden="1" x14ac:dyDescent="0.25">
      <c r="A3781" s="219"/>
      <c r="B3781" s="237"/>
      <c r="C3781" s="36" t="s">
        <v>1212</v>
      </c>
      <c r="D3781" s="36" t="s">
        <v>127</v>
      </c>
      <c r="E3781" s="37">
        <f t="shared" ref="E3781" si="65">ROUND(1/(1+70.03%),4)</f>
        <v>0.58809999999999996</v>
      </c>
      <c r="F3781" s="54">
        <v>2804.248</v>
      </c>
      <c r="G3781" s="54">
        <f t="shared" si="64"/>
        <v>1649.1782487999999</v>
      </c>
      <c r="H3781" s="39">
        <f>SUM(G3781:G3784)</f>
        <v>1649.1782487999999</v>
      </c>
      <c r="I3781" s="40"/>
      <c r="J3781" s="102">
        <v>0</v>
      </c>
    </row>
    <row r="3782" spans="1:10" hidden="1" x14ac:dyDescent="0.25">
      <c r="A3782" s="219"/>
      <c r="B3782" s="237"/>
      <c r="C3782" s="36"/>
      <c r="D3782" s="36"/>
      <c r="E3782" s="37"/>
      <c r="F3782" s="54" t="s">
        <v>522</v>
      </c>
      <c r="G3782" s="54" t="str">
        <f t="shared" si="64"/>
        <v/>
      </c>
      <c r="H3782" s="73"/>
      <c r="I3782" s="74"/>
      <c r="J3782" s="102">
        <v>0</v>
      </c>
    </row>
    <row r="3783" spans="1:10" ht="25.5" hidden="1" x14ac:dyDescent="0.25">
      <c r="A3783" s="219"/>
      <c r="B3783" s="237"/>
      <c r="C3783" s="48" t="s">
        <v>781</v>
      </c>
      <c r="D3783" s="36"/>
      <c r="E3783" s="37"/>
      <c r="F3783" s="54" t="s">
        <v>522</v>
      </c>
      <c r="G3783" s="54" t="str">
        <f t="shared" si="64"/>
        <v/>
      </c>
      <c r="H3783" s="73"/>
      <c r="I3783" s="74"/>
      <c r="J3783" s="102">
        <v>0</v>
      </c>
    </row>
    <row r="3784" spans="1:10" ht="15.75" hidden="1" thickBot="1" x14ac:dyDescent="0.3">
      <c r="A3784" s="220"/>
      <c r="B3784" s="223"/>
      <c r="C3784" s="55"/>
      <c r="D3784" s="55"/>
      <c r="E3784" s="66"/>
      <c r="F3784" s="76" t="s">
        <v>522</v>
      </c>
      <c r="G3784" s="76" t="str">
        <f t="shared" si="64"/>
        <v/>
      </c>
      <c r="H3784" s="77"/>
      <c r="I3784" s="74"/>
      <c r="J3784" s="102">
        <v>0</v>
      </c>
    </row>
    <row r="3785" spans="1:10" ht="15.75" hidden="1" thickBot="1" x14ac:dyDescent="0.3">
      <c r="A3785" s="218" t="s">
        <v>1590</v>
      </c>
      <c r="B3785" s="221" t="e">
        <f>INDEX(#REF!,MATCH(Composições!A3785,#REF!,0),2)</f>
        <v>#REF!</v>
      </c>
      <c r="C3785" s="41"/>
      <c r="D3785" s="26" t="s">
        <v>1514</v>
      </c>
      <c r="E3785" s="27"/>
      <c r="F3785" s="49" t="s">
        <v>522</v>
      </c>
      <c r="G3785" s="28" t="str">
        <f t="shared" si="64"/>
        <v/>
      </c>
      <c r="H3785" s="29"/>
      <c r="I3785" s="30"/>
      <c r="J3785" s="102">
        <v>0</v>
      </c>
    </row>
    <row r="3786" spans="1:10" hidden="1" x14ac:dyDescent="0.25">
      <c r="A3786" s="219"/>
      <c r="B3786" s="237"/>
      <c r="C3786" s="32"/>
      <c r="D3786" s="32"/>
      <c r="E3786" s="33"/>
      <c r="F3786" s="54" t="s">
        <v>522</v>
      </c>
      <c r="G3786" s="54" t="str">
        <f t="shared" si="64"/>
        <v/>
      </c>
      <c r="H3786" s="73"/>
      <c r="I3786" s="74"/>
      <c r="J3786" s="102">
        <v>0</v>
      </c>
    </row>
    <row r="3787" spans="1:10" hidden="1" x14ac:dyDescent="0.25">
      <c r="A3787" s="219"/>
      <c r="B3787" s="237"/>
      <c r="C3787" s="36" t="s">
        <v>1212</v>
      </c>
      <c r="D3787" s="36" t="s">
        <v>127</v>
      </c>
      <c r="E3787" s="37">
        <f t="shared" ref="E3787" si="66">ROUND(1/(1+70.03%),4)</f>
        <v>0.58809999999999996</v>
      </c>
      <c r="F3787" s="54">
        <v>2804.248</v>
      </c>
      <c r="G3787" s="54">
        <f t="shared" si="64"/>
        <v>1649.1782487999999</v>
      </c>
      <c r="H3787" s="39">
        <f>SUM(G3787:G3790)</f>
        <v>1649.1782487999999</v>
      </c>
      <c r="I3787" s="40"/>
      <c r="J3787" s="102">
        <v>0</v>
      </c>
    </row>
    <row r="3788" spans="1:10" hidden="1" x14ac:dyDescent="0.25">
      <c r="A3788" s="219"/>
      <c r="B3788" s="237"/>
      <c r="C3788" s="36"/>
      <c r="D3788" s="36"/>
      <c r="E3788" s="37"/>
      <c r="F3788" s="54" t="s">
        <v>522</v>
      </c>
      <c r="G3788" s="54" t="str">
        <f t="shared" si="64"/>
        <v/>
      </c>
      <c r="H3788" s="73"/>
      <c r="I3788" s="74"/>
      <c r="J3788" s="102">
        <v>0</v>
      </c>
    </row>
    <row r="3789" spans="1:10" ht="25.5" hidden="1" x14ac:dyDescent="0.25">
      <c r="A3789" s="219"/>
      <c r="B3789" s="237"/>
      <c r="C3789" s="48" t="s">
        <v>781</v>
      </c>
      <c r="D3789" s="36"/>
      <c r="E3789" s="37"/>
      <c r="F3789" s="54" t="s">
        <v>522</v>
      </c>
      <c r="G3789" s="54" t="str">
        <f t="shared" si="64"/>
        <v/>
      </c>
      <c r="H3789" s="73"/>
      <c r="I3789" s="74"/>
      <c r="J3789" s="102">
        <v>0</v>
      </c>
    </row>
    <row r="3790" spans="1:10" ht="15.75" hidden="1" thickBot="1" x14ac:dyDescent="0.3">
      <c r="A3790" s="220"/>
      <c r="B3790" s="223"/>
      <c r="C3790" s="55"/>
      <c r="D3790" s="55"/>
      <c r="E3790" s="66"/>
      <c r="F3790" s="76" t="s">
        <v>522</v>
      </c>
      <c r="G3790" s="76" t="str">
        <f t="shared" si="64"/>
        <v/>
      </c>
      <c r="H3790" s="77"/>
      <c r="I3790" s="74"/>
      <c r="J3790" s="102">
        <v>0</v>
      </c>
    </row>
    <row r="3791" spans="1:10" ht="15.75" hidden="1" thickBot="1" x14ac:dyDescent="0.3">
      <c r="A3791" s="218" t="s">
        <v>1591</v>
      </c>
      <c r="B3791" s="221" t="e">
        <f>INDEX(#REF!,MATCH(Composições!A3791,#REF!,0),2)</f>
        <v>#REF!</v>
      </c>
      <c r="C3791" s="41"/>
      <c r="D3791" s="26" t="s">
        <v>1514</v>
      </c>
      <c r="E3791" s="27"/>
      <c r="F3791" s="49" t="s">
        <v>522</v>
      </c>
      <c r="G3791" s="28" t="str">
        <f t="shared" si="64"/>
        <v/>
      </c>
      <c r="H3791" s="29"/>
      <c r="I3791" s="30"/>
      <c r="J3791" s="102">
        <v>0</v>
      </c>
    </row>
    <row r="3792" spans="1:10" hidden="1" x14ac:dyDescent="0.25">
      <c r="A3792" s="219"/>
      <c r="B3792" s="237"/>
      <c r="C3792" s="32"/>
      <c r="D3792" s="32"/>
      <c r="E3792" s="33"/>
      <c r="F3792" s="54" t="s">
        <v>522</v>
      </c>
      <c r="G3792" s="54" t="str">
        <f t="shared" si="64"/>
        <v/>
      </c>
      <c r="H3792" s="73"/>
      <c r="I3792" s="74"/>
      <c r="J3792" s="102">
        <v>0</v>
      </c>
    </row>
    <row r="3793" spans="1:10" hidden="1" x14ac:dyDescent="0.25">
      <c r="A3793" s="219"/>
      <c r="B3793" s="237"/>
      <c r="C3793" s="36" t="s">
        <v>1212</v>
      </c>
      <c r="D3793" s="36" t="s">
        <v>127</v>
      </c>
      <c r="E3793" s="37">
        <f t="shared" ref="E3793" si="67">ROUND(1/(1+70.03%),4)</f>
        <v>0.58809999999999996</v>
      </c>
      <c r="F3793" s="54">
        <v>2804.248</v>
      </c>
      <c r="G3793" s="54">
        <f t="shared" si="64"/>
        <v>1649.1782487999999</v>
      </c>
      <c r="H3793" s="39">
        <f>SUM(G3793:G3796)</f>
        <v>1649.1782487999999</v>
      </c>
      <c r="I3793" s="40"/>
      <c r="J3793" s="102">
        <v>0</v>
      </c>
    </row>
    <row r="3794" spans="1:10" hidden="1" x14ac:dyDescent="0.25">
      <c r="A3794" s="219"/>
      <c r="B3794" s="237"/>
      <c r="C3794" s="36"/>
      <c r="D3794" s="36"/>
      <c r="E3794" s="37"/>
      <c r="F3794" s="54" t="s">
        <v>522</v>
      </c>
      <c r="G3794" s="54" t="str">
        <f t="shared" si="64"/>
        <v/>
      </c>
      <c r="H3794" s="73"/>
      <c r="I3794" s="74"/>
      <c r="J3794" s="102">
        <v>0</v>
      </c>
    </row>
    <row r="3795" spans="1:10" ht="25.5" hidden="1" x14ac:dyDescent="0.25">
      <c r="A3795" s="219"/>
      <c r="B3795" s="237"/>
      <c r="C3795" s="48" t="s">
        <v>781</v>
      </c>
      <c r="D3795" s="36"/>
      <c r="E3795" s="37"/>
      <c r="F3795" s="54" t="s">
        <v>522</v>
      </c>
      <c r="G3795" s="54" t="str">
        <f t="shared" si="64"/>
        <v/>
      </c>
      <c r="H3795" s="73"/>
      <c r="I3795" s="74"/>
      <c r="J3795" s="102">
        <v>0</v>
      </c>
    </row>
    <row r="3796" spans="1:10" ht="15.75" hidden="1" thickBot="1" x14ac:dyDescent="0.3">
      <c r="A3796" s="220"/>
      <c r="B3796" s="223"/>
      <c r="C3796" s="55"/>
      <c r="D3796" s="55"/>
      <c r="E3796" s="66"/>
      <c r="F3796" s="76" t="s">
        <v>522</v>
      </c>
      <c r="G3796" s="76" t="str">
        <f t="shared" si="64"/>
        <v/>
      </c>
      <c r="H3796" s="77"/>
      <c r="I3796" s="74"/>
      <c r="J3796" s="102">
        <v>0</v>
      </c>
    </row>
    <row r="3797" spans="1:10" ht="15.75" hidden="1" thickBot="1" x14ac:dyDescent="0.3">
      <c r="A3797" s="218" t="s">
        <v>1592</v>
      </c>
      <c r="B3797" s="221" t="e">
        <f>INDEX(#REF!,MATCH(Composições!A3797,#REF!,0),2)</f>
        <v>#REF!</v>
      </c>
      <c r="C3797" s="41"/>
      <c r="D3797" s="26" t="s">
        <v>1514</v>
      </c>
      <c r="E3797" s="27"/>
      <c r="F3797" s="49" t="s">
        <v>522</v>
      </c>
      <c r="G3797" s="28" t="str">
        <f t="shared" si="64"/>
        <v/>
      </c>
      <c r="H3797" s="29"/>
      <c r="I3797" s="30"/>
      <c r="J3797" s="102">
        <v>0</v>
      </c>
    </row>
    <row r="3798" spans="1:10" hidden="1" x14ac:dyDescent="0.25">
      <c r="A3798" s="219"/>
      <c r="B3798" s="237"/>
      <c r="C3798" s="32"/>
      <c r="D3798" s="32"/>
      <c r="E3798" s="33"/>
      <c r="F3798" s="54" t="s">
        <v>522</v>
      </c>
      <c r="G3798" s="54" t="str">
        <f t="shared" si="64"/>
        <v/>
      </c>
      <c r="H3798" s="73"/>
      <c r="I3798" s="74"/>
      <c r="J3798" s="102">
        <v>0</v>
      </c>
    </row>
    <row r="3799" spans="1:10" hidden="1" x14ac:dyDescent="0.25">
      <c r="A3799" s="219"/>
      <c r="B3799" s="237"/>
      <c r="C3799" s="36" t="s">
        <v>1212</v>
      </c>
      <c r="D3799" s="36" t="s">
        <v>127</v>
      </c>
      <c r="E3799" s="37">
        <f t="shared" ref="E3799" si="68">ROUND(1/(1+70.03%),4)</f>
        <v>0.58809999999999996</v>
      </c>
      <c r="F3799" s="54">
        <v>2804.248</v>
      </c>
      <c r="G3799" s="54">
        <f t="shared" si="64"/>
        <v>1649.1782487999999</v>
      </c>
      <c r="H3799" s="39">
        <f>SUM(G3799:G3802)</f>
        <v>1649.1782487999999</v>
      </c>
      <c r="I3799" s="40"/>
      <c r="J3799" s="102">
        <v>0</v>
      </c>
    </row>
    <row r="3800" spans="1:10" hidden="1" x14ac:dyDescent="0.25">
      <c r="A3800" s="219"/>
      <c r="B3800" s="237"/>
      <c r="C3800" s="36"/>
      <c r="D3800" s="36"/>
      <c r="E3800" s="37"/>
      <c r="F3800" s="54" t="s">
        <v>522</v>
      </c>
      <c r="G3800" s="54" t="str">
        <f t="shared" si="64"/>
        <v/>
      </c>
      <c r="H3800" s="73"/>
      <c r="I3800" s="74"/>
      <c r="J3800" s="102">
        <v>0</v>
      </c>
    </row>
    <row r="3801" spans="1:10" ht="25.5" hidden="1" x14ac:dyDescent="0.25">
      <c r="A3801" s="219"/>
      <c r="B3801" s="237"/>
      <c r="C3801" s="48" t="s">
        <v>781</v>
      </c>
      <c r="D3801" s="36"/>
      <c r="E3801" s="37"/>
      <c r="F3801" s="54" t="s">
        <v>522</v>
      </c>
      <c r="G3801" s="54" t="str">
        <f t="shared" si="64"/>
        <v/>
      </c>
      <c r="H3801" s="73"/>
      <c r="I3801" s="74"/>
      <c r="J3801" s="102">
        <v>0</v>
      </c>
    </row>
    <row r="3802" spans="1:10" ht="15.75" hidden="1" thickBot="1" x14ac:dyDescent="0.3">
      <c r="A3802" s="220"/>
      <c r="B3802" s="223"/>
      <c r="C3802" s="55"/>
      <c r="D3802" s="55"/>
      <c r="E3802" s="66"/>
      <c r="F3802" s="76" t="s">
        <v>522</v>
      </c>
      <c r="G3802" s="76" t="str">
        <f t="shared" si="64"/>
        <v/>
      </c>
      <c r="H3802" s="77"/>
      <c r="I3802" s="74"/>
      <c r="J3802" s="102">
        <v>0</v>
      </c>
    </row>
    <row r="3803" spans="1:10" ht="15.75" hidden="1" thickBot="1" x14ac:dyDescent="0.3">
      <c r="A3803" s="218" t="s">
        <v>1593</v>
      </c>
      <c r="B3803" s="221" t="e">
        <f>INDEX(#REF!,MATCH(Composições!A3803,#REF!,0),2)</f>
        <v>#REF!</v>
      </c>
      <c r="C3803" s="41"/>
      <c r="D3803" s="26" t="s">
        <v>1514</v>
      </c>
      <c r="E3803" s="27"/>
      <c r="F3803" s="49" t="s">
        <v>522</v>
      </c>
      <c r="G3803" s="28" t="str">
        <f t="shared" si="64"/>
        <v/>
      </c>
      <c r="H3803" s="29"/>
      <c r="I3803" s="30"/>
      <c r="J3803" s="102">
        <v>0</v>
      </c>
    </row>
    <row r="3804" spans="1:10" hidden="1" x14ac:dyDescent="0.25">
      <c r="A3804" s="219"/>
      <c r="B3804" s="237"/>
      <c r="C3804" s="32"/>
      <c r="D3804" s="32"/>
      <c r="E3804" s="33"/>
      <c r="F3804" s="54" t="s">
        <v>522</v>
      </c>
      <c r="G3804" s="54" t="str">
        <f t="shared" si="64"/>
        <v/>
      </c>
      <c r="H3804" s="73"/>
      <c r="I3804" s="74"/>
      <c r="J3804" s="102">
        <v>0</v>
      </c>
    </row>
    <row r="3805" spans="1:10" hidden="1" x14ac:dyDescent="0.25">
      <c r="A3805" s="219"/>
      <c r="B3805" s="237"/>
      <c r="C3805" s="36" t="s">
        <v>1212</v>
      </c>
      <c r="D3805" s="36" t="s">
        <v>127</v>
      </c>
      <c r="E3805" s="37">
        <f t="shared" ref="E3805" si="69">ROUND(1/(1+70.03%),4)</f>
        <v>0.58809999999999996</v>
      </c>
      <c r="F3805" s="54">
        <v>2804.248</v>
      </c>
      <c r="G3805" s="54">
        <f t="shared" si="64"/>
        <v>1649.1782487999999</v>
      </c>
      <c r="H3805" s="39">
        <f>SUM(G3805:G3808)</f>
        <v>1649.1782487999999</v>
      </c>
      <c r="I3805" s="40"/>
      <c r="J3805" s="102">
        <v>0</v>
      </c>
    </row>
    <row r="3806" spans="1:10" hidden="1" x14ac:dyDescent="0.25">
      <c r="A3806" s="219"/>
      <c r="B3806" s="237"/>
      <c r="C3806" s="36"/>
      <c r="D3806" s="36"/>
      <c r="E3806" s="37"/>
      <c r="F3806" s="54" t="s">
        <v>522</v>
      </c>
      <c r="G3806" s="54" t="str">
        <f t="shared" si="64"/>
        <v/>
      </c>
      <c r="H3806" s="73"/>
      <c r="I3806" s="74"/>
      <c r="J3806" s="102">
        <v>0</v>
      </c>
    </row>
    <row r="3807" spans="1:10" ht="25.5" hidden="1" x14ac:dyDescent="0.25">
      <c r="A3807" s="219"/>
      <c r="B3807" s="237"/>
      <c r="C3807" s="48" t="s">
        <v>781</v>
      </c>
      <c r="D3807" s="36"/>
      <c r="E3807" s="37"/>
      <c r="F3807" s="54" t="s">
        <v>522</v>
      </c>
      <c r="G3807" s="54" t="str">
        <f t="shared" si="64"/>
        <v/>
      </c>
      <c r="H3807" s="73"/>
      <c r="I3807" s="74"/>
      <c r="J3807" s="102">
        <v>0</v>
      </c>
    </row>
    <row r="3808" spans="1:10" ht="15.75" hidden="1" thickBot="1" x14ac:dyDescent="0.3">
      <c r="A3808" s="220"/>
      <c r="B3808" s="223"/>
      <c r="C3808" s="55"/>
      <c r="D3808" s="55"/>
      <c r="E3808" s="66"/>
      <c r="F3808" s="76" t="s">
        <v>522</v>
      </c>
      <c r="G3808" s="76" t="str">
        <f t="shared" si="64"/>
        <v/>
      </c>
      <c r="H3808" s="77"/>
      <c r="I3808" s="74"/>
      <c r="J3808" s="102">
        <v>0</v>
      </c>
    </row>
    <row r="3809" spans="1:10" ht="15.75" hidden="1" thickBot="1" x14ac:dyDescent="0.3">
      <c r="A3809" s="218" t="s">
        <v>1594</v>
      </c>
      <c r="B3809" s="221" t="e">
        <f>INDEX(#REF!,MATCH(Composições!A3809,#REF!,0),2)</f>
        <v>#REF!</v>
      </c>
      <c r="C3809" s="41"/>
      <c r="D3809" s="26" t="s">
        <v>1514</v>
      </c>
      <c r="E3809" s="27"/>
      <c r="F3809" s="49" t="s">
        <v>522</v>
      </c>
      <c r="G3809" s="28" t="str">
        <f t="shared" si="64"/>
        <v/>
      </c>
      <c r="H3809" s="29"/>
      <c r="I3809" s="30"/>
      <c r="J3809" s="102">
        <v>0</v>
      </c>
    </row>
    <row r="3810" spans="1:10" hidden="1" x14ac:dyDescent="0.25">
      <c r="A3810" s="219"/>
      <c r="B3810" s="237"/>
      <c r="C3810" s="32"/>
      <c r="D3810" s="32"/>
      <c r="E3810" s="33"/>
      <c r="F3810" s="54" t="s">
        <v>522</v>
      </c>
      <c r="G3810" s="54" t="str">
        <f t="shared" si="64"/>
        <v/>
      </c>
      <c r="H3810" s="73"/>
      <c r="I3810" s="74"/>
      <c r="J3810" s="102">
        <v>0</v>
      </c>
    </row>
    <row r="3811" spans="1:10" hidden="1" x14ac:dyDescent="0.25">
      <c r="A3811" s="219"/>
      <c r="B3811" s="237"/>
      <c r="C3811" s="36" t="s">
        <v>1212</v>
      </c>
      <c r="D3811" s="36" t="s">
        <v>127</v>
      </c>
      <c r="E3811" s="37">
        <f t="shared" ref="E3811" si="70">ROUND(1/(1+70.03%),4)</f>
        <v>0.58809999999999996</v>
      </c>
      <c r="F3811" s="54">
        <v>2804.248</v>
      </c>
      <c r="G3811" s="54">
        <f t="shared" si="64"/>
        <v>1649.1782487999999</v>
      </c>
      <c r="H3811" s="39">
        <f>SUM(G3811:G3814)</f>
        <v>1649.1782487999999</v>
      </c>
      <c r="I3811" s="40"/>
      <c r="J3811" s="102">
        <v>0</v>
      </c>
    </row>
    <row r="3812" spans="1:10" hidden="1" x14ac:dyDescent="0.25">
      <c r="A3812" s="219"/>
      <c r="B3812" s="237"/>
      <c r="C3812" s="36"/>
      <c r="D3812" s="36"/>
      <c r="E3812" s="37"/>
      <c r="F3812" s="54" t="s">
        <v>522</v>
      </c>
      <c r="G3812" s="54" t="str">
        <f t="shared" si="64"/>
        <v/>
      </c>
      <c r="H3812" s="73"/>
      <c r="I3812" s="74"/>
      <c r="J3812" s="102">
        <v>0</v>
      </c>
    </row>
    <row r="3813" spans="1:10" ht="25.5" hidden="1" x14ac:dyDescent="0.25">
      <c r="A3813" s="219"/>
      <c r="B3813" s="237"/>
      <c r="C3813" s="48" t="s">
        <v>781</v>
      </c>
      <c r="D3813" s="36"/>
      <c r="E3813" s="37"/>
      <c r="F3813" s="54" t="s">
        <v>522</v>
      </c>
      <c r="G3813" s="54" t="str">
        <f t="shared" si="64"/>
        <v/>
      </c>
      <c r="H3813" s="73"/>
      <c r="I3813" s="74"/>
      <c r="J3813" s="102">
        <v>0</v>
      </c>
    </row>
    <row r="3814" spans="1:10" ht="15.75" hidden="1" thickBot="1" x14ac:dyDescent="0.3">
      <c r="A3814" s="220"/>
      <c r="B3814" s="223"/>
      <c r="C3814" s="55"/>
      <c r="D3814" s="55"/>
      <c r="E3814" s="66"/>
      <c r="F3814" s="76" t="s">
        <v>522</v>
      </c>
      <c r="G3814" s="76" t="str">
        <f t="shared" si="64"/>
        <v/>
      </c>
      <c r="H3814" s="77"/>
      <c r="I3814" s="74"/>
      <c r="J3814" s="102">
        <v>0</v>
      </c>
    </row>
    <row r="3815" spans="1:10" ht="15.75" hidden="1" thickBot="1" x14ac:dyDescent="0.3">
      <c r="A3815" s="218" t="s">
        <v>1595</v>
      </c>
      <c r="B3815" s="221" t="e">
        <f>INDEX(#REF!,MATCH(Composições!A3815,#REF!,0),2)</f>
        <v>#REF!</v>
      </c>
      <c r="C3815" s="41"/>
      <c r="D3815" s="26" t="s">
        <v>1514</v>
      </c>
      <c r="E3815" s="27"/>
      <c r="F3815" s="49" t="s">
        <v>522</v>
      </c>
      <c r="G3815" s="28" t="str">
        <f t="shared" si="64"/>
        <v/>
      </c>
      <c r="H3815" s="29"/>
      <c r="I3815" s="30"/>
      <c r="J3815" s="102">
        <v>0</v>
      </c>
    </row>
    <row r="3816" spans="1:10" hidden="1" x14ac:dyDescent="0.25">
      <c r="A3816" s="219"/>
      <c r="B3816" s="237"/>
      <c r="C3816" s="32"/>
      <c r="D3816" s="32"/>
      <c r="E3816" s="33"/>
      <c r="F3816" s="54" t="s">
        <v>522</v>
      </c>
      <c r="G3816" s="54" t="str">
        <f t="shared" si="64"/>
        <v/>
      </c>
      <c r="H3816" s="73"/>
      <c r="I3816" s="74"/>
      <c r="J3816" s="102">
        <v>0</v>
      </c>
    </row>
    <row r="3817" spans="1:10" hidden="1" x14ac:dyDescent="0.25">
      <c r="A3817" s="219"/>
      <c r="B3817" s="237"/>
      <c r="C3817" s="36" t="s">
        <v>1212</v>
      </c>
      <c r="D3817" s="36" t="s">
        <v>127</v>
      </c>
      <c r="E3817" s="37">
        <f t="shared" ref="E3817" si="71">ROUND(1/(1+70.03%),4)</f>
        <v>0.58809999999999996</v>
      </c>
      <c r="F3817" s="54">
        <v>2804.248</v>
      </c>
      <c r="G3817" s="54">
        <f t="shared" si="64"/>
        <v>1649.1782487999999</v>
      </c>
      <c r="H3817" s="39">
        <f>SUM(G3817:G3820)</f>
        <v>1649.1782487999999</v>
      </c>
      <c r="I3817" s="40"/>
      <c r="J3817" s="102">
        <v>0</v>
      </c>
    </row>
    <row r="3818" spans="1:10" hidden="1" x14ac:dyDescent="0.25">
      <c r="A3818" s="219"/>
      <c r="B3818" s="237"/>
      <c r="C3818" s="36"/>
      <c r="D3818" s="36"/>
      <c r="E3818" s="37"/>
      <c r="F3818" s="54" t="s">
        <v>522</v>
      </c>
      <c r="G3818" s="54" t="str">
        <f t="shared" si="64"/>
        <v/>
      </c>
      <c r="H3818" s="73"/>
      <c r="I3818" s="74"/>
      <c r="J3818" s="102">
        <v>0</v>
      </c>
    </row>
    <row r="3819" spans="1:10" ht="25.5" hidden="1" x14ac:dyDescent="0.25">
      <c r="A3819" s="219"/>
      <c r="B3819" s="237"/>
      <c r="C3819" s="48" t="s">
        <v>781</v>
      </c>
      <c r="D3819" s="36"/>
      <c r="E3819" s="37"/>
      <c r="F3819" s="54" t="s">
        <v>522</v>
      </c>
      <c r="G3819" s="54" t="str">
        <f t="shared" si="64"/>
        <v/>
      </c>
      <c r="H3819" s="73"/>
      <c r="I3819" s="74"/>
      <c r="J3819" s="102">
        <v>0</v>
      </c>
    </row>
    <row r="3820" spans="1:10" ht="15.75" hidden="1" thickBot="1" x14ac:dyDescent="0.3">
      <c r="A3820" s="220"/>
      <c r="B3820" s="223"/>
      <c r="C3820" s="55"/>
      <c r="D3820" s="55"/>
      <c r="E3820" s="66"/>
      <c r="F3820" s="76" t="s">
        <v>522</v>
      </c>
      <c r="G3820" s="76" t="str">
        <f t="shared" si="64"/>
        <v/>
      </c>
      <c r="H3820" s="77"/>
      <c r="I3820" s="74"/>
      <c r="J3820" s="102">
        <v>0</v>
      </c>
    </row>
    <row r="3821" spans="1:10" ht="15.75" hidden="1" thickBot="1" x14ac:dyDescent="0.3">
      <c r="A3821" s="218" t="s">
        <v>1596</v>
      </c>
      <c r="B3821" s="221" t="e">
        <f>INDEX(#REF!,MATCH(Composições!A3821,#REF!,0),2)</f>
        <v>#REF!</v>
      </c>
      <c r="C3821" s="41"/>
      <c r="D3821" s="26" t="s">
        <v>1514</v>
      </c>
      <c r="E3821" s="27"/>
      <c r="F3821" s="49" t="s">
        <v>522</v>
      </c>
      <c r="G3821" s="28" t="str">
        <f t="shared" si="64"/>
        <v/>
      </c>
      <c r="H3821" s="29"/>
      <c r="I3821" s="30"/>
      <c r="J3821" s="102">
        <v>0</v>
      </c>
    </row>
    <row r="3822" spans="1:10" hidden="1" x14ac:dyDescent="0.25">
      <c r="A3822" s="219"/>
      <c r="B3822" s="237"/>
      <c r="C3822" s="32"/>
      <c r="D3822" s="32"/>
      <c r="E3822" s="33"/>
      <c r="F3822" s="54" t="s">
        <v>522</v>
      </c>
      <c r="G3822" s="54" t="str">
        <f t="shared" si="64"/>
        <v/>
      </c>
      <c r="H3822" s="73"/>
      <c r="I3822" s="74"/>
      <c r="J3822" s="102">
        <v>0</v>
      </c>
    </row>
    <row r="3823" spans="1:10" hidden="1" x14ac:dyDescent="0.25">
      <c r="A3823" s="219"/>
      <c r="B3823" s="237"/>
      <c r="C3823" s="36" t="s">
        <v>1212</v>
      </c>
      <c r="D3823" s="36" t="s">
        <v>127</v>
      </c>
      <c r="E3823" s="37">
        <f t="shared" ref="E3823" si="72">ROUND(1/(1+70.03%),4)</f>
        <v>0.58809999999999996</v>
      </c>
      <c r="F3823" s="54">
        <v>2804.248</v>
      </c>
      <c r="G3823" s="54">
        <f t="shared" si="64"/>
        <v>1649.1782487999999</v>
      </c>
      <c r="H3823" s="39">
        <f>SUM(G3823:G3826)</f>
        <v>1649.1782487999999</v>
      </c>
      <c r="I3823" s="40"/>
      <c r="J3823" s="102">
        <v>0</v>
      </c>
    </row>
    <row r="3824" spans="1:10" hidden="1" x14ac:dyDescent="0.25">
      <c r="A3824" s="219"/>
      <c r="B3824" s="237"/>
      <c r="C3824" s="36"/>
      <c r="D3824" s="36"/>
      <c r="E3824" s="37"/>
      <c r="F3824" s="54" t="s">
        <v>522</v>
      </c>
      <c r="G3824" s="54" t="str">
        <f t="shared" si="64"/>
        <v/>
      </c>
      <c r="H3824" s="73"/>
      <c r="I3824" s="74"/>
      <c r="J3824" s="102">
        <v>0</v>
      </c>
    </row>
    <row r="3825" spans="1:10" ht="25.5" hidden="1" x14ac:dyDescent="0.25">
      <c r="A3825" s="219"/>
      <c r="B3825" s="237"/>
      <c r="C3825" s="48" t="s">
        <v>781</v>
      </c>
      <c r="D3825" s="36"/>
      <c r="E3825" s="37"/>
      <c r="F3825" s="54" t="s">
        <v>522</v>
      </c>
      <c r="G3825" s="54" t="str">
        <f t="shared" ref="G3825:G3888" si="73">IF(ISNUMBER(F3825),E3825*F3825,"")</f>
        <v/>
      </c>
      <c r="H3825" s="73"/>
      <c r="I3825" s="74"/>
      <c r="J3825" s="102">
        <v>0</v>
      </c>
    </row>
    <row r="3826" spans="1:10" ht="15.75" hidden="1" thickBot="1" x14ac:dyDescent="0.3">
      <c r="A3826" s="220"/>
      <c r="B3826" s="223"/>
      <c r="C3826" s="55"/>
      <c r="D3826" s="55"/>
      <c r="E3826" s="66"/>
      <c r="F3826" s="76" t="s">
        <v>522</v>
      </c>
      <c r="G3826" s="76" t="str">
        <f t="shared" si="73"/>
        <v/>
      </c>
      <c r="H3826" s="77"/>
      <c r="I3826" s="74"/>
      <c r="J3826" s="102">
        <v>0</v>
      </c>
    </row>
    <row r="3827" spans="1:10" ht="15.75" hidden="1" thickBot="1" x14ac:dyDescent="0.3">
      <c r="A3827" s="218" t="s">
        <v>1120</v>
      </c>
      <c r="B3827" s="221" t="e">
        <f>INDEX(#REF!,MATCH(Composições!A3827,#REF!,0),2)</f>
        <v>#REF!</v>
      </c>
      <c r="C3827" s="41"/>
      <c r="D3827" s="26" t="s">
        <v>1514</v>
      </c>
      <c r="E3827" s="27"/>
      <c r="F3827" s="49" t="s">
        <v>522</v>
      </c>
      <c r="G3827" s="28" t="str">
        <f t="shared" si="73"/>
        <v/>
      </c>
      <c r="H3827" s="29"/>
      <c r="I3827" s="30"/>
      <c r="J3827" s="102">
        <v>0</v>
      </c>
    </row>
    <row r="3828" spans="1:10" hidden="1" x14ac:dyDescent="0.25">
      <c r="A3828" s="219"/>
      <c r="B3828" s="237"/>
      <c r="C3828" s="32"/>
      <c r="D3828" s="32"/>
      <c r="E3828" s="33"/>
      <c r="F3828" s="54" t="s">
        <v>522</v>
      </c>
      <c r="G3828" s="54" t="str">
        <f t="shared" si="73"/>
        <v/>
      </c>
      <c r="H3828" s="73"/>
      <c r="I3828" s="74"/>
      <c r="J3828" s="102">
        <v>0</v>
      </c>
    </row>
    <row r="3829" spans="1:10" ht="25.5" hidden="1" x14ac:dyDescent="0.25">
      <c r="A3829" s="219"/>
      <c r="B3829" s="237"/>
      <c r="C3829" s="36" t="s">
        <v>1121</v>
      </c>
      <c r="D3829" s="36" t="s">
        <v>127</v>
      </c>
      <c r="E3829" s="37">
        <f>ROUND(1/(1+72.54%),4)</f>
        <v>0.5796</v>
      </c>
      <c r="F3829" s="54">
        <v>6027.2844999999998</v>
      </c>
      <c r="G3829" s="54">
        <f t="shared" si="73"/>
        <v>3493.4140961999997</v>
      </c>
      <c r="H3829" s="39">
        <f>SUM(G3829:G3832)</f>
        <v>3493.4140961999997</v>
      </c>
      <c r="I3829" s="40"/>
      <c r="J3829" s="102">
        <v>0</v>
      </c>
    </row>
    <row r="3830" spans="1:10" hidden="1" x14ac:dyDescent="0.25">
      <c r="A3830" s="219"/>
      <c r="B3830" s="237"/>
      <c r="C3830" s="36"/>
      <c r="D3830" s="36"/>
      <c r="E3830" s="37"/>
      <c r="F3830" s="54" t="s">
        <v>522</v>
      </c>
      <c r="G3830" s="54" t="str">
        <f t="shared" si="73"/>
        <v/>
      </c>
      <c r="H3830" s="73"/>
      <c r="I3830" s="74"/>
      <c r="J3830" s="102">
        <v>0</v>
      </c>
    </row>
    <row r="3831" spans="1:10" ht="25.5" hidden="1" x14ac:dyDescent="0.25">
      <c r="A3831" s="219"/>
      <c r="B3831" s="237"/>
      <c r="C3831" s="48" t="s">
        <v>781</v>
      </c>
      <c r="D3831" s="36"/>
      <c r="E3831" s="37"/>
      <c r="F3831" s="54" t="s">
        <v>522</v>
      </c>
      <c r="G3831" s="54" t="str">
        <f t="shared" si="73"/>
        <v/>
      </c>
      <c r="H3831" s="73"/>
      <c r="I3831" s="74"/>
      <c r="J3831" s="102">
        <v>0</v>
      </c>
    </row>
    <row r="3832" spans="1:10" ht="15.75" hidden="1" thickBot="1" x14ac:dyDescent="0.3">
      <c r="A3832" s="220"/>
      <c r="B3832" s="223"/>
      <c r="C3832" s="55"/>
      <c r="D3832" s="55"/>
      <c r="E3832" s="66"/>
      <c r="F3832" s="76" t="s">
        <v>522</v>
      </c>
      <c r="G3832" s="76" t="str">
        <f t="shared" si="73"/>
        <v/>
      </c>
      <c r="H3832" s="77"/>
      <c r="I3832" s="74"/>
      <c r="J3832" s="102">
        <v>0</v>
      </c>
    </row>
    <row r="3833" spans="1:10" ht="15.75" hidden="1" thickBot="1" x14ac:dyDescent="0.3">
      <c r="A3833" s="218" t="s">
        <v>1122</v>
      </c>
      <c r="B3833" s="221" t="e">
        <f>INDEX(#REF!,MATCH(Composições!A3833,#REF!,0),2)</f>
        <v>#REF!</v>
      </c>
      <c r="C3833" s="41"/>
      <c r="D3833" s="26" t="s">
        <v>2274</v>
      </c>
      <c r="E3833" s="27"/>
      <c r="F3833" s="49" t="s">
        <v>522</v>
      </c>
      <c r="G3833" s="28" t="str">
        <f t="shared" si="73"/>
        <v/>
      </c>
      <c r="H3833" s="29"/>
      <c r="I3833" s="30"/>
      <c r="J3833" s="102">
        <v>0</v>
      </c>
    </row>
    <row r="3834" spans="1:10" hidden="1" x14ac:dyDescent="0.25">
      <c r="A3834" s="224"/>
      <c r="B3834" s="237"/>
      <c r="C3834" s="32"/>
      <c r="D3834" s="32"/>
      <c r="E3834" s="33"/>
      <c r="F3834" s="54" t="s">
        <v>522</v>
      </c>
      <c r="G3834" s="54" t="str">
        <f t="shared" si="73"/>
        <v/>
      </c>
      <c r="H3834" s="73"/>
      <c r="I3834" s="74"/>
      <c r="J3834" s="102">
        <v>0</v>
      </c>
    </row>
    <row r="3835" spans="1:10" hidden="1" x14ac:dyDescent="0.25">
      <c r="A3835" s="224"/>
      <c r="B3835" s="237"/>
      <c r="C3835" s="36" t="s">
        <v>54</v>
      </c>
      <c r="D3835" s="36" t="s">
        <v>12</v>
      </c>
      <c r="E3835" s="37">
        <f>0.5/50</f>
        <v>0.01</v>
      </c>
      <c r="F3835" s="54">
        <v>21.403500000000001</v>
      </c>
      <c r="G3835" s="54">
        <f t="shared" si="73"/>
        <v>0.214035</v>
      </c>
      <c r="H3835" s="39">
        <f>SUM(G3835:G3836)</f>
        <v>0.214035</v>
      </c>
      <c r="I3835" s="40"/>
      <c r="J3835" s="102">
        <v>0</v>
      </c>
    </row>
    <row r="3836" spans="1:10" hidden="1" x14ac:dyDescent="0.25">
      <c r="A3836" s="224"/>
      <c r="B3836" s="237"/>
      <c r="C3836" s="36" t="s">
        <v>1123</v>
      </c>
      <c r="D3836" s="36" t="s">
        <v>144</v>
      </c>
      <c r="E3836" s="37">
        <f>1/50</f>
        <v>0.02</v>
      </c>
      <c r="F3836" s="54" t="s">
        <v>522</v>
      </c>
      <c r="G3836" s="54" t="str">
        <f t="shared" si="73"/>
        <v/>
      </c>
      <c r="H3836" s="73"/>
      <c r="I3836" s="74"/>
      <c r="J3836" s="102">
        <v>0</v>
      </c>
    </row>
    <row r="3837" spans="1:10" ht="15.75" hidden="1" thickBot="1" x14ac:dyDescent="0.3">
      <c r="A3837" s="225"/>
      <c r="B3837" s="223"/>
      <c r="C3837" s="36"/>
      <c r="D3837" s="36"/>
      <c r="E3837" s="37"/>
      <c r="F3837" s="54" t="s">
        <v>522</v>
      </c>
      <c r="G3837" s="54" t="str">
        <f t="shared" si="73"/>
        <v/>
      </c>
      <c r="H3837" s="73"/>
      <c r="I3837" s="74"/>
      <c r="J3837" s="102">
        <v>0</v>
      </c>
    </row>
    <row r="3838" spans="1:10" ht="15.75" hidden="1" thickBot="1" x14ac:dyDescent="0.3">
      <c r="A3838" s="218" t="s">
        <v>1124</v>
      </c>
      <c r="B3838" s="221" t="e">
        <f>INDEX(#REF!,MATCH(Composições!A3838,#REF!,0),2)</f>
        <v>#REF!</v>
      </c>
      <c r="C3838" s="41"/>
      <c r="D3838" s="26" t="s">
        <v>93</v>
      </c>
      <c r="E3838" s="27"/>
      <c r="F3838" s="49" t="s">
        <v>522</v>
      </c>
      <c r="G3838" s="28" t="str">
        <f t="shared" si="73"/>
        <v/>
      </c>
      <c r="H3838" s="29"/>
      <c r="I3838" s="30"/>
      <c r="J3838" s="102">
        <v>0</v>
      </c>
    </row>
    <row r="3839" spans="1:10" hidden="1" x14ac:dyDescent="0.25">
      <c r="A3839" s="224"/>
      <c r="B3839" s="237"/>
      <c r="C3839" s="32"/>
      <c r="D3839" s="32"/>
      <c r="E3839" s="33"/>
      <c r="F3839" s="54" t="s">
        <v>522</v>
      </c>
      <c r="G3839" s="54" t="str">
        <f t="shared" si="73"/>
        <v/>
      </c>
      <c r="H3839" s="73"/>
      <c r="I3839" s="74"/>
      <c r="J3839" s="102">
        <v>0</v>
      </c>
    </row>
    <row r="3840" spans="1:10" hidden="1" x14ac:dyDescent="0.25">
      <c r="A3840" s="224"/>
      <c r="B3840" s="237"/>
      <c r="C3840" s="36" t="s">
        <v>22</v>
      </c>
      <c r="D3840" s="36" t="s">
        <v>12</v>
      </c>
      <c r="E3840" s="37">
        <v>0.5</v>
      </c>
      <c r="F3840" s="54">
        <v>21.479499999999998</v>
      </c>
      <c r="G3840" s="54">
        <f t="shared" si="73"/>
        <v>10.739749999999999</v>
      </c>
      <c r="H3840" s="39">
        <f>SUM(G3840:G3845)</f>
        <v>31.748245564146195</v>
      </c>
      <c r="I3840" s="40"/>
      <c r="J3840" s="102">
        <v>0</v>
      </c>
    </row>
    <row r="3841" spans="1:10" hidden="1" x14ac:dyDescent="0.25">
      <c r="A3841" s="224"/>
      <c r="B3841" s="237"/>
      <c r="C3841" s="36" t="s">
        <v>23</v>
      </c>
      <c r="D3841" s="36" t="s">
        <v>12</v>
      </c>
      <c r="E3841" s="37">
        <v>0.51</v>
      </c>
      <c r="F3841" s="54">
        <v>16.1785</v>
      </c>
      <c r="G3841" s="54">
        <f t="shared" si="73"/>
        <v>8.2510349999999999</v>
      </c>
      <c r="H3841" s="73"/>
      <c r="I3841" s="74"/>
      <c r="J3841" s="102">
        <v>0</v>
      </c>
    </row>
    <row r="3842" spans="1:10" ht="38.25" hidden="1" x14ac:dyDescent="0.25">
      <c r="A3842" s="224"/>
      <c r="B3842" s="237"/>
      <c r="C3842" s="36" t="s">
        <v>178</v>
      </c>
      <c r="D3842" s="47" t="s">
        <v>109</v>
      </c>
      <c r="E3842" s="37">
        <v>3.0999999999999999E-3</v>
      </c>
      <c r="F3842" s="54">
        <v>614.14185940199991</v>
      </c>
      <c r="G3842" s="54">
        <f t="shared" si="73"/>
        <v>1.9038397641461997</v>
      </c>
      <c r="H3842" s="73"/>
      <c r="I3842" s="74"/>
      <c r="J3842" s="102">
        <v>0</v>
      </c>
    </row>
    <row r="3843" spans="1:10" hidden="1" x14ac:dyDescent="0.25">
      <c r="A3843" s="224"/>
      <c r="B3843" s="237"/>
      <c r="C3843" s="36" t="s">
        <v>1125</v>
      </c>
      <c r="D3843" s="47" t="s">
        <v>93</v>
      </c>
      <c r="E3843" s="37">
        <v>1</v>
      </c>
      <c r="F3843" s="54" t="s">
        <v>522</v>
      </c>
      <c r="G3843" s="54" t="str">
        <f t="shared" si="73"/>
        <v/>
      </c>
      <c r="H3843" s="73"/>
      <c r="I3843" s="74"/>
      <c r="J3843" s="102">
        <v>0</v>
      </c>
    </row>
    <row r="3844" spans="1:10" hidden="1" x14ac:dyDescent="0.25">
      <c r="A3844" s="224"/>
      <c r="B3844" s="237"/>
      <c r="C3844" s="36" t="s">
        <v>23</v>
      </c>
      <c r="D3844" s="36" t="s">
        <v>12</v>
      </c>
      <c r="E3844" s="37">
        <v>0.15</v>
      </c>
      <c r="F3844" s="54">
        <v>16.1785</v>
      </c>
      <c r="G3844" s="54">
        <f t="shared" si="73"/>
        <v>2.4267749999999997</v>
      </c>
      <c r="H3844" s="73"/>
      <c r="I3844" s="74"/>
      <c r="J3844" s="102">
        <v>0</v>
      </c>
    </row>
    <row r="3845" spans="1:10" hidden="1" x14ac:dyDescent="0.25">
      <c r="A3845" s="224"/>
      <c r="B3845" s="237"/>
      <c r="C3845" s="36" t="s">
        <v>1126</v>
      </c>
      <c r="D3845" s="36" t="s">
        <v>279</v>
      </c>
      <c r="E3845" s="37">
        <f>ROUND(0.1/0.28,4)</f>
        <v>0.35709999999999997</v>
      </c>
      <c r="F3845" s="54">
        <v>23.597999999999999</v>
      </c>
      <c r="G3845" s="54">
        <f t="shared" si="73"/>
        <v>8.4268457999999988</v>
      </c>
      <c r="H3845" s="73"/>
      <c r="I3845" s="74"/>
      <c r="J3845" s="102">
        <v>0</v>
      </c>
    </row>
    <row r="3846" spans="1:10" hidden="1" x14ac:dyDescent="0.25">
      <c r="A3846" s="224"/>
      <c r="B3846" s="237"/>
      <c r="C3846" s="36"/>
      <c r="D3846" s="47"/>
      <c r="E3846" s="37"/>
      <c r="F3846" s="54" t="s">
        <v>522</v>
      </c>
      <c r="G3846" s="54" t="str">
        <f t="shared" si="73"/>
        <v/>
      </c>
      <c r="H3846" s="73"/>
      <c r="I3846" s="74"/>
      <c r="J3846" s="102">
        <v>0</v>
      </c>
    </row>
    <row r="3847" spans="1:10" hidden="1" x14ac:dyDescent="0.25">
      <c r="A3847" s="224"/>
      <c r="B3847" s="237"/>
      <c r="C3847" s="99" t="s">
        <v>1127</v>
      </c>
      <c r="D3847" s="47"/>
      <c r="E3847" s="37"/>
      <c r="F3847" s="54" t="s">
        <v>522</v>
      </c>
      <c r="G3847" s="54" t="str">
        <f t="shared" si="73"/>
        <v/>
      </c>
      <c r="H3847" s="73"/>
      <c r="I3847" s="74"/>
      <c r="J3847" s="102">
        <v>0</v>
      </c>
    </row>
    <row r="3848" spans="1:10" ht="15.75" hidden="1" thickBot="1" x14ac:dyDescent="0.3">
      <c r="A3848" s="224"/>
      <c r="B3848" s="237"/>
      <c r="C3848" s="55"/>
      <c r="D3848" s="55"/>
      <c r="E3848" s="66"/>
      <c r="F3848" s="76" t="s">
        <v>522</v>
      </c>
      <c r="G3848" s="76" t="str">
        <f t="shared" si="73"/>
        <v/>
      </c>
      <c r="H3848" s="77"/>
      <c r="I3848" s="74"/>
      <c r="J3848" s="102">
        <v>0</v>
      </c>
    </row>
    <row r="3849" spans="1:10" ht="15.75" hidden="1" thickBot="1" x14ac:dyDescent="0.3">
      <c r="A3849" s="218" t="s">
        <v>1128</v>
      </c>
      <c r="B3849" s="221" t="e">
        <f>INDEX(#REF!,MATCH(Composições!A3849,#REF!,0),2)</f>
        <v>#REF!</v>
      </c>
      <c r="C3849" s="41"/>
      <c r="D3849" s="26" t="s">
        <v>95</v>
      </c>
      <c r="E3849" s="27"/>
      <c r="F3849" s="49" t="s">
        <v>522</v>
      </c>
      <c r="G3849" s="28" t="str">
        <f t="shared" si="73"/>
        <v/>
      </c>
      <c r="H3849" s="29"/>
      <c r="I3849" s="30"/>
      <c r="J3849" s="102">
        <v>0</v>
      </c>
    </row>
    <row r="3850" spans="1:10" hidden="1" x14ac:dyDescent="0.25">
      <c r="A3850" s="224"/>
      <c r="B3850" s="237"/>
      <c r="C3850" s="32"/>
      <c r="D3850" s="32"/>
      <c r="E3850" s="33"/>
      <c r="F3850" s="54" t="s">
        <v>522</v>
      </c>
      <c r="G3850" s="54" t="str">
        <f t="shared" si="73"/>
        <v/>
      </c>
      <c r="H3850" s="73"/>
      <c r="I3850" s="74"/>
      <c r="J3850" s="102">
        <v>0</v>
      </c>
    </row>
    <row r="3851" spans="1:10" hidden="1" x14ac:dyDescent="0.25">
      <c r="A3851" s="224"/>
      <c r="B3851" s="237"/>
      <c r="C3851" s="36" t="s">
        <v>1791</v>
      </c>
      <c r="D3851" s="36" t="s">
        <v>898</v>
      </c>
      <c r="E3851" s="37">
        <f>ROUND(0.5228/(1.5*0.6),4)</f>
        <v>0.58089999999999997</v>
      </c>
      <c r="F3851" s="54">
        <v>35.501499999999993</v>
      </c>
      <c r="G3851" s="54">
        <f t="shared" si="73"/>
        <v>20.622821349999995</v>
      </c>
      <c r="H3851" s="39">
        <f>SUM(G3851:G3857)</f>
        <v>135.802291</v>
      </c>
      <c r="I3851" s="40"/>
      <c r="J3851" s="102">
        <v>0</v>
      </c>
    </row>
    <row r="3852" spans="1:10" ht="38.25" hidden="1" x14ac:dyDescent="0.25">
      <c r="A3852" s="224"/>
      <c r="B3852" s="237"/>
      <c r="C3852" s="36" t="s">
        <v>1131</v>
      </c>
      <c r="D3852" s="36" t="s">
        <v>279</v>
      </c>
      <c r="E3852" s="37">
        <f>ROUND(6/(1.5*0.6),4)</f>
        <v>6.6666999999999996</v>
      </c>
      <c r="F3852" s="54">
        <v>0.874</v>
      </c>
      <c r="G3852" s="54">
        <f t="shared" si="73"/>
        <v>5.8266957999999995</v>
      </c>
      <c r="H3852" s="73"/>
      <c r="I3852" s="74"/>
      <c r="J3852" s="102">
        <v>0</v>
      </c>
    </row>
    <row r="3853" spans="1:10" ht="25.5" hidden="1" x14ac:dyDescent="0.25">
      <c r="A3853" s="224"/>
      <c r="B3853" s="237"/>
      <c r="C3853" s="36" t="s">
        <v>1129</v>
      </c>
      <c r="D3853" s="36" t="s">
        <v>992</v>
      </c>
      <c r="E3853" s="37">
        <f>ROUND(1.005/(1.5*0.6),4)</f>
        <v>1.1167</v>
      </c>
      <c r="F3853" s="54" t="s">
        <v>522</v>
      </c>
      <c r="G3853" s="54" t="str">
        <f t="shared" si="73"/>
        <v/>
      </c>
      <c r="H3853" s="73"/>
      <c r="I3853" s="74"/>
      <c r="J3853" s="102">
        <v>0</v>
      </c>
    </row>
    <row r="3854" spans="1:10" hidden="1" x14ac:dyDescent="0.25">
      <c r="A3854" s="224"/>
      <c r="B3854" s="237"/>
      <c r="C3854" s="36" t="s">
        <v>1906</v>
      </c>
      <c r="D3854" s="36" t="s">
        <v>898</v>
      </c>
      <c r="E3854" s="37">
        <f>ROUND(0.0211/(1.5*0.6),4)</f>
        <v>2.3400000000000001E-2</v>
      </c>
      <c r="F3854" s="54">
        <v>58.738499999999995</v>
      </c>
      <c r="G3854" s="54">
        <f t="shared" si="73"/>
        <v>1.3744809</v>
      </c>
      <c r="H3854" s="73"/>
      <c r="I3854" s="74"/>
      <c r="J3854" s="102">
        <v>0</v>
      </c>
    </row>
    <row r="3855" spans="1:10" ht="25.5" hidden="1" x14ac:dyDescent="0.25">
      <c r="A3855" s="224"/>
      <c r="B3855" s="237"/>
      <c r="C3855" s="36" t="s">
        <v>1807</v>
      </c>
      <c r="D3855" s="36" t="s">
        <v>279</v>
      </c>
      <c r="E3855" s="37">
        <f>ROUND(2/(1.5*0.6),4)</f>
        <v>2.2222</v>
      </c>
      <c r="F3855" s="54">
        <v>24.643000000000001</v>
      </c>
      <c r="G3855" s="54">
        <f t="shared" si="73"/>
        <v>54.761674599999999</v>
      </c>
      <c r="H3855" s="73"/>
      <c r="I3855" s="74"/>
      <c r="J3855" s="102">
        <v>0</v>
      </c>
    </row>
    <row r="3856" spans="1:10" hidden="1" x14ac:dyDescent="0.25">
      <c r="A3856" s="224"/>
      <c r="B3856" s="237"/>
      <c r="C3856" s="36" t="s">
        <v>1685</v>
      </c>
      <c r="D3856" s="36" t="s">
        <v>703</v>
      </c>
      <c r="E3856" s="37">
        <f>ROUND(1.4944/(1.5*0.6),4)</f>
        <v>1.6604000000000001</v>
      </c>
      <c r="F3856" s="54">
        <v>21.403500000000001</v>
      </c>
      <c r="G3856" s="54">
        <f t="shared" si="73"/>
        <v>35.538371400000003</v>
      </c>
      <c r="H3856" s="73"/>
      <c r="I3856" s="74"/>
      <c r="J3856" s="102">
        <v>0</v>
      </c>
    </row>
    <row r="3857" spans="1:10" hidden="1" x14ac:dyDescent="0.25">
      <c r="A3857" s="224"/>
      <c r="B3857" s="237"/>
      <c r="C3857" s="36" t="s">
        <v>704</v>
      </c>
      <c r="D3857" s="36" t="s">
        <v>703</v>
      </c>
      <c r="E3857" s="37">
        <f>ROUND(0.9834/(1.5*0.6),4)</f>
        <v>1.0927</v>
      </c>
      <c r="F3857" s="54">
        <v>16.1785</v>
      </c>
      <c r="G3857" s="54">
        <f t="shared" si="73"/>
        <v>17.678246949999998</v>
      </c>
      <c r="H3857" s="73"/>
      <c r="I3857" s="74"/>
      <c r="J3857" s="102">
        <v>0</v>
      </c>
    </row>
    <row r="3858" spans="1:10" hidden="1" x14ac:dyDescent="0.25">
      <c r="A3858" s="224"/>
      <c r="B3858" s="237"/>
      <c r="C3858" s="36"/>
      <c r="D3858" s="36"/>
      <c r="E3858" s="37"/>
      <c r="F3858" s="54" t="s">
        <v>522</v>
      </c>
      <c r="G3858" s="54" t="str">
        <f t="shared" si="73"/>
        <v/>
      </c>
      <c r="H3858" s="73"/>
      <c r="I3858" s="74"/>
      <c r="J3858" s="102">
        <v>0</v>
      </c>
    </row>
    <row r="3859" spans="1:10" ht="15.75" hidden="1" thickBot="1" x14ac:dyDescent="0.3">
      <c r="A3859" s="218" t="s">
        <v>1130</v>
      </c>
      <c r="B3859" s="221" t="e">
        <f>INDEX(#REF!,MATCH(Composições!A3859,#REF!,0),2)</f>
        <v>#REF!</v>
      </c>
      <c r="C3859" s="41"/>
      <c r="D3859" s="26" t="s">
        <v>95</v>
      </c>
      <c r="E3859" s="27"/>
      <c r="F3859" s="49" t="s">
        <v>522</v>
      </c>
      <c r="G3859" s="28" t="str">
        <f t="shared" si="73"/>
        <v/>
      </c>
      <c r="H3859" s="29"/>
      <c r="I3859" s="30"/>
      <c r="J3859" s="102">
        <v>0</v>
      </c>
    </row>
    <row r="3860" spans="1:10" hidden="1" x14ac:dyDescent="0.25">
      <c r="A3860" s="224"/>
      <c r="B3860" s="237"/>
      <c r="C3860" s="32"/>
      <c r="D3860" s="32"/>
      <c r="E3860" s="33"/>
      <c r="F3860" s="54" t="s">
        <v>522</v>
      </c>
      <c r="G3860" s="54" t="str">
        <f t="shared" si="73"/>
        <v/>
      </c>
      <c r="H3860" s="73"/>
      <c r="I3860" s="74"/>
      <c r="J3860" s="102">
        <v>0</v>
      </c>
    </row>
    <row r="3861" spans="1:10" ht="25.5" hidden="1" x14ac:dyDescent="0.25">
      <c r="A3861" s="224"/>
      <c r="B3861" s="237"/>
      <c r="C3861" s="36" t="s">
        <v>1063</v>
      </c>
      <c r="D3861" s="47" t="s">
        <v>1074</v>
      </c>
      <c r="E3861" s="37">
        <v>0.88290000000000002</v>
      </c>
      <c r="F3861" s="54">
        <v>35.72</v>
      </c>
      <c r="G3861" s="54">
        <f t="shared" si="73"/>
        <v>31.537188</v>
      </c>
      <c r="H3861" s="39">
        <f>SUM(G3861:G3866)</f>
        <v>584.55670465000003</v>
      </c>
      <c r="I3861" s="40"/>
      <c r="J3861" s="102">
        <v>0</v>
      </c>
    </row>
    <row r="3862" spans="1:10" ht="38.25" hidden="1" x14ac:dyDescent="0.25">
      <c r="A3862" s="224"/>
      <c r="B3862" s="237"/>
      <c r="C3862" s="36" t="s">
        <v>1131</v>
      </c>
      <c r="D3862" s="47" t="s">
        <v>279</v>
      </c>
      <c r="E3862" s="37">
        <v>4.8166000000000002</v>
      </c>
      <c r="F3862" s="54">
        <v>0.874</v>
      </c>
      <c r="G3862" s="54">
        <f t="shared" si="73"/>
        <v>4.2097084000000002</v>
      </c>
      <c r="H3862" s="73"/>
      <c r="I3862" s="74"/>
      <c r="J3862" s="102">
        <v>0</v>
      </c>
    </row>
    <row r="3863" spans="1:10" ht="38.25" hidden="1" x14ac:dyDescent="0.25">
      <c r="A3863" s="224"/>
      <c r="B3863" s="237"/>
      <c r="C3863" s="36" t="s">
        <v>2494</v>
      </c>
      <c r="D3863" s="36" t="s">
        <v>479</v>
      </c>
      <c r="E3863" s="37">
        <v>6.8503999999999996</v>
      </c>
      <c r="F3863" s="54">
        <v>23.085000000000001</v>
      </c>
      <c r="G3863" s="54">
        <f t="shared" si="73"/>
        <v>158.14148399999999</v>
      </c>
      <c r="H3863" s="73"/>
      <c r="I3863" s="74"/>
      <c r="J3863" s="102">
        <v>0</v>
      </c>
    </row>
    <row r="3864" spans="1:10" ht="25.5" hidden="1" x14ac:dyDescent="0.25">
      <c r="A3864" s="224"/>
      <c r="B3864" s="237"/>
      <c r="C3864" s="36" t="s">
        <v>1132</v>
      </c>
      <c r="D3864" s="36" t="s">
        <v>279</v>
      </c>
      <c r="E3864" s="37">
        <v>0.54730000000000001</v>
      </c>
      <c r="F3864" s="54">
        <v>693.14850000000001</v>
      </c>
      <c r="G3864" s="54">
        <f t="shared" si="73"/>
        <v>379.36017405000001</v>
      </c>
      <c r="H3864" s="73"/>
      <c r="I3864" s="74"/>
      <c r="J3864" s="102">
        <v>0</v>
      </c>
    </row>
    <row r="3865" spans="1:10" hidden="1" x14ac:dyDescent="0.25">
      <c r="A3865" s="224"/>
      <c r="B3865" s="237"/>
      <c r="C3865" s="36" t="s">
        <v>1133</v>
      </c>
      <c r="D3865" s="47" t="s">
        <v>703</v>
      </c>
      <c r="E3865" s="37">
        <v>0.3826</v>
      </c>
      <c r="F3865" s="54">
        <v>21.479499999999998</v>
      </c>
      <c r="G3865" s="54">
        <f t="shared" si="73"/>
        <v>8.2180567</v>
      </c>
      <c r="H3865" s="73"/>
      <c r="I3865" s="74"/>
      <c r="J3865" s="102">
        <v>0</v>
      </c>
    </row>
    <row r="3866" spans="1:10" hidden="1" x14ac:dyDescent="0.25">
      <c r="A3866" s="224"/>
      <c r="B3866" s="237"/>
      <c r="C3866" s="36" t="s">
        <v>23</v>
      </c>
      <c r="D3866" s="47" t="s">
        <v>703</v>
      </c>
      <c r="E3866" s="37">
        <v>0.191</v>
      </c>
      <c r="F3866" s="54">
        <v>16.1785</v>
      </c>
      <c r="G3866" s="54">
        <f t="shared" si="73"/>
        <v>3.0900935</v>
      </c>
      <c r="H3866" s="73"/>
      <c r="I3866" s="74"/>
      <c r="J3866" s="102">
        <v>0</v>
      </c>
    </row>
    <row r="3867" spans="1:10" hidden="1" x14ac:dyDescent="0.25">
      <c r="A3867" s="224"/>
      <c r="B3867" s="237"/>
      <c r="C3867" s="36"/>
      <c r="D3867" s="47"/>
      <c r="E3867" s="37"/>
      <c r="F3867" s="54" t="s">
        <v>522</v>
      </c>
      <c r="G3867" s="54" t="str">
        <f t="shared" si="73"/>
        <v/>
      </c>
      <c r="H3867" s="73"/>
      <c r="I3867" s="74"/>
      <c r="J3867" s="102">
        <v>0</v>
      </c>
    </row>
    <row r="3868" spans="1:10" ht="15.75" hidden="1" thickBot="1" x14ac:dyDescent="0.3">
      <c r="A3868" s="218" t="s">
        <v>1134</v>
      </c>
      <c r="B3868" s="221" t="e">
        <f>INDEX(#REF!,MATCH(Composições!A3868,#REF!,0),2)</f>
        <v>#REF!</v>
      </c>
      <c r="C3868" s="41"/>
      <c r="D3868" s="26" t="s">
        <v>95</v>
      </c>
      <c r="E3868" s="27"/>
      <c r="F3868" s="49" t="s">
        <v>522</v>
      </c>
      <c r="G3868" s="28" t="str">
        <f t="shared" si="73"/>
        <v/>
      </c>
      <c r="H3868" s="29"/>
      <c r="I3868" s="30"/>
      <c r="J3868" s="102">
        <v>0</v>
      </c>
    </row>
    <row r="3869" spans="1:10" hidden="1" x14ac:dyDescent="0.25">
      <c r="A3869" s="224"/>
      <c r="B3869" s="237"/>
      <c r="C3869" s="32"/>
      <c r="D3869" s="32"/>
      <c r="E3869" s="33"/>
      <c r="F3869" s="54" t="s">
        <v>522</v>
      </c>
      <c r="G3869" s="54" t="str">
        <f t="shared" si="73"/>
        <v/>
      </c>
      <c r="H3869" s="73"/>
      <c r="I3869" s="74"/>
      <c r="J3869" s="102">
        <v>0</v>
      </c>
    </row>
    <row r="3870" spans="1:10" ht="38.25" hidden="1" x14ac:dyDescent="0.25">
      <c r="A3870" s="224"/>
      <c r="B3870" s="237"/>
      <c r="C3870" s="36" t="s">
        <v>1135</v>
      </c>
      <c r="D3870" s="47" t="s">
        <v>279</v>
      </c>
      <c r="E3870" s="37">
        <v>24.4</v>
      </c>
      <c r="F3870" s="54">
        <v>0.18049999999999999</v>
      </c>
      <c r="G3870" s="54">
        <f t="shared" si="73"/>
        <v>4.4041999999999994</v>
      </c>
      <c r="H3870" s="39">
        <f>SUM(G3870:G3874)</f>
        <v>567.31728169999997</v>
      </c>
      <c r="I3870" s="40"/>
      <c r="J3870" s="102">
        <v>0</v>
      </c>
    </row>
    <row r="3871" spans="1:10" ht="38.25" hidden="1" x14ac:dyDescent="0.25">
      <c r="A3871" s="224"/>
      <c r="B3871" s="237"/>
      <c r="C3871" s="36" t="s">
        <v>2495</v>
      </c>
      <c r="D3871" s="47" t="s">
        <v>279</v>
      </c>
      <c r="E3871" s="37">
        <v>2.0832999999999999</v>
      </c>
      <c r="F3871" s="54">
        <v>231.857</v>
      </c>
      <c r="G3871" s="54">
        <f t="shared" si="73"/>
        <v>483.02768809999998</v>
      </c>
      <c r="H3871" s="73"/>
      <c r="I3871" s="74"/>
      <c r="J3871" s="102">
        <v>0</v>
      </c>
    </row>
    <row r="3872" spans="1:10" hidden="1" x14ac:dyDescent="0.25">
      <c r="A3872" s="224"/>
      <c r="B3872" s="237"/>
      <c r="C3872" s="36" t="s">
        <v>1126</v>
      </c>
      <c r="D3872" s="36" t="s">
        <v>279</v>
      </c>
      <c r="E3872" s="37">
        <v>1.2466999999999999</v>
      </c>
      <c r="F3872" s="54">
        <v>23.597999999999999</v>
      </c>
      <c r="G3872" s="54">
        <f t="shared" si="73"/>
        <v>29.419626599999997</v>
      </c>
      <c r="H3872" s="73"/>
      <c r="I3872" s="74"/>
      <c r="J3872" s="102">
        <v>0</v>
      </c>
    </row>
    <row r="3873" spans="1:10" hidden="1" x14ac:dyDescent="0.25">
      <c r="A3873" s="224"/>
      <c r="B3873" s="237"/>
      <c r="C3873" s="36" t="s">
        <v>711</v>
      </c>
      <c r="D3873" s="36" t="s">
        <v>703</v>
      </c>
      <c r="E3873" s="37">
        <v>1.7070000000000001</v>
      </c>
      <c r="F3873" s="54">
        <v>21.479499999999998</v>
      </c>
      <c r="G3873" s="54">
        <f t="shared" si="73"/>
        <v>36.665506499999999</v>
      </c>
      <c r="H3873" s="73"/>
      <c r="I3873" s="74"/>
      <c r="J3873" s="102">
        <v>0</v>
      </c>
    </row>
    <row r="3874" spans="1:10" hidden="1" x14ac:dyDescent="0.25">
      <c r="A3874" s="224"/>
      <c r="B3874" s="237"/>
      <c r="C3874" s="36" t="s">
        <v>704</v>
      </c>
      <c r="D3874" s="47" t="s">
        <v>703</v>
      </c>
      <c r="E3874" s="37">
        <v>0.85299999999999998</v>
      </c>
      <c r="F3874" s="54">
        <v>16.1785</v>
      </c>
      <c r="G3874" s="54">
        <f t="shared" si="73"/>
        <v>13.8002605</v>
      </c>
      <c r="H3874" s="73"/>
      <c r="I3874" s="74"/>
      <c r="J3874" s="102">
        <v>0</v>
      </c>
    </row>
    <row r="3875" spans="1:10" hidden="1" x14ac:dyDescent="0.25">
      <c r="A3875" s="224"/>
      <c r="B3875" s="237"/>
      <c r="C3875" s="36"/>
      <c r="D3875" s="47"/>
      <c r="E3875" s="37"/>
      <c r="F3875" s="54" t="s">
        <v>522</v>
      </c>
      <c r="G3875" s="54" t="str">
        <f t="shared" si="73"/>
        <v/>
      </c>
      <c r="H3875" s="73"/>
      <c r="I3875" s="74"/>
      <c r="J3875" s="102">
        <v>0</v>
      </c>
    </row>
    <row r="3876" spans="1:10" ht="15.75" hidden="1" thickBot="1" x14ac:dyDescent="0.3">
      <c r="A3876" s="218" t="s">
        <v>1136</v>
      </c>
      <c r="B3876" s="221" t="e">
        <f>INDEX(#REF!,MATCH(Composições!A3876,#REF!,0),2)</f>
        <v>#REF!</v>
      </c>
      <c r="C3876" s="41"/>
      <c r="D3876" s="26" t="s">
        <v>95</v>
      </c>
      <c r="E3876" s="27"/>
      <c r="F3876" s="49" t="s">
        <v>522</v>
      </c>
      <c r="G3876" s="28" t="str">
        <f t="shared" si="73"/>
        <v/>
      </c>
      <c r="H3876" s="29"/>
      <c r="I3876" s="30"/>
      <c r="J3876" s="102">
        <v>0</v>
      </c>
    </row>
    <row r="3877" spans="1:10" hidden="1" x14ac:dyDescent="0.25">
      <c r="A3877" s="224"/>
      <c r="B3877" s="237"/>
      <c r="C3877" s="32"/>
      <c r="D3877" s="32"/>
      <c r="E3877" s="33"/>
      <c r="F3877" s="54" t="s">
        <v>522</v>
      </c>
      <c r="G3877" s="54" t="str">
        <f t="shared" si="73"/>
        <v/>
      </c>
      <c r="H3877" s="73"/>
      <c r="I3877" s="74"/>
      <c r="J3877" s="102">
        <v>0</v>
      </c>
    </row>
    <row r="3878" spans="1:10" ht="38.25" hidden="1" x14ac:dyDescent="0.25">
      <c r="A3878" s="224"/>
      <c r="B3878" s="237"/>
      <c r="C3878" s="36" t="s">
        <v>1137</v>
      </c>
      <c r="D3878" s="47" t="s">
        <v>992</v>
      </c>
      <c r="E3878" s="37">
        <v>1</v>
      </c>
      <c r="F3878" s="54">
        <v>406.714</v>
      </c>
      <c r="G3878" s="54">
        <f t="shared" si="73"/>
        <v>406.714</v>
      </c>
      <c r="H3878" s="39">
        <f>SUM(G3878:G3884)</f>
        <v>451.24569772075</v>
      </c>
      <c r="I3878" s="40"/>
      <c r="J3878" s="102">
        <v>0</v>
      </c>
    </row>
    <row r="3879" spans="1:10" hidden="1" x14ac:dyDescent="0.25">
      <c r="A3879" s="224"/>
      <c r="B3879" s="237"/>
      <c r="C3879" s="36" t="s">
        <v>711</v>
      </c>
      <c r="D3879" s="47" t="s">
        <v>703</v>
      </c>
      <c r="E3879" s="37">
        <v>1</v>
      </c>
      <c r="F3879" s="54">
        <v>21.479499999999998</v>
      </c>
      <c r="G3879" s="54">
        <f t="shared" si="73"/>
        <v>21.479499999999998</v>
      </c>
      <c r="H3879" s="73"/>
      <c r="I3879" s="74"/>
      <c r="J3879" s="102">
        <v>0</v>
      </c>
    </row>
    <row r="3880" spans="1:10" hidden="1" x14ac:dyDescent="0.25">
      <c r="A3880" s="224"/>
      <c r="B3880" s="237"/>
      <c r="C3880" s="36" t="s">
        <v>704</v>
      </c>
      <c r="D3880" s="36" t="s">
        <v>703</v>
      </c>
      <c r="E3880" s="37">
        <v>1.1000000000000001</v>
      </c>
      <c r="F3880" s="54">
        <v>16.1785</v>
      </c>
      <c r="G3880" s="54">
        <f t="shared" si="73"/>
        <v>17.79635</v>
      </c>
      <c r="H3880" s="73"/>
      <c r="I3880" s="74"/>
      <c r="J3880" s="102">
        <v>0</v>
      </c>
    </row>
    <row r="3881" spans="1:10" ht="25.5" hidden="1" x14ac:dyDescent="0.25">
      <c r="A3881" s="224"/>
      <c r="B3881" s="237"/>
      <c r="C3881" s="36" t="s">
        <v>752</v>
      </c>
      <c r="D3881" s="47" t="s">
        <v>120</v>
      </c>
      <c r="E3881" s="37">
        <v>1.2999999999999999E-2</v>
      </c>
      <c r="F3881" s="54">
        <v>142.5</v>
      </c>
      <c r="G3881" s="54">
        <f t="shared" si="73"/>
        <v>1.8524999999999998</v>
      </c>
      <c r="H3881" s="73"/>
      <c r="I3881" s="74"/>
      <c r="J3881" s="102">
        <v>0</v>
      </c>
    </row>
    <row r="3882" spans="1:10" hidden="1" x14ac:dyDescent="0.25">
      <c r="A3882" s="224"/>
      <c r="B3882" s="237"/>
      <c r="C3882" s="36" t="s">
        <v>748</v>
      </c>
      <c r="D3882" s="47" t="s">
        <v>898</v>
      </c>
      <c r="E3882" s="37">
        <v>4.58</v>
      </c>
      <c r="F3882" s="54">
        <v>0.58899999999999997</v>
      </c>
      <c r="G3882" s="54">
        <f t="shared" si="73"/>
        <v>2.6976199999999997</v>
      </c>
      <c r="H3882" s="73"/>
      <c r="I3882" s="74"/>
      <c r="J3882" s="102">
        <v>0</v>
      </c>
    </row>
    <row r="3883" spans="1:10" ht="51" hidden="1" x14ac:dyDescent="0.25">
      <c r="A3883" s="224"/>
      <c r="B3883" s="237"/>
      <c r="C3883" s="36" t="s">
        <v>1914</v>
      </c>
      <c r="D3883" s="36" t="s">
        <v>109</v>
      </c>
      <c r="E3883" s="37">
        <f>1*E3881</f>
        <v>1.2999999999999999E-2</v>
      </c>
      <c r="F3883" s="34">
        <v>7.0254067499999993</v>
      </c>
      <c r="G3883" s="34">
        <f t="shared" si="73"/>
        <v>9.1330287749999989E-2</v>
      </c>
      <c r="H3883" s="35"/>
      <c r="I3883" s="31"/>
      <c r="J3883" s="102">
        <v>0</v>
      </c>
    </row>
    <row r="3884" spans="1:10" ht="38.25" hidden="1" x14ac:dyDescent="0.25">
      <c r="A3884" s="224"/>
      <c r="B3884" s="237"/>
      <c r="C3884" s="36" t="s">
        <v>121</v>
      </c>
      <c r="D3884" s="47" t="s">
        <v>122</v>
      </c>
      <c r="E3884" s="37">
        <f>E3881*20</f>
        <v>0.26</v>
      </c>
      <c r="F3884" s="54">
        <v>2.3630670500000002</v>
      </c>
      <c r="G3884" s="54">
        <f t="shared" si="73"/>
        <v>0.61439743300000005</v>
      </c>
      <c r="H3884" s="73"/>
      <c r="I3884" s="74"/>
      <c r="J3884" s="102">
        <v>0</v>
      </c>
    </row>
    <row r="3885" spans="1:10" hidden="1" x14ac:dyDescent="0.25">
      <c r="A3885" s="224"/>
      <c r="B3885" s="237"/>
      <c r="C3885" s="51"/>
      <c r="D3885" s="47"/>
      <c r="E3885" s="37"/>
      <c r="F3885" s="54" t="s">
        <v>522</v>
      </c>
      <c r="G3885" s="54" t="str">
        <f t="shared" si="73"/>
        <v/>
      </c>
      <c r="H3885" s="73"/>
      <c r="I3885" s="74"/>
      <c r="J3885" s="102">
        <v>0</v>
      </c>
    </row>
    <row r="3886" spans="1:10" hidden="1" x14ac:dyDescent="0.25">
      <c r="A3886" s="224"/>
      <c r="B3886" s="237"/>
      <c r="C3886" s="48" t="s">
        <v>755</v>
      </c>
      <c r="D3886" s="47"/>
      <c r="E3886" s="37"/>
      <c r="F3886" s="54" t="s">
        <v>522</v>
      </c>
      <c r="G3886" s="54" t="str">
        <f t="shared" si="73"/>
        <v/>
      </c>
      <c r="H3886" s="73"/>
      <c r="I3886" s="74"/>
      <c r="J3886" s="102">
        <v>0</v>
      </c>
    </row>
    <row r="3887" spans="1:10" ht="15.75" hidden="1" thickBot="1" x14ac:dyDescent="0.3">
      <c r="A3887" s="225"/>
      <c r="B3887" s="223"/>
      <c r="C3887" s="48"/>
      <c r="D3887" s="47"/>
      <c r="E3887" s="37"/>
      <c r="F3887" s="54" t="s">
        <v>522</v>
      </c>
      <c r="G3887" s="54" t="str">
        <f t="shared" si="73"/>
        <v/>
      </c>
      <c r="H3887" s="73"/>
      <c r="I3887" s="74"/>
      <c r="J3887" s="102">
        <v>0</v>
      </c>
    </row>
    <row r="3888" spans="1:10" ht="15.75" hidden="1" thickBot="1" x14ac:dyDescent="0.3">
      <c r="A3888" s="218" t="s">
        <v>1138</v>
      </c>
      <c r="B3888" s="221" t="e">
        <f>INDEX(#REF!,MATCH(Composições!A3888,#REF!,0),2)</f>
        <v>#REF!</v>
      </c>
      <c r="C3888" s="41"/>
      <c r="D3888" s="26" t="s">
        <v>20</v>
      </c>
      <c r="E3888" s="27"/>
      <c r="F3888" s="49" t="s">
        <v>522</v>
      </c>
      <c r="G3888" s="28" t="str">
        <f t="shared" si="73"/>
        <v/>
      </c>
      <c r="H3888" s="29"/>
      <c r="I3888" s="30"/>
      <c r="J3888" s="102">
        <v>0</v>
      </c>
    </row>
    <row r="3889" spans="1:10" hidden="1" x14ac:dyDescent="0.25">
      <c r="A3889" s="224"/>
      <c r="B3889" s="237"/>
      <c r="C3889" s="32"/>
      <c r="D3889" s="32"/>
      <c r="E3889" s="33"/>
      <c r="F3889" s="54" t="s">
        <v>522</v>
      </c>
      <c r="G3889" s="54" t="str">
        <f t="shared" ref="G3889:G3952" si="74">IF(ISNUMBER(F3889),E3889*F3889,"")</f>
        <v/>
      </c>
      <c r="H3889" s="73"/>
      <c r="I3889" s="74"/>
      <c r="J3889" s="102">
        <v>0</v>
      </c>
    </row>
    <row r="3890" spans="1:10" hidden="1" x14ac:dyDescent="0.25">
      <c r="A3890" s="224"/>
      <c r="B3890" s="237"/>
      <c r="C3890" s="36" t="s">
        <v>318</v>
      </c>
      <c r="D3890" s="47" t="s">
        <v>279</v>
      </c>
      <c r="E3890" s="37">
        <v>0.20519999999999999</v>
      </c>
      <c r="F3890" s="54">
        <v>12.995999999999999</v>
      </c>
      <c r="G3890" s="54">
        <f t="shared" si="74"/>
        <v>2.6667791999999997</v>
      </c>
      <c r="H3890" s="39">
        <f>SUM(G3890:G3901)</f>
        <v>597.47491484999989</v>
      </c>
      <c r="I3890" s="40"/>
      <c r="J3890" s="102">
        <v>0</v>
      </c>
    </row>
    <row r="3891" spans="1:10" ht="25.5" hidden="1" x14ac:dyDescent="0.25">
      <c r="A3891" s="224"/>
      <c r="B3891" s="237"/>
      <c r="C3891" s="36" t="s">
        <v>1139</v>
      </c>
      <c r="D3891" s="47" t="s">
        <v>279</v>
      </c>
      <c r="E3891" s="37">
        <v>2</v>
      </c>
      <c r="F3891" s="54">
        <v>15.351999999999999</v>
      </c>
      <c r="G3891" s="54">
        <f t="shared" si="74"/>
        <v>30.703999999999997</v>
      </c>
      <c r="H3891" s="73"/>
      <c r="I3891" s="74"/>
      <c r="J3891" s="102">
        <v>0</v>
      </c>
    </row>
    <row r="3892" spans="1:10" hidden="1" x14ac:dyDescent="0.25">
      <c r="A3892" s="224"/>
      <c r="B3892" s="237"/>
      <c r="C3892" s="36" t="s">
        <v>1140</v>
      </c>
      <c r="D3892" s="47" t="s">
        <v>279</v>
      </c>
      <c r="E3892" s="37">
        <v>4</v>
      </c>
      <c r="F3892" s="54">
        <v>11.390499999999999</v>
      </c>
      <c r="G3892" s="54">
        <f t="shared" si="74"/>
        <v>45.561999999999998</v>
      </c>
      <c r="H3892" s="73"/>
      <c r="I3892" s="74"/>
      <c r="J3892" s="102">
        <v>0</v>
      </c>
    </row>
    <row r="3893" spans="1:10" hidden="1" x14ac:dyDescent="0.25">
      <c r="A3893" s="224"/>
      <c r="B3893" s="237"/>
      <c r="C3893" s="36" t="s">
        <v>1141</v>
      </c>
      <c r="D3893" s="47" t="s">
        <v>279</v>
      </c>
      <c r="E3893" s="37">
        <v>2</v>
      </c>
      <c r="F3893" s="54">
        <v>4.0564999999999998</v>
      </c>
      <c r="G3893" s="54">
        <f t="shared" si="74"/>
        <v>8.1129999999999995</v>
      </c>
      <c r="H3893" s="73"/>
      <c r="I3893" s="74"/>
      <c r="J3893" s="102">
        <v>0</v>
      </c>
    </row>
    <row r="3894" spans="1:10" ht="25.5" hidden="1" x14ac:dyDescent="0.25">
      <c r="A3894" s="224"/>
      <c r="B3894" s="237"/>
      <c r="C3894" s="36" t="s">
        <v>1142</v>
      </c>
      <c r="D3894" s="47" t="s">
        <v>279</v>
      </c>
      <c r="E3894" s="37">
        <v>2</v>
      </c>
      <c r="F3894" s="54">
        <v>24.966000000000001</v>
      </c>
      <c r="G3894" s="54">
        <f t="shared" si="74"/>
        <v>49.932000000000002</v>
      </c>
      <c r="H3894" s="73"/>
      <c r="I3894" s="74"/>
      <c r="J3894" s="102">
        <v>0</v>
      </c>
    </row>
    <row r="3895" spans="1:10" ht="25.5" hidden="1" x14ac:dyDescent="0.25">
      <c r="A3895" s="224"/>
      <c r="B3895" s="237"/>
      <c r="C3895" s="36" t="s">
        <v>1143</v>
      </c>
      <c r="D3895" s="47" t="s">
        <v>279</v>
      </c>
      <c r="E3895" s="37">
        <v>1</v>
      </c>
      <c r="F3895" s="54">
        <v>32.784499999999994</v>
      </c>
      <c r="G3895" s="54">
        <f t="shared" si="74"/>
        <v>32.784499999999994</v>
      </c>
      <c r="H3895" s="73"/>
      <c r="I3895" s="74"/>
      <c r="J3895" s="102">
        <v>0</v>
      </c>
    </row>
    <row r="3896" spans="1:10" hidden="1" x14ac:dyDescent="0.25">
      <c r="A3896" s="224"/>
      <c r="B3896" s="237"/>
      <c r="C3896" s="36" t="s">
        <v>1144</v>
      </c>
      <c r="D3896" s="47" t="s">
        <v>279</v>
      </c>
      <c r="E3896" s="37">
        <v>3</v>
      </c>
      <c r="F3896" s="54">
        <v>60.277500000000003</v>
      </c>
      <c r="G3896" s="54">
        <f t="shared" si="74"/>
        <v>180.83250000000001</v>
      </c>
      <c r="H3896" s="73"/>
      <c r="I3896" s="74"/>
      <c r="J3896" s="102">
        <v>0</v>
      </c>
    </row>
    <row r="3897" spans="1:10" hidden="1" x14ac:dyDescent="0.25">
      <c r="A3897" s="224"/>
      <c r="B3897" s="237"/>
      <c r="C3897" s="36" t="s">
        <v>1145</v>
      </c>
      <c r="D3897" s="47" t="s">
        <v>279</v>
      </c>
      <c r="E3897" s="37">
        <v>2</v>
      </c>
      <c r="F3897" s="54">
        <v>38.683999999999997</v>
      </c>
      <c r="G3897" s="54">
        <f t="shared" si="74"/>
        <v>77.367999999999995</v>
      </c>
      <c r="H3897" s="73"/>
      <c r="I3897" s="74"/>
      <c r="J3897" s="102">
        <v>0</v>
      </c>
    </row>
    <row r="3898" spans="1:10" ht="25.5" hidden="1" x14ac:dyDescent="0.25">
      <c r="A3898" s="224"/>
      <c r="B3898" s="237"/>
      <c r="C3898" s="36" t="s">
        <v>1146</v>
      </c>
      <c r="D3898" s="47" t="s">
        <v>479</v>
      </c>
      <c r="E3898" s="37">
        <v>0.72729999999999995</v>
      </c>
      <c r="F3898" s="54">
        <v>39.225499999999997</v>
      </c>
      <c r="G3898" s="54">
        <f t="shared" si="74"/>
        <v>28.528706149999994</v>
      </c>
      <c r="H3898" s="73"/>
      <c r="I3898" s="74"/>
      <c r="J3898" s="102">
        <v>0</v>
      </c>
    </row>
    <row r="3899" spans="1:10" ht="25.5" hidden="1" x14ac:dyDescent="0.25">
      <c r="A3899" s="224"/>
      <c r="B3899" s="237"/>
      <c r="C3899" s="36" t="s">
        <v>953</v>
      </c>
      <c r="D3899" s="47" t="s">
        <v>703</v>
      </c>
      <c r="E3899" s="37">
        <v>1.6462000000000001</v>
      </c>
      <c r="F3899" s="54">
        <v>16.672499999999999</v>
      </c>
      <c r="G3899" s="54">
        <f t="shared" si="74"/>
        <v>27.4462695</v>
      </c>
      <c r="H3899" s="73"/>
      <c r="I3899" s="74"/>
      <c r="J3899" s="102">
        <v>0</v>
      </c>
    </row>
    <row r="3900" spans="1:10" ht="25.5" hidden="1" x14ac:dyDescent="0.25">
      <c r="A3900" s="224"/>
      <c r="B3900" s="237"/>
      <c r="C3900" s="36" t="s">
        <v>954</v>
      </c>
      <c r="D3900" s="47" t="s">
        <v>703</v>
      </c>
      <c r="E3900" s="37">
        <v>5.4324000000000003</v>
      </c>
      <c r="F3900" s="54">
        <v>20.9</v>
      </c>
      <c r="G3900" s="54">
        <f t="shared" si="74"/>
        <v>113.53716</v>
      </c>
      <c r="H3900" s="73"/>
      <c r="I3900" s="74"/>
      <c r="J3900" s="102">
        <v>0</v>
      </c>
    </row>
    <row r="3901" spans="1:10" hidden="1" x14ac:dyDescent="0.25">
      <c r="A3901" s="224"/>
      <c r="B3901" s="237"/>
      <c r="C3901" s="36" t="s">
        <v>1147</v>
      </c>
      <c r="D3901" s="47" t="s">
        <v>279</v>
      </c>
      <c r="E3901" s="37">
        <v>1</v>
      </c>
      <c r="F3901" s="54" t="s">
        <v>522</v>
      </c>
      <c r="G3901" s="54" t="str">
        <f t="shared" si="74"/>
        <v/>
      </c>
      <c r="H3901" s="73"/>
      <c r="I3901" s="74"/>
      <c r="J3901" s="102">
        <v>0</v>
      </c>
    </row>
    <row r="3902" spans="1:10" ht="15.75" hidden="1" thickBot="1" x14ac:dyDescent="0.3">
      <c r="A3902" s="224"/>
      <c r="B3902" s="237"/>
      <c r="C3902" s="55"/>
      <c r="D3902" s="55"/>
      <c r="E3902" s="66"/>
      <c r="F3902" s="76" t="s">
        <v>522</v>
      </c>
      <c r="G3902" s="76" t="str">
        <f t="shared" si="74"/>
        <v/>
      </c>
      <c r="H3902" s="77"/>
      <c r="I3902" s="74"/>
      <c r="J3902" s="102">
        <v>0</v>
      </c>
    </row>
    <row r="3903" spans="1:10" ht="15.75" hidden="1" thickBot="1" x14ac:dyDescent="0.3">
      <c r="A3903" s="218" t="s">
        <v>1148</v>
      </c>
      <c r="B3903" s="221" t="e">
        <f>INDEX(#REF!,MATCH(Composições!A3903,#REF!,0),2)</f>
        <v>#REF!</v>
      </c>
      <c r="C3903" s="41"/>
      <c r="D3903" s="26" t="s">
        <v>20</v>
      </c>
      <c r="E3903" s="27"/>
      <c r="F3903" s="49" t="s">
        <v>522</v>
      </c>
      <c r="G3903" s="28" t="str">
        <f t="shared" si="74"/>
        <v/>
      </c>
      <c r="H3903" s="29"/>
      <c r="I3903" s="30"/>
      <c r="J3903" s="102">
        <v>0</v>
      </c>
    </row>
    <row r="3904" spans="1:10" hidden="1" x14ac:dyDescent="0.25">
      <c r="A3904" s="224"/>
      <c r="B3904" s="237"/>
      <c r="C3904" s="32"/>
      <c r="D3904" s="32"/>
      <c r="E3904" s="33"/>
      <c r="F3904" s="54" t="s">
        <v>522</v>
      </c>
      <c r="G3904" s="54" t="str">
        <f t="shared" si="74"/>
        <v/>
      </c>
      <c r="H3904" s="73"/>
      <c r="I3904" s="74"/>
      <c r="J3904" s="102">
        <v>0</v>
      </c>
    </row>
    <row r="3905" spans="1:10" hidden="1" x14ac:dyDescent="0.25">
      <c r="A3905" s="224"/>
      <c r="B3905" s="237"/>
      <c r="C3905" s="36" t="s">
        <v>318</v>
      </c>
      <c r="D3905" s="36" t="s">
        <v>279</v>
      </c>
      <c r="E3905" s="37">
        <v>1.06E-2</v>
      </c>
      <c r="F3905" s="54">
        <v>12.995999999999999</v>
      </c>
      <c r="G3905" s="54">
        <f t="shared" si="74"/>
        <v>0.13775759999999998</v>
      </c>
      <c r="H3905" s="39">
        <f>SUM(G3905:G3908)</f>
        <v>4.2782470999999997</v>
      </c>
      <c r="I3905" s="40"/>
      <c r="J3905" s="102">
        <v>0</v>
      </c>
    </row>
    <row r="3906" spans="1:10" hidden="1" x14ac:dyDescent="0.25">
      <c r="A3906" s="224"/>
      <c r="B3906" s="237"/>
      <c r="C3906" s="36" t="s">
        <v>1149</v>
      </c>
      <c r="D3906" s="36" t="s">
        <v>279</v>
      </c>
      <c r="E3906" s="37">
        <v>1</v>
      </c>
      <c r="F3906" s="54" t="s">
        <v>522</v>
      </c>
      <c r="G3906" s="54" t="str">
        <f t="shared" si="74"/>
        <v/>
      </c>
      <c r="H3906" s="73"/>
      <c r="I3906" s="74"/>
      <c r="J3906" s="102">
        <v>0</v>
      </c>
    </row>
    <row r="3907" spans="1:10" ht="25.5" hidden="1" x14ac:dyDescent="0.25">
      <c r="A3907" s="224"/>
      <c r="B3907" s="237"/>
      <c r="C3907" s="36" t="s">
        <v>953</v>
      </c>
      <c r="D3907" s="36" t="s">
        <v>703</v>
      </c>
      <c r="E3907" s="37">
        <v>0.11020000000000001</v>
      </c>
      <c r="F3907" s="54">
        <v>16.672499999999999</v>
      </c>
      <c r="G3907" s="54">
        <f t="shared" si="74"/>
        <v>1.8373095000000002</v>
      </c>
      <c r="H3907" s="73"/>
      <c r="I3907" s="74"/>
      <c r="J3907" s="102">
        <v>0</v>
      </c>
    </row>
    <row r="3908" spans="1:10" ht="25.5" hidden="1" x14ac:dyDescent="0.25">
      <c r="A3908" s="224"/>
      <c r="B3908" s="237"/>
      <c r="C3908" s="36" t="s">
        <v>954</v>
      </c>
      <c r="D3908" s="36" t="s">
        <v>703</v>
      </c>
      <c r="E3908" s="37">
        <v>0.11020000000000001</v>
      </c>
      <c r="F3908" s="54">
        <v>20.9</v>
      </c>
      <c r="G3908" s="54">
        <f t="shared" si="74"/>
        <v>2.3031799999999998</v>
      </c>
      <c r="H3908" s="73"/>
      <c r="I3908" s="74"/>
      <c r="J3908" s="102">
        <v>0</v>
      </c>
    </row>
    <row r="3909" spans="1:10" ht="15.75" hidden="1" thickBot="1" x14ac:dyDescent="0.3">
      <c r="A3909" s="224"/>
      <c r="B3909" s="237"/>
      <c r="C3909" s="55"/>
      <c r="D3909" s="55"/>
      <c r="E3909" s="66"/>
      <c r="F3909" s="76" t="s">
        <v>522</v>
      </c>
      <c r="G3909" s="76" t="str">
        <f t="shared" si="74"/>
        <v/>
      </c>
      <c r="H3909" s="77"/>
      <c r="I3909" s="74"/>
      <c r="J3909" s="102">
        <v>0</v>
      </c>
    </row>
    <row r="3910" spans="1:10" ht="15.75" hidden="1" thickBot="1" x14ac:dyDescent="0.3">
      <c r="A3910" s="218" t="s">
        <v>1150</v>
      </c>
      <c r="B3910" s="221" t="e">
        <f>INDEX(#REF!,MATCH(Composições!A3910,#REF!,0),2)</f>
        <v>#REF!</v>
      </c>
      <c r="C3910" s="41"/>
      <c r="D3910" s="26" t="s">
        <v>109</v>
      </c>
      <c r="E3910" s="27"/>
      <c r="F3910" s="49" t="s">
        <v>522</v>
      </c>
      <c r="G3910" s="28" t="str">
        <f t="shared" si="74"/>
        <v/>
      </c>
      <c r="H3910" s="29"/>
      <c r="I3910" s="30"/>
      <c r="J3910" s="102">
        <v>0</v>
      </c>
    </row>
    <row r="3911" spans="1:10" hidden="1" x14ac:dyDescent="0.25">
      <c r="A3911" s="224"/>
      <c r="B3911" s="237"/>
      <c r="C3911" s="32"/>
      <c r="D3911" s="32"/>
      <c r="E3911" s="33"/>
      <c r="F3911" s="54" t="s">
        <v>522</v>
      </c>
      <c r="G3911" s="54" t="str">
        <f t="shared" si="74"/>
        <v/>
      </c>
      <c r="H3911" s="73"/>
      <c r="I3911" s="74"/>
      <c r="J3911" s="102">
        <v>0</v>
      </c>
    </row>
    <row r="3912" spans="1:10" ht="38.25" hidden="1" x14ac:dyDescent="0.25">
      <c r="A3912" s="224"/>
      <c r="B3912" s="237"/>
      <c r="C3912" s="36" t="s">
        <v>2493</v>
      </c>
      <c r="D3912" s="36" t="s">
        <v>992</v>
      </c>
      <c r="E3912" s="37">
        <v>0.75829999999999997</v>
      </c>
      <c r="F3912" s="54">
        <v>57.474999999999994</v>
      </c>
      <c r="G3912" s="54">
        <f t="shared" si="74"/>
        <v>43.583292499999992</v>
      </c>
      <c r="H3912" s="39">
        <f>SUM(G3912:G3926)</f>
        <v>1478.3199839693484</v>
      </c>
      <c r="I3912" s="40"/>
      <c r="J3912" s="102">
        <v>0</v>
      </c>
    </row>
    <row r="3913" spans="1:10" ht="25.5" hidden="1" x14ac:dyDescent="0.25">
      <c r="A3913" s="224"/>
      <c r="B3913" s="237"/>
      <c r="C3913" s="36" t="s">
        <v>1151</v>
      </c>
      <c r="D3913" s="36" t="s">
        <v>102</v>
      </c>
      <c r="E3913" s="37">
        <v>3.3399999999999999E-2</v>
      </c>
      <c r="F3913" s="54">
        <v>7.1535000000000002</v>
      </c>
      <c r="G3913" s="54">
        <f t="shared" si="74"/>
        <v>0.2389269</v>
      </c>
      <c r="H3913" s="73"/>
      <c r="I3913" s="74"/>
      <c r="J3913" s="102">
        <v>0</v>
      </c>
    </row>
    <row r="3914" spans="1:10" ht="25.5" hidden="1" x14ac:dyDescent="0.25">
      <c r="A3914" s="224"/>
      <c r="B3914" s="237"/>
      <c r="C3914" s="36" t="s">
        <v>2015</v>
      </c>
      <c r="D3914" s="36" t="s">
        <v>479</v>
      </c>
      <c r="E3914" s="37">
        <v>2.8315999999999999</v>
      </c>
      <c r="F3914" s="54">
        <v>3.0019999999999998</v>
      </c>
      <c r="G3914" s="54">
        <f t="shared" si="74"/>
        <v>8.5004631999999987</v>
      </c>
      <c r="H3914" s="73"/>
      <c r="I3914" s="74"/>
      <c r="J3914" s="102">
        <v>0</v>
      </c>
    </row>
    <row r="3915" spans="1:10" hidden="1" x14ac:dyDescent="0.25">
      <c r="A3915" s="224"/>
      <c r="B3915" s="237"/>
      <c r="C3915" s="36" t="s">
        <v>1152</v>
      </c>
      <c r="D3915" s="36" t="s">
        <v>898</v>
      </c>
      <c r="E3915" s="37">
        <v>6.0100000000000001E-2</v>
      </c>
      <c r="F3915" s="54">
        <v>24.500499999999999</v>
      </c>
      <c r="G3915" s="54">
        <f t="shared" si="74"/>
        <v>1.4724800499999999</v>
      </c>
      <c r="H3915" s="73"/>
      <c r="I3915" s="74"/>
      <c r="J3915" s="102">
        <v>0</v>
      </c>
    </row>
    <row r="3916" spans="1:10" hidden="1" x14ac:dyDescent="0.25">
      <c r="A3916" s="224"/>
      <c r="B3916" s="237"/>
      <c r="C3916" s="36" t="s">
        <v>2507</v>
      </c>
      <c r="D3916" s="36" t="s">
        <v>120</v>
      </c>
      <c r="E3916" s="37">
        <v>0.18540000000000001</v>
      </c>
      <c r="F3916" s="54">
        <v>356.77249999999998</v>
      </c>
      <c r="G3916" s="54">
        <f t="shared" si="74"/>
        <v>66.145621500000004</v>
      </c>
      <c r="H3916" s="73"/>
      <c r="I3916" s="74"/>
      <c r="J3916" s="102">
        <v>0</v>
      </c>
    </row>
    <row r="3917" spans="1:10" hidden="1" x14ac:dyDescent="0.25">
      <c r="A3917" s="224"/>
      <c r="B3917" s="237"/>
      <c r="C3917" s="36" t="s">
        <v>786</v>
      </c>
      <c r="D3917" s="36" t="s">
        <v>703</v>
      </c>
      <c r="E3917" s="37">
        <v>0.1865</v>
      </c>
      <c r="F3917" s="54">
        <v>17.071499999999997</v>
      </c>
      <c r="G3917" s="54">
        <f t="shared" si="74"/>
        <v>3.1838347499999995</v>
      </c>
      <c r="H3917" s="73"/>
      <c r="I3917" s="74"/>
      <c r="J3917" s="102">
        <v>0</v>
      </c>
    </row>
    <row r="3918" spans="1:10" hidden="1" x14ac:dyDescent="0.25">
      <c r="A3918" s="224"/>
      <c r="B3918" s="237"/>
      <c r="C3918" s="36" t="s">
        <v>702</v>
      </c>
      <c r="D3918" s="36" t="s">
        <v>703</v>
      </c>
      <c r="E3918" s="37">
        <v>0.93259999999999998</v>
      </c>
      <c r="F3918" s="54">
        <v>20.425000000000001</v>
      </c>
      <c r="G3918" s="54">
        <f t="shared" si="74"/>
        <v>19.048355000000001</v>
      </c>
      <c r="H3918" s="73"/>
      <c r="I3918" s="74"/>
      <c r="J3918" s="102">
        <v>0</v>
      </c>
    </row>
    <row r="3919" spans="1:10" hidden="1" x14ac:dyDescent="0.25">
      <c r="A3919" s="224"/>
      <c r="B3919" s="237"/>
      <c r="C3919" s="36" t="s">
        <v>711</v>
      </c>
      <c r="D3919" s="36" t="s">
        <v>703</v>
      </c>
      <c r="E3919" s="37">
        <v>6.7480000000000002</v>
      </c>
      <c r="F3919" s="54">
        <v>21.479499999999998</v>
      </c>
      <c r="G3919" s="54">
        <f t="shared" si="74"/>
        <v>144.94366599999998</v>
      </c>
      <c r="H3919" s="73"/>
      <c r="I3919" s="74"/>
      <c r="J3919" s="102">
        <v>0</v>
      </c>
    </row>
    <row r="3920" spans="1:10" hidden="1" x14ac:dyDescent="0.25">
      <c r="A3920" s="224"/>
      <c r="B3920" s="237"/>
      <c r="C3920" s="36" t="s">
        <v>704</v>
      </c>
      <c r="D3920" s="36" t="s">
        <v>703</v>
      </c>
      <c r="E3920" s="37">
        <v>6.7480000000000002</v>
      </c>
      <c r="F3920" s="54">
        <v>16.1785</v>
      </c>
      <c r="G3920" s="54">
        <f t="shared" si="74"/>
        <v>109.172518</v>
      </c>
      <c r="H3920" s="73"/>
      <c r="I3920" s="74"/>
      <c r="J3920" s="102">
        <v>0</v>
      </c>
    </row>
    <row r="3921" spans="1:10" ht="25.5" hidden="1" x14ac:dyDescent="0.25">
      <c r="A3921" s="224"/>
      <c r="B3921" s="237"/>
      <c r="C3921" s="36" t="s">
        <v>1153</v>
      </c>
      <c r="D3921" s="36" t="s">
        <v>942</v>
      </c>
      <c r="E3921" s="37">
        <v>0.86770000000000003</v>
      </c>
      <c r="F3921" s="54">
        <v>1.1779999999999999</v>
      </c>
      <c r="G3921" s="54">
        <f t="shared" si="74"/>
        <v>1.0221506</v>
      </c>
      <c r="H3921" s="73"/>
      <c r="I3921" s="74"/>
      <c r="J3921" s="102">
        <v>0</v>
      </c>
    </row>
    <row r="3922" spans="1:10" ht="25.5" hidden="1" x14ac:dyDescent="0.25">
      <c r="A3922" s="224"/>
      <c r="B3922" s="237"/>
      <c r="C3922" s="36" t="s">
        <v>1154</v>
      </c>
      <c r="D3922" s="36" t="s">
        <v>944</v>
      </c>
      <c r="E3922" s="37">
        <v>2.3860000000000001</v>
      </c>
      <c r="F3922" s="54">
        <v>0.46549999999999997</v>
      </c>
      <c r="G3922" s="54">
        <f t="shared" si="74"/>
        <v>1.1106830000000001</v>
      </c>
      <c r="H3922" s="73"/>
      <c r="I3922" s="74"/>
      <c r="J3922" s="102">
        <v>0</v>
      </c>
    </row>
    <row r="3923" spans="1:10" ht="25.5" hidden="1" x14ac:dyDescent="0.25">
      <c r="A3923" s="224"/>
      <c r="B3923" s="237"/>
      <c r="C3923" s="36" t="s">
        <v>1155</v>
      </c>
      <c r="D3923" s="36" t="s">
        <v>942</v>
      </c>
      <c r="E3923" s="37">
        <v>8.9399999999999993E-2</v>
      </c>
      <c r="F3923" s="54">
        <v>17.954999999999998</v>
      </c>
      <c r="G3923" s="54">
        <f t="shared" si="74"/>
        <v>1.6051769999999996</v>
      </c>
      <c r="H3923" s="73"/>
      <c r="I3923" s="74"/>
      <c r="J3923" s="102">
        <v>0</v>
      </c>
    </row>
    <row r="3924" spans="1:10" ht="25.5" hidden="1" x14ac:dyDescent="0.25">
      <c r="A3924" s="224"/>
      <c r="B3924" s="237"/>
      <c r="C3924" s="36" t="s">
        <v>1156</v>
      </c>
      <c r="D3924" s="36" t="s">
        <v>944</v>
      </c>
      <c r="E3924" s="37">
        <v>9.7100000000000006E-2</v>
      </c>
      <c r="F3924" s="54">
        <v>16.872</v>
      </c>
      <c r="G3924" s="54">
        <f t="shared" si="74"/>
        <v>1.6382712000000001</v>
      </c>
      <c r="H3924" s="73"/>
      <c r="I3924" s="74"/>
      <c r="J3924" s="102">
        <v>0</v>
      </c>
    </row>
    <row r="3925" spans="1:10" ht="38.25" hidden="1" x14ac:dyDescent="0.25">
      <c r="A3925" s="224"/>
      <c r="B3925" s="237"/>
      <c r="C3925" s="36" t="s">
        <v>1671</v>
      </c>
      <c r="D3925" s="36" t="s">
        <v>898</v>
      </c>
      <c r="E3925" s="37">
        <v>31.7318</v>
      </c>
      <c r="F3925" s="54">
        <v>16.82355665</v>
      </c>
      <c r="G3925" s="54">
        <f t="shared" si="74"/>
        <v>533.84173490647004</v>
      </c>
      <c r="H3925" s="73"/>
      <c r="I3925" s="74"/>
      <c r="J3925" s="102">
        <v>0</v>
      </c>
    </row>
    <row r="3926" spans="1:10" ht="25.5" hidden="1" x14ac:dyDescent="0.25">
      <c r="A3926" s="224"/>
      <c r="B3926" s="237"/>
      <c r="C3926" s="36" t="s">
        <v>1157</v>
      </c>
      <c r="D3926" s="36" t="s">
        <v>120</v>
      </c>
      <c r="E3926" s="37">
        <v>1.103</v>
      </c>
      <c r="F3926" s="54">
        <v>492.12403387386996</v>
      </c>
      <c r="G3926" s="54">
        <f t="shared" si="74"/>
        <v>542.81280936287851</v>
      </c>
      <c r="H3926" s="73"/>
      <c r="I3926" s="74"/>
      <c r="J3926" s="102">
        <v>0</v>
      </c>
    </row>
    <row r="3927" spans="1:10" ht="15.75" hidden="1" thickBot="1" x14ac:dyDescent="0.3">
      <c r="A3927" s="225"/>
      <c r="B3927" s="223"/>
      <c r="C3927" s="55"/>
      <c r="D3927" s="55"/>
      <c r="E3927" s="66"/>
      <c r="F3927" s="76" t="s">
        <v>522</v>
      </c>
      <c r="G3927" s="76" t="str">
        <f t="shared" si="74"/>
        <v/>
      </c>
      <c r="H3927" s="77"/>
      <c r="I3927" s="74"/>
      <c r="J3927" s="102">
        <v>0</v>
      </c>
    </row>
    <row r="3928" spans="1:10" ht="15.75" hidden="1" thickBot="1" x14ac:dyDescent="0.3">
      <c r="A3928" s="218" t="s">
        <v>1158</v>
      </c>
      <c r="B3928" s="221" t="e">
        <f>INDEX(#REF!,MATCH(Composições!A3928,#REF!,0),2)</f>
        <v>#REF!</v>
      </c>
      <c r="C3928" s="41"/>
      <c r="D3928" s="26" t="s">
        <v>93</v>
      </c>
      <c r="E3928" s="27"/>
      <c r="F3928" s="49" t="s">
        <v>522</v>
      </c>
      <c r="G3928" s="28" t="str">
        <f t="shared" si="74"/>
        <v/>
      </c>
      <c r="H3928" s="29"/>
      <c r="I3928" s="30"/>
      <c r="J3928" s="102">
        <v>0</v>
      </c>
    </row>
    <row r="3929" spans="1:10" hidden="1" x14ac:dyDescent="0.25">
      <c r="A3929" s="224"/>
      <c r="B3929" s="237"/>
      <c r="C3929" s="32"/>
      <c r="D3929" s="32"/>
      <c r="E3929" s="33"/>
      <c r="F3929" s="54" t="s">
        <v>522</v>
      </c>
      <c r="G3929" s="54" t="str">
        <f t="shared" si="74"/>
        <v/>
      </c>
      <c r="H3929" s="73"/>
      <c r="I3929" s="74"/>
      <c r="J3929" s="102">
        <v>0</v>
      </c>
    </row>
    <row r="3930" spans="1:10" ht="38.25" hidden="1" x14ac:dyDescent="0.25">
      <c r="A3930" s="224"/>
      <c r="B3930" s="237"/>
      <c r="C3930" s="36" t="s">
        <v>2393</v>
      </c>
      <c r="D3930" s="36" t="s">
        <v>479</v>
      </c>
      <c r="E3930" s="37">
        <v>1.1000000000000001</v>
      </c>
      <c r="F3930" s="54">
        <v>7.9419999999999993</v>
      </c>
      <c r="G3930" s="54">
        <f t="shared" si="74"/>
        <v>8.7362000000000002</v>
      </c>
      <c r="H3930" s="39">
        <f>SUM(G3930:G3932)</f>
        <v>14.58565875</v>
      </c>
      <c r="I3930" s="40"/>
      <c r="J3930" s="102">
        <v>0</v>
      </c>
    </row>
    <row r="3931" spans="1:10" hidden="1" x14ac:dyDescent="0.25">
      <c r="A3931" s="224"/>
      <c r="B3931" s="237"/>
      <c r="C3931" s="36" t="s">
        <v>1159</v>
      </c>
      <c r="D3931" s="36" t="s">
        <v>703</v>
      </c>
      <c r="E3931" s="37">
        <v>0.15110000000000001</v>
      </c>
      <c r="F3931" s="54">
        <v>17.024000000000001</v>
      </c>
      <c r="G3931" s="54">
        <f t="shared" si="74"/>
        <v>2.5723264000000001</v>
      </c>
      <c r="H3931" s="73"/>
      <c r="I3931" s="74"/>
      <c r="J3931" s="102">
        <v>0</v>
      </c>
    </row>
    <row r="3932" spans="1:10" hidden="1" x14ac:dyDescent="0.25">
      <c r="A3932" s="224"/>
      <c r="B3932" s="237"/>
      <c r="C3932" s="36" t="s">
        <v>1160</v>
      </c>
      <c r="D3932" s="36" t="s">
        <v>703</v>
      </c>
      <c r="E3932" s="37">
        <v>0.15110000000000001</v>
      </c>
      <c r="F3932" s="54">
        <v>21.688499999999998</v>
      </c>
      <c r="G3932" s="54">
        <f t="shared" si="74"/>
        <v>3.27713235</v>
      </c>
      <c r="H3932" s="73"/>
      <c r="I3932" s="74"/>
      <c r="J3932" s="102">
        <v>0</v>
      </c>
    </row>
    <row r="3933" spans="1:10" ht="15.75" hidden="1" thickBot="1" x14ac:dyDescent="0.3">
      <c r="A3933" s="224"/>
      <c r="B3933" s="237"/>
      <c r="C3933" s="55"/>
      <c r="D3933" s="55"/>
      <c r="E3933" s="66"/>
      <c r="F3933" s="76" t="s">
        <v>522</v>
      </c>
      <c r="G3933" s="76" t="str">
        <f t="shared" si="74"/>
        <v/>
      </c>
      <c r="H3933" s="77"/>
      <c r="I3933" s="74"/>
      <c r="J3933" s="102">
        <v>0</v>
      </c>
    </row>
    <row r="3934" spans="1:10" ht="15.75" hidden="1" thickBot="1" x14ac:dyDescent="0.3">
      <c r="A3934" s="218" t="s">
        <v>1161</v>
      </c>
      <c r="B3934" s="221" t="e">
        <f>INDEX(#REF!,MATCH(Composições!A3934,#REF!,0),2)</f>
        <v>#REF!</v>
      </c>
      <c r="C3934" s="41"/>
      <c r="D3934" s="26" t="s">
        <v>93</v>
      </c>
      <c r="E3934" s="27"/>
      <c r="F3934" s="49" t="s">
        <v>522</v>
      </c>
      <c r="G3934" s="28" t="str">
        <f t="shared" si="74"/>
        <v/>
      </c>
      <c r="H3934" s="29"/>
      <c r="I3934" s="30"/>
      <c r="J3934" s="102">
        <v>0</v>
      </c>
    </row>
    <row r="3935" spans="1:10" hidden="1" x14ac:dyDescent="0.25">
      <c r="A3935" s="224"/>
      <c r="B3935" s="237"/>
      <c r="C3935" s="32"/>
      <c r="D3935" s="32"/>
      <c r="E3935" s="33"/>
      <c r="F3935" s="54" t="s">
        <v>522</v>
      </c>
      <c r="G3935" s="54" t="str">
        <f t="shared" si="74"/>
        <v/>
      </c>
      <c r="H3935" s="73"/>
      <c r="I3935" s="74"/>
      <c r="J3935" s="102">
        <v>0</v>
      </c>
    </row>
    <row r="3936" spans="1:10" hidden="1" x14ac:dyDescent="0.25">
      <c r="A3936" s="224"/>
      <c r="B3936" s="237"/>
      <c r="C3936" s="36" t="s">
        <v>1162</v>
      </c>
      <c r="D3936" s="36" t="s">
        <v>93</v>
      </c>
      <c r="E3936" s="37">
        <v>1.05</v>
      </c>
      <c r="F3936" s="54">
        <v>0</v>
      </c>
      <c r="G3936" s="54">
        <f t="shared" si="74"/>
        <v>0</v>
      </c>
      <c r="H3936" s="39">
        <f>SUM(G3936:G3938)</f>
        <v>38.712499999999999</v>
      </c>
      <c r="I3936" s="40"/>
      <c r="J3936" s="102">
        <v>0</v>
      </c>
    </row>
    <row r="3937" spans="1:10" hidden="1" x14ac:dyDescent="0.25">
      <c r="A3937" s="224"/>
      <c r="B3937" s="237"/>
      <c r="C3937" s="36" t="s">
        <v>1159</v>
      </c>
      <c r="D3937" s="36" t="s">
        <v>703</v>
      </c>
      <c r="E3937" s="37">
        <v>1</v>
      </c>
      <c r="F3937" s="54">
        <v>17.024000000000001</v>
      </c>
      <c r="G3937" s="54">
        <f t="shared" si="74"/>
        <v>17.024000000000001</v>
      </c>
      <c r="H3937" s="73"/>
      <c r="I3937" s="74"/>
      <c r="J3937" s="102">
        <v>0</v>
      </c>
    </row>
    <row r="3938" spans="1:10" hidden="1" x14ac:dyDescent="0.25">
      <c r="A3938" s="224"/>
      <c r="B3938" s="237"/>
      <c r="C3938" s="36" t="s">
        <v>1160</v>
      </c>
      <c r="D3938" s="36" t="s">
        <v>703</v>
      </c>
      <c r="E3938" s="37">
        <v>1</v>
      </c>
      <c r="F3938" s="54">
        <v>21.688499999999998</v>
      </c>
      <c r="G3938" s="54">
        <f t="shared" si="74"/>
        <v>21.688499999999998</v>
      </c>
      <c r="H3938" s="73"/>
      <c r="I3938" s="74"/>
      <c r="J3938" s="102">
        <v>0</v>
      </c>
    </row>
    <row r="3939" spans="1:10" ht="15.75" hidden="1" thickBot="1" x14ac:dyDescent="0.3">
      <c r="A3939" s="224"/>
      <c r="B3939" s="237"/>
      <c r="C3939" s="55"/>
      <c r="D3939" s="55"/>
      <c r="E3939" s="66"/>
      <c r="F3939" s="76" t="s">
        <v>522</v>
      </c>
      <c r="G3939" s="76" t="str">
        <f t="shared" si="74"/>
        <v/>
      </c>
      <c r="H3939" s="77"/>
      <c r="I3939" s="74"/>
      <c r="J3939" s="102">
        <v>0</v>
      </c>
    </row>
    <row r="3940" spans="1:10" ht="15.75" hidden="1" thickBot="1" x14ac:dyDescent="0.3">
      <c r="A3940" s="218" t="s">
        <v>1163</v>
      </c>
      <c r="B3940" s="221" t="e">
        <f>INDEX(#REF!,MATCH(Composições!A3940,#REF!,0),2)</f>
        <v>#REF!</v>
      </c>
      <c r="C3940" s="41"/>
      <c r="D3940" s="26" t="s">
        <v>93</v>
      </c>
      <c r="E3940" s="27"/>
      <c r="F3940" s="49" t="s">
        <v>522</v>
      </c>
      <c r="G3940" s="28" t="str">
        <f t="shared" si="74"/>
        <v/>
      </c>
      <c r="H3940" s="29"/>
      <c r="I3940" s="30"/>
      <c r="J3940" s="102">
        <v>0</v>
      </c>
    </row>
    <row r="3941" spans="1:10" hidden="1" x14ac:dyDescent="0.25">
      <c r="A3941" s="224"/>
      <c r="B3941" s="237"/>
      <c r="C3941" s="32"/>
      <c r="D3941" s="32"/>
      <c r="E3941" s="33"/>
      <c r="F3941" s="54" t="s">
        <v>522</v>
      </c>
      <c r="G3941" s="54" t="str">
        <f t="shared" si="74"/>
        <v/>
      </c>
      <c r="H3941" s="73"/>
      <c r="I3941" s="74"/>
      <c r="J3941" s="102">
        <v>0</v>
      </c>
    </row>
    <row r="3942" spans="1:10" ht="25.5" hidden="1" x14ac:dyDescent="0.25">
      <c r="A3942" s="224"/>
      <c r="B3942" s="237"/>
      <c r="C3942" s="36" t="s">
        <v>1164</v>
      </c>
      <c r="D3942" s="36" t="s">
        <v>93</v>
      </c>
      <c r="E3942" s="37">
        <v>1</v>
      </c>
      <c r="F3942" s="54">
        <v>0</v>
      </c>
      <c r="G3942" s="54">
        <f t="shared" si="74"/>
        <v>0</v>
      </c>
      <c r="H3942" s="39">
        <f>SUM(G3942:G3944)</f>
        <v>25.23086</v>
      </c>
      <c r="I3942" s="40"/>
      <c r="J3942" s="102">
        <v>0</v>
      </c>
    </row>
    <row r="3943" spans="1:10" hidden="1" x14ac:dyDescent="0.25">
      <c r="A3943" s="224"/>
      <c r="B3943" s="237"/>
      <c r="C3943" s="36" t="s">
        <v>711</v>
      </c>
      <c r="D3943" s="36" t="s">
        <v>703</v>
      </c>
      <c r="E3943" s="37">
        <v>0.67</v>
      </c>
      <c r="F3943" s="54">
        <v>21.479499999999998</v>
      </c>
      <c r="G3943" s="54">
        <f t="shared" si="74"/>
        <v>14.391264999999999</v>
      </c>
      <c r="H3943" s="73"/>
      <c r="I3943" s="74"/>
      <c r="J3943" s="102">
        <v>0</v>
      </c>
    </row>
    <row r="3944" spans="1:10" hidden="1" x14ac:dyDescent="0.25">
      <c r="A3944" s="224"/>
      <c r="B3944" s="237"/>
      <c r="C3944" s="36" t="s">
        <v>704</v>
      </c>
      <c r="D3944" s="36" t="s">
        <v>703</v>
      </c>
      <c r="E3944" s="37">
        <v>0.67</v>
      </c>
      <c r="F3944" s="54">
        <v>16.1785</v>
      </c>
      <c r="G3944" s="54">
        <f t="shared" si="74"/>
        <v>10.839595000000001</v>
      </c>
      <c r="H3944" s="73"/>
      <c r="I3944" s="74"/>
      <c r="J3944" s="102">
        <v>0</v>
      </c>
    </row>
    <row r="3945" spans="1:10" ht="15.75" hidden="1" thickBot="1" x14ac:dyDescent="0.3">
      <c r="A3945" s="224"/>
      <c r="B3945" s="237"/>
      <c r="C3945" s="55"/>
      <c r="D3945" s="55"/>
      <c r="E3945" s="66"/>
      <c r="F3945" s="76" t="s">
        <v>522</v>
      </c>
      <c r="G3945" s="76" t="str">
        <f t="shared" si="74"/>
        <v/>
      </c>
      <c r="H3945" s="77"/>
      <c r="I3945" s="74"/>
      <c r="J3945" s="102">
        <v>0</v>
      </c>
    </row>
    <row r="3946" spans="1:10" ht="15.75" hidden="1" thickBot="1" x14ac:dyDescent="0.3">
      <c r="A3946" s="218" t="s">
        <v>1165</v>
      </c>
      <c r="B3946" s="221" t="e">
        <f>INDEX(#REF!,MATCH(Composições!A3946,#REF!,0),2)</f>
        <v>#REF!</v>
      </c>
      <c r="C3946" s="41"/>
      <c r="D3946" s="26" t="s">
        <v>95</v>
      </c>
      <c r="E3946" s="27"/>
      <c r="F3946" s="49" t="s">
        <v>522</v>
      </c>
      <c r="G3946" s="28" t="str">
        <f t="shared" si="74"/>
        <v/>
      </c>
      <c r="H3946" s="29"/>
      <c r="I3946" s="30"/>
      <c r="J3946" s="102">
        <v>0</v>
      </c>
    </row>
    <row r="3947" spans="1:10" hidden="1" x14ac:dyDescent="0.25">
      <c r="A3947" s="224"/>
      <c r="B3947" s="237"/>
      <c r="C3947" s="32"/>
      <c r="D3947" s="32"/>
      <c r="E3947" s="33"/>
      <c r="F3947" s="54" t="s">
        <v>522</v>
      </c>
      <c r="G3947" s="54" t="str">
        <f t="shared" si="74"/>
        <v/>
      </c>
      <c r="H3947" s="73"/>
      <c r="I3947" s="74"/>
      <c r="J3947" s="102">
        <v>0</v>
      </c>
    </row>
    <row r="3948" spans="1:10" ht="25.5" hidden="1" x14ac:dyDescent="0.25">
      <c r="A3948" s="224"/>
      <c r="B3948" s="237"/>
      <c r="C3948" s="36" t="s">
        <v>1166</v>
      </c>
      <c r="D3948" s="36" t="s">
        <v>93</v>
      </c>
      <c r="E3948" s="37">
        <f>ROUND(1/0.15,4)</f>
        <v>6.6666999999999996</v>
      </c>
      <c r="F3948" s="54" t="s">
        <v>522</v>
      </c>
      <c r="G3948" s="54" t="str">
        <f t="shared" si="74"/>
        <v/>
      </c>
      <c r="H3948" s="39">
        <f>SUM(G3948:G3951)</f>
        <v>119.99711345000001</v>
      </c>
      <c r="I3948" s="40"/>
      <c r="J3948" s="102">
        <v>0</v>
      </c>
    </row>
    <row r="3949" spans="1:10" hidden="1" x14ac:dyDescent="0.25">
      <c r="A3949" s="224"/>
      <c r="B3949" s="237"/>
      <c r="C3949" s="36" t="s">
        <v>1918</v>
      </c>
      <c r="D3949" s="36" t="s">
        <v>42</v>
      </c>
      <c r="E3949" s="37">
        <f>1.29/0.15</f>
        <v>8.6000000000000014</v>
      </c>
      <c r="F3949" s="54">
        <v>1.4535</v>
      </c>
      <c r="G3949" s="54">
        <f t="shared" si="74"/>
        <v>12.500100000000002</v>
      </c>
      <c r="H3949" s="73"/>
      <c r="I3949" s="74"/>
      <c r="J3949" s="102">
        <v>0</v>
      </c>
    </row>
    <row r="3950" spans="1:10" hidden="1" x14ac:dyDescent="0.25">
      <c r="A3950" s="224"/>
      <c r="B3950" s="237"/>
      <c r="C3950" s="36" t="s">
        <v>54</v>
      </c>
      <c r="D3950" s="36" t="s">
        <v>12</v>
      </c>
      <c r="E3950" s="37">
        <f>ROUND(0.547/0.15,4)</f>
        <v>3.6467000000000001</v>
      </c>
      <c r="F3950" s="54">
        <v>21.403500000000001</v>
      </c>
      <c r="G3950" s="54">
        <f t="shared" si="74"/>
        <v>78.052143450000003</v>
      </c>
      <c r="H3950" s="73"/>
      <c r="I3950" s="74"/>
      <c r="J3950" s="102">
        <v>0</v>
      </c>
    </row>
    <row r="3951" spans="1:10" hidden="1" x14ac:dyDescent="0.25">
      <c r="A3951" s="224"/>
      <c r="B3951" s="237"/>
      <c r="C3951" s="36" t="s">
        <v>23</v>
      </c>
      <c r="D3951" s="36" t="s">
        <v>12</v>
      </c>
      <c r="E3951" s="37">
        <f>0.273/0.15</f>
        <v>1.8200000000000003</v>
      </c>
      <c r="F3951" s="54">
        <v>16.1785</v>
      </c>
      <c r="G3951" s="54">
        <f t="shared" si="74"/>
        <v>29.444870000000005</v>
      </c>
      <c r="H3951" s="73"/>
      <c r="I3951" s="74"/>
      <c r="J3951" s="102">
        <v>0</v>
      </c>
    </row>
    <row r="3952" spans="1:10" hidden="1" x14ac:dyDescent="0.25">
      <c r="A3952" s="224"/>
      <c r="B3952" s="237"/>
      <c r="C3952" s="36"/>
      <c r="D3952" s="36"/>
      <c r="E3952" s="37"/>
      <c r="F3952" s="54" t="s">
        <v>522</v>
      </c>
      <c r="G3952" s="54" t="str">
        <f t="shared" si="74"/>
        <v/>
      </c>
      <c r="H3952" s="73"/>
      <c r="I3952" s="74"/>
      <c r="J3952" s="102">
        <v>0</v>
      </c>
    </row>
    <row r="3953" spans="1:10" ht="15.75" hidden="1" thickBot="1" x14ac:dyDescent="0.3">
      <c r="A3953" s="218" t="s">
        <v>1167</v>
      </c>
      <c r="B3953" s="221" t="e">
        <f>INDEX(#REF!,MATCH(Composições!A3953,#REF!,0),2)</f>
        <v>#REF!</v>
      </c>
      <c r="C3953" s="41"/>
      <c r="D3953" s="26" t="s">
        <v>20</v>
      </c>
      <c r="E3953" s="27"/>
      <c r="F3953" s="49" t="s">
        <v>522</v>
      </c>
      <c r="G3953" s="28" t="str">
        <f t="shared" ref="G3953:G4016" si="75">IF(ISNUMBER(F3953),E3953*F3953,"")</f>
        <v/>
      </c>
      <c r="H3953" s="29"/>
      <c r="I3953" s="30"/>
      <c r="J3953" s="102">
        <v>0</v>
      </c>
    </row>
    <row r="3954" spans="1:10" hidden="1" x14ac:dyDescent="0.25">
      <c r="A3954" s="224"/>
      <c r="B3954" s="237"/>
      <c r="C3954" s="32"/>
      <c r="D3954" s="32"/>
      <c r="E3954" s="33"/>
      <c r="F3954" s="54" t="s">
        <v>522</v>
      </c>
      <c r="G3954" s="54" t="str">
        <f t="shared" si="75"/>
        <v/>
      </c>
      <c r="H3954" s="73"/>
      <c r="I3954" s="74"/>
      <c r="J3954" s="102">
        <v>0</v>
      </c>
    </row>
    <row r="3955" spans="1:10" ht="38.25" hidden="1" x14ac:dyDescent="0.25">
      <c r="A3955" s="224"/>
      <c r="B3955" s="237"/>
      <c r="C3955" s="36" t="s">
        <v>1168</v>
      </c>
      <c r="D3955" s="36" t="s">
        <v>144</v>
      </c>
      <c r="E3955" s="37">
        <v>1</v>
      </c>
      <c r="F3955" s="54" t="s">
        <v>522</v>
      </c>
      <c r="G3955" s="54" t="str">
        <f t="shared" si="75"/>
        <v/>
      </c>
      <c r="H3955" s="39">
        <f>SUM(G3955:G3960)</f>
        <v>10.22113835</v>
      </c>
      <c r="I3955" s="40"/>
      <c r="J3955" s="102">
        <v>0</v>
      </c>
    </row>
    <row r="3956" spans="1:10" ht="25.5" hidden="1" x14ac:dyDescent="0.25">
      <c r="A3956" s="224"/>
      <c r="B3956" s="237"/>
      <c r="C3956" s="36" t="s">
        <v>539</v>
      </c>
      <c r="D3956" s="36" t="s">
        <v>93</v>
      </c>
      <c r="E3956" s="37">
        <v>1.5</v>
      </c>
      <c r="F3956" s="54" t="s">
        <v>522</v>
      </c>
      <c r="G3956" s="54" t="str">
        <f t="shared" si="75"/>
        <v/>
      </c>
      <c r="H3956" s="73"/>
      <c r="I3956" s="74"/>
      <c r="J3956" s="102">
        <v>0</v>
      </c>
    </row>
    <row r="3957" spans="1:10" hidden="1" x14ac:dyDescent="0.25">
      <c r="A3957" s="224"/>
      <c r="B3957" s="237"/>
      <c r="C3957" s="36" t="s">
        <v>540</v>
      </c>
      <c r="D3957" s="36" t="s">
        <v>144</v>
      </c>
      <c r="E3957" s="37">
        <v>1</v>
      </c>
      <c r="F3957" s="54" t="s">
        <v>522</v>
      </c>
      <c r="G3957" s="54" t="str">
        <f t="shared" si="75"/>
        <v/>
      </c>
      <c r="H3957" s="73"/>
      <c r="I3957" s="74"/>
      <c r="J3957" s="102">
        <v>0</v>
      </c>
    </row>
    <row r="3958" spans="1:10" hidden="1" x14ac:dyDescent="0.25">
      <c r="A3958" s="224"/>
      <c r="B3958" s="237"/>
      <c r="C3958" s="36" t="s">
        <v>541</v>
      </c>
      <c r="D3958" s="36" t="s">
        <v>144</v>
      </c>
      <c r="E3958" s="37">
        <v>1</v>
      </c>
      <c r="F3958" s="54" t="s">
        <v>522</v>
      </c>
      <c r="G3958" s="54" t="str">
        <f t="shared" si="75"/>
        <v/>
      </c>
      <c r="H3958" s="73"/>
      <c r="I3958" s="74"/>
      <c r="J3958" s="102">
        <v>0</v>
      </c>
    </row>
    <row r="3959" spans="1:10" hidden="1" x14ac:dyDescent="0.25">
      <c r="A3959" s="224"/>
      <c r="B3959" s="237"/>
      <c r="C3959" s="36" t="s">
        <v>74</v>
      </c>
      <c r="D3959" s="36" t="s">
        <v>12</v>
      </c>
      <c r="E3959" s="37">
        <v>0.14799999999999999</v>
      </c>
      <c r="F3959" s="54">
        <v>17.024000000000001</v>
      </c>
      <c r="G3959" s="54">
        <f t="shared" si="75"/>
        <v>2.519552</v>
      </c>
      <c r="H3959" s="73"/>
      <c r="I3959" s="74"/>
      <c r="J3959" s="102">
        <v>0</v>
      </c>
    </row>
    <row r="3960" spans="1:10" hidden="1" x14ac:dyDescent="0.25">
      <c r="A3960" s="224"/>
      <c r="B3960" s="237"/>
      <c r="C3960" s="36" t="s">
        <v>30</v>
      </c>
      <c r="D3960" s="36" t="s">
        <v>12</v>
      </c>
      <c r="E3960" s="37">
        <v>0.35510000000000003</v>
      </c>
      <c r="F3960" s="54">
        <v>21.688499999999998</v>
      </c>
      <c r="G3960" s="54">
        <f t="shared" si="75"/>
        <v>7.7015863499999995</v>
      </c>
      <c r="H3960" s="73"/>
      <c r="I3960" s="74"/>
      <c r="J3960" s="102">
        <v>0</v>
      </c>
    </row>
    <row r="3961" spans="1:10" hidden="1" x14ac:dyDescent="0.25">
      <c r="A3961" s="224"/>
      <c r="B3961" s="237"/>
      <c r="C3961" s="36"/>
      <c r="D3961" s="47"/>
      <c r="E3961" s="37"/>
      <c r="F3961" s="54" t="s">
        <v>522</v>
      </c>
      <c r="G3961" s="54" t="str">
        <f t="shared" si="75"/>
        <v/>
      </c>
      <c r="H3961" s="73"/>
      <c r="I3961" s="74"/>
      <c r="J3961" s="102">
        <v>0</v>
      </c>
    </row>
    <row r="3962" spans="1:10" ht="15.75" hidden="1" thickBot="1" x14ac:dyDescent="0.3">
      <c r="A3962" s="218" t="s">
        <v>1169</v>
      </c>
      <c r="B3962" s="221" t="e">
        <f>INDEX(#REF!,MATCH(Composições!A3962,#REF!,0),2)</f>
        <v>#REF!</v>
      </c>
      <c r="C3962" s="41"/>
      <c r="D3962" s="26" t="s">
        <v>93</v>
      </c>
      <c r="E3962" s="27"/>
      <c r="F3962" s="49" t="s">
        <v>522</v>
      </c>
      <c r="G3962" s="28" t="str">
        <f t="shared" si="75"/>
        <v/>
      </c>
      <c r="H3962" s="29"/>
      <c r="I3962" s="30"/>
      <c r="J3962" s="102">
        <v>0</v>
      </c>
    </row>
    <row r="3963" spans="1:10" hidden="1" x14ac:dyDescent="0.25">
      <c r="A3963" s="224"/>
      <c r="B3963" s="237"/>
      <c r="C3963" s="32"/>
      <c r="D3963" s="32"/>
      <c r="E3963" s="33"/>
      <c r="F3963" s="54" t="s">
        <v>522</v>
      </c>
      <c r="G3963" s="54" t="str">
        <f t="shared" si="75"/>
        <v/>
      </c>
      <c r="H3963" s="73"/>
      <c r="I3963" s="74"/>
      <c r="J3963" s="102">
        <v>0</v>
      </c>
    </row>
    <row r="3964" spans="1:10" hidden="1" x14ac:dyDescent="0.25">
      <c r="A3964" s="224"/>
      <c r="B3964" s="237"/>
      <c r="C3964" s="36" t="s">
        <v>748</v>
      </c>
      <c r="D3964" s="36" t="s">
        <v>898</v>
      </c>
      <c r="E3964" s="37">
        <v>0.24</v>
      </c>
      <c r="F3964" s="54">
        <v>0.58899999999999997</v>
      </c>
      <c r="G3964" s="54">
        <f t="shared" si="75"/>
        <v>0.14135999999999999</v>
      </c>
      <c r="H3964" s="39">
        <f>SUM(G3964:G3968)</f>
        <v>142.01869200000002</v>
      </c>
      <c r="I3964" s="40"/>
      <c r="J3964" s="102">
        <v>0</v>
      </c>
    </row>
    <row r="3965" spans="1:10" hidden="1" x14ac:dyDescent="0.25">
      <c r="A3965" s="224"/>
      <c r="B3965" s="237"/>
      <c r="C3965" s="36" t="s">
        <v>2407</v>
      </c>
      <c r="D3965" s="36" t="s">
        <v>898</v>
      </c>
      <c r="E3965" s="37">
        <v>1.2150000000000001</v>
      </c>
      <c r="F3965" s="54">
        <v>1.4535</v>
      </c>
      <c r="G3965" s="54">
        <f t="shared" si="75"/>
        <v>1.7660025000000001</v>
      </c>
      <c r="H3965" s="73"/>
      <c r="I3965" s="74"/>
      <c r="J3965" s="102">
        <v>0</v>
      </c>
    </row>
    <row r="3966" spans="1:10" ht="25.5" hidden="1" x14ac:dyDescent="0.25">
      <c r="A3966" s="224"/>
      <c r="B3966" s="237"/>
      <c r="C3966" s="36" t="s">
        <v>2408</v>
      </c>
      <c r="D3966" s="36" t="s">
        <v>992</v>
      </c>
      <c r="E3966" s="37">
        <v>0.25</v>
      </c>
      <c r="F3966" s="54">
        <v>508.79150000000004</v>
      </c>
      <c r="G3966" s="54">
        <f t="shared" si="75"/>
        <v>127.19787500000001</v>
      </c>
      <c r="H3966" s="73"/>
      <c r="I3966" s="74"/>
      <c r="J3966" s="102">
        <v>0</v>
      </c>
    </row>
    <row r="3967" spans="1:10" hidden="1" x14ac:dyDescent="0.25">
      <c r="A3967" s="224"/>
      <c r="B3967" s="237"/>
      <c r="C3967" s="36" t="s">
        <v>711</v>
      </c>
      <c r="D3967" s="36" t="s">
        <v>703</v>
      </c>
      <c r="E3967" s="37">
        <v>0.437</v>
      </c>
      <c r="F3967" s="54">
        <v>21.479499999999998</v>
      </c>
      <c r="G3967" s="54">
        <f t="shared" si="75"/>
        <v>9.3865414999999999</v>
      </c>
      <c r="H3967" s="73"/>
      <c r="I3967" s="74"/>
      <c r="J3967" s="102">
        <v>0</v>
      </c>
    </row>
    <row r="3968" spans="1:10" hidden="1" x14ac:dyDescent="0.25">
      <c r="A3968" s="224"/>
      <c r="B3968" s="237"/>
      <c r="C3968" s="36" t="s">
        <v>704</v>
      </c>
      <c r="D3968" s="36" t="s">
        <v>703</v>
      </c>
      <c r="E3968" s="37">
        <v>0.218</v>
      </c>
      <c r="F3968" s="54">
        <v>16.1785</v>
      </c>
      <c r="G3968" s="54">
        <f t="shared" si="75"/>
        <v>3.526913</v>
      </c>
      <c r="H3968" s="73"/>
      <c r="I3968" s="74"/>
      <c r="J3968" s="102">
        <v>0</v>
      </c>
    </row>
    <row r="3969" spans="1:10" ht="15.75" hidden="1" thickBot="1" x14ac:dyDescent="0.3">
      <c r="A3969" s="224"/>
      <c r="B3969" s="237"/>
      <c r="C3969" s="55"/>
      <c r="D3969" s="55"/>
      <c r="E3969" s="66"/>
      <c r="F3969" s="76" t="s">
        <v>522</v>
      </c>
      <c r="G3969" s="76" t="str">
        <f t="shared" si="75"/>
        <v/>
      </c>
      <c r="H3969" s="77"/>
      <c r="I3969" s="74"/>
      <c r="J3969" s="102">
        <v>0</v>
      </c>
    </row>
    <row r="3970" spans="1:10" ht="15.75" hidden="1" thickBot="1" x14ac:dyDescent="0.3">
      <c r="A3970" s="218" t="s">
        <v>1170</v>
      </c>
      <c r="B3970" s="221" t="e">
        <f>INDEX(#REF!,MATCH(Composições!A3970,#REF!,0),2)</f>
        <v>#REF!</v>
      </c>
      <c r="C3970" s="41"/>
      <c r="D3970" s="26" t="s">
        <v>95</v>
      </c>
      <c r="E3970" s="27"/>
      <c r="F3970" s="49" t="s">
        <v>522</v>
      </c>
      <c r="G3970" s="28" t="str">
        <f t="shared" si="75"/>
        <v/>
      </c>
      <c r="H3970" s="29"/>
      <c r="I3970" s="30"/>
      <c r="J3970" s="102">
        <v>0</v>
      </c>
    </row>
    <row r="3971" spans="1:10" hidden="1" x14ac:dyDescent="0.25">
      <c r="A3971" s="224"/>
      <c r="B3971" s="237"/>
      <c r="C3971" s="32"/>
      <c r="D3971" s="32"/>
      <c r="E3971" s="33"/>
      <c r="F3971" s="54" t="s">
        <v>522</v>
      </c>
      <c r="G3971" s="54" t="str">
        <f t="shared" si="75"/>
        <v/>
      </c>
      <c r="H3971" s="73"/>
      <c r="I3971" s="74"/>
      <c r="J3971" s="102">
        <v>0</v>
      </c>
    </row>
    <row r="3972" spans="1:10" ht="25.5" hidden="1" x14ac:dyDescent="0.25">
      <c r="A3972" s="224"/>
      <c r="B3972" s="237"/>
      <c r="C3972" s="36" t="s">
        <v>776</v>
      </c>
      <c r="D3972" s="36" t="s">
        <v>898</v>
      </c>
      <c r="E3972" s="37">
        <v>0.53</v>
      </c>
      <c r="F3972" s="54">
        <v>47.205499999999994</v>
      </c>
      <c r="G3972" s="54">
        <f t="shared" si="75"/>
        <v>25.018914999999996</v>
      </c>
      <c r="H3972" s="39">
        <f>SUM(G3972:G3978)</f>
        <v>91.871526499999987</v>
      </c>
      <c r="I3972" s="40"/>
      <c r="J3972" s="102">
        <v>0</v>
      </c>
    </row>
    <row r="3973" spans="1:10" ht="38.25" hidden="1" x14ac:dyDescent="0.25">
      <c r="A3973" s="224"/>
      <c r="B3973" s="237"/>
      <c r="C3973" s="36" t="s">
        <v>2332</v>
      </c>
      <c r="D3973" s="36" t="s">
        <v>992</v>
      </c>
      <c r="E3973" s="37">
        <v>1.05</v>
      </c>
      <c r="F3973" s="54" t="s">
        <v>522</v>
      </c>
      <c r="G3973" s="54" t="str">
        <f t="shared" si="75"/>
        <v/>
      </c>
      <c r="H3973" s="73"/>
      <c r="I3973" s="74"/>
      <c r="J3973" s="102">
        <v>0</v>
      </c>
    </row>
    <row r="3974" spans="1:10" hidden="1" x14ac:dyDescent="0.25">
      <c r="A3974" s="224"/>
      <c r="B3974" s="237"/>
      <c r="C3974" s="36" t="s">
        <v>1898</v>
      </c>
      <c r="D3974" s="36" t="s">
        <v>898</v>
      </c>
      <c r="E3974" s="37">
        <v>0.97</v>
      </c>
      <c r="F3974" s="54">
        <v>1.6719999999999999</v>
      </c>
      <c r="G3974" s="54">
        <f t="shared" si="75"/>
        <v>1.6218399999999999</v>
      </c>
      <c r="H3974" s="73"/>
      <c r="I3974" s="74"/>
      <c r="J3974" s="102">
        <v>0</v>
      </c>
    </row>
    <row r="3975" spans="1:10" hidden="1" x14ac:dyDescent="0.25">
      <c r="A3975" s="224"/>
      <c r="B3975" s="237"/>
      <c r="C3975" s="36" t="s">
        <v>1685</v>
      </c>
      <c r="D3975" s="36" t="s">
        <v>703</v>
      </c>
      <c r="E3975" s="37">
        <v>1.405</v>
      </c>
      <c r="F3975" s="54">
        <v>21.403500000000001</v>
      </c>
      <c r="G3975" s="54">
        <f t="shared" si="75"/>
        <v>30.071917500000001</v>
      </c>
      <c r="H3975" s="73"/>
      <c r="I3975" s="74"/>
      <c r="J3975" s="102">
        <v>0</v>
      </c>
    </row>
    <row r="3976" spans="1:10" hidden="1" x14ac:dyDescent="0.25">
      <c r="A3976" s="224"/>
      <c r="B3976" s="237"/>
      <c r="C3976" s="36" t="s">
        <v>704</v>
      </c>
      <c r="D3976" s="36" t="s">
        <v>703</v>
      </c>
      <c r="E3976" s="37">
        <v>0.70199999999999996</v>
      </c>
      <c r="F3976" s="54">
        <v>16.1785</v>
      </c>
      <c r="G3976" s="54">
        <f t="shared" si="75"/>
        <v>11.357306999999999</v>
      </c>
      <c r="H3976" s="73"/>
      <c r="I3976" s="74"/>
      <c r="J3976" s="102">
        <v>0</v>
      </c>
    </row>
    <row r="3977" spans="1:10" ht="25.5" hidden="1" x14ac:dyDescent="0.25">
      <c r="A3977" s="224"/>
      <c r="B3977" s="237"/>
      <c r="C3977" s="36" t="s">
        <v>1155</v>
      </c>
      <c r="D3977" s="36" t="s">
        <v>942</v>
      </c>
      <c r="E3977" s="37">
        <v>8.8999999999999996E-2</v>
      </c>
      <c r="F3977" s="54">
        <v>17.954999999999998</v>
      </c>
      <c r="G3977" s="54">
        <f t="shared" si="75"/>
        <v>1.5979949999999998</v>
      </c>
      <c r="H3977" s="73"/>
      <c r="I3977" s="74"/>
      <c r="J3977" s="102">
        <v>0</v>
      </c>
    </row>
    <row r="3978" spans="1:10" ht="25.5" hidden="1" x14ac:dyDescent="0.25">
      <c r="A3978" s="224"/>
      <c r="B3978" s="237"/>
      <c r="C3978" s="36" t="s">
        <v>1156</v>
      </c>
      <c r="D3978" s="36" t="s">
        <v>944</v>
      </c>
      <c r="E3978" s="37">
        <v>1.3160000000000001</v>
      </c>
      <c r="F3978" s="54">
        <v>16.872</v>
      </c>
      <c r="G3978" s="54">
        <f t="shared" si="75"/>
        <v>22.203552000000002</v>
      </c>
      <c r="H3978" s="73"/>
      <c r="I3978" s="74"/>
      <c r="J3978" s="102">
        <v>0</v>
      </c>
    </row>
    <row r="3979" spans="1:10" hidden="1" x14ac:dyDescent="0.25">
      <c r="A3979" s="224"/>
      <c r="B3979" s="237"/>
      <c r="C3979" s="36"/>
      <c r="D3979" s="36"/>
      <c r="E3979" s="37"/>
      <c r="F3979" s="54" t="s">
        <v>522</v>
      </c>
      <c r="G3979" s="54" t="str">
        <f t="shared" si="75"/>
        <v/>
      </c>
      <c r="H3979" s="73"/>
      <c r="I3979" s="74"/>
      <c r="J3979" s="102">
        <v>0</v>
      </c>
    </row>
    <row r="3980" spans="1:10" ht="15.75" hidden="1" thickBot="1" x14ac:dyDescent="0.3">
      <c r="A3980" s="218" t="s">
        <v>1171</v>
      </c>
      <c r="B3980" s="221" t="e">
        <f>INDEX(#REF!,MATCH(Composições!A3980,#REF!,0),2)</f>
        <v>#REF!</v>
      </c>
      <c r="C3980" s="41"/>
      <c r="D3980" s="26" t="s">
        <v>20</v>
      </c>
      <c r="E3980" s="27"/>
      <c r="F3980" s="49" t="s">
        <v>522</v>
      </c>
      <c r="G3980" s="28" t="str">
        <f t="shared" si="75"/>
        <v/>
      </c>
      <c r="H3980" s="29"/>
      <c r="I3980" s="30"/>
      <c r="J3980" s="102">
        <v>0</v>
      </c>
    </row>
    <row r="3981" spans="1:10" hidden="1" x14ac:dyDescent="0.25">
      <c r="A3981" s="224"/>
      <c r="B3981" s="237"/>
      <c r="C3981" s="32"/>
      <c r="D3981" s="32"/>
      <c r="E3981" s="33"/>
      <c r="F3981" s="54" t="s">
        <v>522</v>
      </c>
      <c r="G3981" s="54" t="str">
        <f t="shared" si="75"/>
        <v/>
      </c>
      <c r="H3981" s="73"/>
      <c r="I3981" s="74"/>
      <c r="J3981" s="102">
        <v>0</v>
      </c>
    </row>
    <row r="3982" spans="1:10" ht="25.5" hidden="1" x14ac:dyDescent="0.25">
      <c r="A3982" s="224"/>
      <c r="B3982" s="237"/>
      <c r="C3982" s="36" t="s">
        <v>1172</v>
      </c>
      <c r="D3982" s="47" t="s">
        <v>279</v>
      </c>
      <c r="E3982" s="37">
        <v>1</v>
      </c>
      <c r="F3982" s="54">
        <v>82.478999999999985</v>
      </c>
      <c r="G3982" s="54">
        <f t="shared" si="75"/>
        <v>82.478999999999985</v>
      </c>
      <c r="H3982" s="39">
        <f>SUM(G3982:G3985)</f>
        <v>119.40769860619639</v>
      </c>
      <c r="I3982" s="40"/>
      <c r="J3982" s="102">
        <v>0</v>
      </c>
    </row>
    <row r="3983" spans="1:10" ht="25.5" hidden="1" x14ac:dyDescent="0.25">
      <c r="A3983" s="224"/>
      <c r="B3983" s="237"/>
      <c r="C3983" s="36" t="s">
        <v>1679</v>
      </c>
      <c r="D3983" s="47" t="s">
        <v>120</v>
      </c>
      <c r="E3983" s="37">
        <v>4.4000000000000003E-3</v>
      </c>
      <c r="F3983" s="54">
        <v>553.03047868099998</v>
      </c>
      <c r="G3983" s="54">
        <f t="shared" si="75"/>
        <v>2.4333341061964</v>
      </c>
      <c r="H3983" s="73"/>
      <c r="I3983" s="74"/>
      <c r="J3983" s="102">
        <v>0</v>
      </c>
    </row>
    <row r="3984" spans="1:10" hidden="1" x14ac:dyDescent="0.25">
      <c r="A3984" s="224"/>
      <c r="B3984" s="237"/>
      <c r="C3984" s="36" t="s">
        <v>22</v>
      </c>
      <c r="D3984" s="36" t="s">
        <v>12</v>
      </c>
      <c r="E3984" s="37">
        <v>1.0088999999999999</v>
      </c>
      <c r="F3984" s="54">
        <v>21.479499999999998</v>
      </c>
      <c r="G3984" s="54">
        <f t="shared" si="75"/>
        <v>21.670667549999997</v>
      </c>
      <c r="H3984" s="73"/>
      <c r="I3984" s="74"/>
      <c r="J3984" s="102">
        <v>0</v>
      </c>
    </row>
    <row r="3985" spans="1:10" hidden="1" x14ac:dyDescent="0.25">
      <c r="A3985" s="224"/>
      <c r="B3985" s="237"/>
      <c r="C3985" s="36" t="s">
        <v>23</v>
      </c>
      <c r="D3985" s="36" t="s">
        <v>12</v>
      </c>
      <c r="E3985" s="37">
        <v>0.79269999999999996</v>
      </c>
      <c r="F3985" s="54">
        <v>16.1785</v>
      </c>
      <c r="G3985" s="54">
        <f t="shared" si="75"/>
        <v>12.82469695</v>
      </c>
      <c r="H3985" s="73"/>
      <c r="I3985" s="74"/>
      <c r="J3985" s="102">
        <v>0</v>
      </c>
    </row>
    <row r="3986" spans="1:10" ht="15.75" hidden="1" thickBot="1" x14ac:dyDescent="0.3">
      <c r="A3986" s="224"/>
      <c r="B3986" s="237"/>
      <c r="C3986" s="55"/>
      <c r="D3986" s="55"/>
      <c r="E3986" s="66"/>
      <c r="F3986" s="76" t="s">
        <v>522</v>
      </c>
      <c r="G3986" s="76" t="str">
        <f t="shared" si="75"/>
        <v/>
      </c>
      <c r="H3986" s="77"/>
      <c r="I3986" s="74"/>
      <c r="J3986" s="102">
        <v>0</v>
      </c>
    </row>
    <row r="3987" spans="1:10" ht="15.75" hidden="1" thickBot="1" x14ac:dyDescent="0.3">
      <c r="A3987" s="218" t="s">
        <v>1173</v>
      </c>
      <c r="B3987" s="221" t="e">
        <f>INDEX(#REF!,MATCH(Composições!A3987,#REF!,0),2)</f>
        <v>#REF!</v>
      </c>
      <c r="C3987" s="41"/>
      <c r="D3987" s="26" t="s">
        <v>95</v>
      </c>
      <c r="E3987" s="27"/>
      <c r="F3987" s="49" t="s">
        <v>522</v>
      </c>
      <c r="G3987" s="28" t="str">
        <f t="shared" si="75"/>
        <v/>
      </c>
      <c r="H3987" s="29"/>
      <c r="I3987" s="30"/>
      <c r="J3987" s="102">
        <v>0</v>
      </c>
    </row>
    <row r="3988" spans="1:10" hidden="1" x14ac:dyDescent="0.25">
      <c r="A3988" s="224"/>
      <c r="B3988" s="237"/>
      <c r="C3988" s="32"/>
      <c r="D3988" s="32"/>
      <c r="E3988" s="33"/>
      <c r="F3988" s="54" t="s">
        <v>522</v>
      </c>
      <c r="G3988" s="54" t="str">
        <f t="shared" si="75"/>
        <v/>
      </c>
      <c r="H3988" s="73"/>
      <c r="I3988" s="74"/>
      <c r="J3988" s="102">
        <v>0</v>
      </c>
    </row>
    <row r="3989" spans="1:10" ht="25.5" hidden="1" x14ac:dyDescent="0.25">
      <c r="A3989" s="224"/>
      <c r="B3989" s="237"/>
      <c r="C3989" s="36" t="s">
        <v>1174</v>
      </c>
      <c r="D3989" s="36" t="s">
        <v>95</v>
      </c>
      <c r="E3989" s="37">
        <v>1.08</v>
      </c>
      <c r="F3989" s="54" t="s">
        <v>522</v>
      </c>
      <c r="G3989" s="54" t="str">
        <f t="shared" si="75"/>
        <v/>
      </c>
      <c r="H3989" s="39">
        <f>SUM(G3989:G3993)</f>
        <v>25.987629999999999</v>
      </c>
      <c r="I3989" s="40"/>
      <c r="J3989" s="102">
        <v>0</v>
      </c>
    </row>
    <row r="3990" spans="1:10" hidden="1" x14ac:dyDescent="0.25">
      <c r="A3990" s="224"/>
      <c r="B3990" s="237"/>
      <c r="C3990" s="36" t="s">
        <v>1919</v>
      </c>
      <c r="D3990" s="36" t="s">
        <v>42</v>
      </c>
      <c r="E3990" s="37">
        <v>6.14</v>
      </c>
      <c r="F3990" s="54">
        <v>0.88349999999999995</v>
      </c>
      <c r="G3990" s="54">
        <f t="shared" si="75"/>
        <v>5.4246899999999991</v>
      </c>
      <c r="H3990" s="73"/>
      <c r="I3990" s="74"/>
      <c r="J3990" s="102">
        <v>0</v>
      </c>
    </row>
    <row r="3991" spans="1:10" hidden="1" x14ac:dyDescent="0.25">
      <c r="A3991" s="224"/>
      <c r="B3991" s="237"/>
      <c r="C3991" s="36" t="s">
        <v>1917</v>
      </c>
      <c r="D3991" s="36" t="s">
        <v>42</v>
      </c>
      <c r="E3991" s="37">
        <v>0.22</v>
      </c>
      <c r="F3991" s="54">
        <v>2.7835000000000001</v>
      </c>
      <c r="G3991" s="54">
        <f t="shared" si="75"/>
        <v>0.61236999999999997</v>
      </c>
      <c r="H3991" s="73"/>
      <c r="I3991" s="74"/>
      <c r="J3991" s="102">
        <v>0</v>
      </c>
    </row>
    <row r="3992" spans="1:10" hidden="1" x14ac:dyDescent="0.25">
      <c r="A3992" s="224"/>
      <c r="B3992" s="237"/>
      <c r="C3992" s="36" t="s">
        <v>36</v>
      </c>
      <c r="D3992" s="36" t="s">
        <v>12</v>
      </c>
      <c r="E3992" s="37">
        <v>0.66</v>
      </c>
      <c r="F3992" s="54">
        <v>21.403500000000001</v>
      </c>
      <c r="G3992" s="54">
        <f t="shared" si="75"/>
        <v>14.126310000000002</v>
      </c>
      <c r="H3992" s="73"/>
      <c r="I3992" s="74"/>
      <c r="J3992" s="102">
        <v>0</v>
      </c>
    </row>
    <row r="3993" spans="1:10" hidden="1" x14ac:dyDescent="0.25">
      <c r="A3993" s="224"/>
      <c r="B3993" s="237"/>
      <c r="C3993" s="36" t="s">
        <v>23</v>
      </c>
      <c r="D3993" s="36" t="s">
        <v>12</v>
      </c>
      <c r="E3993" s="37">
        <v>0.36</v>
      </c>
      <c r="F3993" s="54">
        <v>16.1785</v>
      </c>
      <c r="G3993" s="54">
        <f t="shared" si="75"/>
        <v>5.8242599999999998</v>
      </c>
      <c r="H3993" s="73"/>
      <c r="I3993" s="74"/>
      <c r="J3993" s="102">
        <v>0</v>
      </c>
    </row>
    <row r="3994" spans="1:10" hidden="1" x14ac:dyDescent="0.25">
      <c r="A3994" s="224"/>
      <c r="B3994" s="237"/>
      <c r="C3994" s="36"/>
      <c r="D3994" s="47"/>
      <c r="E3994" s="37"/>
      <c r="F3994" s="54" t="s">
        <v>522</v>
      </c>
      <c r="G3994" s="54" t="str">
        <f t="shared" si="75"/>
        <v/>
      </c>
      <c r="H3994" s="73"/>
      <c r="I3994" s="74"/>
      <c r="J3994" s="102">
        <v>0</v>
      </c>
    </row>
    <row r="3995" spans="1:10" ht="15.75" hidden="1" thickBot="1" x14ac:dyDescent="0.3">
      <c r="A3995" s="218" t="s">
        <v>1175</v>
      </c>
      <c r="B3995" s="221" t="e">
        <f>INDEX(#REF!,MATCH(Composições!A3995,#REF!,0),2)</f>
        <v>#REF!</v>
      </c>
      <c r="C3995" s="41"/>
      <c r="D3995" s="26" t="s">
        <v>109</v>
      </c>
      <c r="E3995" s="27"/>
      <c r="F3995" s="49" t="s">
        <v>522</v>
      </c>
      <c r="G3995" s="28" t="str">
        <f t="shared" si="75"/>
        <v/>
      </c>
      <c r="H3995" s="29"/>
      <c r="I3995" s="30"/>
      <c r="J3995" s="102">
        <v>0</v>
      </c>
    </row>
    <row r="3996" spans="1:10" hidden="1" x14ac:dyDescent="0.25">
      <c r="A3996" s="224"/>
      <c r="B3996" s="237"/>
      <c r="C3996" s="32"/>
      <c r="D3996" s="32"/>
      <c r="E3996" s="33"/>
      <c r="F3996" s="54" t="s">
        <v>522</v>
      </c>
      <c r="G3996" s="54" t="str">
        <f t="shared" si="75"/>
        <v/>
      </c>
      <c r="H3996" s="73"/>
      <c r="I3996" s="74"/>
      <c r="J3996" s="102">
        <v>0</v>
      </c>
    </row>
    <row r="3997" spans="1:10" ht="25.5" hidden="1" x14ac:dyDescent="0.25">
      <c r="A3997" s="224"/>
      <c r="B3997" s="237"/>
      <c r="C3997" s="36" t="s">
        <v>1176</v>
      </c>
      <c r="D3997" s="47" t="s">
        <v>120</v>
      </c>
      <c r="E3997" s="37">
        <v>1.25</v>
      </c>
      <c r="F3997" s="54">
        <v>71.25</v>
      </c>
      <c r="G3997" s="54">
        <f t="shared" si="75"/>
        <v>89.0625</v>
      </c>
      <c r="H3997" s="39">
        <f>SUM(G3997:G4004)</f>
        <v>180.86536168750001</v>
      </c>
      <c r="I3997" s="40"/>
      <c r="J3997" s="102">
        <v>0</v>
      </c>
    </row>
    <row r="3998" spans="1:10" ht="51" hidden="1" x14ac:dyDescent="0.25">
      <c r="A3998" s="224"/>
      <c r="B3998" s="237"/>
      <c r="C3998" s="36" t="s">
        <v>947</v>
      </c>
      <c r="D3998" s="47" t="s">
        <v>942</v>
      </c>
      <c r="E3998" s="37">
        <v>6.0000000000000001E-3</v>
      </c>
      <c r="F3998" s="54">
        <v>275.92749999999995</v>
      </c>
      <c r="G3998" s="54">
        <f t="shared" si="75"/>
        <v>1.6555649999999997</v>
      </c>
      <c r="H3998" s="73"/>
      <c r="I3998" s="74"/>
      <c r="J3998" s="102">
        <v>0</v>
      </c>
    </row>
    <row r="3999" spans="1:10" ht="51" hidden="1" x14ac:dyDescent="0.25">
      <c r="A3999" s="224"/>
      <c r="B3999" s="237"/>
      <c r="C3999" s="36" t="s">
        <v>948</v>
      </c>
      <c r="D3999" s="36" t="s">
        <v>944</v>
      </c>
      <c r="E3999" s="37">
        <v>3.0000000000000001E-3</v>
      </c>
      <c r="F3999" s="54">
        <v>45.533499999999997</v>
      </c>
      <c r="G3999" s="54">
        <f t="shared" si="75"/>
        <v>0.13660049999999999</v>
      </c>
      <c r="H3999" s="73"/>
      <c r="I3999" s="74"/>
      <c r="J3999" s="102">
        <v>0</v>
      </c>
    </row>
    <row r="4000" spans="1:10" hidden="1" x14ac:dyDescent="0.25">
      <c r="A4000" s="224"/>
      <c r="B4000" s="237"/>
      <c r="C4000" s="36" t="s">
        <v>704</v>
      </c>
      <c r="D4000" s="36" t="s">
        <v>703</v>
      </c>
      <c r="E4000" s="37">
        <v>0.65900000000000003</v>
      </c>
      <c r="F4000" s="54">
        <v>16.1785</v>
      </c>
      <c r="G4000" s="54">
        <f t="shared" si="75"/>
        <v>10.6616315</v>
      </c>
      <c r="H4000" s="73"/>
      <c r="I4000" s="74"/>
      <c r="J4000" s="102">
        <v>0</v>
      </c>
    </row>
    <row r="4001" spans="1:10" ht="38.25" hidden="1" x14ac:dyDescent="0.25">
      <c r="A4001" s="224"/>
      <c r="B4001" s="237"/>
      <c r="C4001" s="36" t="s">
        <v>941</v>
      </c>
      <c r="D4001" s="47" t="s">
        <v>942</v>
      </c>
      <c r="E4001" s="37">
        <v>0.27400000000000002</v>
      </c>
      <c r="F4001" s="54">
        <v>25.574000000000002</v>
      </c>
      <c r="G4001" s="54">
        <f t="shared" si="75"/>
        <v>7.0072760000000009</v>
      </c>
      <c r="H4001" s="73"/>
      <c r="I4001" s="74"/>
      <c r="J4001" s="102">
        <v>0</v>
      </c>
    </row>
    <row r="4002" spans="1:10" ht="38.25" hidden="1" x14ac:dyDescent="0.25">
      <c r="A4002" s="224"/>
      <c r="B4002" s="237"/>
      <c r="C4002" s="36" t="s">
        <v>943</v>
      </c>
      <c r="D4002" s="47" t="s">
        <v>944</v>
      </c>
      <c r="E4002" s="37">
        <v>0.254</v>
      </c>
      <c r="F4002" s="54">
        <v>17.650999999999996</v>
      </c>
      <c r="G4002" s="54">
        <f t="shared" si="75"/>
        <v>4.4833539999999994</v>
      </c>
      <c r="H4002" s="73"/>
      <c r="I4002" s="74"/>
      <c r="J4002" s="102">
        <v>0</v>
      </c>
    </row>
    <row r="4003" spans="1:10" ht="51" hidden="1" x14ac:dyDescent="0.25">
      <c r="A4003" s="224"/>
      <c r="B4003" s="237"/>
      <c r="C4003" s="36" t="s">
        <v>1914</v>
      </c>
      <c r="D4003" s="36" t="s">
        <v>109</v>
      </c>
      <c r="E4003" s="37">
        <f>1*E3997</f>
        <v>1.25</v>
      </c>
      <c r="F4003" s="34">
        <v>7.0254067499999993</v>
      </c>
      <c r="G4003" s="34">
        <f t="shared" si="75"/>
        <v>8.7817584374999988</v>
      </c>
      <c r="H4003" s="35"/>
      <c r="I4003" s="31"/>
      <c r="J4003" s="102">
        <v>0</v>
      </c>
    </row>
    <row r="4004" spans="1:10" ht="38.25" hidden="1" x14ac:dyDescent="0.25">
      <c r="A4004" s="224"/>
      <c r="B4004" s="237"/>
      <c r="C4004" s="36" t="s">
        <v>121</v>
      </c>
      <c r="D4004" s="47" t="s">
        <v>122</v>
      </c>
      <c r="E4004" s="37">
        <f>E3997*20</f>
        <v>25</v>
      </c>
      <c r="F4004" s="54">
        <v>2.3630670500000002</v>
      </c>
      <c r="G4004" s="54">
        <f t="shared" si="75"/>
        <v>59.076676250000006</v>
      </c>
      <c r="H4004" s="73"/>
      <c r="I4004" s="74"/>
      <c r="J4004" s="102">
        <v>0</v>
      </c>
    </row>
    <row r="4005" spans="1:10" hidden="1" x14ac:dyDescent="0.25">
      <c r="A4005" s="224"/>
      <c r="B4005" s="237"/>
      <c r="C4005" s="51"/>
      <c r="D4005" s="47"/>
      <c r="E4005" s="37"/>
      <c r="F4005" s="54" t="s">
        <v>522</v>
      </c>
      <c r="G4005" s="54" t="str">
        <f t="shared" si="75"/>
        <v/>
      </c>
      <c r="H4005" s="73"/>
      <c r="I4005" s="74"/>
      <c r="J4005" s="102">
        <v>0</v>
      </c>
    </row>
    <row r="4006" spans="1:10" hidden="1" x14ac:dyDescent="0.25">
      <c r="A4006" s="224"/>
      <c r="B4006" s="237"/>
      <c r="C4006" s="48" t="s">
        <v>755</v>
      </c>
      <c r="D4006" s="47"/>
      <c r="E4006" s="37"/>
      <c r="F4006" s="54" t="s">
        <v>522</v>
      </c>
      <c r="G4006" s="54" t="str">
        <f t="shared" si="75"/>
        <v/>
      </c>
      <c r="H4006" s="73"/>
      <c r="I4006" s="74"/>
      <c r="J4006" s="102">
        <v>0</v>
      </c>
    </row>
    <row r="4007" spans="1:10" ht="15.75" hidden="1" thickBot="1" x14ac:dyDescent="0.3">
      <c r="A4007" s="224"/>
      <c r="B4007" s="237"/>
      <c r="C4007" s="55"/>
      <c r="D4007" s="55"/>
      <c r="E4007" s="66"/>
      <c r="F4007" s="76" t="s">
        <v>522</v>
      </c>
      <c r="G4007" s="76" t="str">
        <f t="shared" si="75"/>
        <v/>
      </c>
      <c r="H4007" s="77"/>
      <c r="I4007" s="74"/>
      <c r="J4007" s="102">
        <v>0</v>
      </c>
    </row>
    <row r="4008" spans="1:10" ht="15.75" hidden="1" thickBot="1" x14ac:dyDescent="0.3">
      <c r="A4008" s="218" t="s">
        <v>1177</v>
      </c>
      <c r="B4008" s="221" t="e">
        <f>INDEX(#REF!,MATCH(Composições!A4008,#REF!,0),2)</f>
        <v>#REF!</v>
      </c>
      <c r="C4008" s="41"/>
      <c r="D4008" s="26" t="s">
        <v>93</v>
      </c>
      <c r="E4008" s="27"/>
      <c r="F4008" s="49" t="s">
        <v>522</v>
      </c>
      <c r="G4008" s="28" t="str">
        <f t="shared" si="75"/>
        <v/>
      </c>
      <c r="H4008" s="29"/>
      <c r="I4008" s="30"/>
      <c r="J4008" s="102">
        <v>0</v>
      </c>
    </row>
    <row r="4009" spans="1:10" hidden="1" x14ac:dyDescent="0.25">
      <c r="A4009" s="224"/>
      <c r="B4009" s="237"/>
      <c r="C4009" s="32"/>
      <c r="D4009" s="32"/>
      <c r="E4009" s="33"/>
      <c r="F4009" s="54" t="s">
        <v>522</v>
      </c>
      <c r="G4009" s="54" t="str">
        <f t="shared" si="75"/>
        <v/>
      </c>
      <c r="H4009" s="73"/>
      <c r="I4009" s="74"/>
      <c r="J4009" s="102">
        <v>0</v>
      </c>
    </row>
    <row r="4010" spans="1:10" hidden="1" x14ac:dyDescent="0.25">
      <c r="A4010" s="224"/>
      <c r="B4010" s="237"/>
      <c r="C4010" s="36" t="s">
        <v>1178</v>
      </c>
      <c r="D4010" s="47" t="s">
        <v>898</v>
      </c>
      <c r="E4010" s="37">
        <v>1.4</v>
      </c>
      <c r="F4010" s="54">
        <v>11.247999999999999</v>
      </c>
      <c r="G4010" s="54">
        <f t="shared" si="75"/>
        <v>15.747199999999998</v>
      </c>
      <c r="H4010" s="39">
        <f>SUM(G4010:G4019)</f>
        <v>759.44124799999997</v>
      </c>
      <c r="I4010" s="40"/>
      <c r="J4010" s="102">
        <v>0</v>
      </c>
    </row>
    <row r="4011" spans="1:10" hidden="1" x14ac:dyDescent="0.25">
      <c r="A4011" s="224"/>
      <c r="B4011" s="237"/>
      <c r="C4011" s="36" t="s">
        <v>1179</v>
      </c>
      <c r="D4011" s="47" t="s">
        <v>898</v>
      </c>
      <c r="E4011" s="37">
        <v>3.0000000000000001E-3</v>
      </c>
      <c r="F4011" s="54">
        <v>30.105499999999999</v>
      </c>
      <c r="G4011" s="54">
        <f t="shared" si="75"/>
        <v>9.0316499999999994E-2</v>
      </c>
      <c r="H4011" s="73"/>
      <c r="I4011" s="74"/>
      <c r="J4011" s="102">
        <v>0</v>
      </c>
    </row>
    <row r="4012" spans="1:10" ht="25.5" hidden="1" x14ac:dyDescent="0.25">
      <c r="A4012" s="224"/>
      <c r="B4012" s="237"/>
      <c r="C4012" s="36" t="s">
        <v>1037</v>
      </c>
      <c r="D4012" s="36" t="s">
        <v>279</v>
      </c>
      <c r="E4012" s="37">
        <v>3.3330000000000002</v>
      </c>
      <c r="F4012" s="54">
        <v>2.3465000000000003</v>
      </c>
      <c r="G4012" s="54">
        <f t="shared" si="75"/>
        <v>7.8208845000000009</v>
      </c>
      <c r="H4012" s="73"/>
      <c r="I4012" s="74"/>
      <c r="J4012" s="102">
        <v>0</v>
      </c>
    </row>
    <row r="4013" spans="1:10" ht="38.25" hidden="1" x14ac:dyDescent="0.25">
      <c r="A4013" s="224"/>
      <c r="B4013" s="237"/>
      <c r="C4013" s="36" t="s">
        <v>1180</v>
      </c>
      <c r="D4013" s="36" t="s">
        <v>279</v>
      </c>
      <c r="E4013" s="37">
        <v>5</v>
      </c>
      <c r="F4013" s="54">
        <v>0.437</v>
      </c>
      <c r="G4013" s="54">
        <f t="shared" si="75"/>
        <v>2.1850000000000001</v>
      </c>
      <c r="H4013" s="73"/>
      <c r="I4013" s="74"/>
      <c r="J4013" s="102">
        <v>0</v>
      </c>
    </row>
    <row r="4014" spans="1:10" ht="25.5" hidden="1" x14ac:dyDescent="0.25">
      <c r="A4014" s="224"/>
      <c r="B4014" s="237"/>
      <c r="C4014" s="36" t="s">
        <v>1181</v>
      </c>
      <c r="D4014" s="36" t="s">
        <v>479</v>
      </c>
      <c r="E4014" s="37">
        <v>3.149</v>
      </c>
      <c r="F4014" s="54">
        <v>12.35</v>
      </c>
      <c r="G4014" s="54">
        <f t="shared" si="75"/>
        <v>38.890149999999998</v>
      </c>
      <c r="H4014" s="73"/>
      <c r="I4014" s="74"/>
      <c r="J4014" s="102">
        <v>0</v>
      </c>
    </row>
    <row r="4015" spans="1:10" hidden="1" x14ac:dyDescent="0.25">
      <c r="A4015" s="224"/>
      <c r="B4015" s="237"/>
      <c r="C4015" s="36" t="s">
        <v>835</v>
      </c>
      <c r="D4015" s="36" t="s">
        <v>898</v>
      </c>
      <c r="E4015" s="37">
        <v>3.4089999999999998</v>
      </c>
      <c r="F4015" s="54">
        <v>41.942499999999995</v>
      </c>
      <c r="G4015" s="54">
        <f t="shared" si="75"/>
        <v>142.98198249999999</v>
      </c>
      <c r="H4015" s="73"/>
      <c r="I4015" s="74"/>
      <c r="J4015" s="102">
        <v>0</v>
      </c>
    </row>
    <row r="4016" spans="1:10" ht="25.5" hidden="1" x14ac:dyDescent="0.25">
      <c r="A4016" s="224"/>
      <c r="B4016" s="237"/>
      <c r="C4016" s="36" t="s">
        <v>1182</v>
      </c>
      <c r="D4016" s="36" t="s">
        <v>992</v>
      </c>
      <c r="E4016" s="37">
        <v>0.998</v>
      </c>
      <c r="F4016" s="54">
        <v>413.48749999999995</v>
      </c>
      <c r="G4016" s="54">
        <f t="shared" si="75"/>
        <v>412.66052499999995</v>
      </c>
      <c r="H4016" s="73"/>
      <c r="I4016" s="74"/>
      <c r="J4016" s="102">
        <v>0</v>
      </c>
    </row>
    <row r="4017" spans="1:10" hidden="1" x14ac:dyDescent="0.25">
      <c r="A4017" s="224"/>
      <c r="B4017" s="237"/>
      <c r="C4017" s="36" t="s">
        <v>1126</v>
      </c>
      <c r="D4017" s="47" t="s">
        <v>279</v>
      </c>
      <c r="E4017" s="37">
        <v>0.85499999999999998</v>
      </c>
      <c r="F4017" s="54">
        <v>23.597999999999999</v>
      </c>
      <c r="G4017" s="54">
        <f t="shared" ref="G4017:G4080" si="76">IF(ISNUMBER(F4017),E4017*F4017,"")</f>
        <v>20.176289999999998</v>
      </c>
      <c r="H4017" s="73"/>
      <c r="I4017" s="74"/>
      <c r="J4017" s="102">
        <v>0</v>
      </c>
    </row>
    <row r="4018" spans="1:10" hidden="1" x14ac:dyDescent="0.25">
      <c r="A4018" s="224"/>
      <c r="B4018" s="237"/>
      <c r="C4018" s="36" t="s">
        <v>788</v>
      </c>
      <c r="D4018" s="47" t="s">
        <v>703</v>
      </c>
      <c r="E4018" s="37">
        <v>2.754</v>
      </c>
      <c r="F4018" s="54">
        <v>17.156999999999996</v>
      </c>
      <c r="G4018" s="54">
        <f t="shared" si="76"/>
        <v>47.250377999999991</v>
      </c>
      <c r="H4018" s="73"/>
      <c r="I4018" s="74"/>
      <c r="J4018" s="102">
        <v>0</v>
      </c>
    </row>
    <row r="4019" spans="1:10" hidden="1" x14ac:dyDescent="0.25">
      <c r="A4019" s="224"/>
      <c r="B4019" s="237"/>
      <c r="C4019" s="36" t="s">
        <v>1183</v>
      </c>
      <c r="D4019" s="47" t="s">
        <v>703</v>
      </c>
      <c r="E4019" s="37">
        <v>3.3530000000000002</v>
      </c>
      <c r="F4019" s="54">
        <v>21.365499999999997</v>
      </c>
      <c r="G4019" s="54">
        <f t="shared" si="76"/>
        <v>71.638521499999996</v>
      </c>
      <c r="H4019" s="73"/>
      <c r="I4019" s="74"/>
      <c r="J4019" s="102">
        <v>0</v>
      </c>
    </row>
    <row r="4020" spans="1:10" ht="15.75" hidden="1" thickBot="1" x14ac:dyDescent="0.3">
      <c r="A4020" s="225"/>
      <c r="B4020" s="223"/>
      <c r="C4020" s="55"/>
      <c r="D4020" s="55"/>
      <c r="E4020" s="66"/>
      <c r="F4020" s="76" t="s">
        <v>522</v>
      </c>
      <c r="G4020" s="76" t="str">
        <f t="shared" si="76"/>
        <v/>
      </c>
      <c r="H4020" s="77"/>
      <c r="I4020" s="74"/>
      <c r="J4020" s="102">
        <v>0</v>
      </c>
    </row>
    <row r="4021" spans="1:10" ht="15.75" hidden="1" thickBot="1" x14ac:dyDescent="0.3">
      <c r="A4021" s="218" t="s">
        <v>1184</v>
      </c>
      <c r="B4021" s="221" t="e">
        <f>INDEX(#REF!,MATCH(Composições!A4021,#REF!,0),2)</f>
        <v>#REF!</v>
      </c>
      <c r="C4021" s="41"/>
      <c r="D4021" s="26" t="s">
        <v>93</v>
      </c>
      <c r="E4021" s="27"/>
      <c r="F4021" s="42" t="s">
        <v>522</v>
      </c>
      <c r="G4021" s="28" t="str">
        <f t="shared" si="76"/>
        <v/>
      </c>
      <c r="H4021" s="29"/>
      <c r="I4021" s="30"/>
      <c r="J4021" s="102">
        <v>0</v>
      </c>
    </row>
    <row r="4022" spans="1:10" hidden="1" x14ac:dyDescent="0.25">
      <c r="A4022" s="224"/>
      <c r="B4022" s="237"/>
      <c r="C4022" s="32"/>
      <c r="D4022" s="32"/>
      <c r="E4022" s="33"/>
      <c r="F4022" s="43" t="s">
        <v>522</v>
      </c>
      <c r="G4022" s="31" t="str">
        <f t="shared" si="76"/>
        <v/>
      </c>
      <c r="H4022" s="35"/>
      <c r="I4022" s="31"/>
      <c r="J4022" s="102">
        <v>0</v>
      </c>
    </row>
    <row r="4023" spans="1:10" hidden="1" x14ac:dyDescent="0.25">
      <c r="A4023" s="224"/>
      <c r="B4023" s="237"/>
      <c r="C4023" s="36" t="s">
        <v>68</v>
      </c>
      <c r="D4023" s="47" t="s">
        <v>12</v>
      </c>
      <c r="E4023" s="37">
        <f>1/10</f>
        <v>0.1</v>
      </c>
      <c r="F4023" s="31">
        <v>19.9025</v>
      </c>
      <c r="G4023" s="34">
        <f t="shared" si="76"/>
        <v>1.9902500000000001</v>
      </c>
      <c r="H4023" s="39">
        <f>SUM(G4023:G4024)</f>
        <v>1.9902500000000001</v>
      </c>
      <c r="I4023" s="40"/>
      <c r="J4023" s="102">
        <v>0</v>
      </c>
    </row>
    <row r="4024" spans="1:10" hidden="1" x14ac:dyDescent="0.25">
      <c r="A4024" s="224"/>
      <c r="B4024" s="237"/>
      <c r="C4024" s="36" t="s">
        <v>1185</v>
      </c>
      <c r="D4024" s="47" t="s">
        <v>93</v>
      </c>
      <c r="E4024" s="37">
        <v>1.05</v>
      </c>
      <c r="F4024" s="34" t="s">
        <v>522</v>
      </c>
      <c r="G4024" s="34" t="str">
        <f t="shared" si="76"/>
        <v/>
      </c>
      <c r="H4024" s="35"/>
      <c r="I4024" s="31"/>
      <c r="J4024" s="102">
        <v>0</v>
      </c>
    </row>
    <row r="4025" spans="1:10" ht="15.75" hidden="1" thickBot="1" x14ac:dyDescent="0.3">
      <c r="A4025" s="225"/>
      <c r="B4025" s="223"/>
      <c r="C4025" s="36"/>
      <c r="D4025" s="47"/>
      <c r="E4025" s="37"/>
      <c r="F4025" s="34" t="s">
        <v>522</v>
      </c>
      <c r="G4025" s="34" t="str">
        <f t="shared" si="76"/>
        <v/>
      </c>
      <c r="H4025" s="35"/>
      <c r="I4025" s="31"/>
      <c r="J4025" s="102">
        <v>0</v>
      </c>
    </row>
    <row r="4026" spans="1:10" ht="15.75" hidden="1" thickBot="1" x14ac:dyDescent="0.3">
      <c r="A4026" s="218" t="s">
        <v>1186</v>
      </c>
      <c r="B4026" s="221" t="e">
        <f>INDEX(#REF!,MATCH(Composições!A4026,#REF!,0),2)</f>
        <v>#REF!</v>
      </c>
      <c r="C4026" s="41"/>
      <c r="D4026" s="26" t="s">
        <v>12</v>
      </c>
      <c r="E4026" s="27"/>
      <c r="F4026" s="49" t="s">
        <v>522</v>
      </c>
      <c r="G4026" s="28" t="str">
        <f t="shared" si="76"/>
        <v/>
      </c>
      <c r="H4026" s="29"/>
      <c r="I4026" s="30"/>
      <c r="J4026" s="102">
        <v>0</v>
      </c>
    </row>
    <row r="4027" spans="1:10" hidden="1" x14ac:dyDescent="0.25">
      <c r="A4027" s="224"/>
      <c r="B4027" s="237"/>
      <c r="C4027" s="32"/>
      <c r="D4027" s="32"/>
      <c r="E4027" s="33"/>
      <c r="F4027" s="54" t="s">
        <v>522</v>
      </c>
      <c r="G4027" s="54" t="str">
        <f t="shared" si="76"/>
        <v/>
      </c>
      <c r="H4027" s="73"/>
      <c r="I4027" s="74"/>
      <c r="J4027" s="102">
        <v>0</v>
      </c>
    </row>
    <row r="4028" spans="1:10" hidden="1" x14ac:dyDescent="0.25">
      <c r="A4028" s="224"/>
      <c r="B4028" s="237"/>
      <c r="C4028" s="36" t="s">
        <v>1187</v>
      </c>
      <c r="D4028" s="36" t="s">
        <v>12</v>
      </c>
      <c r="E4028" s="37">
        <v>1</v>
      </c>
      <c r="F4028" s="54">
        <v>2.7075</v>
      </c>
      <c r="G4028" s="54">
        <f t="shared" si="76"/>
        <v>2.7075</v>
      </c>
      <c r="H4028" s="39">
        <f>SUM(G4028:G4028)</f>
        <v>2.7075</v>
      </c>
      <c r="I4028" s="40"/>
      <c r="J4028" s="102">
        <v>0</v>
      </c>
    </row>
    <row r="4029" spans="1:10" ht="15.75" hidden="1" thickBot="1" x14ac:dyDescent="0.3">
      <c r="A4029" s="224"/>
      <c r="B4029" s="237"/>
      <c r="C4029" s="55"/>
      <c r="D4029" s="55"/>
      <c r="E4029" s="66"/>
      <c r="F4029" s="76" t="s">
        <v>522</v>
      </c>
      <c r="G4029" s="76" t="str">
        <f t="shared" si="76"/>
        <v/>
      </c>
      <c r="H4029" s="77"/>
      <c r="I4029" s="74"/>
      <c r="J4029" s="102">
        <v>0</v>
      </c>
    </row>
    <row r="4030" spans="1:10" ht="15.75" hidden="1" thickBot="1" x14ac:dyDescent="0.3">
      <c r="A4030" s="218" t="s">
        <v>1188</v>
      </c>
      <c r="B4030" s="221" t="e">
        <f>INDEX(#REF!,MATCH(Composições!A4030,#REF!,0),2)</f>
        <v>#REF!</v>
      </c>
      <c r="C4030" s="41"/>
      <c r="D4030" s="26" t="s">
        <v>12</v>
      </c>
      <c r="E4030" s="27"/>
      <c r="F4030" s="49" t="s">
        <v>522</v>
      </c>
      <c r="G4030" s="28" t="str">
        <f t="shared" si="76"/>
        <v/>
      </c>
      <c r="H4030" s="29"/>
      <c r="I4030" s="30"/>
      <c r="J4030" s="102">
        <v>0</v>
      </c>
    </row>
    <row r="4031" spans="1:10" hidden="1" x14ac:dyDescent="0.25">
      <c r="A4031" s="224"/>
      <c r="B4031" s="237"/>
      <c r="C4031" s="32"/>
      <c r="D4031" s="32"/>
      <c r="E4031" s="33"/>
      <c r="F4031" s="54" t="s">
        <v>522</v>
      </c>
      <c r="G4031" s="54" t="str">
        <f t="shared" si="76"/>
        <v/>
      </c>
      <c r="H4031" s="73"/>
      <c r="I4031" s="74"/>
      <c r="J4031" s="102">
        <v>0</v>
      </c>
    </row>
    <row r="4032" spans="1:10" hidden="1" x14ac:dyDescent="0.25">
      <c r="A4032" s="224"/>
      <c r="B4032" s="237"/>
      <c r="C4032" s="36" t="s">
        <v>1189</v>
      </c>
      <c r="D4032" s="36" t="s">
        <v>703</v>
      </c>
      <c r="E4032" s="37">
        <v>1.05</v>
      </c>
      <c r="F4032" s="54">
        <v>1.292</v>
      </c>
      <c r="G4032" s="54">
        <f t="shared" si="76"/>
        <v>1.3566</v>
      </c>
      <c r="H4032" s="39">
        <f>SUM(G4032:G4032)</f>
        <v>1.3566</v>
      </c>
      <c r="I4032" s="40"/>
      <c r="J4032" s="102">
        <v>0</v>
      </c>
    </row>
    <row r="4033" spans="1:10" ht="15.75" hidden="1" thickBot="1" x14ac:dyDescent="0.3">
      <c r="A4033" s="225"/>
      <c r="B4033" s="223"/>
      <c r="C4033" s="55"/>
      <c r="D4033" s="55"/>
      <c r="E4033" s="66"/>
      <c r="F4033" s="76" t="s">
        <v>522</v>
      </c>
      <c r="G4033" s="76" t="str">
        <f t="shared" si="76"/>
        <v/>
      </c>
      <c r="H4033" s="77"/>
      <c r="I4033" s="74"/>
      <c r="J4033" s="102">
        <v>0</v>
      </c>
    </row>
    <row r="4034" spans="1:10" ht="15.75" hidden="1" thickBot="1" x14ac:dyDescent="0.3">
      <c r="A4034" s="218" t="s">
        <v>1190</v>
      </c>
      <c r="B4034" s="221" t="e">
        <f>INDEX(#REF!,MATCH(Composições!A4034,#REF!,0),2)</f>
        <v>#REF!</v>
      </c>
      <c r="C4034" s="41"/>
      <c r="D4034" s="26" t="s">
        <v>20</v>
      </c>
      <c r="E4034" s="27"/>
      <c r="F4034" s="49" t="s">
        <v>522</v>
      </c>
      <c r="G4034" s="28" t="str">
        <f t="shared" si="76"/>
        <v/>
      </c>
      <c r="H4034" s="29"/>
      <c r="I4034" s="30"/>
      <c r="J4034" s="102">
        <v>0</v>
      </c>
    </row>
    <row r="4035" spans="1:10" hidden="1" x14ac:dyDescent="0.25">
      <c r="A4035" s="224"/>
      <c r="B4035" s="237"/>
      <c r="C4035" s="32"/>
      <c r="D4035" s="32"/>
      <c r="E4035" s="33"/>
      <c r="F4035" s="54" t="s">
        <v>522</v>
      </c>
      <c r="G4035" s="54" t="str">
        <f t="shared" si="76"/>
        <v/>
      </c>
      <c r="H4035" s="73"/>
      <c r="I4035" s="74"/>
      <c r="J4035" s="102">
        <v>0</v>
      </c>
    </row>
    <row r="4036" spans="1:10" ht="25.5" hidden="1" x14ac:dyDescent="0.25">
      <c r="A4036" s="224"/>
      <c r="B4036" s="237"/>
      <c r="C4036" s="36" t="s">
        <v>1191</v>
      </c>
      <c r="D4036" s="47" t="s">
        <v>279</v>
      </c>
      <c r="E4036" s="37">
        <v>1</v>
      </c>
      <c r="F4036" s="54">
        <v>42.9495</v>
      </c>
      <c r="G4036" s="54">
        <f t="shared" si="76"/>
        <v>42.9495</v>
      </c>
      <c r="H4036" s="39">
        <f>SUM(G4036:G4041)</f>
        <v>51.421069899999999</v>
      </c>
      <c r="I4036" s="40"/>
      <c r="J4036" s="102">
        <v>0</v>
      </c>
    </row>
    <row r="4037" spans="1:10" ht="25.5" hidden="1" x14ac:dyDescent="0.25">
      <c r="A4037" s="224"/>
      <c r="B4037" s="237"/>
      <c r="C4037" s="36" t="s">
        <v>1192</v>
      </c>
      <c r="D4037" s="47" t="s">
        <v>279</v>
      </c>
      <c r="E4037" s="37">
        <v>8.3999999999999995E-3</v>
      </c>
      <c r="F4037" s="54">
        <v>317.24299999999999</v>
      </c>
      <c r="G4037" s="54">
        <f t="shared" si="76"/>
        <v>2.6648411999999997</v>
      </c>
      <c r="H4037" s="73"/>
      <c r="I4037" s="74"/>
      <c r="J4037" s="102">
        <v>0</v>
      </c>
    </row>
    <row r="4038" spans="1:10" hidden="1" x14ac:dyDescent="0.25">
      <c r="A4038" s="224"/>
      <c r="B4038" s="237"/>
      <c r="C4038" s="36" t="s">
        <v>1193</v>
      </c>
      <c r="D4038" s="36" t="s">
        <v>279</v>
      </c>
      <c r="E4038" s="37">
        <v>5.9400000000000001E-2</v>
      </c>
      <c r="F4038" s="54">
        <v>2.4224999999999999</v>
      </c>
      <c r="G4038" s="54">
        <f t="shared" si="76"/>
        <v>0.14389649999999998</v>
      </c>
      <c r="H4038" s="73"/>
      <c r="I4038" s="74"/>
      <c r="J4038" s="102">
        <v>0</v>
      </c>
    </row>
    <row r="4039" spans="1:10" ht="25.5" hidden="1" x14ac:dyDescent="0.25">
      <c r="A4039" s="224"/>
      <c r="B4039" s="237"/>
      <c r="C4039" s="36" t="s">
        <v>1194</v>
      </c>
      <c r="D4039" s="36" t="s">
        <v>279</v>
      </c>
      <c r="E4039" s="37">
        <v>1.0800000000000001E-2</v>
      </c>
      <c r="F4039" s="54">
        <v>58.158999999999999</v>
      </c>
      <c r="G4039" s="54">
        <f t="shared" si="76"/>
        <v>0.62811720000000004</v>
      </c>
      <c r="H4039" s="73"/>
      <c r="I4039" s="74"/>
      <c r="J4039" s="102">
        <v>0</v>
      </c>
    </row>
    <row r="4040" spans="1:10" ht="25.5" hidden="1" x14ac:dyDescent="0.25">
      <c r="A4040" s="224"/>
      <c r="B4040" s="237"/>
      <c r="C4040" s="36" t="s">
        <v>953</v>
      </c>
      <c r="D4040" s="36" t="s">
        <v>703</v>
      </c>
      <c r="E4040" s="37">
        <v>0.13400000000000001</v>
      </c>
      <c r="F4040" s="54">
        <v>16.672499999999999</v>
      </c>
      <c r="G4040" s="54">
        <f t="shared" si="76"/>
        <v>2.2341150000000001</v>
      </c>
      <c r="H4040" s="73"/>
      <c r="I4040" s="74"/>
      <c r="J4040" s="102">
        <v>0</v>
      </c>
    </row>
    <row r="4041" spans="1:10" ht="25.5" hidden="1" x14ac:dyDescent="0.25">
      <c r="A4041" s="224"/>
      <c r="B4041" s="237"/>
      <c r="C4041" s="36" t="s">
        <v>954</v>
      </c>
      <c r="D4041" s="36" t="s">
        <v>703</v>
      </c>
      <c r="E4041" s="37">
        <v>0.13400000000000001</v>
      </c>
      <c r="F4041" s="54">
        <v>20.9</v>
      </c>
      <c r="G4041" s="54">
        <f t="shared" si="76"/>
        <v>2.8005999999999998</v>
      </c>
      <c r="H4041" s="73"/>
      <c r="I4041" s="74"/>
      <c r="J4041" s="102">
        <v>0</v>
      </c>
    </row>
    <row r="4042" spans="1:10" ht="15.75" hidden="1" thickBot="1" x14ac:dyDescent="0.3">
      <c r="A4042" s="225"/>
      <c r="B4042" s="223"/>
      <c r="C4042" s="55"/>
      <c r="D4042" s="55"/>
      <c r="E4042" s="66"/>
      <c r="F4042" s="76" t="s">
        <v>522</v>
      </c>
      <c r="G4042" s="76" t="str">
        <f t="shared" si="76"/>
        <v/>
      </c>
      <c r="H4042" s="77"/>
      <c r="I4042" s="74"/>
      <c r="J4042" s="102">
        <v>0</v>
      </c>
    </row>
    <row r="4043" spans="1:10" ht="15.75" hidden="1" thickBot="1" x14ac:dyDescent="0.3">
      <c r="A4043" s="218" t="s">
        <v>1195</v>
      </c>
      <c r="B4043" s="221" t="e">
        <f>INDEX(#REF!,MATCH(Composições!A4043,#REF!,0),2)</f>
        <v>#REF!</v>
      </c>
      <c r="C4043" s="41"/>
      <c r="D4043" s="26" t="s">
        <v>20</v>
      </c>
      <c r="E4043" s="27"/>
      <c r="F4043" s="49" t="s">
        <v>522</v>
      </c>
      <c r="G4043" s="28" t="str">
        <f t="shared" si="76"/>
        <v/>
      </c>
      <c r="H4043" s="29"/>
      <c r="I4043" s="30"/>
      <c r="J4043" s="102">
        <v>0</v>
      </c>
    </row>
    <row r="4044" spans="1:10" hidden="1" x14ac:dyDescent="0.25">
      <c r="A4044" s="224"/>
      <c r="B4044" s="237"/>
      <c r="C4044" s="32"/>
      <c r="D4044" s="32"/>
      <c r="E4044" s="33"/>
      <c r="F4044" s="54" t="s">
        <v>522</v>
      </c>
      <c r="G4044" s="54" t="str">
        <f t="shared" si="76"/>
        <v/>
      </c>
      <c r="H4044" s="73"/>
      <c r="I4044" s="74"/>
      <c r="J4044" s="102">
        <v>0</v>
      </c>
    </row>
    <row r="4045" spans="1:10" ht="25.5" hidden="1" x14ac:dyDescent="0.25">
      <c r="A4045" s="224"/>
      <c r="B4045" s="237"/>
      <c r="C4045" s="36" t="s">
        <v>1196</v>
      </c>
      <c r="D4045" s="47" t="s">
        <v>279</v>
      </c>
      <c r="E4045" s="37">
        <v>1</v>
      </c>
      <c r="F4045" s="54">
        <v>65.910999999999987</v>
      </c>
      <c r="G4045" s="54">
        <f t="shared" si="76"/>
        <v>65.910999999999987</v>
      </c>
      <c r="H4045" s="39">
        <f>SUM(G4045:G4050)</f>
        <v>78.817934649999984</v>
      </c>
      <c r="I4045" s="40"/>
      <c r="J4045" s="102">
        <v>0</v>
      </c>
    </row>
    <row r="4046" spans="1:10" ht="25.5" hidden="1" x14ac:dyDescent="0.25">
      <c r="A4046" s="224"/>
      <c r="B4046" s="237"/>
      <c r="C4046" s="36" t="s">
        <v>1192</v>
      </c>
      <c r="D4046" s="47" t="s">
        <v>279</v>
      </c>
      <c r="E4046" s="37">
        <v>1.7600000000000001E-2</v>
      </c>
      <c r="F4046" s="54">
        <v>317.24299999999999</v>
      </c>
      <c r="G4046" s="54">
        <f t="shared" si="76"/>
        <v>5.5834768000000006</v>
      </c>
      <c r="H4046" s="73"/>
      <c r="I4046" s="74"/>
      <c r="J4046" s="102">
        <v>0</v>
      </c>
    </row>
    <row r="4047" spans="1:10" hidden="1" x14ac:dyDescent="0.25">
      <c r="A4047" s="224"/>
      <c r="B4047" s="237"/>
      <c r="C4047" s="36" t="s">
        <v>1193</v>
      </c>
      <c r="D4047" s="36" t="s">
        <v>279</v>
      </c>
      <c r="E4047" s="37">
        <v>6.93E-2</v>
      </c>
      <c r="F4047" s="54">
        <v>2.4224999999999999</v>
      </c>
      <c r="G4047" s="54">
        <f t="shared" si="76"/>
        <v>0.16787924999999998</v>
      </c>
      <c r="H4047" s="73"/>
      <c r="I4047" s="74"/>
      <c r="J4047" s="102">
        <v>0</v>
      </c>
    </row>
    <row r="4048" spans="1:10" ht="25.5" hidden="1" x14ac:dyDescent="0.25">
      <c r="A4048" s="224"/>
      <c r="B4048" s="237"/>
      <c r="C4048" s="36" t="s">
        <v>1194</v>
      </c>
      <c r="D4048" s="36" t="s">
        <v>279</v>
      </c>
      <c r="E4048" s="37">
        <v>2.29E-2</v>
      </c>
      <c r="F4048" s="54">
        <v>58.158999999999999</v>
      </c>
      <c r="G4048" s="54">
        <f t="shared" si="76"/>
        <v>1.3318410999999999</v>
      </c>
      <c r="H4048" s="73"/>
      <c r="I4048" s="74"/>
      <c r="J4048" s="102">
        <v>0</v>
      </c>
    </row>
    <row r="4049" spans="1:10" ht="25.5" hidden="1" x14ac:dyDescent="0.25">
      <c r="A4049" s="224"/>
      <c r="B4049" s="237"/>
      <c r="C4049" s="36" t="s">
        <v>953</v>
      </c>
      <c r="D4049" s="36" t="s">
        <v>703</v>
      </c>
      <c r="E4049" s="37">
        <v>0.155</v>
      </c>
      <c r="F4049" s="54">
        <v>16.672499999999999</v>
      </c>
      <c r="G4049" s="54">
        <f t="shared" si="76"/>
        <v>2.5842375</v>
      </c>
      <c r="H4049" s="73"/>
      <c r="I4049" s="74"/>
      <c r="J4049" s="102">
        <v>0</v>
      </c>
    </row>
    <row r="4050" spans="1:10" ht="25.5" hidden="1" x14ac:dyDescent="0.25">
      <c r="A4050" s="224"/>
      <c r="B4050" s="237"/>
      <c r="C4050" s="36" t="s">
        <v>954</v>
      </c>
      <c r="D4050" s="36" t="s">
        <v>703</v>
      </c>
      <c r="E4050" s="37">
        <v>0.155</v>
      </c>
      <c r="F4050" s="54">
        <v>20.9</v>
      </c>
      <c r="G4050" s="54">
        <f t="shared" si="76"/>
        <v>3.2394999999999996</v>
      </c>
      <c r="H4050" s="73"/>
      <c r="I4050" s="74"/>
      <c r="J4050" s="102">
        <v>0</v>
      </c>
    </row>
    <row r="4051" spans="1:10" ht="15.75" hidden="1" thickBot="1" x14ac:dyDescent="0.3">
      <c r="A4051" s="225"/>
      <c r="B4051" s="223"/>
      <c r="C4051" s="55"/>
      <c r="D4051" s="55"/>
      <c r="E4051" s="66"/>
      <c r="F4051" s="76" t="s">
        <v>522</v>
      </c>
      <c r="G4051" s="76" t="str">
        <f t="shared" si="76"/>
        <v/>
      </c>
      <c r="H4051" s="77"/>
      <c r="I4051" s="74"/>
      <c r="J4051" s="102">
        <v>0</v>
      </c>
    </row>
    <row r="4052" spans="1:10" ht="15.75" hidden="1" thickBot="1" x14ac:dyDescent="0.3">
      <c r="A4052" s="218" t="s">
        <v>1197</v>
      </c>
      <c r="B4052" s="221" t="e">
        <f>INDEX(#REF!,MATCH(Composições!A4052,#REF!,0),2)</f>
        <v>#REF!</v>
      </c>
      <c r="C4052" s="41"/>
      <c r="D4052" s="26" t="s">
        <v>20</v>
      </c>
      <c r="E4052" s="27"/>
      <c r="F4052" s="49" t="s">
        <v>522</v>
      </c>
      <c r="G4052" s="28" t="str">
        <f t="shared" si="76"/>
        <v/>
      </c>
      <c r="H4052" s="29"/>
      <c r="I4052" s="30"/>
      <c r="J4052" s="102">
        <v>0</v>
      </c>
    </row>
    <row r="4053" spans="1:10" hidden="1" x14ac:dyDescent="0.25">
      <c r="A4053" s="224"/>
      <c r="B4053" s="237"/>
      <c r="C4053" s="32"/>
      <c r="D4053" s="32"/>
      <c r="E4053" s="33"/>
      <c r="F4053" s="54" t="s">
        <v>522</v>
      </c>
      <c r="G4053" s="54" t="str">
        <f t="shared" si="76"/>
        <v/>
      </c>
      <c r="H4053" s="73"/>
      <c r="I4053" s="74"/>
      <c r="J4053" s="102">
        <v>0</v>
      </c>
    </row>
    <row r="4054" spans="1:10" ht="25.5" hidden="1" x14ac:dyDescent="0.25">
      <c r="A4054" s="224"/>
      <c r="B4054" s="237"/>
      <c r="C4054" s="36" t="s">
        <v>1198</v>
      </c>
      <c r="D4054" s="47" t="s">
        <v>279</v>
      </c>
      <c r="E4054" s="37">
        <v>1</v>
      </c>
      <c r="F4054" s="54">
        <v>12.720499999999999</v>
      </c>
      <c r="G4054" s="54">
        <f t="shared" si="76"/>
        <v>12.720499999999999</v>
      </c>
      <c r="H4054" s="39">
        <f>SUM(G4054:G4059)</f>
        <v>18.321280099999999</v>
      </c>
      <c r="I4054" s="40"/>
      <c r="J4054" s="102">
        <v>0</v>
      </c>
    </row>
    <row r="4055" spans="1:10" ht="25.5" hidden="1" x14ac:dyDescent="0.25">
      <c r="A4055" s="224"/>
      <c r="B4055" s="237"/>
      <c r="C4055" s="36" t="s">
        <v>1192</v>
      </c>
      <c r="D4055" s="47" t="s">
        <v>279</v>
      </c>
      <c r="E4055" s="37">
        <v>4.7999999999999996E-3</v>
      </c>
      <c r="F4055" s="54">
        <v>317.24299999999999</v>
      </c>
      <c r="G4055" s="54">
        <f t="shared" si="76"/>
        <v>1.5227663999999999</v>
      </c>
      <c r="H4055" s="73"/>
      <c r="I4055" s="74"/>
      <c r="J4055" s="102">
        <v>0</v>
      </c>
    </row>
    <row r="4056" spans="1:10" hidden="1" x14ac:dyDescent="0.25">
      <c r="A4056" s="224"/>
      <c r="B4056" s="237"/>
      <c r="C4056" s="36" t="s">
        <v>1193</v>
      </c>
      <c r="D4056" s="36" t="s">
        <v>279</v>
      </c>
      <c r="E4056" s="37">
        <v>4.3200000000000002E-2</v>
      </c>
      <c r="F4056" s="54">
        <v>2.4224999999999999</v>
      </c>
      <c r="G4056" s="54">
        <f t="shared" si="76"/>
        <v>0.104652</v>
      </c>
      <c r="H4056" s="73"/>
      <c r="I4056" s="74"/>
      <c r="J4056" s="102">
        <v>0</v>
      </c>
    </row>
    <row r="4057" spans="1:10" ht="25.5" hidden="1" x14ac:dyDescent="0.25">
      <c r="A4057" s="224"/>
      <c r="B4057" s="237"/>
      <c r="C4057" s="36" t="s">
        <v>1194</v>
      </c>
      <c r="D4057" s="36" t="s">
        <v>279</v>
      </c>
      <c r="E4057" s="37">
        <v>6.3E-3</v>
      </c>
      <c r="F4057" s="54">
        <v>58.158999999999999</v>
      </c>
      <c r="G4057" s="54">
        <f t="shared" si="76"/>
        <v>0.3664017</v>
      </c>
      <c r="H4057" s="73"/>
      <c r="I4057" s="74"/>
      <c r="J4057" s="102">
        <v>0</v>
      </c>
    </row>
    <row r="4058" spans="1:10" ht="25.5" hidden="1" x14ac:dyDescent="0.25">
      <c r="A4058" s="224"/>
      <c r="B4058" s="237"/>
      <c r="C4058" s="36" t="s">
        <v>953</v>
      </c>
      <c r="D4058" s="36" t="s">
        <v>703</v>
      </c>
      <c r="E4058" s="37">
        <v>9.6000000000000002E-2</v>
      </c>
      <c r="F4058" s="54">
        <v>16.672499999999999</v>
      </c>
      <c r="G4058" s="54">
        <f t="shared" si="76"/>
        <v>1.60056</v>
      </c>
      <c r="H4058" s="73"/>
      <c r="I4058" s="74"/>
      <c r="J4058" s="102">
        <v>0</v>
      </c>
    </row>
    <row r="4059" spans="1:10" ht="25.5" hidden="1" x14ac:dyDescent="0.25">
      <c r="A4059" s="224"/>
      <c r="B4059" s="237"/>
      <c r="C4059" s="36" t="s">
        <v>954</v>
      </c>
      <c r="D4059" s="36" t="s">
        <v>703</v>
      </c>
      <c r="E4059" s="37">
        <v>9.6000000000000002E-2</v>
      </c>
      <c r="F4059" s="54">
        <v>20.9</v>
      </c>
      <c r="G4059" s="54">
        <f t="shared" si="76"/>
        <v>2.0063999999999997</v>
      </c>
      <c r="H4059" s="73"/>
      <c r="I4059" s="74"/>
      <c r="J4059" s="102">
        <v>0</v>
      </c>
    </row>
    <row r="4060" spans="1:10" ht="15.75" hidden="1" thickBot="1" x14ac:dyDescent="0.3">
      <c r="A4060" s="225"/>
      <c r="B4060" s="223"/>
      <c r="C4060" s="55"/>
      <c r="D4060" s="55"/>
      <c r="E4060" s="66"/>
      <c r="F4060" s="76" t="s">
        <v>522</v>
      </c>
      <c r="G4060" s="76" t="str">
        <f t="shared" si="76"/>
        <v/>
      </c>
      <c r="H4060" s="77"/>
      <c r="I4060" s="74"/>
      <c r="J4060" s="102">
        <v>0</v>
      </c>
    </row>
    <row r="4061" spans="1:10" ht="15.75" hidden="1" thickBot="1" x14ac:dyDescent="0.3">
      <c r="A4061" s="218" t="s">
        <v>1199</v>
      </c>
      <c r="B4061" s="221" t="e">
        <f>INDEX(#REF!,MATCH(Composições!A4061,#REF!,0),2)</f>
        <v>#REF!</v>
      </c>
      <c r="C4061" s="41"/>
      <c r="D4061" s="26" t="s">
        <v>20</v>
      </c>
      <c r="E4061" s="27"/>
      <c r="F4061" s="49" t="s">
        <v>522</v>
      </c>
      <c r="G4061" s="28" t="str">
        <f t="shared" si="76"/>
        <v/>
      </c>
      <c r="H4061" s="29"/>
      <c r="I4061" s="30"/>
      <c r="J4061" s="102">
        <v>0</v>
      </c>
    </row>
    <row r="4062" spans="1:10" hidden="1" x14ac:dyDescent="0.25">
      <c r="A4062" s="224"/>
      <c r="B4062" s="237"/>
      <c r="C4062" s="32"/>
      <c r="D4062" s="32"/>
      <c r="E4062" s="33"/>
      <c r="F4062" s="54" t="s">
        <v>522</v>
      </c>
      <c r="G4062" s="54" t="str">
        <f t="shared" si="76"/>
        <v/>
      </c>
      <c r="H4062" s="73"/>
      <c r="I4062" s="74"/>
      <c r="J4062" s="102">
        <v>0</v>
      </c>
    </row>
    <row r="4063" spans="1:10" ht="25.5" hidden="1" x14ac:dyDescent="0.25">
      <c r="A4063" s="224"/>
      <c r="B4063" s="237"/>
      <c r="C4063" s="36" t="s">
        <v>1200</v>
      </c>
      <c r="D4063" s="47" t="s">
        <v>279</v>
      </c>
      <c r="E4063" s="37">
        <v>1</v>
      </c>
      <c r="F4063" s="54">
        <v>26.675999999999998</v>
      </c>
      <c r="G4063" s="54">
        <f t="shared" si="76"/>
        <v>26.675999999999998</v>
      </c>
      <c r="H4063" s="39">
        <f>SUM(G4063:G4068)</f>
        <v>33.456807400000002</v>
      </c>
      <c r="I4063" s="40"/>
      <c r="J4063" s="102">
        <v>0</v>
      </c>
    </row>
    <row r="4064" spans="1:10" ht="25.5" hidden="1" x14ac:dyDescent="0.25">
      <c r="A4064" s="224"/>
      <c r="B4064" s="237"/>
      <c r="C4064" s="36" t="s">
        <v>1192</v>
      </c>
      <c r="D4064" s="47" t="s">
        <v>279</v>
      </c>
      <c r="E4064" s="37">
        <v>8.3999999999999995E-3</v>
      </c>
      <c r="F4064" s="54">
        <v>317.24299999999999</v>
      </c>
      <c r="G4064" s="54">
        <f t="shared" si="76"/>
        <v>2.6648411999999997</v>
      </c>
      <c r="H4064" s="73"/>
      <c r="I4064" s="74"/>
      <c r="J4064" s="102">
        <v>0</v>
      </c>
    </row>
    <row r="4065" spans="1:10" hidden="1" x14ac:dyDescent="0.25">
      <c r="A4065" s="224"/>
      <c r="B4065" s="237"/>
      <c r="C4065" s="36" t="s">
        <v>1193</v>
      </c>
      <c r="D4065" s="36" t="s">
        <v>279</v>
      </c>
      <c r="E4065" s="37">
        <v>5.9400000000000001E-2</v>
      </c>
      <c r="F4065" s="54">
        <v>2.4224999999999999</v>
      </c>
      <c r="G4065" s="54">
        <f t="shared" si="76"/>
        <v>0.14389649999999998</v>
      </c>
      <c r="H4065" s="73"/>
      <c r="I4065" s="74"/>
      <c r="J4065" s="102">
        <v>0</v>
      </c>
    </row>
    <row r="4066" spans="1:10" ht="25.5" hidden="1" x14ac:dyDescent="0.25">
      <c r="A4066" s="224"/>
      <c r="B4066" s="237"/>
      <c r="C4066" s="36" t="s">
        <v>1194</v>
      </c>
      <c r="D4066" s="36" t="s">
        <v>279</v>
      </c>
      <c r="E4066" s="37">
        <v>1.0800000000000001E-2</v>
      </c>
      <c r="F4066" s="54">
        <v>58.158999999999999</v>
      </c>
      <c r="G4066" s="54">
        <f t="shared" si="76"/>
        <v>0.62811720000000004</v>
      </c>
      <c r="H4066" s="73"/>
      <c r="I4066" s="74"/>
      <c r="J4066" s="102">
        <v>0</v>
      </c>
    </row>
    <row r="4067" spans="1:10" ht="25.5" hidden="1" x14ac:dyDescent="0.25">
      <c r="A4067" s="224"/>
      <c r="B4067" s="237"/>
      <c r="C4067" s="36" t="s">
        <v>953</v>
      </c>
      <c r="D4067" s="36" t="s">
        <v>703</v>
      </c>
      <c r="E4067" s="37">
        <v>8.8999999999999996E-2</v>
      </c>
      <c r="F4067" s="54">
        <v>16.672499999999999</v>
      </c>
      <c r="G4067" s="54">
        <f t="shared" si="76"/>
        <v>1.4838524999999998</v>
      </c>
      <c r="H4067" s="73"/>
      <c r="I4067" s="74"/>
      <c r="J4067" s="102">
        <v>0</v>
      </c>
    </row>
    <row r="4068" spans="1:10" ht="25.5" hidden="1" x14ac:dyDescent="0.25">
      <c r="A4068" s="224"/>
      <c r="B4068" s="237"/>
      <c r="C4068" s="36" t="s">
        <v>954</v>
      </c>
      <c r="D4068" s="36" t="s">
        <v>703</v>
      </c>
      <c r="E4068" s="37">
        <v>8.8999999999999996E-2</v>
      </c>
      <c r="F4068" s="54">
        <v>20.9</v>
      </c>
      <c r="G4068" s="54">
        <f t="shared" si="76"/>
        <v>1.8600999999999999</v>
      </c>
      <c r="H4068" s="73"/>
      <c r="I4068" s="74"/>
      <c r="J4068" s="102">
        <v>0</v>
      </c>
    </row>
    <row r="4069" spans="1:10" ht="15.75" hidden="1" thickBot="1" x14ac:dyDescent="0.3">
      <c r="A4069" s="225"/>
      <c r="B4069" s="223"/>
      <c r="C4069" s="55"/>
      <c r="D4069" s="55"/>
      <c r="E4069" s="66"/>
      <c r="F4069" s="76" t="s">
        <v>522</v>
      </c>
      <c r="G4069" s="76" t="str">
        <f t="shared" si="76"/>
        <v/>
      </c>
      <c r="H4069" s="77"/>
      <c r="I4069" s="74"/>
      <c r="J4069" s="102">
        <v>0</v>
      </c>
    </row>
    <row r="4070" spans="1:10" ht="15.75" hidden="1" thickBot="1" x14ac:dyDescent="0.3">
      <c r="A4070" s="218" t="s">
        <v>1201</v>
      </c>
      <c r="B4070" s="221" t="e">
        <f>INDEX(#REF!,MATCH(Composições!A4070,#REF!,0),2)</f>
        <v>#REF!</v>
      </c>
      <c r="C4070" s="41"/>
      <c r="D4070" s="26" t="s">
        <v>20</v>
      </c>
      <c r="E4070" s="27"/>
      <c r="F4070" s="49" t="s">
        <v>522</v>
      </c>
      <c r="G4070" s="28" t="str">
        <f t="shared" si="76"/>
        <v/>
      </c>
      <c r="H4070" s="29"/>
      <c r="I4070" s="30"/>
      <c r="J4070" s="102">
        <v>0</v>
      </c>
    </row>
    <row r="4071" spans="1:10" hidden="1" x14ac:dyDescent="0.25">
      <c r="A4071" s="224"/>
      <c r="B4071" s="237"/>
      <c r="C4071" s="32"/>
      <c r="D4071" s="32"/>
      <c r="E4071" s="33"/>
      <c r="F4071" s="54" t="s">
        <v>522</v>
      </c>
      <c r="G4071" s="54" t="str">
        <f t="shared" si="76"/>
        <v/>
      </c>
      <c r="H4071" s="73"/>
      <c r="I4071" s="74"/>
      <c r="J4071" s="102">
        <v>0</v>
      </c>
    </row>
    <row r="4072" spans="1:10" ht="25.5" hidden="1" x14ac:dyDescent="0.25">
      <c r="A4072" s="224"/>
      <c r="B4072" s="237"/>
      <c r="C4072" s="36" t="s">
        <v>1202</v>
      </c>
      <c r="D4072" s="47" t="s">
        <v>279</v>
      </c>
      <c r="E4072" s="37">
        <v>1</v>
      </c>
      <c r="F4072" s="54">
        <v>33.838999999999999</v>
      </c>
      <c r="G4072" s="54">
        <f t="shared" si="76"/>
        <v>33.838999999999999</v>
      </c>
      <c r="H4072" s="39">
        <f>SUM(G4072:G4077)</f>
        <v>44.792164649999997</v>
      </c>
      <c r="I4072" s="40"/>
      <c r="J4072" s="102">
        <v>0</v>
      </c>
    </row>
    <row r="4073" spans="1:10" ht="25.5" hidden="1" x14ac:dyDescent="0.25">
      <c r="A4073" s="224"/>
      <c r="B4073" s="237"/>
      <c r="C4073" s="36" t="s">
        <v>1192</v>
      </c>
      <c r="D4073" s="47" t="s">
        <v>279</v>
      </c>
      <c r="E4073" s="37">
        <v>1.7600000000000001E-2</v>
      </c>
      <c r="F4073" s="54">
        <v>317.24299999999999</v>
      </c>
      <c r="G4073" s="54">
        <f t="shared" si="76"/>
        <v>5.5834768000000006</v>
      </c>
      <c r="H4073" s="73"/>
      <c r="I4073" s="74"/>
      <c r="J4073" s="102">
        <v>0</v>
      </c>
    </row>
    <row r="4074" spans="1:10" hidden="1" x14ac:dyDescent="0.25">
      <c r="A4074" s="224"/>
      <c r="B4074" s="237"/>
      <c r="C4074" s="36" t="s">
        <v>1193</v>
      </c>
      <c r="D4074" s="36" t="s">
        <v>279</v>
      </c>
      <c r="E4074" s="37">
        <v>6.93E-2</v>
      </c>
      <c r="F4074" s="54">
        <v>2.4224999999999999</v>
      </c>
      <c r="G4074" s="54">
        <f t="shared" si="76"/>
        <v>0.16787924999999998</v>
      </c>
      <c r="H4074" s="73"/>
      <c r="I4074" s="74"/>
      <c r="J4074" s="102">
        <v>0</v>
      </c>
    </row>
    <row r="4075" spans="1:10" ht="25.5" hidden="1" x14ac:dyDescent="0.25">
      <c r="A4075" s="224"/>
      <c r="B4075" s="237"/>
      <c r="C4075" s="36" t="s">
        <v>1194</v>
      </c>
      <c r="D4075" s="36" t="s">
        <v>279</v>
      </c>
      <c r="E4075" s="37">
        <v>2.29E-2</v>
      </c>
      <c r="F4075" s="54">
        <v>58.158999999999999</v>
      </c>
      <c r="G4075" s="54">
        <f t="shared" si="76"/>
        <v>1.3318410999999999</v>
      </c>
      <c r="H4075" s="73"/>
      <c r="I4075" s="74"/>
      <c r="J4075" s="102">
        <v>0</v>
      </c>
    </row>
    <row r="4076" spans="1:10" ht="25.5" hidden="1" x14ac:dyDescent="0.25">
      <c r="A4076" s="224"/>
      <c r="B4076" s="237"/>
      <c r="C4076" s="36" t="s">
        <v>953</v>
      </c>
      <c r="D4076" s="36" t="s">
        <v>703</v>
      </c>
      <c r="E4076" s="37">
        <v>0.10299999999999999</v>
      </c>
      <c r="F4076" s="54">
        <v>16.672499999999999</v>
      </c>
      <c r="G4076" s="54">
        <f t="shared" si="76"/>
        <v>1.7172674999999999</v>
      </c>
      <c r="H4076" s="73"/>
      <c r="I4076" s="74"/>
      <c r="J4076" s="102">
        <v>0</v>
      </c>
    </row>
    <row r="4077" spans="1:10" ht="25.5" hidden="1" x14ac:dyDescent="0.25">
      <c r="A4077" s="224"/>
      <c r="B4077" s="237"/>
      <c r="C4077" s="36" t="s">
        <v>954</v>
      </c>
      <c r="D4077" s="36" t="s">
        <v>703</v>
      </c>
      <c r="E4077" s="37">
        <v>0.10299999999999999</v>
      </c>
      <c r="F4077" s="54">
        <v>20.9</v>
      </c>
      <c r="G4077" s="54">
        <f t="shared" si="76"/>
        <v>2.1526999999999998</v>
      </c>
      <c r="H4077" s="73"/>
      <c r="I4077" s="74"/>
      <c r="J4077" s="102">
        <v>0</v>
      </c>
    </row>
    <row r="4078" spans="1:10" ht="15.75" hidden="1" thickBot="1" x14ac:dyDescent="0.3">
      <c r="A4078" s="225"/>
      <c r="B4078" s="223"/>
      <c r="C4078" s="55"/>
      <c r="D4078" s="55"/>
      <c r="E4078" s="66"/>
      <c r="F4078" s="76" t="s">
        <v>522</v>
      </c>
      <c r="G4078" s="76" t="str">
        <f t="shared" si="76"/>
        <v/>
      </c>
      <c r="H4078" s="77"/>
      <c r="I4078" s="74"/>
      <c r="J4078" s="102">
        <v>0</v>
      </c>
    </row>
    <row r="4079" spans="1:10" ht="15.75" hidden="1" thickBot="1" x14ac:dyDescent="0.3">
      <c r="A4079" s="218" t="s">
        <v>1203</v>
      </c>
      <c r="B4079" s="221" t="e">
        <f>INDEX(#REF!,MATCH(Composições!A4079,#REF!,0),2)</f>
        <v>#REF!</v>
      </c>
      <c r="C4079" s="41"/>
      <c r="D4079" s="26" t="s">
        <v>20</v>
      </c>
      <c r="E4079" s="27"/>
      <c r="F4079" s="49" t="s">
        <v>522</v>
      </c>
      <c r="G4079" s="28" t="str">
        <f t="shared" si="76"/>
        <v/>
      </c>
      <c r="H4079" s="29"/>
      <c r="I4079" s="30"/>
      <c r="J4079" s="102">
        <v>0</v>
      </c>
    </row>
    <row r="4080" spans="1:10" hidden="1" x14ac:dyDescent="0.25">
      <c r="A4080" s="224"/>
      <c r="B4080" s="237"/>
      <c r="C4080" s="32"/>
      <c r="D4080" s="32"/>
      <c r="E4080" s="33"/>
      <c r="F4080" s="54" t="s">
        <v>522</v>
      </c>
      <c r="G4080" s="54" t="str">
        <f t="shared" si="76"/>
        <v/>
      </c>
      <c r="H4080" s="73"/>
      <c r="I4080" s="74"/>
      <c r="J4080" s="102">
        <v>0</v>
      </c>
    </row>
    <row r="4081" spans="1:10" ht="25.5" hidden="1" x14ac:dyDescent="0.25">
      <c r="A4081" s="224"/>
      <c r="B4081" s="237"/>
      <c r="C4081" s="36" t="s">
        <v>1204</v>
      </c>
      <c r="D4081" s="47" t="s">
        <v>279</v>
      </c>
      <c r="E4081" s="37">
        <v>1</v>
      </c>
      <c r="F4081" s="54">
        <v>6.0229999999999997</v>
      </c>
      <c r="G4081" s="54">
        <f t="shared" ref="G4081:G4144" si="77">IF(ISNUMBER(F4081),E4081*F4081,"")</f>
        <v>6.0229999999999997</v>
      </c>
      <c r="H4081" s="39">
        <f>SUM(G4081:G4086)</f>
        <v>10.421460100000001</v>
      </c>
      <c r="I4081" s="40"/>
      <c r="J4081" s="102">
        <v>0</v>
      </c>
    </row>
    <row r="4082" spans="1:10" ht="25.5" hidden="1" x14ac:dyDescent="0.25">
      <c r="A4082" s="224"/>
      <c r="B4082" s="237"/>
      <c r="C4082" s="36" t="s">
        <v>1192</v>
      </c>
      <c r="D4082" s="47" t="s">
        <v>279</v>
      </c>
      <c r="E4082" s="37">
        <v>4.7999999999999996E-3</v>
      </c>
      <c r="F4082" s="54">
        <v>317.24299999999999</v>
      </c>
      <c r="G4082" s="54">
        <f t="shared" si="77"/>
        <v>1.5227663999999999</v>
      </c>
      <c r="H4082" s="73"/>
      <c r="I4082" s="74"/>
      <c r="J4082" s="102">
        <v>0</v>
      </c>
    </row>
    <row r="4083" spans="1:10" hidden="1" x14ac:dyDescent="0.25">
      <c r="A4083" s="224"/>
      <c r="B4083" s="237"/>
      <c r="C4083" s="36" t="s">
        <v>1193</v>
      </c>
      <c r="D4083" s="36" t="s">
        <v>279</v>
      </c>
      <c r="E4083" s="37">
        <v>4.3200000000000002E-2</v>
      </c>
      <c r="F4083" s="54">
        <v>2.4224999999999999</v>
      </c>
      <c r="G4083" s="54">
        <f t="shared" si="77"/>
        <v>0.104652</v>
      </c>
      <c r="H4083" s="73"/>
      <c r="I4083" s="74"/>
      <c r="J4083" s="102">
        <v>0</v>
      </c>
    </row>
    <row r="4084" spans="1:10" ht="25.5" hidden="1" x14ac:dyDescent="0.25">
      <c r="A4084" s="224"/>
      <c r="B4084" s="237"/>
      <c r="C4084" s="36" t="s">
        <v>1194</v>
      </c>
      <c r="D4084" s="36" t="s">
        <v>279</v>
      </c>
      <c r="E4084" s="37">
        <v>6.3E-3</v>
      </c>
      <c r="F4084" s="54">
        <v>58.158999999999999</v>
      </c>
      <c r="G4084" s="54">
        <f t="shared" si="77"/>
        <v>0.3664017</v>
      </c>
      <c r="H4084" s="73"/>
      <c r="I4084" s="74"/>
      <c r="J4084" s="102">
        <v>0</v>
      </c>
    </row>
    <row r="4085" spans="1:10" ht="25.5" hidden="1" x14ac:dyDescent="0.25">
      <c r="A4085" s="224"/>
      <c r="B4085" s="237"/>
      <c r="C4085" s="36" t="s">
        <v>953</v>
      </c>
      <c r="D4085" s="36" t="s">
        <v>703</v>
      </c>
      <c r="E4085" s="37">
        <v>6.4000000000000001E-2</v>
      </c>
      <c r="F4085" s="54">
        <v>16.672499999999999</v>
      </c>
      <c r="G4085" s="54">
        <f t="shared" si="77"/>
        <v>1.06704</v>
      </c>
      <c r="H4085" s="73"/>
      <c r="I4085" s="74"/>
      <c r="J4085" s="102">
        <v>0</v>
      </c>
    </row>
    <row r="4086" spans="1:10" ht="25.5" hidden="1" x14ac:dyDescent="0.25">
      <c r="A4086" s="224"/>
      <c r="B4086" s="237"/>
      <c r="C4086" s="36" t="s">
        <v>954</v>
      </c>
      <c r="D4086" s="36" t="s">
        <v>703</v>
      </c>
      <c r="E4086" s="37">
        <v>6.4000000000000001E-2</v>
      </c>
      <c r="F4086" s="54">
        <v>20.9</v>
      </c>
      <c r="G4086" s="54">
        <f t="shared" si="77"/>
        <v>1.3375999999999999</v>
      </c>
      <c r="H4086" s="73"/>
      <c r="I4086" s="74"/>
      <c r="J4086" s="102">
        <v>0</v>
      </c>
    </row>
    <row r="4087" spans="1:10" ht="15.75" hidden="1" thickBot="1" x14ac:dyDescent="0.3">
      <c r="A4087" s="225"/>
      <c r="B4087" s="223"/>
      <c r="C4087" s="55"/>
      <c r="D4087" s="55"/>
      <c r="E4087" s="66"/>
      <c r="F4087" s="76" t="s">
        <v>522</v>
      </c>
      <c r="G4087" s="76" t="str">
        <f t="shared" si="77"/>
        <v/>
      </c>
      <c r="H4087" s="77"/>
      <c r="I4087" s="74"/>
      <c r="J4087" s="102">
        <v>0</v>
      </c>
    </row>
    <row r="4088" spans="1:10" ht="15.75" hidden="1" thickBot="1" x14ac:dyDescent="0.3">
      <c r="A4088" s="218" t="s">
        <v>1205</v>
      </c>
      <c r="B4088" s="221" t="e">
        <f>INDEX(#REF!,MATCH(Composições!A4088,#REF!,0),2)</f>
        <v>#REF!</v>
      </c>
      <c r="C4088" s="41"/>
      <c r="D4088" s="26" t="s">
        <v>93</v>
      </c>
      <c r="E4088" s="27"/>
      <c r="F4088" s="49" t="s">
        <v>522</v>
      </c>
      <c r="G4088" s="28" t="str">
        <f t="shared" si="77"/>
        <v/>
      </c>
      <c r="H4088" s="29"/>
      <c r="I4088" s="30"/>
      <c r="J4088" s="102">
        <v>0</v>
      </c>
    </row>
    <row r="4089" spans="1:10" hidden="1" x14ac:dyDescent="0.25">
      <c r="A4089" s="224"/>
      <c r="B4089" s="237"/>
      <c r="C4089" s="32"/>
      <c r="D4089" s="32"/>
      <c r="E4089" s="33"/>
      <c r="F4089" s="54" t="s">
        <v>522</v>
      </c>
      <c r="G4089" s="54" t="str">
        <f t="shared" si="77"/>
        <v/>
      </c>
      <c r="H4089" s="73"/>
      <c r="I4089" s="74"/>
      <c r="J4089" s="102">
        <v>0</v>
      </c>
    </row>
    <row r="4090" spans="1:10" ht="38.25" hidden="1" x14ac:dyDescent="0.25">
      <c r="A4090" s="224"/>
      <c r="B4090" s="237"/>
      <c r="C4090" s="36" t="s">
        <v>1206</v>
      </c>
      <c r="D4090" s="36" t="s">
        <v>479</v>
      </c>
      <c r="E4090" s="37">
        <v>1.0210999999999999</v>
      </c>
      <c r="F4090" s="54">
        <v>161.50949999999997</v>
      </c>
      <c r="G4090" s="54">
        <f t="shared" si="77"/>
        <v>164.91735044999996</v>
      </c>
      <c r="H4090" s="39">
        <f>SUM(G4090:G4092)</f>
        <v>167.39713544999995</v>
      </c>
      <c r="I4090" s="40"/>
      <c r="J4090" s="102">
        <v>0</v>
      </c>
    </row>
    <row r="4091" spans="1:10" ht="25.5" hidden="1" x14ac:dyDescent="0.25">
      <c r="A4091" s="224"/>
      <c r="B4091" s="237"/>
      <c r="C4091" s="36" t="s">
        <v>953</v>
      </c>
      <c r="D4091" s="36" t="s">
        <v>703</v>
      </c>
      <c r="E4091" s="37">
        <v>6.6000000000000003E-2</v>
      </c>
      <c r="F4091" s="54">
        <v>16.672499999999999</v>
      </c>
      <c r="G4091" s="54">
        <f t="shared" si="77"/>
        <v>1.1003849999999999</v>
      </c>
      <c r="H4091" s="73"/>
      <c r="I4091" s="74"/>
      <c r="J4091" s="102">
        <v>0</v>
      </c>
    </row>
    <row r="4092" spans="1:10" ht="25.5" hidden="1" x14ac:dyDescent="0.25">
      <c r="A4092" s="224"/>
      <c r="B4092" s="237"/>
      <c r="C4092" s="36" t="s">
        <v>954</v>
      </c>
      <c r="D4092" s="36" t="s">
        <v>703</v>
      </c>
      <c r="E4092" s="37">
        <v>6.6000000000000003E-2</v>
      </c>
      <c r="F4092" s="54">
        <v>20.9</v>
      </c>
      <c r="G4092" s="54">
        <f t="shared" si="77"/>
        <v>1.3794</v>
      </c>
      <c r="H4092" s="73"/>
      <c r="I4092" s="74"/>
      <c r="J4092" s="102">
        <v>0</v>
      </c>
    </row>
    <row r="4093" spans="1:10" ht="15.75" hidden="1" thickBot="1" x14ac:dyDescent="0.3">
      <c r="A4093" s="224"/>
      <c r="B4093" s="237"/>
      <c r="C4093" s="55"/>
      <c r="D4093" s="55"/>
      <c r="E4093" s="66"/>
      <c r="F4093" s="76" t="s">
        <v>522</v>
      </c>
      <c r="G4093" s="76" t="str">
        <f t="shared" si="77"/>
        <v/>
      </c>
      <c r="H4093" s="77"/>
      <c r="I4093" s="74"/>
      <c r="J4093" s="102">
        <v>0</v>
      </c>
    </row>
    <row r="4094" spans="1:10" ht="15.75" hidden="1" thickBot="1" x14ac:dyDescent="0.3">
      <c r="A4094" s="218" t="s">
        <v>1207</v>
      </c>
      <c r="B4094" s="221" t="e">
        <f>INDEX(#REF!,MATCH(Composições!A4094,#REF!,0),2)</f>
        <v>#REF!</v>
      </c>
      <c r="C4094" s="41"/>
      <c r="D4094" s="26" t="s">
        <v>93</v>
      </c>
      <c r="E4094" s="27"/>
      <c r="F4094" s="49" t="s">
        <v>522</v>
      </c>
      <c r="G4094" s="28" t="str">
        <f t="shared" si="77"/>
        <v/>
      </c>
      <c r="H4094" s="29"/>
      <c r="I4094" s="30"/>
      <c r="J4094" s="102">
        <v>0</v>
      </c>
    </row>
    <row r="4095" spans="1:10" hidden="1" x14ac:dyDescent="0.25">
      <c r="A4095" s="224"/>
      <c r="B4095" s="237"/>
      <c r="C4095" s="32"/>
      <c r="D4095" s="32"/>
      <c r="E4095" s="33"/>
      <c r="F4095" s="54" t="s">
        <v>522</v>
      </c>
      <c r="G4095" s="54" t="str">
        <f t="shared" si="77"/>
        <v/>
      </c>
      <c r="H4095" s="73"/>
      <c r="I4095" s="74"/>
      <c r="J4095" s="102">
        <v>0</v>
      </c>
    </row>
    <row r="4096" spans="1:10" ht="38.25" hidden="1" x14ac:dyDescent="0.25">
      <c r="A4096" s="224"/>
      <c r="B4096" s="237"/>
      <c r="C4096" s="36" t="s">
        <v>1208</v>
      </c>
      <c r="D4096" s="36" t="s">
        <v>479</v>
      </c>
      <c r="E4096" s="37">
        <v>1.0210999999999999</v>
      </c>
      <c r="F4096" s="54">
        <v>194.31299999999999</v>
      </c>
      <c r="G4096" s="54">
        <f t="shared" si="77"/>
        <v>198.41300429999995</v>
      </c>
      <c r="H4096" s="39">
        <f>SUM(G4096:G4098)</f>
        <v>201.26851429999996</v>
      </c>
      <c r="I4096" s="40"/>
      <c r="J4096" s="102">
        <v>0</v>
      </c>
    </row>
    <row r="4097" spans="1:10" ht="25.5" hidden="1" x14ac:dyDescent="0.25">
      <c r="A4097" s="224"/>
      <c r="B4097" s="237"/>
      <c r="C4097" s="36" t="s">
        <v>953</v>
      </c>
      <c r="D4097" s="36" t="s">
        <v>703</v>
      </c>
      <c r="E4097" s="37">
        <v>7.5999999999999998E-2</v>
      </c>
      <c r="F4097" s="54">
        <v>16.672499999999999</v>
      </c>
      <c r="G4097" s="54">
        <f t="shared" si="77"/>
        <v>1.26711</v>
      </c>
      <c r="H4097" s="73"/>
      <c r="I4097" s="74"/>
      <c r="J4097" s="102">
        <v>0</v>
      </c>
    </row>
    <row r="4098" spans="1:10" ht="25.5" hidden="1" x14ac:dyDescent="0.25">
      <c r="A4098" s="224"/>
      <c r="B4098" s="237"/>
      <c r="C4098" s="36" t="s">
        <v>954</v>
      </c>
      <c r="D4098" s="36" t="s">
        <v>703</v>
      </c>
      <c r="E4098" s="37">
        <v>7.5999999999999998E-2</v>
      </c>
      <c r="F4098" s="54">
        <v>20.9</v>
      </c>
      <c r="G4098" s="54">
        <f t="shared" si="77"/>
        <v>1.5883999999999998</v>
      </c>
      <c r="H4098" s="73"/>
      <c r="I4098" s="74"/>
      <c r="J4098" s="102">
        <v>0</v>
      </c>
    </row>
    <row r="4099" spans="1:10" ht="15.75" hidden="1" thickBot="1" x14ac:dyDescent="0.3">
      <c r="A4099" s="224"/>
      <c r="B4099" s="237"/>
      <c r="C4099" s="55"/>
      <c r="D4099" s="55"/>
      <c r="E4099" s="66"/>
      <c r="F4099" s="76" t="s">
        <v>522</v>
      </c>
      <c r="G4099" s="76" t="str">
        <f t="shared" si="77"/>
        <v/>
      </c>
      <c r="H4099" s="77"/>
      <c r="I4099" s="74"/>
      <c r="J4099" s="102">
        <v>0</v>
      </c>
    </row>
    <row r="4100" spans="1:10" ht="15.75" hidden="1" thickBot="1" x14ac:dyDescent="0.3">
      <c r="A4100" s="218" t="s">
        <v>1209</v>
      </c>
      <c r="B4100" s="221" t="e">
        <f>INDEX(#REF!,MATCH(Composições!A4100,#REF!,0),2)</f>
        <v>#REF!</v>
      </c>
      <c r="C4100" s="41"/>
      <c r="D4100" s="26" t="s">
        <v>93</v>
      </c>
      <c r="E4100" s="27"/>
      <c r="F4100" s="49" t="s">
        <v>522</v>
      </c>
      <c r="G4100" s="28" t="str">
        <f t="shared" si="77"/>
        <v/>
      </c>
      <c r="H4100" s="29"/>
      <c r="I4100" s="30"/>
      <c r="J4100" s="102">
        <v>0</v>
      </c>
    </row>
    <row r="4101" spans="1:10" hidden="1" x14ac:dyDescent="0.25">
      <c r="A4101" s="224"/>
      <c r="B4101" s="237"/>
      <c r="C4101" s="32"/>
      <c r="D4101" s="32"/>
      <c r="E4101" s="33"/>
      <c r="F4101" s="54" t="s">
        <v>522</v>
      </c>
      <c r="G4101" s="54" t="str">
        <f t="shared" si="77"/>
        <v/>
      </c>
      <c r="H4101" s="73"/>
      <c r="I4101" s="74"/>
      <c r="J4101" s="102">
        <v>0</v>
      </c>
    </row>
    <row r="4102" spans="1:10" ht="38.25" hidden="1" x14ac:dyDescent="0.25">
      <c r="A4102" s="224"/>
      <c r="B4102" s="237"/>
      <c r="C4102" s="36" t="s">
        <v>1210</v>
      </c>
      <c r="D4102" s="47" t="s">
        <v>479</v>
      </c>
      <c r="E4102" s="37">
        <v>1.1000000000000001</v>
      </c>
      <c r="F4102" s="54">
        <v>33.554000000000002</v>
      </c>
      <c r="G4102" s="54">
        <f t="shared" si="77"/>
        <v>36.909400000000005</v>
      </c>
      <c r="H4102" s="39">
        <f>SUM(G4102:G4105)</f>
        <v>42.037634900000008</v>
      </c>
      <c r="I4102" s="40"/>
      <c r="J4102" s="102">
        <v>0</v>
      </c>
    </row>
    <row r="4103" spans="1:10" ht="25.5" hidden="1" x14ac:dyDescent="0.25">
      <c r="A4103" s="224"/>
      <c r="B4103" s="237"/>
      <c r="C4103" s="36" t="s">
        <v>1897</v>
      </c>
      <c r="D4103" s="47" t="s">
        <v>898</v>
      </c>
      <c r="E4103" s="37">
        <v>2.3E-3</v>
      </c>
      <c r="F4103" s="54">
        <v>24.738</v>
      </c>
      <c r="G4103" s="54">
        <f t="shared" si="77"/>
        <v>5.6897400000000001E-2</v>
      </c>
      <c r="H4103" s="73"/>
      <c r="I4103" s="74"/>
      <c r="J4103" s="102">
        <v>0</v>
      </c>
    </row>
    <row r="4104" spans="1:10" hidden="1" x14ac:dyDescent="0.25">
      <c r="A4104" s="224"/>
      <c r="B4104" s="237"/>
      <c r="C4104" s="36" t="s">
        <v>1159</v>
      </c>
      <c r="D4104" s="36" t="s">
        <v>703</v>
      </c>
      <c r="E4104" s="37">
        <v>0.13100000000000001</v>
      </c>
      <c r="F4104" s="54">
        <v>17.024000000000001</v>
      </c>
      <c r="G4104" s="54">
        <f t="shared" si="77"/>
        <v>2.2301440000000001</v>
      </c>
      <c r="H4104" s="73"/>
      <c r="I4104" s="74"/>
      <c r="J4104" s="102">
        <v>0</v>
      </c>
    </row>
    <row r="4105" spans="1:10" hidden="1" x14ac:dyDescent="0.25">
      <c r="A4105" s="224"/>
      <c r="B4105" s="237"/>
      <c r="C4105" s="36" t="s">
        <v>1160</v>
      </c>
      <c r="D4105" s="36" t="s">
        <v>703</v>
      </c>
      <c r="E4105" s="37">
        <v>0.13100000000000001</v>
      </c>
      <c r="F4105" s="54">
        <v>21.688499999999998</v>
      </c>
      <c r="G4105" s="54">
        <f t="shared" si="77"/>
        <v>2.8411934999999997</v>
      </c>
      <c r="H4105" s="73"/>
      <c r="I4105" s="74"/>
      <c r="J4105" s="102">
        <v>0</v>
      </c>
    </row>
    <row r="4106" spans="1:10" ht="15.75" hidden="1" thickBot="1" x14ac:dyDescent="0.3">
      <c r="A4106" s="224"/>
      <c r="B4106" s="237"/>
      <c r="C4106" s="55"/>
      <c r="D4106" s="55"/>
      <c r="E4106" s="66"/>
      <c r="F4106" s="76" t="s">
        <v>522</v>
      </c>
      <c r="G4106" s="76" t="str">
        <f t="shared" si="77"/>
        <v/>
      </c>
      <c r="H4106" s="77"/>
      <c r="I4106" s="74"/>
      <c r="J4106" s="102">
        <v>0</v>
      </c>
    </row>
    <row r="4107" spans="1:10" ht="15.75" hidden="1" thickBot="1" x14ac:dyDescent="0.3">
      <c r="A4107" s="218" t="s">
        <v>1211</v>
      </c>
      <c r="B4107" s="221" t="e">
        <f>INDEX(#REF!,MATCH(Composições!A4107,#REF!,0),2)</f>
        <v>#REF!</v>
      </c>
      <c r="C4107" s="41"/>
      <c r="D4107" s="26" t="s">
        <v>1514</v>
      </c>
      <c r="E4107" s="27"/>
      <c r="F4107" s="49" t="s">
        <v>522</v>
      </c>
      <c r="G4107" s="28" t="str">
        <f t="shared" si="77"/>
        <v/>
      </c>
      <c r="H4107" s="29"/>
      <c r="I4107" s="30"/>
      <c r="J4107" s="102">
        <v>0</v>
      </c>
    </row>
    <row r="4108" spans="1:10" hidden="1" x14ac:dyDescent="0.25">
      <c r="A4108" s="224"/>
      <c r="B4108" s="237"/>
      <c r="C4108" s="32"/>
      <c r="D4108" s="32"/>
      <c r="E4108" s="33"/>
      <c r="F4108" s="54" t="s">
        <v>522</v>
      </c>
      <c r="G4108" s="54" t="str">
        <f t="shared" si="77"/>
        <v/>
      </c>
      <c r="H4108" s="73"/>
      <c r="I4108" s="74"/>
      <c r="J4108" s="102">
        <v>0</v>
      </c>
    </row>
    <row r="4109" spans="1:10" hidden="1" x14ac:dyDescent="0.25">
      <c r="A4109" s="224"/>
      <c r="B4109" s="237"/>
      <c r="C4109" s="36" t="s">
        <v>1212</v>
      </c>
      <c r="D4109" s="36" t="s">
        <v>703</v>
      </c>
      <c r="E4109" s="37">
        <f>ROUND(1/(1+70.03%),2)</f>
        <v>0.59</v>
      </c>
      <c r="F4109" s="54">
        <v>2804.248</v>
      </c>
      <c r="G4109" s="54">
        <f t="shared" si="77"/>
        <v>1654.50632</v>
      </c>
      <c r="H4109" s="39">
        <f>SUM(G4109:G4109)</f>
        <v>1654.50632</v>
      </c>
      <c r="I4109" s="40"/>
      <c r="J4109" s="102">
        <v>0</v>
      </c>
    </row>
    <row r="4110" spans="1:10" hidden="1" x14ac:dyDescent="0.25">
      <c r="A4110" s="224"/>
      <c r="B4110" s="237"/>
      <c r="C4110" s="36"/>
      <c r="D4110" s="47"/>
      <c r="E4110" s="37"/>
      <c r="F4110" s="54" t="s">
        <v>522</v>
      </c>
      <c r="G4110" s="54" t="str">
        <f t="shared" si="77"/>
        <v/>
      </c>
      <c r="H4110" s="73"/>
      <c r="I4110" s="74"/>
      <c r="J4110" s="102">
        <v>0</v>
      </c>
    </row>
    <row r="4111" spans="1:10" ht="25.5" hidden="1" x14ac:dyDescent="0.25">
      <c r="A4111" s="224"/>
      <c r="B4111" s="237"/>
      <c r="C4111" s="48" t="s">
        <v>781</v>
      </c>
      <c r="D4111" s="47"/>
      <c r="E4111" s="37"/>
      <c r="F4111" s="54" t="s">
        <v>522</v>
      </c>
      <c r="G4111" s="54" t="str">
        <f t="shared" si="77"/>
        <v/>
      </c>
      <c r="H4111" s="73"/>
      <c r="I4111" s="74"/>
      <c r="J4111" s="102">
        <v>0</v>
      </c>
    </row>
    <row r="4112" spans="1:10" ht="15.75" hidden="1" thickBot="1" x14ac:dyDescent="0.3">
      <c r="A4112" s="224"/>
      <c r="B4112" s="237"/>
      <c r="C4112" s="55"/>
      <c r="D4112" s="55"/>
      <c r="E4112" s="66"/>
      <c r="F4112" s="76" t="s">
        <v>522</v>
      </c>
      <c r="G4112" s="76" t="str">
        <f t="shared" si="77"/>
        <v/>
      </c>
      <c r="H4112" s="77"/>
      <c r="I4112" s="74"/>
      <c r="J4112" s="102">
        <v>0</v>
      </c>
    </row>
    <row r="4113" spans="1:10" ht="15.75" hidden="1" thickBot="1" x14ac:dyDescent="0.3">
      <c r="A4113" s="218" t="s">
        <v>1213</v>
      </c>
      <c r="B4113" s="221" t="e">
        <f>INDEX(#REF!,MATCH(Composições!A4113,#REF!,0),2)</f>
        <v>#REF!</v>
      </c>
      <c r="C4113" s="41"/>
      <c r="D4113" s="26" t="s">
        <v>95</v>
      </c>
      <c r="E4113" s="27"/>
      <c r="F4113" s="49" t="s">
        <v>522</v>
      </c>
      <c r="G4113" s="28" t="str">
        <f t="shared" si="77"/>
        <v/>
      </c>
      <c r="H4113" s="29"/>
      <c r="I4113" s="30"/>
      <c r="J4113" s="102">
        <v>0</v>
      </c>
    </row>
    <row r="4114" spans="1:10" hidden="1" x14ac:dyDescent="0.25">
      <c r="A4114" s="224"/>
      <c r="B4114" s="237"/>
      <c r="C4114" s="32"/>
      <c r="D4114" s="32"/>
      <c r="E4114" s="33"/>
      <c r="F4114" s="54" t="s">
        <v>522</v>
      </c>
      <c r="G4114" s="54" t="str">
        <f t="shared" si="77"/>
        <v/>
      </c>
      <c r="H4114" s="73"/>
      <c r="I4114" s="74"/>
      <c r="J4114" s="102">
        <v>0</v>
      </c>
    </row>
    <row r="4115" spans="1:10" hidden="1" x14ac:dyDescent="0.25">
      <c r="A4115" s="224"/>
      <c r="B4115" s="237"/>
      <c r="C4115" s="36" t="s">
        <v>1214</v>
      </c>
      <c r="D4115" s="36" t="s">
        <v>703</v>
      </c>
      <c r="E4115" s="37">
        <f>ROUND(1/10,4)</f>
        <v>0.1</v>
      </c>
      <c r="F4115" s="54">
        <v>86.117500000000007</v>
      </c>
      <c r="G4115" s="54">
        <f t="shared" si="77"/>
        <v>8.6117500000000007</v>
      </c>
      <c r="H4115" s="39">
        <f>SUM(G4115:G4115)</f>
        <v>8.6117500000000007</v>
      </c>
      <c r="I4115" s="40"/>
      <c r="J4115" s="102">
        <v>0</v>
      </c>
    </row>
    <row r="4116" spans="1:10" hidden="1" x14ac:dyDescent="0.25">
      <c r="A4116" s="224"/>
      <c r="B4116" s="237"/>
      <c r="C4116" s="36"/>
      <c r="D4116" s="47"/>
      <c r="E4116" s="37"/>
      <c r="F4116" s="54" t="s">
        <v>522</v>
      </c>
      <c r="G4116" s="54" t="str">
        <f t="shared" si="77"/>
        <v/>
      </c>
      <c r="H4116" s="73"/>
      <c r="I4116" s="74"/>
      <c r="J4116" s="102">
        <v>0</v>
      </c>
    </row>
    <row r="4117" spans="1:10" ht="15.75" hidden="1" thickBot="1" x14ac:dyDescent="0.3">
      <c r="A4117" s="218" t="s">
        <v>1215</v>
      </c>
      <c r="B4117" s="221" t="e">
        <f>INDEX(#REF!,MATCH(Composições!A4117,#REF!,0),2)</f>
        <v>#REF!</v>
      </c>
      <c r="C4117" s="41"/>
      <c r="D4117" s="26" t="s">
        <v>95</v>
      </c>
      <c r="E4117" s="27"/>
      <c r="F4117" s="49" t="s">
        <v>522</v>
      </c>
      <c r="G4117" s="28" t="str">
        <f t="shared" si="77"/>
        <v/>
      </c>
      <c r="H4117" s="29"/>
      <c r="I4117" s="30"/>
      <c r="J4117" s="102">
        <v>0</v>
      </c>
    </row>
    <row r="4118" spans="1:10" hidden="1" x14ac:dyDescent="0.25">
      <c r="A4118" s="224"/>
      <c r="B4118" s="237"/>
      <c r="C4118" s="32"/>
      <c r="D4118" s="32"/>
      <c r="E4118" s="33"/>
      <c r="F4118" s="54" t="s">
        <v>522</v>
      </c>
      <c r="G4118" s="54" t="str">
        <f t="shared" si="77"/>
        <v/>
      </c>
      <c r="H4118" s="73"/>
      <c r="I4118" s="74"/>
      <c r="J4118" s="102">
        <v>0</v>
      </c>
    </row>
    <row r="4119" spans="1:10" hidden="1" x14ac:dyDescent="0.25">
      <c r="A4119" s="224"/>
      <c r="B4119" s="237"/>
      <c r="C4119" s="36" t="s">
        <v>23</v>
      </c>
      <c r="D4119" s="47" t="s">
        <v>12</v>
      </c>
      <c r="E4119" s="37">
        <v>0.18</v>
      </c>
      <c r="F4119" s="54">
        <v>16.1785</v>
      </c>
      <c r="G4119" s="54">
        <f t="shared" si="77"/>
        <v>2.9121299999999999</v>
      </c>
      <c r="H4119" s="39">
        <f>SUM(G4119:G4122)</f>
        <v>46.016099999999994</v>
      </c>
      <c r="I4119" s="40"/>
      <c r="J4119" s="102">
        <v>0</v>
      </c>
    </row>
    <row r="4120" spans="1:10" hidden="1" x14ac:dyDescent="0.25">
      <c r="A4120" s="224"/>
      <c r="B4120" s="237"/>
      <c r="C4120" s="36" t="s">
        <v>1216</v>
      </c>
      <c r="D4120" s="47" t="s">
        <v>12</v>
      </c>
      <c r="E4120" s="37">
        <v>0.18</v>
      </c>
      <c r="F4120" s="54">
        <v>21.2515</v>
      </c>
      <c r="G4120" s="54">
        <f t="shared" si="77"/>
        <v>3.8252699999999997</v>
      </c>
      <c r="H4120" s="73"/>
      <c r="I4120" s="74"/>
      <c r="J4120" s="102">
        <v>0</v>
      </c>
    </row>
    <row r="4121" spans="1:10" hidden="1" x14ac:dyDescent="0.25">
      <c r="A4121" s="224"/>
      <c r="B4121" s="237"/>
      <c r="C4121" s="36" t="s">
        <v>233</v>
      </c>
      <c r="D4121" s="36" t="s">
        <v>42</v>
      </c>
      <c r="E4121" s="37">
        <v>0.9</v>
      </c>
      <c r="F4121" s="54">
        <v>43.642999999999994</v>
      </c>
      <c r="G4121" s="54">
        <f t="shared" si="77"/>
        <v>39.278699999999994</v>
      </c>
      <c r="H4121" s="73"/>
      <c r="I4121" s="74"/>
      <c r="J4121" s="102">
        <v>0</v>
      </c>
    </row>
    <row r="4122" spans="1:10" hidden="1" x14ac:dyDescent="0.25">
      <c r="A4122" s="224"/>
      <c r="B4122" s="237"/>
      <c r="C4122" s="36" t="s">
        <v>1217</v>
      </c>
      <c r="D4122" s="36" t="s">
        <v>95</v>
      </c>
      <c r="E4122" s="37">
        <v>1.05</v>
      </c>
      <c r="F4122" s="54">
        <v>0</v>
      </c>
      <c r="G4122" s="54">
        <f t="shared" si="77"/>
        <v>0</v>
      </c>
      <c r="H4122" s="73"/>
      <c r="I4122" s="74"/>
      <c r="J4122" s="102">
        <v>0</v>
      </c>
    </row>
    <row r="4123" spans="1:10" ht="15.75" hidden="1" thickBot="1" x14ac:dyDescent="0.3">
      <c r="A4123" s="224"/>
      <c r="B4123" s="237"/>
      <c r="C4123" s="55"/>
      <c r="D4123" s="55"/>
      <c r="E4123" s="66"/>
      <c r="F4123" s="76" t="s">
        <v>522</v>
      </c>
      <c r="G4123" s="76" t="str">
        <f t="shared" si="77"/>
        <v/>
      </c>
      <c r="H4123" s="77"/>
      <c r="I4123" s="74"/>
      <c r="J4123" s="102">
        <v>0</v>
      </c>
    </row>
    <row r="4124" spans="1:10" ht="15.75" hidden="1" thickBot="1" x14ac:dyDescent="0.3">
      <c r="A4124" s="218" t="s">
        <v>1218</v>
      </c>
      <c r="B4124" s="221" t="e">
        <f>INDEX(#REF!,MATCH(Composições!A4124,#REF!,0),2)</f>
        <v>#REF!</v>
      </c>
      <c r="C4124" s="41"/>
      <c r="D4124" s="26" t="s">
        <v>95</v>
      </c>
      <c r="E4124" s="27"/>
      <c r="F4124" s="42" t="s">
        <v>522</v>
      </c>
      <c r="G4124" s="28" t="str">
        <f t="shared" si="77"/>
        <v/>
      </c>
      <c r="H4124" s="29"/>
      <c r="I4124" s="30"/>
      <c r="J4124" s="102">
        <v>0</v>
      </c>
    </row>
    <row r="4125" spans="1:10" hidden="1" x14ac:dyDescent="0.25">
      <c r="A4125" s="219"/>
      <c r="B4125" s="237"/>
      <c r="C4125" s="32"/>
      <c r="D4125" s="32"/>
      <c r="E4125" s="33"/>
      <c r="F4125" s="43" t="s">
        <v>522</v>
      </c>
      <c r="G4125" s="31" t="str">
        <f t="shared" si="77"/>
        <v/>
      </c>
      <c r="H4125" s="35"/>
      <c r="I4125" s="31"/>
      <c r="J4125" s="102">
        <v>0</v>
      </c>
    </row>
    <row r="4126" spans="1:10" hidden="1" x14ac:dyDescent="0.25">
      <c r="A4126" s="219"/>
      <c r="B4126" s="237"/>
      <c r="C4126" s="36" t="s">
        <v>1918</v>
      </c>
      <c r="D4126" s="36" t="s">
        <v>42</v>
      </c>
      <c r="E4126" s="37">
        <v>8.6199999999999992</v>
      </c>
      <c r="F4126" s="34">
        <v>1.4535</v>
      </c>
      <c r="G4126" s="34">
        <f t="shared" si="77"/>
        <v>12.529169999999999</v>
      </c>
      <c r="H4126" s="39">
        <f>SUM(G4126:G4130)</f>
        <v>47.956246999999998</v>
      </c>
      <c r="I4126" s="40"/>
      <c r="J4126" s="102">
        <v>0</v>
      </c>
    </row>
    <row r="4127" spans="1:10" hidden="1" x14ac:dyDescent="0.25">
      <c r="A4127" s="219"/>
      <c r="B4127" s="237"/>
      <c r="C4127" s="36" t="s">
        <v>54</v>
      </c>
      <c r="D4127" s="36" t="s">
        <v>12</v>
      </c>
      <c r="E4127" s="37">
        <v>1.1879999999999999</v>
      </c>
      <c r="F4127" s="31">
        <v>21.403500000000001</v>
      </c>
      <c r="G4127" s="34">
        <f t="shared" si="77"/>
        <v>25.427358000000002</v>
      </c>
      <c r="H4127" s="35"/>
      <c r="I4127" s="31"/>
      <c r="J4127" s="102">
        <v>0</v>
      </c>
    </row>
    <row r="4128" spans="1:10" hidden="1" x14ac:dyDescent="0.25">
      <c r="A4128" s="219"/>
      <c r="B4128" s="237"/>
      <c r="C4128" s="36" t="s">
        <v>23</v>
      </c>
      <c r="D4128" s="36" t="s">
        <v>12</v>
      </c>
      <c r="E4128" s="37">
        <v>0.59399999999999997</v>
      </c>
      <c r="F4128" s="31">
        <v>16.1785</v>
      </c>
      <c r="G4128" s="34">
        <f t="shared" si="77"/>
        <v>9.610028999999999</v>
      </c>
      <c r="H4128" s="35"/>
      <c r="I4128" s="31"/>
      <c r="J4128" s="102">
        <v>0</v>
      </c>
    </row>
    <row r="4129" spans="1:10" hidden="1" x14ac:dyDescent="0.25">
      <c r="A4129" s="219"/>
      <c r="B4129" s="237"/>
      <c r="C4129" s="36" t="s">
        <v>1917</v>
      </c>
      <c r="D4129" s="36" t="s">
        <v>42</v>
      </c>
      <c r="E4129" s="37">
        <v>0.14000000000000001</v>
      </c>
      <c r="F4129" s="34">
        <v>2.7835000000000001</v>
      </c>
      <c r="G4129" s="34">
        <f t="shared" si="77"/>
        <v>0.38969000000000004</v>
      </c>
      <c r="H4129" s="35"/>
      <c r="I4129" s="31"/>
      <c r="J4129" s="102">
        <v>0</v>
      </c>
    </row>
    <row r="4130" spans="1:10" hidden="1" x14ac:dyDescent="0.25">
      <c r="A4130" s="219"/>
      <c r="B4130" s="237"/>
      <c r="C4130" s="36" t="s">
        <v>1219</v>
      </c>
      <c r="D4130" s="36" t="s">
        <v>95</v>
      </c>
      <c r="E4130" s="37">
        <v>1.1599999999999999</v>
      </c>
      <c r="F4130" s="34" t="s">
        <v>522</v>
      </c>
      <c r="G4130" s="54" t="str">
        <f t="shared" si="77"/>
        <v/>
      </c>
      <c r="H4130" s="35"/>
      <c r="I4130" s="31"/>
      <c r="J4130" s="102">
        <v>0</v>
      </c>
    </row>
    <row r="4131" spans="1:10" ht="15.75" hidden="1" thickBot="1" x14ac:dyDescent="0.3">
      <c r="A4131" s="220"/>
      <c r="B4131" s="223"/>
      <c r="C4131" s="36"/>
      <c r="D4131" s="36"/>
      <c r="E4131" s="37"/>
      <c r="F4131" s="31" t="s">
        <v>522</v>
      </c>
      <c r="G4131" s="31" t="str">
        <f t="shared" si="77"/>
        <v/>
      </c>
      <c r="H4131" s="35"/>
      <c r="I4131" s="31"/>
      <c r="J4131" s="102">
        <v>0</v>
      </c>
    </row>
    <row r="4132" spans="1:10" ht="15.75" hidden="1" thickBot="1" x14ac:dyDescent="0.3">
      <c r="A4132" s="218" t="s">
        <v>1220</v>
      </c>
      <c r="B4132" s="221" t="e">
        <f>INDEX(#REF!,MATCH(Composições!A4132,#REF!,0),2)</f>
        <v>#REF!</v>
      </c>
      <c r="C4132" s="41"/>
      <c r="D4132" s="26" t="s">
        <v>95</v>
      </c>
      <c r="E4132" s="27"/>
      <c r="F4132" s="42" t="s">
        <v>522</v>
      </c>
      <c r="G4132" s="28" t="str">
        <f t="shared" si="77"/>
        <v/>
      </c>
      <c r="H4132" s="29"/>
      <c r="I4132" s="30"/>
      <c r="J4132" s="102">
        <v>0</v>
      </c>
    </row>
    <row r="4133" spans="1:10" hidden="1" x14ac:dyDescent="0.25">
      <c r="A4133" s="219"/>
      <c r="B4133" s="237"/>
      <c r="C4133" s="32"/>
      <c r="D4133" s="32"/>
      <c r="E4133" s="33"/>
      <c r="F4133" s="43" t="s">
        <v>522</v>
      </c>
      <c r="G4133" s="31" t="str">
        <f t="shared" si="77"/>
        <v/>
      </c>
      <c r="H4133" s="35"/>
      <c r="I4133" s="31"/>
      <c r="J4133" s="102">
        <v>0</v>
      </c>
    </row>
    <row r="4134" spans="1:10" hidden="1" x14ac:dyDescent="0.25">
      <c r="A4134" s="219"/>
      <c r="B4134" s="237"/>
      <c r="C4134" s="36" t="s">
        <v>1918</v>
      </c>
      <c r="D4134" s="36" t="s">
        <v>42</v>
      </c>
      <c r="E4134" s="37">
        <v>8.6199999999999992</v>
      </c>
      <c r="F4134" s="34">
        <v>1.4535</v>
      </c>
      <c r="G4134" s="34">
        <f t="shared" si="77"/>
        <v>12.529169999999999</v>
      </c>
      <c r="H4134" s="39">
        <f>SUM(G4134:G4138)</f>
        <v>47.956246999999998</v>
      </c>
      <c r="I4134" s="40"/>
      <c r="J4134" s="102">
        <v>0</v>
      </c>
    </row>
    <row r="4135" spans="1:10" hidden="1" x14ac:dyDescent="0.25">
      <c r="A4135" s="219"/>
      <c r="B4135" s="237"/>
      <c r="C4135" s="36" t="s">
        <v>54</v>
      </c>
      <c r="D4135" s="36" t="s">
        <v>12</v>
      </c>
      <c r="E4135" s="37">
        <v>1.1879999999999999</v>
      </c>
      <c r="F4135" s="31">
        <v>21.403500000000001</v>
      </c>
      <c r="G4135" s="34">
        <f t="shared" si="77"/>
        <v>25.427358000000002</v>
      </c>
      <c r="H4135" s="35"/>
      <c r="I4135" s="31"/>
      <c r="J4135" s="102">
        <v>0</v>
      </c>
    </row>
    <row r="4136" spans="1:10" hidden="1" x14ac:dyDescent="0.25">
      <c r="A4136" s="219"/>
      <c r="B4136" s="237"/>
      <c r="C4136" s="36" t="s">
        <v>23</v>
      </c>
      <c r="D4136" s="36" t="s">
        <v>12</v>
      </c>
      <c r="E4136" s="37">
        <v>0.59399999999999997</v>
      </c>
      <c r="F4136" s="31">
        <v>16.1785</v>
      </c>
      <c r="G4136" s="34">
        <f t="shared" si="77"/>
        <v>9.610028999999999</v>
      </c>
      <c r="H4136" s="35"/>
      <c r="I4136" s="31"/>
      <c r="J4136" s="102">
        <v>0</v>
      </c>
    </row>
    <row r="4137" spans="1:10" hidden="1" x14ac:dyDescent="0.25">
      <c r="A4137" s="219"/>
      <c r="B4137" s="237"/>
      <c r="C4137" s="36" t="s">
        <v>1917</v>
      </c>
      <c r="D4137" s="36" t="s">
        <v>42</v>
      </c>
      <c r="E4137" s="37">
        <v>0.14000000000000001</v>
      </c>
      <c r="F4137" s="34">
        <v>2.7835000000000001</v>
      </c>
      <c r="G4137" s="34">
        <f t="shared" si="77"/>
        <v>0.38969000000000004</v>
      </c>
      <c r="H4137" s="35"/>
      <c r="I4137" s="31"/>
      <c r="J4137" s="102">
        <v>0</v>
      </c>
    </row>
    <row r="4138" spans="1:10" hidden="1" x14ac:dyDescent="0.25">
      <c r="A4138" s="219"/>
      <c r="B4138" s="237"/>
      <c r="C4138" s="36" t="s">
        <v>1221</v>
      </c>
      <c r="D4138" s="36" t="s">
        <v>95</v>
      </c>
      <c r="E4138" s="37">
        <v>1.1599999999999999</v>
      </c>
      <c r="F4138" s="34" t="s">
        <v>522</v>
      </c>
      <c r="G4138" s="54" t="str">
        <f t="shared" si="77"/>
        <v/>
      </c>
      <c r="H4138" s="35"/>
      <c r="I4138" s="31"/>
      <c r="J4138" s="102">
        <v>0</v>
      </c>
    </row>
    <row r="4139" spans="1:10" ht="15.75" hidden="1" thickBot="1" x14ac:dyDescent="0.3">
      <c r="A4139" s="220"/>
      <c r="B4139" s="223"/>
      <c r="C4139" s="36"/>
      <c r="D4139" s="36"/>
      <c r="E4139" s="37"/>
      <c r="F4139" s="31" t="s">
        <v>522</v>
      </c>
      <c r="G4139" s="31" t="str">
        <f t="shared" si="77"/>
        <v/>
      </c>
      <c r="H4139" s="35"/>
      <c r="I4139" s="31"/>
      <c r="J4139" s="102">
        <v>0</v>
      </c>
    </row>
    <row r="4140" spans="1:10" ht="15.75" hidden="1" thickBot="1" x14ac:dyDescent="0.3">
      <c r="A4140" s="218" t="s">
        <v>1222</v>
      </c>
      <c r="B4140" s="221" t="e">
        <f>INDEX(#REF!,MATCH(Composições!A4140,#REF!,0),2)</f>
        <v>#REF!</v>
      </c>
      <c r="C4140" s="41"/>
      <c r="D4140" s="26" t="s">
        <v>95</v>
      </c>
      <c r="E4140" s="27"/>
      <c r="F4140" s="49" t="s">
        <v>522</v>
      </c>
      <c r="G4140" s="28" t="str">
        <f t="shared" si="77"/>
        <v/>
      </c>
      <c r="H4140" s="29"/>
      <c r="I4140" s="30"/>
      <c r="J4140" s="102">
        <v>0</v>
      </c>
    </row>
    <row r="4141" spans="1:10" hidden="1" x14ac:dyDescent="0.25">
      <c r="A4141" s="224"/>
      <c r="B4141" s="237"/>
      <c r="C4141" s="32"/>
      <c r="D4141" s="32"/>
      <c r="E4141" s="33"/>
      <c r="F4141" s="54" t="s">
        <v>522</v>
      </c>
      <c r="G4141" s="54" t="str">
        <f t="shared" si="77"/>
        <v/>
      </c>
      <c r="H4141" s="73"/>
      <c r="I4141" s="74"/>
      <c r="J4141" s="102">
        <v>0</v>
      </c>
    </row>
    <row r="4142" spans="1:10" ht="25.5" hidden="1" x14ac:dyDescent="0.25">
      <c r="A4142" s="224"/>
      <c r="B4142" s="237"/>
      <c r="C4142" s="36" t="s">
        <v>1223</v>
      </c>
      <c r="D4142" s="36" t="s">
        <v>992</v>
      </c>
      <c r="E4142" s="37">
        <v>1.07</v>
      </c>
      <c r="F4142" s="54">
        <v>66.851500000000001</v>
      </c>
      <c r="G4142" s="54">
        <f t="shared" si="77"/>
        <v>71.531105000000011</v>
      </c>
      <c r="H4142" s="39">
        <f>SUM(G4142:G4146)</f>
        <v>101.829075</v>
      </c>
      <c r="I4142" s="40"/>
      <c r="J4142" s="102">
        <v>0</v>
      </c>
    </row>
    <row r="4143" spans="1:10" hidden="1" x14ac:dyDescent="0.25">
      <c r="A4143" s="224"/>
      <c r="B4143" s="237"/>
      <c r="C4143" s="36" t="s">
        <v>1917</v>
      </c>
      <c r="D4143" s="36" t="s">
        <v>898</v>
      </c>
      <c r="E4143" s="37">
        <v>0.24</v>
      </c>
      <c r="F4143" s="54">
        <v>2.7835000000000001</v>
      </c>
      <c r="G4143" s="54">
        <f t="shared" si="77"/>
        <v>0.66803999999999997</v>
      </c>
      <c r="H4143" s="73"/>
      <c r="I4143" s="74"/>
      <c r="J4143" s="102">
        <v>0</v>
      </c>
    </row>
    <row r="4144" spans="1:10" hidden="1" x14ac:dyDescent="0.25">
      <c r="A4144" s="224"/>
      <c r="B4144" s="237"/>
      <c r="C4144" s="36" t="s">
        <v>1918</v>
      </c>
      <c r="D4144" s="36" t="s">
        <v>898</v>
      </c>
      <c r="E4144" s="37">
        <v>8.6199999999999992</v>
      </c>
      <c r="F4144" s="54">
        <v>1.4535</v>
      </c>
      <c r="G4144" s="54">
        <f t="shared" si="77"/>
        <v>12.529169999999999</v>
      </c>
      <c r="H4144" s="73"/>
      <c r="I4144" s="74"/>
      <c r="J4144" s="102">
        <v>0</v>
      </c>
    </row>
    <row r="4145" spans="1:10" hidden="1" x14ac:dyDescent="0.25">
      <c r="A4145" s="224"/>
      <c r="B4145" s="237"/>
      <c r="C4145" s="36" t="s">
        <v>1224</v>
      </c>
      <c r="D4145" s="36" t="s">
        <v>703</v>
      </c>
      <c r="E4145" s="37">
        <v>0.61</v>
      </c>
      <c r="F4145" s="54">
        <v>21.403500000000001</v>
      </c>
      <c r="G4145" s="54">
        <f t="shared" ref="G4145:G4165" si="78">IF(ISNUMBER(F4145),E4145*F4145,"")</f>
        <v>13.056135000000001</v>
      </c>
      <c r="H4145" s="73"/>
      <c r="I4145" s="74"/>
      <c r="J4145" s="102">
        <v>0</v>
      </c>
    </row>
    <row r="4146" spans="1:10" hidden="1" x14ac:dyDescent="0.25">
      <c r="A4146" s="224"/>
      <c r="B4146" s="237"/>
      <c r="C4146" s="36" t="s">
        <v>704</v>
      </c>
      <c r="D4146" s="36" t="s">
        <v>703</v>
      </c>
      <c r="E4146" s="37">
        <v>0.25</v>
      </c>
      <c r="F4146" s="54">
        <v>16.1785</v>
      </c>
      <c r="G4146" s="54">
        <f t="shared" si="78"/>
        <v>4.0446249999999999</v>
      </c>
      <c r="H4146" s="73"/>
      <c r="I4146" s="74"/>
      <c r="J4146" s="102">
        <v>0</v>
      </c>
    </row>
    <row r="4147" spans="1:10" hidden="1" x14ac:dyDescent="0.25">
      <c r="A4147" s="224"/>
      <c r="B4147" s="237"/>
      <c r="C4147" s="36"/>
      <c r="D4147" s="47"/>
      <c r="E4147" s="37"/>
      <c r="F4147" s="54" t="s">
        <v>522</v>
      </c>
      <c r="G4147" s="54" t="str">
        <f t="shared" si="78"/>
        <v/>
      </c>
      <c r="H4147" s="73"/>
      <c r="I4147" s="74"/>
      <c r="J4147" s="102">
        <v>0</v>
      </c>
    </row>
    <row r="4148" spans="1:10" ht="15.75" hidden="1" thickBot="1" x14ac:dyDescent="0.3">
      <c r="A4148" s="218" t="s">
        <v>1225</v>
      </c>
      <c r="B4148" s="221" t="e">
        <f>INDEX(#REF!,MATCH(Composições!A4148,#REF!,0),2)</f>
        <v>#REF!</v>
      </c>
      <c r="C4148" s="41"/>
      <c r="D4148" s="26" t="s">
        <v>95</v>
      </c>
      <c r="E4148" s="27"/>
      <c r="F4148" s="49" t="s">
        <v>522</v>
      </c>
      <c r="G4148" s="28" t="str">
        <f t="shared" si="78"/>
        <v/>
      </c>
      <c r="H4148" s="29"/>
      <c r="I4148" s="30"/>
      <c r="J4148" s="102">
        <v>0</v>
      </c>
    </row>
    <row r="4149" spans="1:10" hidden="1" x14ac:dyDescent="0.25">
      <c r="A4149" s="224"/>
      <c r="B4149" s="237"/>
      <c r="C4149" s="32"/>
      <c r="D4149" s="32"/>
      <c r="E4149" s="33"/>
      <c r="F4149" s="54" t="s">
        <v>522</v>
      </c>
      <c r="G4149" s="54" t="str">
        <f t="shared" si="78"/>
        <v/>
      </c>
      <c r="H4149" s="73"/>
      <c r="I4149" s="74"/>
      <c r="J4149" s="102">
        <v>0</v>
      </c>
    </row>
    <row r="4150" spans="1:10" ht="25.5" hidden="1" x14ac:dyDescent="0.25">
      <c r="A4150" s="224"/>
      <c r="B4150" s="237"/>
      <c r="C4150" s="36" t="s">
        <v>2409</v>
      </c>
      <c r="D4150" s="36" t="s">
        <v>992</v>
      </c>
      <c r="E4150" s="37">
        <v>1</v>
      </c>
      <c r="F4150" s="54">
        <v>75.905000000000001</v>
      </c>
      <c r="G4150" s="54">
        <f t="shared" si="78"/>
        <v>75.905000000000001</v>
      </c>
      <c r="H4150" s="39">
        <f>SUM(G4150:G4150)</f>
        <v>75.905000000000001</v>
      </c>
      <c r="I4150" s="40"/>
      <c r="J4150" s="102">
        <v>0</v>
      </c>
    </row>
    <row r="4151" spans="1:10" hidden="1" x14ac:dyDescent="0.25">
      <c r="A4151" s="224"/>
      <c r="B4151" s="237"/>
      <c r="C4151" s="36"/>
      <c r="D4151" s="47"/>
      <c r="E4151" s="37"/>
      <c r="F4151" s="54" t="s">
        <v>522</v>
      </c>
      <c r="G4151" s="54" t="str">
        <f t="shared" si="78"/>
        <v/>
      </c>
      <c r="H4151" s="73"/>
      <c r="I4151" s="74"/>
      <c r="J4151" s="102">
        <v>0</v>
      </c>
    </row>
    <row r="4152" spans="1:10" ht="15.75" hidden="1" thickBot="1" x14ac:dyDescent="0.3">
      <c r="A4152" s="218" t="s">
        <v>1226</v>
      </c>
      <c r="B4152" s="221" t="e">
        <f>INDEX(#REF!,MATCH(Composições!A4152,#REF!,0),2)</f>
        <v>#REF!</v>
      </c>
      <c r="C4152" s="41"/>
      <c r="D4152" s="26" t="s">
        <v>95</v>
      </c>
      <c r="E4152" s="27"/>
      <c r="F4152" s="49" t="s">
        <v>522</v>
      </c>
      <c r="G4152" s="28" t="str">
        <f t="shared" si="78"/>
        <v/>
      </c>
      <c r="H4152" s="29"/>
      <c r="I4152" s="30"/>
      <c r="J4152" s="102">
        <v>0</v>
      </c>
    </row>
    <row r="4153" spans="1:10" hidden="1" x14ac:dyDescent="0.25">
      <c r="A4153" s="224"/>
      <c r="B4153" s="237"/>
      <c r="C4153" s="32"/>
      <c r="D4153" s="32"/>
      <c r="E4153" s="33"/>
      <c r="F4153" s="54" t="s">
        <v>522</v>
      </c>
      <c r="G4153" s="54" t="str">
        <f t="shared" si="78"/>
        <v/>
      </c>
      <c r="H4153" s="73"/>
      <c r="I4153" s="74"/>
      <c r="J4153" s="102">
        <v>0</v>
      </c>
    </row>
    <row r="4154" spans="1:10" hidden="1" x14ac:dyDescent="0.25">
      <c r="A4154" s="224"/>
      <c r="B4154" s="237"/>
      <c r="C4154" s="36" t="s">
        <v>1227</v>
      </c>
      <c r="D4154" s="47" t="s">
        <v>95</v>
      </c>
      <c r="E4154" s="37">
        <v>1.05</v>
      </c>
      <c r="F4154" s="54" t="s">
        <v>522</v>
      </c>
      <c r="G4154" s="54" t="str">
        <f t="shared" si="78"/>
        <v/>
      </c>
      <c r="H4154" s="39">
        <f>SUM(G4154:G4157)</f>
        <v>21.661899999999996</v>
      </c>
      <c r="I4154" s="40"/>
      <c r="J4154" s="102">
        <v>0</v>
      </c>
    </row>
    <row r="4155" spans="1:10" hidden="1" x14ac:dyDescent="0.25">
      <c r="A4155" s="224"/>
      <c r="B4155" s="237"/>
      <c r="C4155" s="36" t="s">
        <v>2376</v>
      </c>
      <c r="D4155" s="47" t="s">
        <v>42</v>
      </c>
      <c r="E4155" s="37">
        <v>0.35</v>
      </c>
      <c r="F4155" s="54">
        <v>45.751999999999995</v>
      </c>
      <c r="G4155" s="54">
        <f t="shared" si="78"/>
        <v>16.013199999999998</v>
      </c>
      <c r="H4155" s="73"/>
      <c r="I4155" s="74"/>
      <c r="J4155" s="102">
        <v>0</v>
      </c>
    </row>
    <row r="4156" spans="1:10" hidden="1" x14ac:dyDescent="0.25">
      <c r="A4156" s="224"/>
      <c r="B4156" s="237"/>
      <c r="C4156" s="36" t="s">
        <v>22</v>
      </c>
      <c r="D4156" s="36" t="s">
        <v>12</v>
      </c>
      <c r="E4156" s="37">
        <v>0.15</v>
      </c>
      <c r="F4156" s="54">
        <v>21.479499999999998</v>
      </c>
      <c r="G4156" s="54">
        <f t="shared" si="78"/>
        <v>3.2219249999999997</v>
      </c>
      <c r="H4156" s="73"/>
      <c r="I4156" s="74"/>
      <c r="J4156" s="102">
        <v>0</v>
      </c>
    </row>
    <row r="4157" spans="1:10" hidden="1" x14ac:dyDescent="0.25">
      <c r="A4157" s="224"/>
      <c r="B4157" s="237"/>
      <c r="C4157" s="36" t="s">
        <v>23</v>
      </c>
      <c r="D4157" s="36" t="s">
        <v>12</v>
      </c>
      <c r="E4157" s="37">
        <v>0.15</v>
      </c>
      <c r="F4157" s="54">
        <v>16.1785</v>
      </c>
      <c r="G4157" s="54">
        <f t="shared" si="78"/>
        <v>2.4267749999999997</v>
      </c>
      <c r="H4157" s="73"/>
      <c r="I4157" s="74"/>
      <c r="J4157" s="102">
        <v>0</v>
      </c>
    </row>
    <row r="4158" spans="1:10" ht="15.75" hidden="1" thickBot="1" x14ac:dyDescent="0.3">
      <c r="A4158" s="224"/>
      <c r="B4158" s="237"/>
      <c r="C4158" s="55"/>
      <c r="D4158" s="55"/>
      <c r="E4158" s="66"/>
      <c r="F4158" s="76" t="s">
        <v>522</v>
      </c>
      <c r="G4158" s="76" t="str">
        <f t="shared" si="78"/>
        <v/>
      </c>
      <c r="H4158" s="77"/>
      <c r="I4158" s="74"/>
      <c r="J4158" s="102">
        <v>0</v>
      </c>
    </row>
    <row r="4159" spans="1:10" ht="15.75" hidden="1" thickBot="1" x14ac:dyDescent="0.3">
      <c r="A4159" s="218" t="s">
        <v>1228</v>
      </c>
      <c r="B4159" s="221" t="e">
        <f>INDEX(#REF!,MATCH(Composições!A4159,#REF!,0),2)</f>
        <v>#REF!</v>
      </c>
      <c r="C4159" s="41"/>
      <c r="D4159" s="26" t="s">
        <v>93</v>
      </c>
      <c r="E4159" s="27"/>
      <c r="F4159" s="49" t="s">
        <v>522</v>
      </c>
      <c r="G4159" s="28" t="str">
        <f t="shared" si="78"/>
        <v/>
      </c>
      <c r="H4159" s="29"/>
      <c r="I4159" s="30"/>
      <c r="J4159" s="102">
        <v>0</v>
      </c>
    </row>
    <row r="4160" spans="1:10" hidden="1" x14ac:dyDescent="0.25">
      <c r="A4160" s="224"/>
      <c r="B4160" s="237"/>
      <c r="C4160" s="32"/>
      <c r="D4160" s="32"/>
      <c r="E4160" s="33"/>
      <c r="F4160" s="54" t="s">
        <v>522</v>
      </c>
      <c r="G4160" s="54" t="str">
        <f t="shared" si="78"/>
        <v/>
      </c>
      <c r="H4160" s="73"/>
      <c r="I4160" s="74"/>
      <c r="J4160" s="102">
        <v>0</v>
      </c>
    </row>
    <row r="4161" spans="1:10" hidden="1" x14ac:dyDescent="0.25">
      <c r="A4161" s="224"/>
      <c r="B4161" s="237"/>
      <c r="C4161" s="36" t="s">
        <v>22</v>
      </c>
      <c r="D4161" s="36" t="s">
        <v>12</v>
      </c>
      <c r="E4161" s="37">
        <v>0.35</v>
      </c>
      <c r="F4161" s="54">
        <v>21.479499999999998</v>
      </c>
      <c r="G4161" s="54">
        <f t="shared" si="78"/>
        <v>7.5178249999999984</v>
      </c>
      <c r="H4161" s="39">
        <f>SUM(G4161:G4165)</f>
        <v>62.624379999999995</v>
      </c>
      <c r="I4161" s="40"/>
      <c r="J4161" s="102">
        <v>0</v>
      </c>
    </row>
    <row r="4162" spans="1:10" hidden="1" x14ac:dyDescent="0.25">
      <c r="A4162" s="224"/>
      <c r="B4162" s="237"/>
      <c r="C4162" s="36" t="s">
        <v>23</v>
      </c>
      <c r="D4162" s="36" t="s">
        <v>12</v>
      </c>
      <c r="E4162" s="37">
        <v>0.35</v>
      </c>
      <c r="F4162" s="54">
        <v>16.1785</v>
      </c>
      <c r="G4162" s="54">
        <f t="shared" si="78"/>
        <v>5.6624749999999997</v>
      </c>
      <c r="H4162" s="73"/>
      <c r="I4162" s="74"/>
      <c r="J4162" s="102">
        <v>0</v>
      </c>
    </row>
    <row r="4163" spans="1:10" ht="25.5" hidden="1" x14ac:dyDescent="0.25">
      <c r="A4163" s="224"/>
      <c r="B4163" s="237"/>
      <c r="C4163" s="36" t="s">
        <v>1229</v>
      </c>
      <c r="D4163" s="36" t="s">
        <v>102</v>
      </c>
      <c r="E4163" s="37">
        <v>0.2</v>
      </c>
      <c r="F4163" s="54">
        <v>162.25049999999999</v>
      </c>
      <c r="G4163" s="54">
        <f t="shared" si="78"/>
        <v>32.450099999999999</v>
      </c>
      <c r="H4163" s="73"/>
      <c r="I4163" s="74"/>
      <c r="J4163" s="102">
        <v>0</v>
      </c>
    </row>
    <row r="4164" spans="1:10" hidden="1" x14ac:dyDescent="0.25">
      <c r="A4164" s="224"/>
      <c r="B4164" s="237"/>
      <c r="C4164" s="36" t="s">
        <v>1062</v>
      </c>
      <c r="D4164" s="36" t="s">
        <v>93</v>
      </c>
      <c r="E4164" s="37">
        <v>1</v>
      </c>
      <c r="F4164" s="54">
        <v>0</v>
      </c>
      <c r="G4164" s="54">
        <f t="shared" si="78"/>
        <v>0</v>
      </c>
      <c r="H4164" s="73"/>
      <c r="I4164" s="74"/>
      <c r="J4164" s="102">
        <v>0</v>
      </c>
    </row>
    <row r="4165" spans="1:10" ht="25.5" hidden="1" x14ac:dyDescent="0.25">
      <c r="A4165" s="224"/>
      <c r="B4165" s="237"/>
      <c r="C4165" s="36" t="s">
        <v>776</v>
      </c>
      <c r="D4165" s="36" t="s">
        <v>42</v>
      </c>
      <c r="E4165" s="37">
        <f>1.8*1*(0.01+0.01)*10</f>
        <v>0.36000000000000004</v>
      </c>
      <c r="F4165" s="54">
        <v>47.205499999999994</v>
      </c>
      <c r="G4165" s="54">
        <f t="shared" si="78"/>
        <v>16.993980000000001</v>
      </c>
      <c r="H4165" s="73"/>
      <c r="I4165" s="74"/>
      <c r="J4165" s="102">
        <v>0</v>
      </c>
    </row>
    <row r="4166" spans="1:10" hidden="1" x14ac:dyDescent="0.25">
      <c r="A4166" s="224"/>
      <c r="B4166" s="237"/>
      <c r="C4166" s="36"/>
      <c r="D4166" s="36"/>
      <c r="E4166" s="37"/>
      <c r="F4166" s="54" t="s">
        <v>522</v>
      </c>
      <c r="G4166" s="54"/>
      <c r="H4166" s="73"/>
      <c r="I4166" s="74"/>
      <c r="J4166" s="102">
        <v>0</v>
      </c>
    </row>
    <row r="4167" spans="1:10" hidden="1" x14ac:dyDescent="0.25">
      <c r="A4167" s="224"/>
      <c r="B4167" s="237"/>
      <c r="C4167" s="48" t="s">
        <v>1928</v>
      </c>
      <c r="D4167" s="36"/>
      <c r="E4167" s="37"/>
      <c r="F4167" s="54" t="s">
        <v>522</v>
      </c>
      <c r="G4167" s="54"/>
      <c r="H4167" s="73"/>
      <c r="I4167" s="74"/>
      <c r="J4167" s="102">
        <v>0</v>
      </c>
    </row>
    <row r="4168" spans="1:10" hidden="1" x14ac:dyDescent="0.25">
      <c r="A4168" s="224"/>
      <c r="B4168" s="237"/>
      <c r="C4168" s="48" t="s">
        <v>1929</v>
      </c>
      <c r="D4168" s="36"/>
      <c r="E4168" s="37"/>
      <c r="F4168" s="54" t="s">
        <v>522</v>
      </c>
      <c r="G4168" s="54"/>
      <c r="H4168" s="73"/>
      <c r="I4168" s="74"/>
      <c r="J4168" s="102">
        <v>0</v>
      </c>
    </row>
    <row r="4169" spans="1:10" ht="15.75" hidden="1" thickBot="1" x14ac:dyDescent="0.3">
      <c r="A4169" s="225"/>
      <c r="B4169" s="223"/>
      <c r="C4169" s="55"/>
      <c r="D4169" s="55"/>
      <c r="E4169" s="66"/>
      <c r="F4169" s="76" t="s">
        <v>522</v>
      </c>
      <c r="G4169" s="76" t="str">
        <f t="shared" ref="G4169:G4232" si="79">IF(ISNUMBER(F4169),E4169*F4169,"")</f>
        <v/>
      </c>
      <c r="H4169" s="77"/>
      <c r="I4169" s="74"/>
      <c r="J4169" s="102">
        <v>0</v>
      </c>
    </row>
    <row r="4170" spans="1:10" ht="15.75" hidden="1" thickBot="1" x14ac:dyDescent="0.3">
      <c r="A4170" s="218" t="s">
        <v>1230</v>
      </c>
      <c r="B4170" s="221" t="e">
        <f>INDEX(#REF!,MATCH(Composições!A4170,#REF!,0),2)</f>
        <v>#REF!</v>
      </c>
      <c r="C4170" s="41"/>
      <c r="D4170" s="26" t="s">
        <v>95</v>
      </c>
      <c r="E4170" s="27"/>
      <c r="F4170" s="49" t="s">
        <v>522</v>
      </c>
      <c r="G4170" s="28" t="str">
        <f t="shared" si="79"/>
        <v/>
      </c>
      <c r="H4170" s="29"/>
      <c r="I4170" s="30"/>
      <c r="J4170" s="102">
        <v>0</v>
      </c>
    </row>
    <row r="4171" spans="1:10" hidden="1" x14ac:dyDescent="0.25">
      <c r="A4171" s="224"/>
      <c r="B4171" s="237"/>
      <c r="C4171" s="32"/>
      <c r="D4171" s="32"/>
      <c r="E4171" s="33"/>
      <c r="F4171" s="54" t="s">
        <v>522</v>
      </c>
      <c r="G4171" s="54" t="str">
        <f t="shared" si="79"/>
        <v/>
      </c>
      <c r="H4171" s="73"/>
      <c r="I4171" s="74"/>
      <c r="J4171" s="102">
        <v>0</v>
      </c>
    </row>
    <row r="4172" spans="1:10" hidden="1" x14ac:dyDescent="0.25">
      <c r="A4172" s="224"/>
      <c r="B4172" s="237"/>
      <c r="C4172" s="36" t="s">
        <v>22</v>
      </c>
      <c r="D4172" s="36" t="s">
        <v>12</v>
      </c>
      <c r="E4172" s="37">
        <v>0.3</v>
      </c>
      <c r="F4172" s="54">
        <v>21.479499999999998</v>
      </c>
      <c r="G4172" s="54">
        <f t="shared" si="79"/>
        <v>6.4438499999999994</v>
      </c>
      <c r="H4172" s="39">
        <f>SUM(G4172:G4177)</f>
        <v>15.342025</v>
      </c>
      <c r="I4172" s="40"/>
      <c r="J4172" s="102">
        <v>0</v>
      </c>
    </row>
    <row r="4173" spans="1:10" hidden="1" x14ac:dyDescent="0.25">
      <c r="A4173" s="224"/>
      <c r="B4173" s="237"/>
      <c r="C4173" s="36" t="s">
        <v>23</v>
      </c>
      <c r="D4173" s="36" t="s">
        <v>12</v>
      </c>
      <c r="E4173" s="37">
        <f>0.3+0.25</f>
        <v>0.55000000000000004</v>
      </c>
      <c r="F4173" s="54">
        <v>16.1785</v>
      </c>
      <c r="G4173" s="54">
        <f t="shared" si="79"/>
        <v>8.8981750000000002</v>
      </c>
      <c r="H4173" s="73"/>
      <c r="I4173" s="74"/>
      <c r="J4173" s="102">
        <v>0</v>
      </c>
    </row>
    <row r="4174" spans="1:10" hidden="1" x14ac:dyDescent="0.25">
      <c r="A4174" s="224"/>
      <c r="B4174" s="237"/>
      <c r="C4174" s="36" t="s">
        <v>1922</v>
      </c>
      <c r="D4174" s="36" t="s">
        <v>42</v>
      </c>
      <c r="E4174" s="37">
        <v>5</v>
      </c>
      <c r="F4174" s="54" t="s">
        <v>522</v>
      </c>
      <c r="G4174" s="54" t="str">
        <f t="shared" si="79"/>
        <v/>
      </c>
      <c r="H4174" s="73"/>
      <c r="I4174" s="74"/>
      <c r="J4174" s="102">
        <v>0</v>
      </c>
    </row>
    <row r="4175" spans="1:10" hidden="1" x14ac:dyDescent="0.25">
      <c r="A4175" s="224"/>
      <c r="B4175" s="237"/>
      <c r="C4175" s="36" t="s">
        <v>1923</v>
      </c>
      <c r="D4175" s="36" t="s">
        <v>42</v>
      </c>
      <c r="E4175" s="37">
        <v>0.5</v>
      </c>
      <c r="F4175" s="54" t="s">
        <v>522</v>
      </c>
      <c r="G4175" s="54" t="str">
        <f t="shared" si="79"/>
        <v/>
      </c>
      <c r="H4175" s="73"/>
      <c r="I4175" s="74"/>
      <c r="J4175" s="102">
        <v>0</v>
      </c>
    </row>
    <row r="4176" spans="1:10" hidden="1" x14ac:dyDescent="0.25">
      <c r="A4176" s="224"/>
      <c r="B4176" s="237"/>
      <c r="C4176" s="36" t="s">
        <v>1924</v>
      </c>
      <c r="D4176" s="36" t="s">
        <v>42</v>
      </c>
      <c r="E4176" s="37">
        <v>0.1</v>
      </c>
      <c r="F4176" s="54" t="s">
        <v>522</v>
      </c>
      <c r="G4176" s="54" t="str">
        <f t="shared" si="79"/>
        <v/>
      </c>
      <c r="H4176" s="73"/>
      <c r="I4176" s="74"/>
      <c r="J4176" s="102">
        <v>0</v>
      </c>
    </row>
    <row r="4177" spans="1:10" hidden="1" x14ac:dyDescent="0.25">
      <c r="A4177" s="224"/>
      <c r="B4177" s="237"/>
      <c r="C4177" s="36" t="s">
        <v>1231</v>
      </c>
      <c r="D4177" s="36" t="s">
        <v>279</v>
      </c>
      <c r="E4177" s="37">
        <v>0.5</v>
      </c>
      <c r="F4177" s="54">
        <v>0</v>
      </c>
      <c r="G4177" s="54">
        <f t="shared" si="79"/>
        <v>0</v>
      </c>
      <c r="H4177" s="73"/>
      <c r="I4177" s="74"/>
      <c r="J4177" s="102">
        <v>0</v>
      </c>
    </row>
    <row r="4178" spans="1:10" hidden="1" x14ac:dyDescent="0.25">
      <c r="A4178" s="224"/>
      <c r="B4178" s="237"/>
      <c r="C4178" s="36"/>
      <c r="D4178" s="36"/>
      <c r="E4178" s="37"/>
      <c r="F4178" s="54" t="s">
        <v>522</v>
      </c>
      <c r="G4178" s="54" t="str">
        <f t="shared" si="79"/>
        <v/>
      </c>
      <c r="H4178" s="73"/>
      <c r="I4178" s="74"/>
      <c r="J4178" s="102">
        <v>0</v>
      </c>
    </row>
    <row r="4179" spans="1:10" hidden="1" x14ac:dyDescent="0.25">
      <c r="A4179" s="224"/>
      <c r="B4179" s="237"/>
      <c r="C4179" s="48" t="s">
        <v>1232</v>
      </c>
      <c r="D4179" s="36"/>
      <c r="E4179" s="37"/>
      <c r="F4179" s="54" t="s">
        <v>522</v>
      </c>
      <c r="G4179" s="54" t="str">
        <f t="shared" si="79"/>
        <v/>
      </c>
      <c r="H4179" s="73"/>
      <c r="I4179" s="74"/>
      <c r="J4179" s="102">
        <v>0</v>
      </c>
    </row>
    <row r="4180" spans="1:10" ht="15.75" hidden="1" thickBot="1" x14ac:dyDescent="0.3">
      <c r="A4180" s="225"/>
      <c r="B4180" s="223"/>
      <c r="C4180" s="55"/>
      <c r="D4180" s="55"/>
      <c r="E4180" s="66"/>
      <c r="F4180" s="54" t="s">
        <v>522</v>
      </c>
      <c r="G4180" s="54" t="str">
        <f t="shared" si="79"/>
        <v/>
      </c>
      <c r="H4180" s="77"/>
      <c r="I4180" s="74"/>
      <c r="J4180" s="102">
        <v>0</v>
      </c>
    </row>
    <row r="4181" spans="1:10" ht="15.75" hidden="1" thickBot="1" x14ac:dyDescent="0.3">
      <c r="A4181" s="218" t="s">
        <v>1233</v>
      </c>
      <c r="B4181" s="221" t="e">
        <f>INDEX(#REF!,MATCH(Composições!A4181,#REF!,0),2)</f>
        <v>#REF!</v>
      </c>
      <c r="C4181" s="41"/>
      <c r="D4181" s="26" t="s">
        <v>95</v>
      </c>
      <c r="E4181" s="27"/>
      <c r="F4181" s="49" t="s">
        <v>522</v>
      </c>
      <c r="G4181" s="28" t="str">
        <f t="shared" si="79"/>
        <v/>
      </c>
      <c r="H4181" s="29"/>
      <c r="I4181" s="30"/>
      <c r="J4181" s="102">
        <v>0</v>
      </c>
    </row>
    <row r="4182" spans="1:10" hidden="1" x14ac:dyDescent="0.25">
      <c r="A4182" s="224"/>
      <c r="B4182" s="237"/>
      <c r="C4182" s="32"/>
      <c r="D4182" s="32"/>
      <c r="E4182" s="33"/>
      <c r="F4182" s="54" t="s">
        <v>522</v>
      </c>
      <c r="G4182" s="54" t="str">
        <f t="shared" si="79"/>
        <v/>
      </c>
      <c r="H4182" s="73"/>
      <c r="I4182" s="74"/>
      <c r="J4182" s="102">
        <v>0</v>
      </c>
    </row>
    <row r="4183" spans="1:10" ht="25.5" hidden="1" x14ac:dyDescent="0.25">
      <c r="A4183" s="224"/>
      <c r="B4183" s="237"/>
      <c r="C4183" s="36" t="s">
        <v>1234</v>
      </c>
      <c r="D4183" s="36" t="s">
        <v>95</v>
      </c>
      <c r="E4183" s="37">
        <v>1</v>
      </c>
      <c r="F4183" s="54">
        <v>0</v>
      </c>
      <c r="G4183" s="54">
        <f t="shared" si="79"/>
        <v>0</v>
      </c>
      <c r="H4183" s="39">
        <f>SUM(G4183:G4183)</f>
        <v>0</v>
      </c>
      <c r="I4183" s="40"/>
      <c r="J4183" s="102">
        <v>0</v>
      </c>
    </row>
    <row r="4184" spans="1:10" ht="15.75" hidden="1" thickBot="1" x14ac:dyDescent="0.3">
      <c r="A4184" s="225"/>
      <c r="B4184" s="223"/>
      <c r="C4184" s="55"/>
      <c r="D4184" s="55"/>
      <c r="E4184" s="66"/>
      <c r="F4184" s="76" t="s">
        <v>522</v>
      </c>
      <c r="G4184" s="76" t="str">
        <f t="shared" si="79"/>
        <v/>
      </c>
      <c r="H4184" s="77"/>
      <c r="I4184" s="74"/>
      <c r="J4184" s="102">
        <v>0</v>
      </c>
    </row>
    <row r="4185" spans="1:10" ht="15.75" hidden="1" thickBot="1" x14ac:dyDescent="0.3">
      <c r="A4185" s="218" t="s">
        <v>1235</v>
      </c>
      <c r="B4185" s="221" t="e">
        <f>INDEX(#REF!,MATCH(Composições!A4185,#REF!,0),2)</f>
        <v>#REF!</v>
      </c>
      <c r="C4185" s="41"/>
      <c r="D4185" s="26" t="s">
        <v>95</v>
      </c>
      <c r="E4185" s="27"/>
      <c r="F4185" s="49" t="s">
        <v>522</v>
      </c>
      <c r="G4185" s="28" t="str">
        <f t="shared" si="79"/>
        <v/>
      </c>
      <c r="H4185" s="29"/>
      <c r="I4185" s="30"/>
      <c r="J4185" s="102">
        <v>0</v>
      </c>
    </row>
    <row r="4186" spans="1:10" hidden="1" x14ac:dyDescent="0.25">
      <c r="A4186" s="224"/>
      <c r="B4186" s="237"/>
      <c r="C4186" s="32"/>
      <c r="D4186" s="32"/>
      <c r="E4186" s="33"/>
      <c r="F4186" s="54" t="s">
        <v>522</v>
      </c>
      <c r="G4186" s="54" t="str">
        <f t="shared" si="79"/>
        <v/>
      </c>
      <c r="H4186" s="73"/>
      <c r="I4186" s="74"/>
      <c r="J4186" s="102">
        <v>0</v>
      </c>
    </row>
    <row r="4187" spans="1:10" ht="25.5" hidden="1" x14ac:dyDescent="0.25">
      <c r="A4187" s="224"/>
      <c r="B4187" s="237"/>
      <c r="C4187" s="36" t="s">
        <v>1236</v>
      </c>
      <c r="D4187" s="47" t="s">
        <v>992</v>
      </c>
      <c r="E4187" s="37">
        <v>1.05</v>
      </c>
      <c r="F4187" s="54">
        <v>153.83349999999999</v>
      </c>
      <c r="G4187" s="54">
        <f t="shared" si="79"/>
        <v>161.52517499999999</v>
      </c>
      <c r="H4187" s="39">
        <f>SUM(G4187:G4190)</f>
        <v>201.42339849999999</v>
      </c>
      <c r="I4187" s="40"/>
      <c r="J4187" s="102">
        <v>0</v>
      </c>
    </row>
    <row r="4188" spans="1:10" hidden="1" x14ac:dyDescent="0.25">
      <c r="A4188" s="224"/>
      <c r="B4188" s="237"/>
      <c r="C4188" s="36" t="s">
        <v>1237</v>
      </c>
      <c r="D4188" s="105" t="s">
        <v>42</v>
      </c>
      <c r="E4188" s="37">
        <v>0.57499999999999996</v>
      </c>
      <c r="F4188" s="54">
        <v>41.353499999999997</v>
      </c>
      <c r="G4188" s="54">
        <f t="shared" si="79"/>
        <v>23.778262499999997</v>
      </c>
      <c r="H4188" s="73"/>
      <c r="I4188" s="74"/>
      <c r="J4188" s="102">
        <v>0</v>
      </c>
    </row>
    <row r="4189" spans="1:10" hidden="1" x14ac:dyDescent="0.25">
      <c r="A4189" s="224"/>
      <c r="B4189" s="237"/>
      <c r="C4189" s="36" t="s">
        <v>704</v>
      </c>
      <c r="D4189" s="36" t="s">
        <v>703</v>
      </c>
      <c r="E4189" s="37">
        <v>0.2399</v>
      </c>
      <c r="F4189" s="54">
        <v>16.1785</v>
      </c>
      <c r="G4189" s="54">
        <f t="shared" si="79"/>
        <v>3.8812221500000001</v>
      </c>
      <c r="H4189" s="73"/>
      <c r="I4189" s="74"/>
      <c r="J4189" s="102">
        <v>0</v>
      </c>
    </row>
    <row r="4190" spans="1:10" hidden="1" x14ac:dyDescent="0.25">
      <c r="A4190" s="224"/>
      <c r="B4190" s="237"/>
      <c r="C4190" s="36" t="s">
        <v>1216</v>
      </c>
      <c r="D4190" s="36" t="s">
        <v>703</v>
      </c>
      <c r="E4190" s="37">
        <v>0.57589999999999997</v>
      </c>
      <c r="F4190" s="54">
        <v>21.2515</v>
      </c>
      <c r="G4190" s="54">
        <f t="shared" si="79"/>
        <v>12.238738849999999</v>
      </c>
      <c r="H4190" s="73"/>
      <c r="I4190" s="74"/>
      <c r="J4190" s="102">
        <v>0</v>
      </c>
    </row>
    <row r="4191" spans="1:10" ht="15.75" hidden="1" thickBot="1" x14ac:dyDescent="0.3">
      <c r="A4191" s="224"/>
      <c r="B4191" s="237"/>
      <c r="C4191" s="55"/>
      <c r="D4191" s="55"/>
      <c r="E4191" s="66"/>
      <c r="F4191" s="76" t="s">
        <v>522</v>
      </c>
      <c r="G4191" s="76" t="str">
        <f t="shared" si="79"/>
        <v/>
      </c>
      <c r="H4191" s="77"/>
      <c r="I4191" s="74"/>
      <c r="J4191" s="102">
        <v>0</v>
      </c>
    </row>
    <row r="4192" spans="1:10" ht="15.75" hidden="1" thickBot="1" x14ac:dyDescent="0.3">
      <c r="A4192" s="218" t="s">
        <v>1238</v>
      </c>
      <c r="B4192" s="221" t="e">
        <f>INDEX(#REF!,MATCH(Composições!A4192,#REF!,0),2)</f>
        <v>#REF!</v>
      </c>
      <c r="C4192" s="41"/>
      <c r="D4192" s="26" t="s">
        <v>95</v>
      </c>
      <c r="E4192" s="27"/>
      <c r="F4192" s="49" t="s">
        <v>522</v>
      </c>
      <c r="G4192" s="28" t="str">
        <f t="shared" si="79"/>
        <v/>
      </c>
      <c r="H4192" s="29"/>
      <c r="I4192" s="30"/>
      <c r="J4192" s="102">
        <v>0</v>
      </c>
    </row>
    <row r="4193" spans="1:10" hidden="1" x14ac:dyDescent="0.25">
      <c r="A4193" s="224"/>
      <c r="B4193" s="237"/>
      <c r="C4193" s="32"/>
      <c r="D4193" s="32"/>
      <c r="E4193" s="33"/>
      <c r="F4193" s="54" t="s">
        <v>522</v>
      </c>
      <c r="G4193" s="54" t="str">
        <f t="shared" si="79"/>
        <v/>
      </c>
      <c r="H4193" s="73"/>
      <c r="I4193" s="74"/>
      <c r="J4193" s="102">
        <v>0</v>
      </c>
    </row>
    <row r="4194" spans="1:10" hidden="1" x14ac:dyDescent="0.25">
      <c r="A4194" s="224"/>
      <c r="B4194" s="237"/>
      <c r="C4194" s="36" t="s">
        <v>2376</v>
      </c>
      <c r="D4194" s="47" t="s">
        <v>898</v>
      </c>
      <c r="E4194" s="37">
        <v>0.56369999999999998</v>
      </c>
      <c r="F4194" s="54">
        <v>45.751999999999995</v>
      </c>
      <c r="G4194" s="54">
        <f t="shared" si="79"/>
        <v>25.790402399999998</v>
      </c>
      <c r="H4194" s="39">
        <f>SUM(G4194:G4197)</f>
        <v>93.936696349999991</v>
      </c>
      <c r="I4194" s="40"/>
      <c r="J4194" s="102">
        <v>0</v>
      </c>
    </row>
    <row r="4195" spans="1:10" ht="25.5" hidden="1" x14ac:dyDescent="0.25">
      <c r="A4195" s="224"/>
      <c r="B4195" s="237"/>
      <c r="C4195" s="36" t="s">
        <v>1794</v>
      </c>
      <c r="D4195" s="47" t="s">
        <v>992</v>
      </c>
      <c r="E4195" s="37">
        <v>1.06</v>
      </c>
      <c r="F4195" s="54">
        <v>51.413999999999994</v>
      </c>
      <c r="G4195" s="54">
        <f t="shared" si="79"/>
        <v>54.498839999999994</v>
      </c>
      <c r="H4195" s="73"/>
      <c r="I4195" s="74"/>
      <c r="J4195" s="102">
        <v>0</v>
      </c>
    </row>
    <row r="4196" spans="1:10" hidden="1" x14ac:dyDescent="0.25">
      <c r="A4196" s="224"/>
      <c r="B4196" s="237"/>
      <c r="C4196" s="36" t="s">
        <v>711</v>
      </c>
      <c r="D4196" s="36" t="s">
        <v>703</v>
      </c>
      <c r="E4196" s="37">
        <v>0.48359999999999997</v>
      </c>
      <c r="F4196" s="54">
        <v>21.479499999999998</v>
      </c>
      <c r="G4196" s="54">
        <f t="shared" si="79"/>
        <v>10.387486199999998</v>
      </c>
      <c r="H4196" s="73"/>
      <c r="I4196" s="74"/>
      <c r="J4196" s="102">
        <v>0</v>
      </c>
    </row>
    <row r="4197" spans="1:10" hidden="1" x14ac:dyDescent="0.25">
      <c r="A4197" s="224"/>
      <c r="B4197" s="237"/>
      <c r="C4197" s="36" t="s">
        <v>704</v>
      </c>
      <c r="D4197" s="36" t="s">
        <v>703</v>
      </c>
      <c r="E4197" s="37">
        <v>0.20150000000000001</v>
      </c>
      <c r="F4197" s="54">
        <v>16.1785</v>
      </c>
      <c r="G4197" s="54">
        <f t="shared" si="79"/>
        <v>3.2599677499999999</v>
      </c>
      <c r="H4197" s="73"/>
      <c r="I4197" s="74"/>
      <c r="J4197" s="102">
        <v>0</v>
      </c>
    </row>
    <row r="4198" spans="1:10" ht="15.75" hidden="1" thickBot="1" x14ac:dyDescent="0.3">
      <c r="A4198" s="224"/>
      <c r="B4198" s="237"/>
      <c r="C4198" s="55"/>
      <c r="D4198" s="55"/>
      <c r="E4198" s="66"/>
      <c r="F4198" s="76" t="s">
        <v>522</v>
      </c>
      <c r="G4198" s="76" t="str">
        <f t="shared" si="79"/>
        <v/>
      </c>
      <c r="H4198" s="77"/>
      <c r="I4198" s="74"/>
      <c r="J4198" s="102">
        <v>0</v>
      </c>
    </row>
    <row r="4199" spans="1:10" ht="15.75" hidden="1" thickBot="1" x14ac:dyDescent="0.3">
      <c r="A4199" s="218" t="s">
        <v>1239</v>
      </c>
      <c r="B4199" s="221" t="e">
        <f>INDEX(#REF!,MATCH(Composições!A4199,#REF!,0),2)</f>
        <v>#REF!</v>
      </c>
      <c r="C4199" s="41"/>
      <c r="D4199" s="26" t="s">
        <v>95</v>
      </c>
      <c r="E4199" s="27"/>
      <c r="F4199" s="49" t="s">
        <v>522</v>
      </c>
      <c r="G4199" s="28" t="str">
        <f t="shared" si="79"/>
        <v/>
      </c>
      <c r="H4199" s="29"/>
      <c r="I4199" s="30"/>
      <c r="J4199" s="102">
        <v>0</v>
      </c>
    </row>
    <row r="4200" spans="1:10" hidden="1" x14ac:dyDescent="0.25">
      <c r="A4200" s="224"/>
      <c r="B4200" s="237"/>
      <c r="C4200" s="32"/>
      <c r="D4200" s="32"/>
      <c r="E4200" s="33"/>
      <c r="F4200" s="54" t="s">
        <v>522</v>
      </c>
      <c r="G4200" s="54" t="str">
        <f t="shared" si="79"/>
        <v/>
      </c>
      <c r="H4200" s="73"/>
      <c r="I4200" s="74"/>
      <c r="J4200" s="102">
        <v>0</v>
      </c>
    </row>
    <row r="4201" spans="1:10" ht="25.5" hidden="1" x14ac:dyDescent="0.25">
      <c r="A4201" s="224"/>
      <c r="B4201" s="237"/>
      <c r="C4201" s="36" t="s">
        <v>1240</v>
      </c>
      <c r="D4201" s="47" t="s">
        <v>992</v>
      </c>
      <c r="E4201" s="37">
        <v>1.05</v>
      </c>
      <c r="F4201" s="54" t="s">
        <v>522</v>
      </c>
      <c r="G4201" s="54" t="str">
        <f t="shared" si="79"/>
        <v/>
      </c>
      <c r="H4201" s="39">
        <f>SUM(G4201:G4203)</f>
        <v>12.448339344999997</v>
      </c>
      <c r="I4201" s="40"/>
      <c r="J4201" s="102">
        <v>0</v>
      </c>
    </row>
    <row r="4202" spans="1:10" hidden="1" x14ac:dyDescent="0.25">
      <c r="A4202" s="224"/>
      <c r="B4202" s="237"/>
      <c r="C4202" s="36" t="s">
        <v>704</v>
      </c>
      <c r="D4202" s="36" t="s">
        <v>703</v>
      </c>
      <c r="E4202" s="37">
        <v>0.2399</v>
      </c>
      <c r="F4202" s="54">
        <v>16.1785</v>
      </c>
      <c r="G4202" s="54">
        <f t="shared" si="79"/>
        <v>3.8812221500000001</v>
      </c>
      <c r="H4202" s="73"/>
      <c r="I4202" s="74"/>
      <c r="J4202" s="102">
        <v>0</v>
      </c>
    </row>
    <row r="4203" spans="1:10" hidden="1" x14ac:dyDescent="0.25">
      <c r="A4203" s="224"/>
      <c r="B4203" s="237"/>
      <c r="C4203" s="36" t="s">
        <v>1216</v>
      </c>
      <c r="D4203" s="36" t="s">
        <v>703</v>
      </c>
      <c r="E4203" s="37">
        <f>0.5759*0.7</f>
        <v>0.40312999999999993</v>
      </c>
      <c r="F4203" s="54">
        <v>21.2515</v>
      </c>
      <c r="G4203" s="54">
        <f t="shared" si="79"/>
        <v>8.567117194999998</v>
      </c>
      <c r="H4203" s="73"/>
      <c r="I4203" s="74"/>
      <c r="J4203" s="102">
        <v>0</v>
      </c>
    </row>
    <row r="4204" spans="1:10" ht="15.75" hidden="1" thickBot="1" x14ac:dyDescent="0.3">
      <c r="A4204" s="224"/>
      <c r="B4204" s="237"/>
      <c r="C4204" s="55"/>
      <c r="D4204" s="55"/>
      <c r="E4204" s="66"/>
      <c r="F4204" s="76" t="s">
        <v>522</v>
      </c>
      <c r="G4204" s="76" t="str">
        <f t="shared" si="79"/>
        <v/>
      </c>
      <c r="H4204" s="77"/>
      <c r="I4204" s="74"/>
      <c r="J4204" s="102">
        <v>0</v>
      </c>
    </row>
    <row r="4205" spans="1:10" ht="15.75" hidden="1" thickBot="1" x14ac:dyDescent="0.3">
      <c r="A4205" s="218" t="s">
        <v>1241</v>
      </c>
      <c r="B4205" s="221" t="e">
        <f>INDEX(#REF!,MATCH(Composições!A4205,#REF!,0),2)</f>
        <v>#REF!</v>
      </c>
      <c r="C4205" s="41"/>
      <c r="D4205" s="26" t="s">
        <v>95</v>
      </c>
      <c r="E4205" s="27"/>
      <c r="F4205" s="49" t="s">
        <v>522</v>
      </c>
      <c r="G4205" s="28" t="str">
        <f t="shared" si="79"/>
        <v/>
      </c>
      <c r="H4205" s="29"/>
      <c r="I4205" s="30"/>
      <c r="J4205" s="102">
        <v>0</v>
      </c>
    </row>
    <row r="4206" spans="1:10" hidden="1" x14ac:dyDescent="0.25">
      <c r="A4206" s="224"/>
      <c r="B4206" s="237"/>
      <c r="C4206" s="32"/>
      <c r="D4206" s="32"/>
      <c r="E4206" s="33"/>
      <c r="F4206" s="54" t="s">
        <v>522</v>
      </c>
      <c r="G4206" s="54" t="str">
        <f t="shared" si="79"/>
        <v/>
      </c>
      <c r="H4206" s="73"/>
      <c r="I4206" s="74"/>
      <c r="J4206" s="102">
        <v>0</v>
      </c>
    </row>
    <row r="4207" spans="1:10" ht="25.5" hidden="1" x14ac:dyDescent="0.25">
      <c r="A4207" s="224"/>
      <c r="B4207" s="237"/>
      <c r="C4207" s="36" t="s">
        <v>1242</v>
      </c>
      <c r="D4207" s="36" t="s">
        <v>95</v>
      </c>
      <c r="E4207" s="37">
        <v>1.05</v>
      </c>
      <c r="F4207" s="54" t="s">
        <v>522</v>
      </c>
      <c r="G4207" s="54" t="str">
        <f t="shared" si="79"/>
        <v/>
      </c>
      <c r="H4207" s="39">
        <f>SUM(G4207:G4209)</f>
        <v>10.965565</v>
      </c>
      <c r="I4207" s="40"/>
      <c r="J4207" s="102">
        <v>0</v>
      </c>
    </row>
    <row r="4208" spans="1:10" hidden="1" x14ac:dyDescent="0.25">
      <c r="A4208" s="224"/>
      <c r="B4208" s="237"/>
      <c r="C4208" s="36" t="s">
        <v>1216</v>
      </c>
      <c r="D4208" s="36" t="s">
        <v>703</v>
      </c>
      <c r="E4208" s="37">
        <v>0.15</v>
      </c>
      <c r="F4208" s="54">
        <v>21.2515</v>
      </c>
      <c r="G4208" s="54">
        <f t="shared" si="79"/>
        <v>3.1877249999999999</v>
      </c>
      <c r="H4208" s="73"/>
      <c r="I4208" s="74"/>
      <c r="J4208" s="102">
        <v>0</v>
      </c>
    </row>
    <row r="4209" spans="1:10" hidden="1" x14ac:dyDescent="0.25">
      <c r="A4209" s="224"/>
      <c r="B4209" s="237"/>
      <c r="C4209" s="36" t="s">
        <v>2376</v>
      </c>
      <c r="D4209" s="36" t="s">
        <v>42</v>
      </c>
      <c r="E4209" s="37">
        <v>0.17</v>
      </c>
      <c r="F4209" s="54">
        <v>45.751999999999995</v>
      </c>
      <c r="G4209" s="54">
        <f t="shared" si="79"/>
        <v>7.7778399999999994</v>
      </c>
      <c r="H4209" s="73"/>
      <c r="I4209" s="74"/>
      <c r="J4209" s="102">
        <v>0</v>
      </c>
    </row>
    <row r="4210" spans="1:10" ht="15.75" hidden="1" thickBot="1" x14ac:dyDescent="0.3">
      <c r="A4210" s="224"/>
      <c r="B4210" s="237"/>
      <c r="C4210" s="55"/>
      <c r="D4210" s="55"/>
      <c r="E4210" s="66"/>
      <c r="F4210" s="76" t="s">
        <v>522</v>
      </c>
      <c r="G4210" s="76" t="str">
        <f t="shared" si="79"/>
        <v/>
      </c>
      <c r="H4210" s="77"/>
      <c r="I4210" s="74"/>
      <c r="J4210" s="102">
        <v>0</v>
      </c>
    </row>
    <row r="4211" spans="1:10" ht="15.75" hidden="1" thickBot="1" x14ac:dyDescent="0.3">
      <c r="A4211" s="218" t="s">
        <v>1243</v>
      </c>
      <c r="B4211" s="221" t="e">
        <f>INDEX(#REF!,MATCH(Composições!A4211,#REF!,0),2)</f>
        <v>#REF!</v>
      </c>
      <c r="C4211" s="41"/>
      <c r="D4211" s="26" t="s">
        <v>95</v>
      </c>
      <c r="E4211" s="27"/>
      <c r="F4211" s="49" t="s">
        <v>522</v>
      </c>
      <c r="G4211" s="28" t="str">
        <f t="shared" si="79"/>
        <v/>
      </c>
      <c r="H4211" s="29"/>
      <c r="I4211" s="30"/>
      <c r="J4211" s="102">
        <v>0</v>
      </c>
    </row>
    <row r="4212" spans="1:10" hidden="1" x14ac:dyDescent="0.25">
      <c r="A4212" s="224"/>
      <c r="B4212" s="237"/>
      <c r="C4212" s="32"/>
      <c r="D4212" s="32"/>
      <c r="E4212" s="33"/>
      <c r="F4212" s="54" t="s">
        <v>522</v>
      </c>
      <c r="G4212" s="54" t="str">
        <f t="shared" si="79"/>
        <v/>
      </c>
      <c r="H4212" s="73"/>
      <c r="I4212" s="74"/>
      <c r="J4212" s="102">
        <v>0</v>
      </c>
    </row>
    <row r="4213" spans="1:10" ht="25.5" hidden="1" x14ac:dyDescent="0.25">
      <c r="A4213" s="224"/>
      <c r="B4213" s="237"/>
      <c r="C4213" s="36" t="s">
        <v>1244</v>
      </c>
      <c r="D4213" s="36" t="s">
        <v>95</v>
      </c>
      <c r="E4213" s="37">
        <v>1.05</v>
      </c>
      <c r="F4213" s="54" t="s">
        <v>522</v>
      </c>
      <c r="G4213" s="54" t="str">
        <f t="shared" si="79"/>
        <v/>
      </c>
      <c r="H4213" s="39">
        <f>SUM(G4213:G4215)</f>
        <v>10.965565</v>
      </c>
      <c r="I4213" s="40"/>
      <c r="J4213" s="102">
        <v>0</v>
      </c>
    </row>
    <row r="4214" spans="1:10" hidden="1" x14ac:dyDescent="0.25">
      <c r="A4214" s="224"/>
      <c r="B4214" s="237"/>
      <c r="C4214" s="36" t="s">
        <v>1216</v>
      </c>
      <c r="D4214" s="36" t="s">
        <v>703</v>
      </c>
      <c r="E4214" s="37">
        <v>0.15</v>
      </c>
      <c r="F4214" s="54">
        <v>21.2515</v>
      </c>
      <c r="G4214" s="54">
        <f t="shared" si="79"/>
        <v>3.1877249999999999</v>
      </c>
      <c r="H4214" s="73"/>
      <c r="I4214" s="74"/>
      <c r="J4214" s="102">
        <v>0</v>
      </c>
    </row>
    <row r="4215" spans="1:10" hidden="1" x14ac:dyDescent="0.25">
      <c r="A4215" s="224"/>
      <c r="B4215" s="237"/>
      <c r="C4215" s="36" t="s">
        <v>2376</v>
      </c>
      <c r="D4215" s="36" t="s">
        <v>42</v>
      </c>
      <c r="E4215" s="37">
        <v>0.17</v>
      </c>
      <c r="F4215" s="54">
        <v>45.751999999999995</v>
      </c>
      <c r="G4215" s="54">
        <f t="shared" si="79"/>
        <v>7.7778399999999994</v>
      </c>
      <c r="H4215" s="73"/>
      <c r="I4215" s="74"/>
      <c r="J4215" s="102">
        <v>0</v>
      </c>
    </row>
    <row r="4216" spans="1:10" ht="15.75" hidden="1" thickBot="1" x14ac:dyDescent="0.3">
      <c r="A4216" s="224"/>
      <c r="B4216" s="237"/>
      <c r="C4216" s="55"/>
      <c r="D4216" s="55"/>
      <c r="E4216" s="66"/>
      <c r="F4216" s="76" t="s">
        <v>522</v>
      </c>
      <c r="G4216" s="76" t="str">
        <f t="shared" si="79"/>
        <v/>
      </c>
      <c r="H4216" s="77"/>
      <c r="I4216" s="74"/>
      <c r="J4216" s="102">
        <v>0</v>
      </c>
    </row>
    <row r="4217" spans="1:10" ht="15.75" hidden="1" thickBot="1" x14ac:dyDescent="0.3">
      <c r="A4217" s="218" t="s">
        <v>1245</v>
      </c>
      <c r="B4217" s="221" t="e">
        <f>INDEX(#REF!,MATCH(Composições!A4217,#REF!,0),2)</f>
        <v>#REF!</v>
      </c>
      <c r="C4217" s="41"/>
      <c r="D4217" s="26" t="s">
        <v>95</v>
      </c>
      <c r="E4217" s="27"/>
      <c r="F4217" s="49" t="s">
        <v>522</v>
      </c>
      <c r="G4217" s="28" t="str">
        <f t="shared" si="79"/>
        <v/>
      </c>
      <c r="H4217" s="29"/>
      <c r="I4217" s="30"/>
      <c r="J4217" s="102">
        <v>0</v>
      </c>
    </row>
    <row r="4218" spans="1:10" hidden="1" x14ac:dyDescent="0.25">
      <c r="A4218" s="224"/>
      <c r="B4218" s="237"/>
      <c r="C4218" s="32"/>
      <c r="D4218" s="32"/>
      <c r="E4218" s="33"/>
      <c r="F4218" s="54" t="s">
        <v>522</v>
      </c>
      <c r="G4218" s="54" t="str">
        <f t="shared" si="79"/>
        <v/>
      </c>
      <c r="H4218" s="73"/>
      <c r="I4218" s="74"/>
      <c r="J4218" s="102">
        <v>0</v>
      </c>
    </row>
    <row r="4219" spans="1:10" hidden="1" x14ac:dyDescent="0.25">
      <c r="A4219" s="224"/>
      <c r="B4219" s="237"/>
      <c r="C4219" s="36" t="s">
        <v>1246</v>
      </c>
      <c r="D4219" s="47" t="s">
        <v>898</v>
      </c>
      <c r="E4219" s="37">
        <v>2.5000000000000001E-2</v>
      </c>
      <c r="F4219" s="54">
        <v>35.283000000000001</v>
      </c>
      <c r="G4219" s="54">
        <f t="shared" si="79"/>
        <v>0.88207500000000005</v>
      </c>
      <c r="H4219" s="39">
        <f>SUM(G4219:G4225)</f>
        <v>35.181262599999997</v>
      </c>
      <c r="I4219" s="40"/>
      <c r="J4219" s="102">
        <v>0</v>
      </c>
    </row>
    <row r="4220" spans="1:10" ht="25.5" hidden="1" x14ac:dyDescent="0.25">
      <c r="A4220" s="224"/>
      <c r="B4220" s="237"/>
      <c r="C4220" s="36" t="s">
        <v>2007</v>
      </c>
      <c r="D4220" s="47" t="s">
        <v>898</v>
      </c>
      <c r="E4220" s="37">
        <v>0.99639999999999995</v>
      </c>
      <c r="F4220" s="54">
        <v>0.63649999999999995</v>
      </c>
      <c r="G4220" s="54">
        <f t="shared" si="79"/>
        <v>0.6342085999999999</v>
      </c>
      <c r="H4220" s="73"/>
      <c r="I4220" s="74"/>
      <c r="J4220" s="102">
        <v>0</v>
      </c>
    </row>
    <row r="4221" spans="1:10" ht="25.5" hidden="1" x14ac:dyDescent="0.25">
      <c r="A4221" s="224"/>
      <c r="B4221" s="237"/>
      <c r="C4221" s="36" t="s">
        <v>2012</v>
      </c>
      <c r="D4221" s="36" t="s">
        <v>992</v>
      </c>
      <c r="E4221" s="37">
        <v>1.0293000000000001</v>
      </c>
      <c r="F4221" s="54">
        <v>8.958499999999999</v>
      </c>
      <c r="G4221" s="54">
        <f t="shared" si="79"/>
        <v>9.2209840500000002</v>
      </c>
      <c r="H4221" s="73"/>
      <c r="I4221" s="74"/>
      <c r="J4221" s="102">
        <v>0</v>
      </c>
    </row>
    <row r="4222" spans="1:10" hidden="1" x14ac:dyDescent="0.25">
      <c r="A4222" s="224"/>
      <c r="B4222" s="237"/>
      <c r="C4222" s="36" t="s">
        <v>1247</v>
      </c>
      <c r="D4222" s="36" t="s">
        <v>898</v>
      </c>
      <c r="E4222" s="37">
        <v>7.7999999999999996E-3</v>
      </c>
      <c r="F4222" s="54">
        <v>16.577499999999997</v>
      </c>
      <c r="G4222" s="54">
        <f t="shared" si="79"/>
        <v>0.12930449999999996</v>
      </c>
      <c r="H4222" s="73"/>
      <c r="I4222" s="74"/>
      <c r="J4222" s="102">
        <v>0</v>
      </c>
    </row>
    <row r="4223" spans="1:10" ht="25.5" hidden="1" x14ac:dyDescent="0.25">
      <c r="A4223" s="224"/>
      <c r="B4223" s="237"/>
      <c r="C4223" s="36" t="s">
        <v>265</v>
      </c>
      <c r="D4223" s="47" t="s">
        <v>1248</v>
      </c>
      <c r="E4223" s="37">
        <v>3.0800000000000001E-2</v>
      </c>
      <c r="F4223" s="54">
        <v>26.866</v>
      </c>
      <c r="G4223" s="54">
        <f t="shared" si="79"/>
        <v>0.82747280000000001</v>
      </c>
      <c r="H4223" s="73"/>
      <c r="I4223" s="74"/>
      <c r="J4223" s="102">
        <v>0</v>
      </c>
    </row>
    <row r="4224" spans="1:10" hidden="1" x14ac:dyDescent="0.25">
      <c r="A4224" s="224"/>
      <c r="B4224" s="237"/>
      <c r="C4224" s="36" t="s">
        <v>1249</v>
      </c>
      <c r="D4224" s="36" t="s">
        <v>703</v>
      </c>
      <c r="E4224" s="37">
        <v>0.7974</v>
      </c>
      <c r="F4224" s="54">
        <v>21.365499999999997</v>
      </c>
      <c r="G4224" s="54">
        <f t="shared" si="79"/>
        <v>17.036849699999998</v>
      </c>
      <c r="H4224" s="73"/>
      <c r="I4224" s="74"/>
      <c r="J4224" s="102">
        <v>0</v>
      </c>
    </row>
    <row r="4225" spans="1:10" hidden="1" x14ac:dyDescent="0.25">
      <c r="A4225" s="224"/>
      <c r="B4225" s="237"/>
      <c r="C4225" s="36" t="s">
        <v>704</v>
      </c>
      <c r="D4225" s="36" t="s">
        <v>703</v>
      </c>
      <c r="E4225" s="37">
        <v>0.3987</v>
      </c>
      <c r="F4225" s="54">
        <v>16.1785</v>
      </c>
      <c r="G4225" s="54">
        <f t="shared" si="79"/>
        <v>6.4503679499999995</v>
      </c>
      <c r="H4225" s="73"/>
      <c r="I4225" s="74"/>
      <c r="J4225" s="102">
        <v>0</v>
      </c>
    </row>
    <row r="4226" spans="1:10" ht="15.75" hidden="1" thickBot="1" x14ac:dyDescent="0.3">
      <c r="A4226" s="224"/>
      <c r="B4226" s="237"/>
      <c r="C4226" s="55"/>
      <c r="D4226" s="55"/>
      <c r="E4226" s="66"/>
      <c r="F4226" s="76" t="s">
        <v>522</v>
      </c>
      <c r="G4226" s="76" t="str">
        <f t="shared" si="79"/>
        <v/>
      </c>
      <c r="H4226" s="77"/>
      <c r="I4226" s="74"/>
      <c r="J4226" s="102">
        <v>0</v>
      </c>
    </row>
    <row r="4227" spans="1:10" ht="15.75" hidden="1" thickBot="1" x14ac:dyDescent="0.3">
      <c r="A4227" s="218" t="s">
        <v>1250</v>
      </c>
      <c r="B4227" s="221" t="e">
        <f>INDEX(#REF!,MATCH(Composições!A4227,#REF!,0),2)</f>
        <v>#REF!</v>
      </c>
      <c r="C4227" s="41"/>
      <c r="D4227" s="26" t="s">
        <v>95</v>
      </c>
      <c r="E4227" s="27"/>
      <c r="F4227" s="49" t="s">
        <v>522</v>
      </c>
      <c r="G4227" s="28" t="str">
        <f t="shared" si="79"/>
        <v/>
      </c>
      <c r="H4227" s="29"/>
      <c r="I4227" s="30"/>
      <c r="J4227" s="102">
        <v>0</v>
      </c>
    </row>
    <row r="4228" spans="1:10" hidden="1" x14ac:dyDescent="0.25">
      <c r="A4228" s="224"/>
      <c r="B4228" s="237"/>
      <c r="C4228" s="32"/>
      <c r="D4228" s="32"/>
      <c r="E4228" s="33"/>
      <c r="F4228" s="54" t="s">
        <v>522</v>
      </c>
      <c r="G4228" s="54" t="str">
        <f t="shared" si="79"/>
        <v/>
      </c>
      <c r="H4228" s="73"/>
      <c r="I4228" s="74"/>
      <c r="J4228" s="102">
        <v>0</v>
      </c>
    </row>
    <row r="4229" spans="1:10" ht="25.5" hidden="1" x14ac:dyDescent="0.25">
      <c r="A4229" s="224"/>
      <c r="B4229" s="237"/>
      <c r="C4229" s="36" t="s">
        <v>2496</v>
      </c>
      <c r="D4229" s="36" t="s">
        <v>898</v>
      </c>
      <c r="E4229" s="37">
        <v>1.1399999999999999</v>
      </c>
      <c r="F4229" s="54">
        <v>5.4245000000000001</v>
      </c>
      <c r="G4229" s="54">
        <f t="shared" si="79"/>
        <v>6.1839299999999993</v>
      </c>
      <c r="H4229" s="39">
        <f>SUM(G4229:G4231)</f>
        <v>11.529494499999998</v>
      </c>
      <c r="I4229" s="40"/>
      <c r="J4229" s="102">
        <v>0</v>
      </c>
    </row>
    <row r="4230" spans="1:10" hidden="1" x14ac:dyDescent="0.25">
      <c r="A4230" s="224"/>
      <c r="B4230" s="237"/>
      <c r="C4230" s="36" t="s">
        <v>1095</v>
      </c>
      <c r="D4230" s="36" t="s">
        <v>703</v>
      </c>
      <c r="E4230" s="37">
        <v>0.188</v>
      </c>
      <c r="F4230" s="54">
        <v>22.495999999999999</v>
      </c>
      <c r="G4230" s="54">
        <f t="shared" si="79"/>
        <v>4.2292480000000001</v>
      </c>
      <c r="H4230" s="73"/>
      <c r="I4230" s="74"/>
      <c r="J4230" s="102">
        <v>0</v>
      </c>
    </row>
    <row r="4231" spans="1:10" hidden="1" x14ac:dyDescent="0.25">
      <c r="A4231" s="224"/>
      <c r="B4231" s="237"/>
      <c r="C4231" s="36" t="s">
        <v>704</v>
      </c>
      <c r="D4231" s="36" t="s">
        <v>703</v>
      </c>
      <c r="E4231" s="37">
        <v>6.9000000000000006E-2</v>
      </c>
      <c r="F4231" s="54">
        <v>16.1785</v>
      </c>
      <c r="G4231" s="54">
        <f t="shared" si="79"/>
        <v>1.1163165000000002</v>
      </c>
      <c r="H4231" s="73"/>
      <c r="I4231" s="74"/>
      <c r="J4231" s="102">
        <v>0</v>
      </c>
    </row>
    <row r="4232" spans="1:10" ht="15.75" hidden="1" thickBot="1" x14ac:dyDescent="0.3">
      <c r="A4232" s="224"/>
      <c r="B4232" s="237"/>
      <c r="C4232" s="55"/>
      <c r="D4232" s="55"/>
      <c r="E4232" s="66"/>
      <c r="F4232" s="76" t="s">
        <v>522</v>
      </c>
      <c r="G4232" s="76" t="str">
        <f t="shared" si="79"/>
        <v/>
      </c>
      <c r="H4232" s="77"/>
      <c r="I4232" s="74"/>
      <c r="J4232" s="102">
        <v>0</v>
      </c>
    </row>
    <row r="4233" spans="1:10" ht="15.75" hidden="1" thickBot="1" x14ac:dyDescent="0.3">
      <c r="A4233" s="218" t="s">
        <v>1251</v>
      </c>
      <c r="B4233" s="221" t="e">
        <f>INDEX(#REF!,MATCH(Composições!A4233,#REF!,0),2)</f>
        <v>#REF!</v>
      </c>
      <c r="C4233" s="41"/>
      <c r="D4233" s="26" t="s">
        <v>95</v>
      </c>
      <c r="E4233" s="27"/>
      <c r="F4233" s="49" t="s">
        <v>522</v>
      </c>
      <c r="G4233" s="28" t="str">
        <f t="shared" ref="G4233:G4296" si="80">IF(ISNUMBER(F4233),E4233*F4233,"")</f>
        <v/>
      </c>
      <c r="H4233" s="29"/>
      <c r="I4233" s="30"/>
      <c r="J4233" s="102">
        <v>0</v>
      </c>
    </row>
    <row r="4234" spans="1:10" hidden="1" x14ac:dyDescent="0.25">
      <c r="A4234" s="224"/>
      <c r="B4234" s="237"/>
      <c r="C4234" s="32"/>
      <c r="D4234" s="32"/>
      <c r="E4234" s="33"/>
      <c r="F4234" s="54" t="s">
        <v>522</v>
      </c>
      <c r="G4234" s="54" t="str">
        <f t="shared" si="80"/>
        <v/>
      </c>
      <c r="H4234" s="73"/>
      <c r="I4234" s="74"/>
      <c r="J4234" s="102">
        <v>0</v>
      </c>
    </row>
    <row r="4235" spans="1:10" hidden="1" x14ac:dyDescent="0.25">
      <c r="A4235" s="224"/>
      <c r="B4235" s="237"/>
      <c r="C4235" s="36" t="s">
        <v>2498</v>
      </c>
      <c r="D4235" s="36" t="s">
        <v>102</v>
      </c>
      <c r="E4235" s="37">
        <f>ROUND(0.33*1.15,4)</f>
        <v>0.3795</v>
      </c>
      <c r="F4235" s="54">
        <v>22.733499999999999</v>
      </c>
      <c r="G4235" s="54">
        <f t="shared" si="80"/>
        <v>8.6273632500000001</v>
      </c>
      <c r="H4235" s="39">
        <f>SUM(G4235:G4237)</f>
        <v>13.95043175</v>
      </c>
      <c r="I4235" s="40"/>
      <c r="J4235" s="102">
        <v>0</v>
      </c>
    </row>
    <row r="4236" spans="1:10" hidden="1" x14ac:dyDescent="0.25">
      <c r="A4236" s="224"/>
      <c r="B4236" s="237"/>
      <c r="C4236" s="36" t="s">
        <v>1095</v>
      </c>
      <c r="D4236" s="36" t="s">
        <v>703</v>
      </c>
      <c r="E4236" s="37">
        <v>0.187</v>
      </c>
      <c r="F4236" s="54">
        <v>22.495999999999999</v>
      </c>
      <c r="G4236" s="54">
        <f t="shared" si="80"/>
        <v>4.2067519999999998</v>
      </c>
      <c r="H4236" s="73"/>
      <c r="I4236" s="74"/>
      <c r="J4236" s="102">
        <v>0</v>
      </c>
    </row>
    <row r="4237" spans="1:10" hidden="1" x14ac:dyDescent="0.25">
      <c r="A4237" s="224"/>
      <c r="B4237" s="237"/>
      <c r="C4237" s="36" t="s">
        <v>704</v>
      </c>
      <c r="D4237" s="36" t="s">
        <v>703</v>
      </c>
      <c r="E4237" s="37">
        <v>6.9000000000000006E-2</v>
      </c>
      <c r="F4237" s="54">
        <v>16.1785</v>
      </c>
      <c r="G4237" s="54">
        <f t="shared" si="80"/>
        <v>1.1163165000000002</v>
      </c>
      <c r="H4237" s="73"/>
      <c r="I4237" s="74"/>
      <c r="J4237" s="102">
        <v>0</v>
      </c>
    </row>
    <row r="4238" spans="1:10" hidden="1" x14ac:dyDescent="0.25">
      <c r="A4238" s="224"/>
      <c r="B4238" s="237"/>
      <c r="C4238" s="36"/>
      <c r="D4238" s="36"/>
      <c r="E4238" s="37"/>
      <c r="F4238" s="54" t="s">
        <v>522</v>
      </c>
      <c r="G4238" s="54" t="str">
        <f t="shared" si="80"/>
        <v/>
      </c>
      <c r="H4238" s="73"/>
      <c r="I4238" s="74"/>
      <c r="J4238" s="102">
        <v>0</v>
      </c>
    </row>
    <row r="4239" spans="1:10" ht="25.5" hidden="1" x14ac:dyDescent="0.25">
      <c r="A4239" s="224"/>
      <c r="B4239" s="237"/>
      <c r="C4239" s="36" t="s">
        <v>1252</v>
      </c>
      <c r="D4239" s="36"/>
      <c r="E4239" s="37"/>
      <c r="F4239" s="54" t="s">
        <v>522</v>
      </c>
      <c r="G4239" s="54" t="str">
        <f t="shared" si="80"/>
        <v/>
      </c>
      <c r="H4239" s="73"/>
      <c r="I4239" s="74"/>
      <c r="J4239" s="102">
        <v>0</v>
      </c>
    </row>
    <row r="4240" spans="1:10" ht="15.75" hidden="1" thickBot="1" x14ac:dyDescent="0.3">
      <c r="A4240" s="224"/>
      <c r="B4240" s="237"/>
      <c r="C4240" s="55"/>
      <c r="D4240" s="55"/>
      <c r="E4240" s="66"/>
      <c r="F4240" s="76" t="s">
        <v>522</v>
      </c>
      <c r="G4240" s="76" t="str">
        <f t="shared" si="80"/>
        <v/>
      </c>
      <c r="H4240" s="77"/>
      <c r="I4240" s="74"/>
      <c r="J4240" s="102">
        <v>0</v>
      </c>
    </row>
    <row r="4241" spans="1:10" ht="15.75" hidden="1" thickBot="1" x14ac:dyDescent="0.3">
      <c r="A4241" s="218" t="s">
        <v>1253</v>
      </c>
      <c r="B4241" s="221" t="e">
        <f>INDEX(#REF!,MATCH(Composições!A4241,#REF!,0),2)</f>
        <v>#REF!</v>
      </c>
      <c r="C4241" s="41"/>
      <c r="D4241" s="26" t="s">
        <v>95</v>
      </c>
      <c r="E4241" s="27"/>
      <c r="F4241" s="49" t="s">
        <v>522</v>
      </c>
      <c r="G4241" s="28" t="str">
        <f t="shared" si="80"/>
        <v/>
      </c>
      <c r="H4241" s="29"/>
      <c r="I4241" s="30"/>
      <c r="J4241" s="102">
        <v>0</v>
      </c>
    </row>
    <row r="4242" spans="1:10" hidden="1" x14ac:dyDescent="0.25">
      <c r="A4242" s="224"/>
      <c r="B4242" s="237"/>
      <c r="C4242" s="32"/>
      <c r="D4242" s="32"/>
      <c r="E4242" s="33"/>
      <c r="F4242" s="54" t="s">
        <v>522</v>
      </c>
      <c r="G4242" s="54" t="str">
        <f t="shared" si="80"/>
        <v/>
      </c>
      <c r="H4242" s="73"/>
      <c r="I4242" s="74"/>
      <c r="J4242" s="102">
        <v>0</v>
      </c>
    </row>
    <row r="4243" spans="1:10" hidden="1" x14ac:dyDescent="0.25">
      <c r="A4243" s="224"/>
      <c r="B4243" s="237"/>
      <c r="C4243" s="36" t="s">
        <v>2410</v>
      </c>
      <c r="D4243" s="36" t="s">
        <v>102</v>
      </c>
      <c r="E4243" s="37">
        <v>0.16</v>
      </c>
      <c r="F4243" s="54">
        <v>10.620999999999999</v>
      </c>
      <c r="G4243" s="54">
        <f t="shared" si="80"/>
        <v>1.6993599999999998</v>
      </c>
      <c r="H4243" s="39">
        <f>SUM(G4243:G4247)</f>
        <v>16.35615</v>
      </c>
      <c r="I4243" s="40"/>
      <c r="J4243" s="102">
        <v>0</v>
      </c>
    </row>
    <row r="4244" spans="1:10" hidden="1" x14ac:dyDescent="0.25">
      <c r="A4244" s="224"/>
      <c r="B4244" s="237"/>
      <c r="C4244" s="36" t="s">
        <v>1094</v>
      </c>
      <c r="D4244" s="36" t="s">
        <v>102</v>
      </c>
      <c r="E4244" s="37">
        <v>0.42699999999999999</v>
      </c>
      <c r="F4244" s="54">
        <v>15.2475</v>
      </c>
      <c r="G4244" s="54">
        <f t="shared" si="80"/>
        <v>6.5106824999999997</v>
      </c>
      <c r="H4244" s="73"/>
      <c r="I4244" s="74"/>
      <c r="J4244" s="102">
        <v>0</v>
      </c>
    </row>
    <row r="4245" spans="1:10" hidden="1" x14ac:dyDescent="0.25">
      <c r="A4245" s="224"/>
      <c r="B4245" s="237"/>
      <c r="C4245" s="36" t="s">
        <v>2411</v>
      </c>
      <c r="D4245" s="36" t="s">
        <v>279</v>
      </c>
      <c r="E4245" s="37">
        <v>0.01</v>
      </c>
      <c r="F4245" s="54">
        <v>9.9179999999999993</v>
      </c>
      <c r="G4245" s="54">
        <f t="shared" si="80"/>
        <v>9.917999999999999E-2</v>
      </c>
      <c r="H4245" s="73"/>
      <c r="I4245" s="74"/>
      <c r="J4245" s="102">
        <v>0</v>
      </c>
    </row>
    <row r="4246" spans="1:10" hidden="1" x14ac:dyDescent="0.25">
      <c r="A4246" s="224"/>
      <c r="B4246" s="237"/>
      <c r="C4246" s="36" t="s">
        <v>1095</v>
      </c>
      <c r="D4246" s="36" t="s">
        <v>703</v>
      </c>
      <c r="E4246" s="37">
        <v>0.27500000000000002</v>
      </c>
      <c r="F4246" s="54">
        <v>22.495999999999999</v>
      </c>
      <c r="G4246" s="54">
        <f t="shared" si="80"/>
        <v>6.1863999999999999</v>
      </c>
      <c r="H4246" s="73"/>
      <c r="I4246" s="74"/>
      <c r="J4246" s="102">
        <v>0</v>
      </c>
    </row>
    <row r="4247" spans="1:10" hidden="1" x14ac:dyDescent="0.25">
      <c r="A4247" s="224"/>
      <c r="B4247" s="237"/>
      <c r="C4247" s="36" t="s">
        <v>704</v>
      </c>
      <c r="D4247" s="36" t="s">
        <v>703</v>
      </c>
      <c r="E4247" s="37">
        <v>0.115</v>
      </c>
      <c r="F4247" s="54">
        <v>16.1785</v>
      </c>
      <c r="G4247" s="54">
        <f t="shared" si="80"/>
        <v>1.8605275000000001</v>
      </c>
      <c r="H4247" s="73"/>
      <c r="I4247" s="74"/>
      <c r="J4247" s="102">
        <v>0</v>
      </c>
    </row>
    <row r="4248" spans="1:10" ht="15.75" hidden="1" thickBot="1" x14ac:dyDescent="0.3">
      <c r="A4248" s="224"/>
      <c r="B4248" s="237"/>
      <c r="C4248" s="55"/>
      <c r="D4248" s="55"/>
      <c r="E4248" s="66"/>
      <c r="F4248" s="76" t="s">
        <v>522</v>
      </c>
      <c r="G4248" s="76" t="str">
        <f t="shared" si="80"/>
        <v/>
      </c>
      <c r="H4248" s="77"/>
      <c r="I4248" s="74"/>
      <c r="J4248" s="102">
        <v>0</v>
      </c>
    </row>
    <row r="4249" spans="1:10" ht="15.75" hidden="1" thickBot="1" x14ac:dyDescent="0.3">
      <c r="A4249" s="218" t="s">
        <v>1254</v>
      </c>
      <c r="B4249" s="221" t="e">
        <f>INDEX(#REF!,MATCH(Composições!A4249,#REF!,0),2)</f>
        <v>#REF!</v>
      </c>
      <c r="C4249" s="41"/>
      <c r="D4249" s="26" t="s">
        <v>95</v>
      </c>
      <c r="E4249" s="27"/>
      <c r="F4249" s="49" t="s">
        <v>522</v>
      </c>
      <c r="G4249" s="28" t="str">
        <f t="shared" si="80"/>
        <v/>
      </c>
      <c r="H4249" s="29"/>
      <c r="I4249" s="30"/>
      <c r="J4249" s="102">
        <v>0</v>
      </c>
    </row>
    <row r="4250" spans="1:10" hidden="1" x14ac:dyDescent="0.25">
      <c r="A4250" s="224"/>
      <c r="B4250" s="237"/>
      <c r="C4250" s="32"/>
      <c r="D4250" s="32"/>
      <c r="E4250" s="33"/>
      <c r="F4250" s="54" t="s">
        <v>522</v>
      </c>
      <c r="G4250" s="54" t="str">
        <f t="shared" si="80"/>
        <v/>
      </c>
      <c r="H4250" s="73"/>
      <c r="I4250" s="74"/>
      <c r="J4250" s="102">
        <v>0</v>
      </c>
    </row>
    <row r="4251" spans="1:10" hidden="1" x14ac:dyDescent="0.25">
      <c r="A4251" s="224"/>
      <c r="B4251" s="237"/>
      <c r="C4251" s="36" t="s">
        <v>2412</v>
      </c>
      <c r="D4251" s="36" t="s">
        <v>102</v>
      </c>
      <c r="E4251" s="37">
        <v>6.4000000000000001E-2</v>
      </c>
      <c r="F4251" s="54">
        <v>33.297499999999992</v>
      </c>
      <c r="G4251" s="54">
        <f t="shared" si="80"/>
        <v>2.1310399999999996</v>
      </c>
      <c r="H4251" s="39">
        <f>SUM(G4251:G4256)</f>
        <v>55.651666899999995</v>
      </c>
      <c r="I4251" s="40"/>
      <c r="J4251" s="102">
        <v>0</v>
      </c>
    </row>
    <row r="4252" spans="1:10" hidden="1" x14ac:dyDescent="0.25">
      <c r="A4252" s="224"/>
      <c r="B4252" s="237"/>
      <c r="C4252" s="36" t="s">
        <v>2037</v>
      </c>
      <c r="D4252" s="36" t="s">
        <v>102</v>
      </c>
      <c r="E4252" s="37">
        <v>0.32200000000000001</v>
      </c>
      <c r="F4252" s="54">
        <v>72.532499999999985</v>
      </c>
      <c r="G4252" s="54">
        <f t="shared" si="80"/>
        <v>23.355464999999995</v>
      </c>
      <c r="H4252" s="73"/>
      <c r="I4252" s="74"/>
      <c r="J4252" s="102">
        <v>0</v>
      </c>
    </row>
    <row r="4253" spans="1:10" hidden="1" x14ac:dyDescent="0.25">
      <c r="A4253" s="224"/>
      <c r="B4253" s="237"/>
      <c r="C4253" s="36" t="s">
        <v>2411</v>
      </c>
      <c r="D4253" s="36" t="s">
        <v>279</v>
      </c>
      <c r="E4253" s="37">
        <v>0.01</v>
      </c>
      <c r="F4253" s="54">
        <v>9.9179999999999993</v>
      </c>
      <c r="G4253" s="54">
        <f t="shared" si="80"/>
        <v>9.917999999999999E-2</v>
      </c>
      <c r="H4253" s="73"/>
      <c r="I4253" s="74"/>
      <c r="J4253" s="102">
        <v>0</v>
      </c>
    </row>
    <row r="4254" spans="1:10" hidden="1" x14ac:dyDescent="0.25">
      <c r="A4254" s="224"/>
      <c r="B4254" s="237"/>
      <c r="C4254" s="36" t="s">
        <v>2429</v>
      </c>
      <c r="D4254" s="36" t="s">
        <v>102</v>
      </c>
      <c r="E4254" s="37">
        <v>0.2016</v>
      </c>
      <c r="F4254" s="54">
        <v>109.22149999999999</v>
      </c>
      <c r="G4254" s="54">
        <f t="shared" si="80"/>
        <v>22.019054399999998</v>
      </c>
      <c r="H4254" s="73"/>
      <c r="I4254" s="74"/>
      <c r="J4254" s="102">
        <v>0</v>
      </c>
    </row>
    <row r="4255" spans="1:10" hidden="1" x14ac:dyDescent="0.25">
      <c r="A4255" s="224"/>
      <c r="B4255" s="237"/>
      <c r="C4255" s="36" t="s">
        <v>1095</v>
      </c>
      <c r="D4255" s="36" t="s">
        <v>703</v>
      </c>
      <c r="E4255" s="37">
        <v>0.27500000000000002</v>
      </c>
      <c r="F4255" s="54">
        <v>22.495999999999999</v>
      </c>
      <c r="G4255" s="54">
        <f t="shared" si="80"/>
        <v>6.1863999999999999</v>
      </c>
      <c r="H4255" s="73"/>
      <c r="I4255" s="74"/>
      <c r="J4255" s="102">
        <v>0</v>
      </c>
    </row>
    <row r="4256" spans="1:10" hidden="1" x14ac:dyDescent="0.25">
      <c r="A4256" s="224"/>
      <c r="B4256" s="237"/>
      <c r="C4256" s="36" t="s">
        <v>704</v>
      </c>
      <c r="D4256" s="36" t="s">
        <v>703</v>
      </c>
      <c r="E4256" s="37">
        <v>0.115</v>
      </c>
      <c r="F4256" s="54">
        <v>16.1785</v>
      </c>
      <c r="G4256" s="54">
        <f t="shared" si="80"/>
        <v>1.8605275000000001</v>
      </c>
      <c r="H4256" s="73"/>
      <c r="I4256" s="74"/>
      <c r="J4256" s="102">
        <v>0</v>
      </c>
    </row>
    <row r="4257" spans="1:10" ht="15.75" hidden="1" thickBot="1" x14ac:dyDescent="0.3">
      <c r="A4257" s="224"/>
      <c r="B4257" s="237"/>
      <c r="C4257" s="55"/>
      <c r="D4257" s="55"/>
      <c r="E4257" s="66"/>
      <c r="F4257" s="76" t="s">
        <v>522</v>
      </c>
      <c r="G4257" s="76" t="str">
        <f t="shared" si="80"/>
        <v/>
      </c>
      <c r="H4257" s="77"/>
      <c r="I4257" s="74"/>
      <c r="J4257" s="102">
        <v>0</v>
      </c>
    </row>
    <row r="4258" spans="1:10" ht="15.75" hidden="1" thickBot="1" x14ac:dyDescent="0.3">
      <c r="A4258" s="218" t="s">
        <v>1255</v>
      </c>
      <c r="B4258" s="221" t="e">
        <f>INDEX(#REF!,MATCH(Composições!A4258,#REF!,0),2)</f>
        <v>#REF!</v>
      </c>
      <c r="C4258" s="41"/>
      <c r="D4258" s="26" t="s">
        <v>95</v>
      </c>
      <c r="E4258" s="27"/>
      <c r="F4258" s="49" t="s">
        <v>522</v>
      </c>
      <c r="G4258" s="28" t="str">
        <f t="shared" si="80"/>
        <v/>
      </c>
      <c r="H4258" s="29"/>
      <c r="I4258" s="30"/>
      <c r="J4258" s="102">
        <v>0</v>
      </c>
    </row>
    <row r="4259" spans="1:10" hidden="1" x14ac:dyDescent="0.25">
      <c r="A4259" s="224"/>
      <c r="B4259" s="237"/>
      <c r="C4259" s="32"/>
      <c r="D4259" s="32"/>
      <c r="E4259" s="33"/>
      <c r="F4259" s="54" t="s">
        <v>522</v>
      </c>
      <c r="G4259" s="54" t="str">
        <f t="shared" si="80"/>
        <v/>
      </c>
      <c r="H4259" s="73"/>
      <c r="I4259" s="74"/>
      <c r="J4259" s="102">
        <v>0</v>
      </c>
    </row>
    <row r="4260" spans="1:10" hidden="1" x14ac:dyDescent="0.25">
      <c r="A4260" s="224"/>
      <c r="B4260" s="237"/>
      <c r="C4260" s="36" t="s">
        <v>2330</v>
      </c>
      <c r="D4260" s="36" t="s">
        <v>102</v>
      </c>
      <c r="E4260" s="37">
        <v>0.04</v>
      </c>
      <c r="F4260" s="54">
        <v>0</v>
      </c>
      <c r="G4260" s="54">
        <f t="shared" si="80"/>
        <v>0</v>
      </c>
      <c r="H4260" s="39">
        <f>SUM(G4260:G4263)</f>
        <v>18.40663</v>
      </c>
      <c r="I4260" s="40"/>
      <c r="J4260" s="102">
        <v>0</v>
      </c>
    </row>
    <row r="4261" spans="1:10" hidden="1" x14ac:dyDescent="0.25">
      <c r="A4261" s="224"/>
      <c r="B4261" s="237"/>
      <c r="C4261" s="36" t="s">
        <v>2331</v>
      </c>
      <c r="D4261" s="36" t="s">
        <v>898</v>
      </c>
      <c r="E4261" s="37">
        <v>0.36</v>
      </c>
      <c r="F4261" s="54">
        <v>0</v>
      </c>
      <c r="G4261" s="54">
        <f t="shared" si="80"/>
        <v>0</v>
      </c>
      <c r="H4261" s="73"/>
      <c r="I4261" s="74"/>
      <c r="J4261" s="102">
        <v>0</v>
      </c>
    </row>
    <row r="4262" spans="1:10" hidden="1" x14ac:dyDescent="0.25">
      <c r="A4262" s="224"/>
      <c r="B4262" s="237"/>
      <c r="C4262" s="36" t="s">
        <v>1095</v>
      </c>
      <c r="D4262" s="36" t="s">
        <v>703</v>
      </c>
      <c r="E4262" s="37">
        <v>0.66</v>
      </c>
      <c r="F4262" s="54">
        <v>22.495999999999999</v>
      </c>
      <c r="G4262" s="54">
        <f t="shared" si="80"/>
        <v>14.84736</v>
      </c>
      <c r="H4262" s="73"/>
      <c r="I4262" s="74"/>
      <c r="J4262" s="102">
        <v>0</v>
      </c>
    </row>
    <row r="4263" spans="1:10" hidden="1" x14ac:dyDescent="0.25">
      <c r="A4263" s="224"/>
      <c r="B4263" s="237"/>
      <c r="C4263" s="36" t="s">
        <v>704</v>
      </c>
      <c r="D4263" s="36" t="s">
        <v>703</v>
      </c>
      <c r="E4263" s="37">
        <v>0.22</v>
      </c>
      <c r="F4263" s="54">
        <v>16.1785</v>
      </c>
      <c r="G4263" s="54">
        <f t="shared" si="80"/>
        <v>3.5592700000000002</v>
      </c>
      <c r="H4263" s="73"/>
      <c r="I4263" s="74"/>
      <c r="J4263" s="102">
        <v>0</v>
      </c>
    </row>
    <row r="4264" spans="1:10" ht="15.75" hidden="1" thickBot="1" x14ac:dyDescent="0.3">
      <c r="A4264" s="225"/>
      <c r="B4264" s="223"/>
      <c r="C4264" s="55"/>
      <c r="D4264" s="55"/>
      <c r="E4264" s="66"/>
      <c r="F4264" s="76" t="s">
        <v>522</v>
      </c>
      <c r="G4264" s="76" t="str">
        <f t="shared" si="80"/>
        <v/>
      </c>
      <c r="H4264" s="77"/>
      <c r="I4264" s="74"/>
      <c r="J4264" s="102">
        <v>0</v>
      </c>
    </row>
    <row r="4265" spans="1:10" ht="15.75" hidden="1" thickBot="1" x14ac:dyDescent="0.3">
      <c r="A4265" s="218" t="s">
        <v>1256</v>
      </c>
      <c r="B4265" s="221" t="e">
        <f>INDEX(#REF!,MATCH(Composições!A4265,#REF!,0),2)</f>
        <v>#REF!</v>
      </c>
      <c r="C4265" s="41"/>
      <c r="D4265" s="26" t="s">
        <v>95</v>
      </c>
      <c r="E4265" s="27"/>
      <c r="F4265" s="49" t="s">
        <v>522</v>
      </c>
      <c r="G4265" s="28" t="str">
        <f t="shared" si="80"/>
        <v/>
      </c>
      <c r="H4265" s="29"/>
      <c r="I4265" s="30"/>
      <c r="J4265" s="102">
        <v>0</v>
      </c>
    </row>
    <row r="4266" spans="1:10" hidden="1" x14ac:dyDescent="0.25">
      <c r="A4266" s="224"/>
      <c r="B4266" s="237"/>
      <c r="C4266" s="32"/>
      <c r="D4266" s="32"/>
      <c r="E4266" s="33"/>
      <c r="F4266" s="54" t="s">
        <v>522</v>
      </c>
      <c r="G4266" s="54" t="str">
        <f t="shared" si="80"/>
        <v/>
      </c>
      <c r="H4266" s="73"/>
      <c r="I4266" s="74"/>
      <c r="J4266" s="102">
        <v>0</v>
      </c>
    </row>
    <row r="4267" spans="1:10" ht="25.5" hidden="1" x14ac:dyDescent="0.25">
      <c r="A4267" s="224"/>
      <c r="B4267" s="237"/>
      <c r="C4267" s="36" t="s">
        <v>1257</v>
      </c>
      <c r="D4267" s="36" t="s">
        <v>898</v>
      </c>
      <c r="E4267" s="37">
        <v>2</v>
      </c>
      <c r="F4267" s="54" t="s">
        <v>522</v>
      </c>
      <c r="G4267" s="54" t="str">
        <f t="shared" si="80"/>
        <v/>
      </c>
      <c r="H4267" s="39">
        <f>SUM(G4267:G4268)</f>
        <v>1.1163165000000002</v>
      </c>
      <c r="I4267" s="40"/>
      <c r="J4267" s="102">
        <v>0</v>
      </c>
    </row>
    <row r="4268" spans="1:10" hidden="1" x14ac:dyDescent="0.25">
      <c r="A4268" s="224"/>
      <c r="B4268" s="237"/>
      <c r="C4268" s="36" t="s">
        <v>704</v>
      </c>
      <c r="D4268" s="36" t="s">
        <v>703</v>
      </c>
      <c r="E4268" s="37">
        <v>6.9000000000000006E-2</v>
      </c>
      <c r="F4268" s="54">
        <v>16.1785</v>
      </c>
      <c r="G4268" s="54">
        <f t="shared" si="80"/>
        <v>1.1163165000000002</v>
      </c>
      <c r="H4268" s="73"/>
      <c r="I4268" s="74"/>
      <c r="J4268" s="102">
        <v>0</v>
      </c>
    </row>
    <row r="4269" spans="1:10" ht="15.75" hidden="1" thickBot="1" x14ac:dyDescent="0.3">
      <c r="A4269" s="224"/>
      <c r="B4269" s="237"/>
      <c r="C4269" s="55"/>
      <c r="D4269" s="55"/>
      <c r="E4269" s="66"/>
      <c r="F4269" s="76" t="s">
        <v>522</v>
      </c>
      <c r="G4269" s="76" t="str">
        <f t="shared" si="80"/>
        <v/>
      </c>
      <c r="H4269" s="77"/>
      <c r="I4269" s="74"/>
      <c r="J4269" s="102">
        <v>0</v>
      </c>
    </row>
    <row r="4270" spans="1:10" ht="15.75" hidden="1" thickBot="1" x14ac:dyDescent="0.3">
      <c r="A4270" s="218" t="s">
        <v>1258</v>
      </c>
      <c r="B4270" s="221" t="e">
        <f>INDEX(#REF!,MATCH(Composições!A4270,#REF!,0),2)</f>
        <v>#REF!</v>
      </c>
      <c r="C4270" s="41"/>
      <c r="D4270" s="26" t="s">
        <v>95</v>
      </c>
      <c r="E4270" s="27"/>
      <c r="F4270" s="49" t="s">
        <v>522</v>
      </c>
      <c r="G4270" s="28" t="str">
        <f t="shared" si="80"/>
        <v/>
      </c>
      <c r="H4270" s="29"/>
      <c r="I4270" s="30"/>
      <c r="J4270" s="102">
        <v>0</v>
      </c>
    </row>
    <row r="4271" spans="1:10" hidden="1" x14ac:dyDescent="0.25">
      <c r="A4271" s="224"/>
      <c r="B4271" s="237"/>
      <c r="C4271" s="32"/>
      <c r="D4271" s="32"/>
      <c r="E4271" s="33"/>
      <c r="F4271" s="54" t="s">
        <v>522</v>
      </c>
      <c r="G4271" s="54" t="str">
        <f t="shared" si="80"/>
        <v/>
      </c>
      <c r="H4271" s="73"/>
      <c r="I4271" s="74"/>
      <c r="J4271" s="102">
        <v>0</v>
      </c>
    </row>
    <row r="4272" spans="1:10" hidden="1" x14ac:dyDescent="0.25">
      <c r="A4272" s="224"/>
      <c r="B4272" s="237"/>
      <c r="C4272" s="36" t="s">
        <v>2426</v>
      </c>
      <c r="D4272" s="36" t="s">
        <v>102</v>
      </c>
      <c r="E4272" s="37">
        <v>6.1899999999999997E-2</v>
      </c>
      <c r="F4272" s="54">
        <v>14.611000000000001</v>
      </c>
      <c r="G4272" s="54">
        <f t="shared" si="80"/>
        <v>0.90442089999999997</v>
      </c>
      <c r="H4272" s="39">
        <f>SUM(G4272:G4276)</f>
        <v>28.415638099999995</v>
      </c>
      <c r="I4272" s="40"/>
      <c r="J4272" s="102">
        <v>0</v>
      </c>
    </row>
    <row r="4273" spans="1:10" hidden="1" x14ac:dyDescent="0.25">
      <c r="A4273" s="224"/>
      <c r="B4273" s="237"/>
      <c r="C4273" s="36" t="s">
        <v>1330</v>
      </c>
      <c r="D4273" s="36" t="s">
        <v>102</v>
      </c>
      <c r="E4273" s="37">
        <v>0.20699999999999999</v>
      </c>
      <c r="F4273" s="54">
        <v>37.923999999999999</v>
      </c>
      <c r="G4273" s="54">
        <f t="shared" si="80"/>
        <v>7.8502679999999998</v>
      </c>
      <c r="H4273" s="73"/>
      <c r="I4273" s="74"/>
      <c r="J4273" s="102">
        <v>0</v>
      </c>
    </row>
    <row r="4274" spans="1:10" hidden="1" x14ac:dyDescent="0.25">
      <c r="A4274" s="224"/>
      <c r="B4274" s="237"/>
      <c r="C4274" s="36" t="s">
        <v>1095</v>
      </c>
      <c r="D4274" s="36" t="s">
        <v>703</v>
      </c>
      <c r="E4274" s="37">
        <v>0.52659999999999996</v>
      </c>
      <c r="F4274" s="54">
        <v>22.495999999999999</v>
      </c>
      <c r="G4274" s="54">
        <f t="shared" si="80"/>
        <v>11.846393599999999</v>
      </c>
      <c r="H4274" s="73"/>
      <c r="I4274" s="74"/>
      <c r="J4274" s="102">
        <v>0</v>
      </c>
    </row>
    <row r="4275" spans="1:10" hidden="1" x14ac:dyDescent="0.25">
      <c r="A4275" s="224"/>
      <c r="B4275" s="237"/>
      <c r="C4275" s="36" t="s">
        <v>1259</v>
      </c>
      <c r="D4275" s="36" t="s">
        <v>279</v>
      </c>
      <c r="E4275" s="37">
        <v>0.3</v>
      </c>
      <c r="F4275" s="54">
        <v>3.6574999999999998</v>
      </c>
      <c r="G4275" s="54">
        <f t="shared" si="80"/>
        <v>1.0972499999999998</v>
      </c>
      <c r="H4275" s="73"/>
      <c r="I4275" s="74"/>
      <c r="J4275" s="102">
        <v>0</v>
      </c>
    </row>
    <row r="4276" spans="1:10" hidden="1" x14ac:dyDescent="0.25">
      <c r="A4276" s="224"/>
      <c r="B4276" s="237"/>
      <c r="C4276" s="36" t="s">
        <v>1095</v>
      </c>
      <c r="D4276" s="36" t="s">
        <v>703</v>
      </c>
      <c r="E4276" s="37">
        <v>0.29859999999999998</v>
      </c>
      <c r="F4276" s="54">
        <v>22.495999999999999</v>
      </c>
      <c r="G4276" s="54">
        <f t="shared" si="80"/>
        <v>6.7173055999999987</v>
      </c>
      <c r="H4276" s="73"/>
      <c r="I4276" s="74"/>
      <c r="J4276" s="102">
        <v>0</v>
      </c>
    </row>
    <row r="4277" spans="1:10" ht="15.75" hidden="1" thickBot="1" x14ac:dyDescent="0.3">
      <c r="A4277" s="225"/>
      <c r="B4277" s="223"/>
      <c r="C4277" s="55"/>
      <c r="D4277" s="55"/>
      <c r="E4277" s="66"/>
      <c r="F4277" s="76" t="s">
        <v>522</v>
      </c>
      <c r="G4277" s="76" t="str">
        <f t="shared" si="80"/>
        <v/>
      </c>
      <c r="H4277" s="77"/>
      <c r="I4277" s="74"/>
      <c r="J4277" s="102">
        <v>0</v>
      </c>
    </row>
    <row r="4278" spans="1:10" ht="15.75" hidden="1" thickBot="1" x14ac:dyDescent="0.3">
      <c r="A4278" s="218" t="s">
        <v>1260</v>
      </c>
      <c r="B4278" s="221" t="e">
        <f>INDEX(#REF!,MATCH(Composições!A4278,#REF!,0),2)</f>
        <v>#REF!</v>
      </c>
      <c r="C4278" s="41"/>
      <c r="D4278" s="26" t="s">
        <v>93</v>
      </c>
      <c r="E4278" s="27"/>
      <c r="F4278" s="49" t="s">
        <v>522</v>
      </c>
      <c r="G4278" s="28" t="str">
        <f t="shared" si="80"/>
        <v/>
      </c>
      <c r="H4278" s="29"/>
      <c r="I4278" s="30"/>
      <c r="J4278" s="102">
        <v>0</v>
      </c>
    </row>
    <row r="4279" spans="1:10" hidden="1" x14ac:dyDescent="0.25">
      <c r="A4279" s="224"/>
      <c r="B4279" s="237"/>
      <c r="C4279" s="32"/>
      <c r="D4279" s="32"/>
      <c r="E4279" s="33"/>
      <c r="F4279" s="54" t="s">
        <v>522</v>
      </c>
      <c r="G4279" s="54" t="str">
        <f t="shared" si="80"/>
        <v/>
      </c>
      <c r="H4279" s="73"/>
      <c r="I4279" s="74"/>
      <c r="J4279" s="102">
        <v>0</v>
      </c>
    </row>
    <row r="4280" spans="1:10" hidden="1" x14ac:dyDescent="0.25">
      <c r="A4280" s="224"/>
      <c r="B4280" s="237"/>
      <c r="C4280" s="36" t="s">
        <v>704</v>
      </c>
      <c r="D4280" s="36" t="s">
        <v>12</v>
      </c>
      <c r="E4280" s="37">
        <f>ROUND(4/74.7,4)</f>
        <v>5.3499999999999999E-2</v>
      </c>
      <c r="F4280" s="54">
        <v>16.1785</v>
      </c>
      <c r="G4280" s="54">
        <f t="shared" si="80"/>
        <v>0.86554975000000001</v>
      </c>
      <c r="H4280" s="39">
        <f>SUM(G4280:G4285)</f>
        <v>9.8052473499999984</v>
      </c>
      <c r="I4280" s="40"/>
      <c r="J4280" s="102">
        <v>0</v>
      </c>
    </row>
    <row r="4281" spans="1:10" hidden="1" x14ac:dyDescent="0.25">
      <c r="A4281" s="224"/>
      <c r="B4281" s="237"/>
      <c r="C4281" s="36" t="s">
        <v>1261</v>
      </c>
      <c r="D4281" s="36" t="s">
        <v>942</v>
      </c>
      <c r="E4281" s="37">
        <f>ROUND(1/74.7,4)</f>
        <v>1.34E-2</v>
      </c>
      <c r="F4281" s="54">
        <v>0</v>
      </c>
      <c r="G4281" s="54">
        <f t="shared" si="80"/>
        <v>0</v>
      </c>
      <c r="H4281" s="73"/>
      <c r="I4281" s="74"/>
      <c r="J4281" s="102">
        <v>0</v>
      </c>
    </row>
    <row r="4282" spans="1:10" hidden="1" x14ac:dyDescent="0.25">
      <c r="A4282" s="224"/>
      <c r="B4282" s="237"/>
      <c r="C4282" s="36" t="s">
        <v>1262</v>
      </c>
      <c r="D4282" s="36" t="s">
        <v>942</v>
      </c>
      <c r="E4282" s="37">
        <f>ROUND(1/74.7,4)</f>
        <v>1.34E-2</v>
      </c>
      <c r="F4282" s="54">
        <v>0</v>
      </c>
      <c r="G4282" s="54">
        <f t="shared" si="80"/>
        <v>0</v>
      </c>
      <c r="H4282" s="73"/>
      <c r="I4282" s="74"/>
      <c r="J4282" s="102">
        <v>0</v>
      </c>
    </row>
    <row r="4283" spans="1:10" hidden="1" x14ac:dyDescent="0.25">
      <c r="A4283" s="224"/>
      <c r="B4283" s="237"/>
      <c r="C4283" s="36" t="s">
        <v>1263</v>
      </c>
      <c r="D4283" s="36" t="s">
        <v>93</v>
      </c>
      <c r="E4283" s="37">
        <v>1</v>
      </c>
      <c r="F4283" s="54">
        <v>0</v>
      </c>
      <c r="G4283" s="54">
        <f t="shared" si="80"/>
        <v>0</v>
      </c>
      <c r="H4283" s="73"/>
      <c r="I4283" s="74"/>
      <c r="J4283" s="102">
        <v>0</v>
      </c>
    </row>
    <row r="4284" spans="1:10" hidden="1" x14ac:dyDescent="0.25">
      <c r="A4284" s="224"/>
      <c r="B4284" s="237"/>
      <c r="C4284" s="36" t="s">
        <v>1264</v>
      </c>
      <c r="D4284" s="36" t="s">
        <v>279</v>
      </c>
      <c r="E4284" s="37">
        <v>3.3E-3</v>
      </c>
      <c r="F4284" s="54">
        <v>0</v>
      </c>
      <c r="G4284" s="54">
        <f t="shared" si="80"/>
        <v>0</v>
      </c>
      <c r="H4284" s="73"/>
      <c r="I4284" s="74"/>
      <c r="J4284" s="102">
        <v>0</v>
      </c>
    </row>
    <row r="4285" spans="1:10" ht="25.5" hidden="1" x14ac:dyDescent="0.25">
      <c r="A4285" s="224"/>
      <c r="B4285" s="237"/>
      <c r="C4285" s="36" t="s">
        <v>1265</v>
      </c>
      <c r="D4285" s="36" t="s">
        <v>42</v>
      </c>
      <c r="E4285" s="37">
        <v>0.1181</v>
      </c>
      <c r="F4285" s="54">
        <v>75.695999999999998</v>
      </c>
      <c r="G4285" s="54">
        <f t="shared" si="80"/>
        <v>8.9396975999999988</v>
      </c>
      <c r="H4285" s="73"/>
      <c r="I4285" s="74"/>
      <c r="J4285" s="102">
        <v>0</v>
      </c>
    </row>
    <row r="4286" spans="1:10" ht="15.75" hidden="1" thickBot="1" x14ac:dyDescent="0.3">
      <c r="A4286" s="225"/>
      <c r="B4286" s="223"/>
      <c r="C4286" s="55"/>
      <c r="D4286" s="55"/>
      <c r="E4286" s="66"/>
      <c r="F4286" s="76" t="s">
        <v>522</v>
      </c>
      <c r="G4286" s="76" t="str">
        <f t="shared" si="80"/>
        <v/>
      </c>
      <c r="H4286" s="77"/>
      <c r="I4286" s="74"/>
      <c r="J4286" s="102">
        <v>0</v>
      </c>
    </row>
    <row r="4287" spans="1:10" ht="15.75" hidden="1" thickBot="1" x14ac:dyDescent="0.3">
      <c r="A4287" s="218" t="s">
        <v>1266</v>
      </c>
      <c r="B4287" s="221" t="e">
        <f>INDEX(#REF!,MATCH(Composições!A4287,#REF!,0),2)</f>
        <v>#REF!</v>
      </c>
      <c r="C4287" s="41"/>
      <c r="D4287" s="26" t="s">
        <v>95</v>
      </c>
      <c r="E4287" s="27"/>
      <c r="F4287" s="49" t="s">
        <v>522</v>
      </c>
      <c r="G4287" s="28" t="str">
        <f t="shared" si="80"/>
        <v/>
      </c>
      <c r="H4287" s="29"/>
      <c r="I4287" s="30"/>
      <c r="J4287" s="102">
        <v>0</v>
      </c>
    </row>
    <row r="4288" spans="1:10" hidden="1" x14ac:dyDescent="0.25">
      <c r="A4288" s="224"/>
      <c r="B4288" s="237"/>
      <c r="C4288" s="32"/>
      <c r="D4288" s="32"/>
      <c r="E4288" s="33"/>
      <c r="F4288" s="54" t="s">
        <v>522</v>
      </c>
      <c r="G4288" s="54" t="str">
        <f t="shared" si="80"/>
        <v/>
      </c>
      <c r="H4288" s="73"/>
      <c r="I4288" s="74"/>
      <c r="J4288" s="102">
        <v>0</v>
      </c>
    </row>
    <row r="4289" spans="1:10" ht="25.5" hidden="1" x14ac:dyDescent="0.25">
      <c r="A4289" s="224"/>
      <c r="B4289" s="237"/>
      <c r="C4289" s="36" t="s">
        <v>752</v>
      </c>
      <c r="D4289" s="36" t="s">
        <v>120</v>
      </c>
      <c r="E4289" s="37">
        <v>5.6800000000000003E-2</v>
      </c>
      <c r="F4289" s="54">
        <v>142.5</v>
      </c>
      <c r="G4289" s="54">
        <f t="shared" si="80"/>
        <v>8.0940000000000012</v>
      </c>
      <c r="H4289" s="39">
        <f>SUM(G4289:G4299)</f>
        <v>68.388171814099991</v>
      </c>
      <c r="I4289" s="40"/>
      <c r="J4289" s="102">
        <v>0</v>
      </c>
    </row>
    <row r="4290" spans="1:10" hidden="1" x14ac:dyDescent="0.25">
      <c r="A4290" s="224"/>
      <c r="B4290" s="237"/>
      <c r="C4290" s="36" t="s">
        <v>1267</v>
      </c>
      <c r="D4290" s="36" t="s">
        <v>120</v>
      </c>
      <c r="E4290" s="37">
        <v>3.5999999999999999E-3</v>
      </c>
      <c r="F4290" s="54">
        <v>133.90249999999997</v>
      </c>
      <c r="G4290" s="54">
        <f t="shared" si="80"/>
        <v>0.48204899999999989</v>
      </c>
      <c r="H4290" s="73"/>
      <c r="I4290" s="74"/>
      <c r="J4290" s="102">
        <v>0</v>
      </c>
    </row>
    <row r="4291" spans="1:10" ht="38.25" hidden="1" x14ac:dyDescent="0.25">
      <c r="A4291" s="224"/>
      <c r="B4291" s="237"/>
      <c r="C4291" s="36" t="s">
        <v>1268</v>
      </c>
      <c r="D4291" s="36" t="s">
        <v>992</v>
      </c>
      <c r="E4291" s="37">
        <v>1.0042</v>
      </c>
      <c r="F4291" s="54">
        <v>52.658499999999997</v>
      </c>
      <c r="G4291" s="54">
        <f t="shared" si="80"/>
        <v>52.879665699999997</v>
      </c>
      <c r="H4291" s="73"/>
      <c r="I4291" s="74"/>
      <c r="J4291" s="102">
        <v>0</v>
      </c>
    </row>
    <row r="4292" spans="1:10" hidden="1" x14ac:dyDescent="0.25">
      <c r="A4292" s="224"/>
      <c r="B4292" s="237"/>
      <c r="C4292" s="36" t="s">
        <v>1269</v>
      </c>
      <c r="D4292" s="36" t="s">
        <v>703</v>
      </c>
      <c r="E4292" s="37">
        <v>9.7000000000000003E-2</v>
      </c>
      <c r="F4292" s="54">
        <v>19.959500000000002</v>
      </c>
      <c r="G4292" s="54">
        <f t="shared" si="80"/>
        <v>1.9360715000000002</v>
      </c>
      <c r="H4292" s="73"/>
      <c r="I4292" s="74"/>
      <c r="J4292" s="102">
        <v>0</v>
      </c>
    </row>
    <row r="4293" spans="1:10" hidden="1" x14ac:dyDescent="0.25">
      <c r="A4293" s="224"/>
      <c r="B4293" s="237"/>
      <c r="C4293" s="36" t="s">
        <v>704</v>
      </c>
      <c r="D4293" s="36" t="s">
        <v>703</v>
      </c>
      <c r="E4293" s="37">
        <v>9.7000000000000003E-2</v>
      </c>
      <c r="F4293" s="54">
        <v>16.1785</v>
      </c>
      <c r="G4293" s="54">
        <f t="shared" si="80"/>
        <v>1.5693144999999999</v>
      </c>
      <c r="H4293" s="73"/>
      <c r="I4293" s="74"/>
      <c r="J4293" s="102">
        <v>0</v>
      </c>
    </row>
    <row r="4294" spans="1:10" ht="38.25" hidden="1" x14ac:dyDescent="0.25">
      <c r="A4294" s="224"/>
      <c r="B4294" s="237"/>
      <c r="C4294" s="36" t="s">
        <v>1102</v>
      </c>
      <c r="D4294" s="36" t="s">
        <v>942</v>
      </c>
      <c r="E4294" s="37">
        <v>4.1000000000000003E-3</v>
      </c>
      <c r="F4294" s="54">
        <v>10.981999999999999</v>
      </c>
      <c r="G4294" s="54">
        <f t="shared" si="80"/>
        <v>4.5026200000000002E-2</v>
      </c>
      <c r="H4294" s="73"/>
      <c r="I4294" s="74"/>
      <c r="J4294" s="102">
        <v>0</v>
      </c>
    </row>
    <row r="4295" spans="1:10" ht="38.25" hidden="1" x14ac:dyDescent="0.25">
      <c r="A4295" s="224"/>
      <c r="B4295" s="237"/>
      <c r="C4295" s="36" t="s">
        <v>1270</v>
      </c>
      <c r="D4295" s="36" t="s">
        <v>944</v>
      </c>
      <c r="E4295" s="37">
        <v>4.4400000000000002E-2</v>
      </c>
      <c r="F4295" s="54">
        <v>0.57950000000000002</v>
      </c>
      <c r="G4295" s="54">
        <f t="shared" si="80"/>
        <v>2.5729800000000001E-2</v>
      </c>
      <c r="H4295" s="73"/>
      <c r="I4295" s="74"/>
      <c r="J4295" s="102">
        <v>0</v>
      </c>
    </row>
    <row r="4296" spans="1:10" ht="51" hidden="1" x14ac:dyDescent="0.25">
      <c r="A4296" s="224"/>
      <c r="B4296" s="237"/>
      <c r="C4296" s="36" t="s">
        <v>1271</v>
      </c>
      <c r="D4296" s="36" t="s">
        <v>942</v>
      </c>
      <c r="E4296" s="37">
        <v>3.7000000000000002E-3</v>
      </c>
      <c r="F4296" s="54">
        <v>11.4855</v>
      </c>
      <c r="G4296" s="54">
        <f t="shared" si="80"/>
        <v>4.2496350000000002E-2</v>
      </c>
      <c r="H4296" s="73"/>
      <c r="I4296" s="74"/>
      <c r="J4296" s="102">
        <v>0</v>
      </c>
    </row>
    <row r="4297" spans="1:10" ht="51" hidden="1" x14ac:dyDescent="0.25">
      <c r="A4297" s="224"/>
      <c r="B4297" s="237"/>
      <c r="C4297" s="36" t="s">
        <v>1272</v>
      </c>
      <c r="D4297" s="36" t="s">
        <v>944</v>
      </c>
      <c r="E4297" s="37">
        <v>4.48E-2</v>
      </c>
      <c r="F4297" s="54">
        <v>0.77899999999999991</v>
      </c>
      <c r="G4297" s="54">
        <f t="shared" ref="G4297:G4360" si="81">IF(ISNUMBER(F4297),E4297*F4297,"")</f>
        <v>3.4899199999999998E-2</v>
      </c>
      <c r="H4297" s="73"/>
      <c r="I4297" s="74"/>
      <c r="J4297" s="102">
        <v>0</v>
      </c>
    </row>
    <row r="4298" spans="1:10" ht="51" hidden="1" x14ac:dyDescent="0.25">
      <c r="A4298" s="224"/>
      <c r="B4298" s="237"/>
      <c r="C4298" s="36" t="s">
        <v>1914</v>
      </c>
      <c r="D4298" s="36" t="s">
        <v>109</v>
      </c>
      <c r="E4298" s="37">
        <f>1*(E4289+E4290)</f>
        <v>6.0400000000000002E-2</v>
      </c>
      <c r="F4298" s="34">
        <v>7.0254067499999993</v>
      </c>
      <c r="G4298" s="34">
        <f t="shared" si="81"/>
        <v>0.4243345677</v>
      </c>
      <c r="H4298" s="35"/>
      <c r="I4298" s="31"/>
      <c r="J4298" s="102">
        <v>0</v>
      </c>
    </row>
    <row r="4299" spans="1:10" ht="38.25" hidden="1" x14ac:dyDescent="0.25">
      <c r="A4299" s="224"/>
      <c r="B4299" s="237"/>
      <c r="C4299" s="36" t="s">
        <v>121</v>
      </c>
      <c r="D4299" s="36" t="s">
        <v>122</v>
      </c>
      <c r="E4299" s="37">
        <f>20*(E4289+E4290)</f>
        <v>1.208</v>
      </c>
      <c r="F4299" s="54">
        <v>2.3630670500000002</v>
      </c>
      <c r="G4299" s="54">
        <f t="shared" si="81"/>
        <v>2.8545849964000003</v>
      </c>
      <c r="H4299" s="73"/>
      <c r="I4299" s="74"/>
      <c r="J4299" s="102">
        <v>0</v>
      </c>
    </row>
    <row r="4300" spans="1:10" hidden="1" x14ac:dyDescent="0.25">
      <c r="A4300" s="224"/>
      <c r="B4300" s="237"/>
      <c r="C4300" s="36"/>
      <c r="D4300" s="36"/>
      <c r="E4300" s="37"/>
      <c r="F4300" s="54" t="s">
        <v>522</v>
      </c>
      <c r="G4300" s="54" t="str">
        <f t="shared" si="81"/>
        <v/>
      </c>
      <c r="H4300" s="73"/>
      <c r="I4300" s="74"/>
      <c r="J4300" s="102">
        <v>0</v>
      </c>
    </row>
    <row r="4301" spans="1:10" ht="25.5" hidden="1" x14ac:dyDescent="0.25">
      <c r="A4301" s="224"/>
      <c r="B4301" s="237"/>
      <c r="C4301" s="48" t="s">
        <v>1273</v>
      </c>
      <c r="D4301" s="36"/>
      <c r="E4301" s="37"/>
      <c r="F4301" s="54" t="s">
        <v>522</v>
      </c>
      <c r="G4301" s="54" t="str">
        <f t="shared" si="81"/>
        <v/>
      </c>
      <c r="H4301" s="73"/>
      <c r="I4301" s="74"/>
      <c r="J4301" s="102">
        <v>0</v>
      </c>
    </row>
    <row r="4302" spans="1:10" ht="15.75" hidden="1" thickBot="1" x14ac:dyDescent="0.3">
      <c r="A4302" s="225"/>
      <c r="B4302" s="223"/>
      <c r="C4302" s="55"/>
      <c r="D4302" s="55"/>
      <c r="E4302" s="66"/>
      <c r="F4302" s="76" t="s">
        <v>522</v>
      </c>
      <c r="G4302" s="76" t="str">
        <f t="shared" si="81"/>
        <v/>
      </c>
      <c r="H4302" s="77"/>
      <c r="I4302" s="74"/>
      <c r="J4302" s="102">
        <v>0</v>
      </c>
    </row>
    <row r="4303" spans="1:10" ht="15.75" hidden="1" thickBot="1" x14ac:dyDescent="0.3">
      <c r="A4303" s="218" t="s">
        <v>1274</v>
      </c>
      <c r="B4303" s="221" t="e">
        <f>INDEX(#REF!,MATCH(Composições!A4303,#REF!,0),2)</f>
        <v>#REF!</v>
      </c>
      <c r="C4303" s="41"/>
      <c r="D4303" s="26" t="s">
        <v>109</v>
      </c>
      <c r="E4303" s="27"/>
      <c r="F4303" s="49" t="s">
        <v>522</v>
      </c>
      <c r="G4303" s="28" t="str">
        <f t="shared" si="81"/>
        <v/>
      </c>
      <c r="H4303" s="29"/>
      <c r="I4303" s="30"/>
      <c r="J4303" s="102">
        <v>0</v>
      </c>
    </row>
    <row r="4304" spans="1:10" hidden="1" x14ac:dyDescent="0.25">
      <c r="A4304" s="224"/>
      <c r="B4304" s="237"/>
      <c r="C4304" s="32"/>
      <c r="D4304" s="32"/>
      <c r="E4304" s="33"/>
      <c r="F4304" s="54" t="s">
        <v>522</v>
      </c>
      <c r="G4304" s="54" t="str">
        <f t="shared" si="81"/>
        <v/>
      </c>
      <c r="H4304" s="73"/>
      <c r="I4304" s="74"/>
      <c r="J4304" s="102">
        <v>0</v>
      </c>
    </row>
    <row r="4305" spans="1:10" hidden="1" x14ac:dyDescent="0.25">
      <c r="A4305" s="224"/>
      <c r="B4305" s="237"/>
      <c r="C4305" s="36" t="s">
        <v>704</v>
      </c>
      <c r="D4305" s="36" t="s">
        <v>703</v>
      </c>
      <c r="E4305" s="37">
        <v>0.4</v>
      </c>
      <c r="F4305" s="54">
        <v>16.1785</v>
      </c>
      <c r="G4305" s="54">
        <f t="shared" si="81"/>
        <v>6.4714</v>
      </c>
      <c r="H4305" s="39">
        <f>SUM(G4305:G4326)</f>
        <v>900.82793235999998</v>
      </c>
      <c r="I4305" s="40"/>
      <c r="J4305" s="102">
        <v>0</v>
      </c>
    </row>
    <row r="4306" spans="1:10" ht="38.25" hidden="1" x14ac:dyDescent="0.25">
      <c r="A4306" s="224"/>
      <c r="B4306" s="237"/>
      <c r="C4306" s="36" t="s">
        <v>1275</v>
      </c>
      <c r="D4306" s="36" t="s">
        <v>944</v>
      </c>
      <c r="E4306" s="37">
        <v>6.0000000000000001E-3</v>
      </c>
      <c r="F4306" s="54">
        <v>74.099999999999994</v>
      </c>
      <c r="G4306" s="54">
        <f t="shared" si="81"/>
        <v>0.4446</v>
      </c>
      <c r="H4306" s="73"/>
      <c r="I4306" s="74"/>
      <c r="J4306" s="102">
        <v>0</v>
      </c>
    </row>
    <row r="4307" spans="1:10" ht="38.25" hidden="1" x14ac:dyDescent="0.25">
      <c r="A4307" s="224"/>
      <c r="B4307" s="237"/>
      <c r="C4307" s="36" t="s">
        <v>1276</v>
      </c>
      <c r="D4307" s="36" t="s">
        <v>942</v>
      </c>
      <c r="E4307" s="37">
        <v>1.0699999999999999E-2</v>
      </c>
      <c r="F4307" s="54">
        <v>201.50450000000001</v>
      </c>
      <c r="G4307" s="54">
        <f t="shared" si="81"/>
        <v>2.15609815</v>
      </c>
      <c r="H4307" s="73"/>
      <c r="I4307" s="74"/>
      <c r="J4307" s="102">
        <v>0</v>
      </c>
    </row>
    <row r="4308" spans="1:10" ht="38.25" hidden="1" x14ac:dyDescent="0.25">
      <c r="A4308" s="224"/>
      <c r="B4308" s="237"/>
      <c r="C4308" s="36" t="s">
        <v>1277</v>
      </c>
      <c r="D4308" s="36" t="s">
        <v>942</v>
      </c>
      <c r="E4308" s="37">
        <v>6.1999999999999998E-3</v>
      </c>
      <c r="F4308" s="54">
        <v>215.346</v>
      </c>
      <c r="G4308" s="54">
        <f t="shared" si="81"/>
        <v>1.3351451999999999</v>
      </c>
      <c r="H4308" s="73"/>
      <c r="I4308" s="74"/>
      <c r="J4308" s="102">
        <v>0</v>
      </c>
    </row>
    <row r="4309" spans="1:10" ht="38.25" hidden="1" x14ac:dyDescent="0.25">
      <c r="A4309" s="224"/>
      <c r="B4309" s="237"/>
      <c r="C4309" s="36" t="s">
        <v>1278</v>
      </c>
      <c r="D4309" s="36" t="s">
        <v>944</v>
      </c>
      <c r="E4309" s="37">
        <v>1.0500000000000001E-2</v>
      </c>
      <c r="F4309" s="54">
        <v>68.456999999999994</v>
      </c>
      <c r="G4309" s="54">
        <f t="shared" si="81"/>
        <v>0.71879850000000001</v>
      </c>
      <c r="H4309" s="73"/>
      <c r="I4309" s="74"/>
      <c r="J4309" s="102">
        <v>0</v>
      </c>
    </row>
    <row r="4310" spans="1:10" ht="25.5" hidden="1" x14ac:dyDescent="0.25">
      <c r="A4310" s="224"/>
      <c r="B4310" s="237"/>
      <c r="C4310" s="36" t="s">
        <v>1279</v>
      </c>
      <c r="D4310" s="36" t="s">
        <v>944</v>
      </c>
      <c r="E4310" s="37">
        <v>1.2200000000000001E-2</v>
      </c>
      <c r="F4310" s="54">
        <v>31.178999999999998</v>
      </c>
      <c r="G4310" s="54">
        <f t="shared" si="81"/>
        <v>0.38038379999999999</v>
      </c>
      <c r="H4310" s="73"/>
      <c r="I4310" s="74"/>
      <c r="J4310" s="102">
        <v>0</v>
      </c>
    </row>
    <row r="4311" spans="1:10" ht="25.5" hidden="1" x14ac:dyDescent="0.25">
      <c r="A4311" s="224"/>
      <c r="B4311" s="237"/>
      <c r="C4311" s="36" t="s">
        <v>1280</v>
      </c>
      <c r="D4311" s="36" t="s">
        <v>942</v>
      </c>
      <c r="E4311" s="37">
        <v>4.4999999999999997E-3</v>
      </c>
      <c r="F4311" s="54">
        <v>113.05</v>
      </c>
      <c r="G4311" s="54">
        <f t="shared" si="81"/>
        <v>0.50872499999999998</v>
      </c>
      <c r="H4311" s="73"/>
      <c r="I4311" s="74"/>
      <c r="J4311" s="102">
        <v>0</v>
      </c>
    </row>
    <row r="4312" spans="1:10" ht="25.5" hidden="1" x14ac:dyDescent="0.25">
      <c r="A4312" s="224"/>
      <c r="B4312" s="237"/>
      <c r="C4312" s="36" t="s">
        <v>1281</v>
      </c>
      <c r="D4312" s="36" t="s">
        <v>944</v>
      </c>
      <c r="E4312" s="37">
        <v>1.2200000000000001E-2</v>
      </c>
      <c r="F4312" s="54">
        <v>5.016</v>
      </c>
      <c r="G4312" s="54">
        <f t="shared" si="81"/>
        <v>6.1195200000000005E-2</v>
      </c>
      <c r="H4312" s="73"/>
      <c r="I4312" s="74"/>
      <c r="J4312" s="102">
        <v>0</v>
      </c>
    </row>
    <row r="4313" spans="1:10" ht="25.5" hidden="1" x14ac:dyDescent="0.25">
      <c r="A4313" s="224"/>
      <c r="B4313" s="237"/>
      <c r="C4313" s="36" t="s">
        <v>1282</v>
      </c>
      <c r="D4313" s="36" t="s">
        <v>942</v>
      </c>
      <c r="E4313" s="37">
        <v>4.4999999999999997E-3</v>
      </c>
      <c r="F4313" s="54">
        <v>10.545</v>
      </c>
      <c r="G4313" s="54">
        <f t="shared" si="81"/>
        <v>4.7452499999999995E-2</v>
      </c>
      <c r="H4313" s="73"/>
      <c r="I4313" s="74"/>
      <c r="J4313" s="102">
        <v>0</v>
      </c>
    </row>
    <row r="4314" spans="1:10" ht="38.25" hidden="1" x14ac:dyDescent="0.25">
      <c r="A4314" s="224"/>
      <c r="B4314" s="237"/>
      <c r="C4314" s="36" t="s">
        <v>1283</v>
      </c>
      <c r="D4314" s="36" t="s">
        <v>942</v>
      </c>
      <c r="E4314" s="37">
        <v>1.67E-2</v>
      </c>
      <c r="F4314" s="54">
        <v>368.5335</v>
      </c>
      <c r="G4314" s="54">
        <f t="shared" si="81"/>
        <v>6.1545094499999999</v>
      </c>
      <c r="H4314" s="73"/>
      <c r="I4314" s="74"/>
      <c r="J4314" s="102">
        <v>0</v>
      </c>
    </row>
    <row r="4315" spans="1:10" ht="38.25" hidden="1" x14ac:dyDescent="0.25">
      <c r="A4315" s="224"/>
      <c r="B4315" s="237"/>
      <c r="C4315" s="36" t="s">
        <v>1284</v>
      </c>
      <c r="D4315" s="36" t="s">
        <v>942</v>
      </c>
      <c r="E4315" s="37">
        <v>2.7199999999999998E-2</v>
      </c>
      <c r="F4315" s="54">
        <v>232.3415</v>
      </c>
      <c r="G4315" s="54">
        <f t="shared" si="81"/>
        <v>6.3196887999999998</v>
      </c>
      <c r="H4315" s="73"/>
      <c r="I4315" s="74"/>
      <c r="J4315" s="102">
        <v>0</v>
      </c>
    </row>
    <row r="4316" spans="1:10" hidden="1" x14ac:dyDescent="0.25">
      <c r="A4316" s="224"/>
      <c r="B4316" s="237"/>
      <c r="C4316" s="36" t="s">
        <v>704</v>
      </c>
      <c r="D4316" s="36" t="s">
        <v>703</v>
      </c>
      <c r="E4316" s="37">
        <v>0.3</v>
      </c>
      <c r="F4316" s="54">
        <v>16.1785</v>
      </c>
      <c r="G4316" s="54">
        <f t="shared" si="81"/>
        <v>4.8535499999999994</v>
      </c>
      <c r="H4316" s="73"/>
      <c r="I4316" s="74"/>
      <c r="J4316" s="102">
        <v>0</v>
      </c>
    </row>
    <row r="4317" spans="1:10" ht="25.5" hidden="1" x14ac:dyDescent="0.25">
      <c r="A4317" s="224"/>
      <c r="B4317" s="237"/>
      <c r="C4317" s="36" t="s">
        <v>1285</v>
      </c>
      <c r="D4317" s="36" t="s">
        <v>109</v>
      </c>
      <c r="E4317" s="37">
        <v>0.18</v>
      </c>
      <c r="F4317" s="54">
        <v>144.36199999999999</v>
      </c>
      <c r="G4317" s="54">
        <f t="shared" si="81"/>
        <v>25.985159999999997</v>
      </c>
      <c r="H4317" s="73"/>
      <c r="I4317" s="74"/>
      <c r="J4317" s="102">
        <v>0</v>
      </c>
    </row>
    <row r="4318" spans="1:10" ht="25.5" hidden="1" x14ac:dyDescent="0.25">
      <c r="A4318" s="224"/>
      <c r="B4318" s="237"/>
      <c r="C4318" s="36" t="s">
        <v>757</v>
      </c>
      <c r="D4318" s="36" t="s">
        <v>109</v>
      </c>
      <c r="E4318" s="37">
        <v>1.26</v>
      </c>
      <c r="F4318" s="54">
        <v>163.65649999999999</v>
      </c>
      <c r="G4318" s="54">
        <f t="shared" si="81"/>
        <v>206.20719</v>
      </c>
      <c r="H4318" s="73"/>
      <c r="I4318" s="74"/>
      <c r="J4318" s="102">
        <v>0</v>
      </c>
    </row>
    <row r="4319" spans="1:10" ht="38.25" hidden="1" x14ac:dyDescent="0.25">
      <c r="A4319" s="224"/>
      <c r="B4319" s="237"/>
      <c r="C4319" s="36" t="s">
        <v>1286</v>
      </c>
      <c r="D4319" s="36" t="s">
        <v>1287</v>
      </c>
      <c r="E4319" s="37">
        <v>0.14000000000000001</v>
      </c>
      <c r="F4319" s="54">
        <v>3665.86</v>
      </c>
      <c r="G4319" s="54">
        <f t="shared" si="81"/>
        <v>513.22040000000004</v>
      </c>
      <c r="H4319" s="73"/>
      <c r="I4319" s="74"/>
      <c r="J4319" s="102">
        <v>0</v>
      </c>
    </row>
    <row r="4320" spans="1:10" ht="25.5" hidden="1" x14ac:dyDescent="0.25">
      <c r="A4320" s="224"/>
      <c r="B4320" s="237"/>
      <c r="C4320" s="36" t="s">
        <v>1288</v>
      </c>
      <c r="D4320" s="36" t="s">
        <v>942</v>
      </c>
      <c r="E4320" s="37">
        <v>0.05</v>
      </c>
      <c r="F4320" s="54">
        <v>171.56049999999999</v>
      </c>
      <c r="G4320" s="54">
        <f t="shared" si="81"/>
        <v>8.5780250000000002</v>
      </c>
      <c r="H4320" s="73"/>
      <c r="I4320" s="74"/>
      <c r="J4320" s="102">
        <v>0</v>
      </c>
    </row>
    <row r="4321" spans="1:10" ht="38.25" hidden="1" x14ac:dyDescent="0.25">
      <c r="A4321" s="224"/>
      <c r="B4321" s="237"/>
      <c r="C4321" s="36" t="s">
        <v>1289</v>
      </c>
      <c r="D4321" s="36" t="s">
        <v>942</v>
      </c>
      <c r="E4321" s="37">
        <v>2.1000000000000001E-2</v>
      </c>
      <c r="F4321" s="54">
        <v>195.1585</v>
      </c>
      <c r="G4321" s="54">
        <f t="shared" si="81"/>
        <v>4.0983285</v>
      </c>
      <c r="H4321" s="73"/>
      <c r="I4321" s="74"/>
      <c r="J4321" s="102">
        <v>0</v>
      </c>
    </row>
    <row r="4322" spans="1:10" ht="38.25" hidden="1" x14ac:dyDescent="0.25">
      <c r="A4322" s="224"/>
      <c r="B4322" s="237"/>
      <c r="C4322" s="36" t="s">
        <v>1290</v>
      </c>
      <c r="D4322" s="36" t="s">
        <v>944</v>
      </c>
      <c r="E4322" s="37">
        <v>2.9000000000000001E-2</v>
      </c>
      <c r="F4322" s="54">
        <v>68.694500000000005</v>
      </c>
      <c r="G4322" s="54">
        <f t="shared" si="81"/>
        <v>1.9921405000000003</v>
      </c>
      <c r="H4322" s="73"/>
      <c r="I4322" s="74"/>
      <c r="J4322" s="102">
        <v>0</v>
      </c>
    </row>
    <row r="4323" spans="1:10" ht="25.5" hidden="1" x14ac:dyDescent="0.25">
      <c r="A4323" s="224"/>
      <c r="B4323" s="237"/>
      <c r="C4323" s="36" t="s">
        <v>1291</v>
      </c>
      <c r="D4323" s="36" t="s">
        <v>942</v>
      </c>
      <c r="E4323" s="37">
        <v>0.05</v>
      </c>
      <c r="F4323" s="54">
        <v>124.91550000000001</v>
      </c>
      <c r="G4323" s="54">
        <f t="shared" si="81"/>
        <v>6.245775000000001</v>
      </c>
      <c r="H4323" s="73"/>
      <c r="I4323" s="74"/>
      <c r="J4323" s="102">
        <v>0</v>
      </c>
    </row>
    <row r="4324" spans="1:10" ht="25.5" hidden="1" x14ac:dyDescent="0.25">
      <c r="A4324" s="224"/>
      <c r="B4324" s="237"/>
      <c r="C4324" s="36" t="s">
        <v>1292</v>
      </c>
      <c r="D4324" s="36" t="s">
        <v>942</v>
      </c>
      <c r="E4324" s="37">
        <v>0.1</v>
      </c>
      <c r="F4324" s="54">
        <v>268.7645</v>
      </c>
      <c r="G4324" s="54">
        <f t="shared" si="81"/>
        <v>26.876450000000002</v>
      </c>
      <c r="H4324" s="73"/>
      <c r="I4324" s="74"/>
      <c r="J4324" s="102">
        <v>0</v>
      </c>
    </row>
    <row r="4325" spans="1:10" ht="51" hidden="1" x14ac:dyDescent="0.25">
      <c r="A4325" s="224"/>
      <c r="B4325" s="237"/>
      <c r="C4325" s="36" t="s">
        <v>1914</v>
      </c>
      <c r="D4325" s="36" t="s">
        <v>109</v>
      </c>
      <c r="E4325" s="37">
        <f>1*(E4317+E4318)</f>
        <v>1.44</v>
      </c>
      <c r="F4325" s="34">
        <v>7.0254067499999993</v>
      </c>
      <c r="G4325" s="34">
        <f t="shared" si="81"/>
        <v>10.116585719999998</v>
      </c>
      <c r="H4325" s="35"/>
      <c r="I4325" s="31"/>
      <c r="J4325" s="102">
        <v>0</v>
      </c>
    </row>
    <row r="4326" spans="1:10" ht="38.25" hidden="1" x14ac:dyDescent="0.25">
      <c r="A4326" s="224"/>
      <c r="B4326" s="237"/>
      <c r="C4326" s="36" t="s">
        <v>121</v>
      </c>
      <c r="D4326" s="36" t="s">
        <v>122</v>
      </c>
      <c r="E4326" s="37">
        <f>20*(E4318+E4317)</f>
        <v>28.799999999999997</v>
      </c>
      <c r="F4326" s="54">
        <v>2.3630670500000002</v>
      </c>
      <c r="G4326" s="54">
        <f t="shared" si="81"/>
        <v>68.056331040000003</v>
      </c>
      <c r="H4326" s="73"/>
      <c r="I4326" s="74"/>
      <c r="J4326" s="102">
        <v>0</v>
      </c>
    </row>
    <row r="4327" spans="1:10" hidden="1" x14ac:dyDescent="0.25">
      <c r="A4327" s="224"/>
      <c r="B4327" s="237"/>
      <c r="C4327" s="36"/>
      <c r="D4327" s="36"/>
      <c r="E4327" s="37"/>
      <c r="F4327" s="54" t="s">
        <v>522</v>
      </c>
      <c r="G4327" s="54" t="str">
        <f t="shared" si="81"/>
        <v/>
      </c>
      <c r="H4327" s="73"/>
      <c r="I4327" s="74"/>
      <c r="J4327" s="102">
        <v>0</v>
      </c>
    </row>
    <row r="4328" spans="1:10" ht="25.5" hidden="1" x14ac:dyDescent="0.25">
      <c r="A4328" s="224"/>
      <c r="B4328" s="237"/>
      <c r="C4328" s="48" t="s">
        <v>1273</v>
      </c>
      <c r="D4328" s="36"/>
      <c r="E4328" s="37"/>
      <c r="F4328" s="54" t="s">
        <v>522</v>
      </c>
      <c r="G4328" s="54" t="str">
        <f t="shared" si="81"/>
        <v/>
      </c>
      <c r="H4328" s="73"/>
      <c r="I4328" s="74"/>
      <c r="J4328" s="102">
        <v>0</v>
      </c>
    </row>
    <row r="4329" spans="1:10" ht="15.75" hidden="1" thickBot="1" x14ac:dyDescent="0.3">
      <c r="A4329" s="225"/>
      <c r="B4329" s="223"/>
      <c r="C4329" s="55"/>
      <c r="D4329" s="55"/>
      <c r="E4329" s="66"/>
      <c r="F4329" s="76" t="s">
        <v>522</v>
      </c>
      <c r="G4329" s="76" t="str">
        <f t="shared" si="81"/>
        <v/>
      </c>
      <c r="H4329" s="77"/>
      <c r="I4329" s="74"/>
      <c r="J4329" s="102">
        <v>0</v>
      </c>
    </row>
    <row r="4330" spans="1:10" ht="15.75" hidden="1" thickBot="1" x14ac:dyDescent="0.3">
      <c r="A4330" s="218" t="s">
        <v>1293</v>
      </c>
      <c r="B4330" s="221" t="e">
        <f>INDEX(#REF!,MATCH(Composições!A4330,#REF!,0),2)</f>
        <v>#REF!</v>
      </c>
      <c r="C4330" s="41"/>
      <c r="D4330" s="26" t="s">
        <v>109</v>
      </c>
      <c r="E4330" s="27"/>
      <c r="F4330" s="49" t="s">
        <v>522</v>
      </c>
      <c r="G4330" s="28" t="str">
        <f t="shared" si="81"/>
        <v/>
      </c>
      <c r="H4330" s="29"/>
      <c r="I4330" s="30"/>
      <c r="J4330" s="102">
        <v>0</v>
      </c>
    </row>
    <row r="4331" spans="1:10" hidden="1" x14ac:dyDescent="0.25">
      <c r="A4331" s="224"/>
      <c r="B4331" s="237"/>
      <c r="C4331" s="32"/>
      <c r="D4331" s="32"/>
      <c r="E4331" s="33"/>
      <c r="F4331" s="54" t="s">
        <v>522</v>
      </c>
      <c r="G4331" s="54" t="str">
        <f t="shared" si="81"/>
        <v/>
      </c>
      <c r="H4331" s="73"/>
      <c r="I4331" s="74"/>
      <c r="J4331" s="102">
        <v>0</v>
      </c>
    </row>
    <row r="4332" spans="1:10" hidden="1" x14ac:dyDescent="0.25">
      <c r="A4332" s="224"/>
      <c r="B4332" s="237"/>
      <c r="C4332" s="36" t="s">
        <v>704</v>
      </c>
      <c r="D4332" s="36" t="s">
        <v>703</v>
      </c>
      <c r="E4332" s="37">
        <f>6/0.5</f>
        <v>12</v>
      </c>
      <c r="F4332" s="54">
        <v>16.1785</v>
      </c>
      <c r="G4332" s="54">
        <f t="shared" si="81"/>
        <v>194.142</v>
      </c>
      <c r="H4332" s="39">
        <f>SUM(G4332:G4335)</f>
        <v>194.142</v>
      </c>
      <c r="I4332" s="40"/>
      <c r="J4332" s="102">
        <v>0</v>
      </c>
    </row>
    <row r="4333" spans="1:10" hidden="1" x14ac:dyDescent="0.25">
      <c r="A4333" s="224"/>
      <c r="B4333" s="237"/>
      <c r="C4333" s="36" t="s">
        <v>1294</v>
      </c>
      <c r="D4333" s="36" t="s">
        <v>942</v>
      </c>
      <c r="E4333" s="37">
        <f>0.2/0.5</f>
        <v>0.4</v>
      </c>
      <c r="F4333" s="54">
        <v>0</v>
      </c>
      <c r="G4333" s="54">
        <f t="shared" si="81"/>
        <v>0</v>
      </c>
      <c r="H4333" s="73"/>
      <c r="I4333" s="74"/>
      <c r="J4333" s="102">
        <v>0</v>
      </c>
    </row>
    <row r="4334" spans="1:10" hidden="1" x14ac:dyDescent="0.25">
      <c r="A4334" s="224"/>
      <c r="B4334" s="237"/>
      <c r="C4334" s="36" t="s">
        <v>1295</v>
      </c>
      <c r="D4334" s="36" t="s">
        <v>944</v>
      </c>
      <c r="E4334" s="37">
        <f>0.8/0.5</f>
        <v>1.6</v>
      </c>
      <c r="F4334" s="54">
        <v>0</v>
      </c>
      <c r="G4334" s="54">
        <f t="shared" si="81"/>
        <v>0</v>
      </c>
      <c r="H4334" s="73"/>
      <c r="I4334" s="74"/>
      <c r="J4334" s="102">
        <v>0</v>
      </c>
    </row>
    <row r="4335" spans="1:10" hidden="1" x14ac:dyDescent="0.25">
      <c r="A4335" s="224"/>
      <c r="B4335" s="237"/>
      <c r="C4335" s="36" t="s">
        <v>1296</v>
      </c>
      <c r="D4335" s="36" t="s">
        <v>42</v>
      </c>
      <c r="E4335" s="37">
        <v>2500</v>
      </c>
      <c r="F4335" s="54" t="s">
        <v>522</v>
      </c>
      <c r="G4335" s="54" t="str">
        <f t="shared" si="81"/>
        <v/>
      </c>
      <c r="H4335" s="73"/>
      <c r="I4335" s="74"/>
      <c r="J4335" s="102">
        <v>0</v>
      </c>
    </row>
    <row r="4336" spans="1:10" ht="15.75" hidden="1" thickBot="1" x14ac:dyDescent="0.3">
      <c r="A4336" s="225"/>
      <c r="B4336" s="223"/>
      <c r="C4336" s="55"/>
      <c r="D4336" s="55"/>
      <c r="E4336" s="66"/>
      <c r="F4336" s="76" t="s">
        <v>522</v>
      </c>
      <c r="G4336" s="76" t="str">
        <f t="shared" si="81"/>
        <v/>
      </c>
      <c r="H4336" s="77"/>
      <c r="I4336" s="74"/>
      <c r="J4336" s="102">
        <v>0</v>
      </c>
    </row>
    <row r="4337" spans="1:10" ht="15.75" hidden="1" thickBot="1" x14ac:dyDescent="0.3">
      <c r="A4337" s="218" t="s">
        <v>1297</v>
      </c>
      <c r="B4337" s="221" t="e">
        <f>INDEX(#REF!,MATCH(Composições!A4337,#REF!,0),2)</f>
        <v>#REF!</v>
      </c>
      <c r="C4337" s="41"/>
      <c r="D4337" s="26" t="s">
        <v>93</v>
      </c>
      <c r="E4337" s="27"/>
      <c r="F4337" s="49" t="s">
        <v>522</v>
      </c>
      <c r="G4337" s="28" t="str">
        <f t="shared" si="81"/>
        <v/>
      </c>
      <c r="H4337" s="29"/>
      <c r="I4337" s="30"/>
      <c r="J4337" s="102">
        <v>0</v>
      </c>
    </row>
    <row r="4338" spans="1:10" hidden="1" x14ac:dyDescent="0.25">
      <c r="A4338" s="224"/>
      <c r="B4338" s="237"/>
      <c r="C4338" s="32"/>
      <c r="D4338" s="32"/>
      <c r="E4338" s="33"/>
      <c r="F4338" s="54" t="s">
        <v>522</v>
      </c>
      <c r="G4338" s="54" t="str">
        <f t="shared" si="81"/>
        <v/>
      </c>
      <c r="H4338" s="73"/>
      <c r="I4338" s="74"/>
      <c r="J4338" s="102">
        <v>0</v>
      </c>
    </row>
    <row r="4339" spans="1:10" hidden="1" x14ac:dyDescent="0.25">
      <c r="A4339" s="224"/>
      <c r="B4339" s="237"/>
      <c r="C4339" s="36" t="s">
        <v>2426</v>
      </c>
      <c r="D4339" s="36" t="s">
        <v>102</v>
      </c>
      <c r="E4339" s="37">
        <v>2E-3</v>
      </c>
      <c r="F4339" s="54">
        <v>14.611000000000001</v>
      </c>
      <c r="G4339" s="54">
        <f t="shared" si="81"/>
        <v>2.9222000000000001E-2</v>
      </c>
      <c r="H4339" s="39">
        <f>SUM(G4339:G4346)</f>
        <v>3.6469112999999997</v>
      </c>
      <c r="I4339" s="40"/>
      <c r="J4339" s="102">
        <v>0</v>
      </c>
    </row>
    <row r="4340" spans="1:10" ht="25.5" hidden="1" x14ac:dyDescent="0.25">
      <c r="A4340" s="224"/>
      <c r="B4340" s="237"/>
      <c r="C4340" s="36" t="s">
        <v>2394</v>
      </c>
      <c r="D4340" s="36" t="s">
        <v>102</v>
      </c>
      <c r="E4340" s="37">
        <v>4.2999999999999997E-2</v>
      </c>
      <c r="F4340" s="54">
        <v>17.347000000000001</v>
      </c>
      <c r="G4340" s="54">
        <f t="shared" si="81"/>
        <v>0.74592099999999995</v>
      </c>
      <c r="H4340" s="73"/>
      <c r="I4340" s="74"/>
      <c r="J4340" s="102">
        <v>0</v>
      </c>
    </row>
    <row r="4341" spans="1:10" ht="25.5" hidden="1" x14ac:dyDescent="0.25">
      <c r="A4341" s="224"/>
      <c r="B4341" s="237"/>
      <c r="C4341" s="36" t="s">
        <v>1298</v>
      </c>
      <c r="D4341" s="36" t="s">
        <v>898</v>
      </c>
      <c r="E4341" s="37">
        <v>1.0999999999999999E-2</v>
      </c>
      <c r="F4341" s="54">
        <v>7.1914999999999996</v>
      </c>
      <c r="G4341" s="54">
        <f t="shared" si="81"/>
        <v>7.9106499999999996E-2</v>
      </c>
      <c r="H4341" s="73"/>
      <c r="I4341" s="74"/>
      <c r="J4341" s="102">
        <v>0</v>
      </c>
    </row>
    <row r="4342" spans="1:10" ht="25.5" hidden="1" x14ac:dyDescent="0.25">
      <c r="A4342" s="224"/>
      <c r="B4342" s="237"/>
      <c r="C4342" s="36" t="s">
        <v>2413</v>
      </c>
      <c r="D4342" s="36" t="s">
        <v>898</v>
      </c>
      <c r="E4342" s="37">
        <v>2.5000000000000001E-2</v>
      </c>
      <c r="F4342" s="54">
        <v>7.1914999999999996</v>
      </c>
      <c r="G4342" s="54">
        <f t="shared" si="81"/>
        <v>0.17978749999999999</v>
      </c>
      <c r="H4342" s="73"/>
      <c r="I4342" s="74"/>
      <c r="J4342" s="102">
        <v>0</v>
      </c>
    </row>
    <row r="4343" spans="1:10" hidden="1" x14ac:dyDescent="0.25">
      <c r="A4343" s="224"/>
      <c r="B4343" s="237"/>
      <c r="C4343" s="36" t="s">
        <v>1095</v>
      </c>
      <c r="D4343" s="36" t="s">
        <v>703</v>
      </c>
      <c r="E4343" s="37">
        <v>3.4000000000000002E-2</v>
      </c>
      <c r="F4343" s="54">
        <v>22.495999999999999</v>
      </c>
      <c r="G4343" s="54">
        <f t="shared" si="81"/>
        <v>0.76486399999999999</v>
      </c>
      <c r="H4343" s="73"/>
      <c r="I4343" s="74"/>
      <c r="J4343" s="102">
        <v>0</v>
      </c>
    </row>
    <row r="4344" spans="1:10" hidden="1" x14ac:dyDescent="0.25">
      <c r="A4344" s="224"/>
      <c r="B4344" s="237"/>
      <c r="C4344" s="36" t="s">
        <v>704</v>
      </c>
      <c r="D4344" s="36" t="s">
        <v>703</v>
      </c>
      <c r="E4344" s="37">
        <v>1.4E-2</v>
      </c>
      <c r="F4344" s="54">
        <v>16.1785</v>
      </c>
      <c r="G4344" s="54">
        <f t="shared" si="81"/>
        <v>0.22649900000000001</v>
      </c>
      <c r="H4344" s="73"/>
      <c r="I4344" s="74"/>
      <c r="J4344" s="102">
        <v>0</v>
      </c>
    </row>
    <row r="4345" spans="1:10" ht="25.5" hidden="1" x14ac:dyDescent="0.25">
      <c r="A4345" s="224"/>
      <c r="B4345" s="237"/>
      <c r="C4345" s="36" t="s">
        <v>1299</v>
      </c>
      <c r="D4345" s="36" t="s">
        <v>942</v>
      </c>
      <c r="E4345" s="37">
        <v>2.9999999999999997E-4</v>
      </c>
      <c r="F4345" s="54">
        <v>124.10799999999998</v>
      </c>
      <c r="G4345" s="54">
        <f t="shared" si="81"/>
        <v>3.7232399999999992E-2</v>
      </c>
      <c r="H4345" s="73"/>
      <c r="I4345" s="74"/>
      <c r="J4345" s="102">
        <v>0</v>
      </c>
    </row>
    <row r="4346" spans="1:10" ht="25.5" hidden="1" x14ac:dyDescent="0.25">
      <c r="A4346" s="224"/>
      <c r="B4346" s="237"/>
      <c r="C4346" s="36" t="s">
        <v>1668</v>
      </c>
      <c r="D4346" s="36" t="s">
        <v>944</v>
      </c>
      <c r="E4346" s="37">
        <v>3.3399999999999999E-2</v>
      </c>
      <c r="F4346" s="54">
        <v>47.433499999999995</v>
      </c>
      <c r="G4346" s="54">
        <f t="shared" si="81"/>
        <v>1.5842788999999997</v>
      </c>
      <c r="H4346" s="73"/>
      <c r="I4346" s="74"/>
      <c r="J4346" s="102">
        <v>0</v>
      </c>
    </row>
    <row r="4347" spans="1:10" ht="15.75" hidden="1" thickBot="1" x14ac:dyDescent="0.3">
      <c r="A4347" s="225"/>
      <c r="B4347" s="223"/>
      <c r="C4347" s="55"/>
      <c r="D4347" s="55"/>
      <c r="E4347" s="66"/>
      <c r="F4347" s="76" t="s">
        <v>522</v>
      </c>
      <c r="G4347" s="76" t="str">
        <f t="shared" si="81"/>
        <v/>
      </c>
      <c r="H4347" s="77"/>
      <c r="I4347" s="74"/>
      <c r="J4347" s="102">
        <v>0</v>
      </c>
    </row>
    <row r="4348" spans="1:10" ht="15.75" hidden="1" thickBot="1" x14ac:dyDescent="0.3">
      <c r="A4348" s="218" t="s">
        <v>1300</v>
      </c>
      <c r="B4348" s="221" t="e">
        <f>INDEX(#REF!,MATCH(Composições!A4348,#REF!,0),2)</f>
        <v>#REF!</v>
      </c>
      <c r="C4348" s="41"/>
      <c r="D4348" s="26" t="s">
        <v>95</v>
      </c>
      <c r="E4348" s="27"/>
      <c r="F4348" s="49" t="s">
        <v>522</v>
      </c>
      <c r="G4348" s="28" t="str">
        <f t="shared" si="81"/>
        <v/>
      </c>
      <c r="H4348" s="29"/>
      <c r="I4348" s="30"/>
      <c r="J4348" s="102">
        <v>0</v>
      </c>
    </row>
    <row r="4349" spans="1:10" hidden="1" x14ac:dyDescent="0.25">
      <c r="A4349" s="224"/>
      <c r="B4349" s="237"/>
      <c r="C4349" s="32"/>
      <c r="D4349" s="32"/>
      <c r="E4349" s="33"/>
      <c r="F4349" s="54" t="s">
        <v>522</v>
      </c>
      <c r="G4349" s="54" t="str">
        <f t="shared" si="81"/>
        <v/>
      </c>
      <c r="H4349" s="73"/>
      <c r="I4349" s="74"/>
      <c r="J4349" s="102">
        <v>0</v>
      </c>
    </row>
    <row r="4350" spans="1:10" ht="38.25" hidden="1" x14ac:dyDescent="0.25">
      <c r="A4350" s="224"/>
      <c r="B4350" s="237"/>
      <c r="C4350" s="36" t="s">
        <v>1818</v>
      </c>
      <c r="D4350" s="47" t="s">
        <v>992</v>
      </c>
      <c r="E4350" s="37">
        <v>1.1659999999999999</v>
      </c>
      <c r="F4350" s="54">
        <v>64.751999999999995</v>
      </c>
      <c r="G4350" s="54">
        <f t="shared" si="81"/>
        <v>75.500831999999988</v>
      </c>
      <c r="H4350" s="39">
        <f>SUM(G4350:G4355)</f>
        <v>87.935245199999983</v>
      </c>
      <c r="I4350" s="40"/>
      <c r="J4350" s="102">
        <v>0</v>
      </c>
    </row>
    <row r="4351" spans="1:10" ht="38.25" hidden="1" x14ac:dyDescent="0.25">
      <c r="A4351" s="224"/>
      <c r="B4351" s="237"/>
      <c r="C4351" s="36" t="s">
        <v>1301</v>
      </c>
      <c r="D4351" s="47" t="s">
        <v>740</v>
      </c>
      <c r="E4351" s="37">
        <v>4.1500000000000004</v>
      </c>
      <c r="F4351" s="54">
        <v>2.1469999999999998</v>
      </c>
      <c r="G4351" s="54">
        <f t="shared" si="81"/>
        <v>8.91005</v>
      </c>
      <c r="H4351" s="73"/>
      <c r="I4351" s="74"/>
      <c r="J4351" s="102">
        <v>0</v>
      </c>
    </row>
    <row r="4352" spans="1:10" hidden="1" x14ac:dyDescent="0.25">
      <c r="A4352" s="224"/>
      <c r="B4352" s="237"/>
      <c r="C4352" s="36" t="s">
        <v>704</v>
      </c>
      <c r="D4352" s="36" t="s">
        <v>703</v>
      </c>
      <c r="E4352" s="37">
        <v>9.7000000000000003E-2</v>
      </c>
      <c r="F4352" s="54">
        <v>16.1785</v>
      </c>
      <c r="G4352" s="54">
        <f t="shared" si="81"/>
        <v>1.5693144999999999</v>
      </c>
      <c r="H4352" s="73"/>
      <c r="I4352" s="74"/>
      <c r="J4352" s="102">
        <v>0</v>
      </c>
    </row>
    <row r="4353" spans="1:10" hidden="1" x14ac:dyDescent="0.25">
      <c r="A4353" s="224"/>
      <c r="B4353" s="237"/>
      <c r="C4353" s="36" t="s">
        <v>1302</v>
      </c>
      <c r="D4353" s="36" t="s">
        <v>703</v>
      </c>
      <c r="E4353" s="37">
        <v>9.0999999999999998E-2</v>
      </c>
      <c r="F4353" s="54">
        <v>21.061500000000002</v>
      </c>
      <c r="G4353" s="54">
        <f t="shared" si="81"/>
        <v>1.9165965000000003</v>
      </c>
      <c r="H4353" s="73"/>
      <c r="I4353" s="74"/>
      <c r="J4353" s="102">
        <v>0</v>
      </c>
    </row>
    <row r="4354" spans="1:10" ht="25.5" hidden="1" x14ac:dyDescent="0.25">
      <c r="A4354" s="224"/>
      <c r="B4354" s="237"/>
      <c r="C4354" s="36" t="s">
        <v>1303</v>
      </c>
      <c r="D4354" s="36" t="s">
        <v>942</v>
      </c>
      <c r="E4354" s="37">
        <v>8.9999999999999998E-4</v>
      </c>
      <c r="F4354" s="54">
        <v>17.983499999999999</v>
      </c>
      <c r="G4354" s="54">
        <f t="shared" si="81"/>
        <v>1.6185149999999999E-2</v>
      </c>
      <c r="H4354" s="73"/>
      <c r="I4354" s="74"/>
      <c r="J4354" s="102">
        <v>0</v>
      </c>
    </row>
    <row r="4355" spans="1:10" ht="25.5" hidden="1" x14ac:dyDescent="0.25">
      <c r="A4355" s="224"/>
      <c r="B4355" s="237"/>
      <c r="C4355" s="36" t="s">
        <v>1304</v>
      </c>
      <c r="D4355" s="36" t="s">
        <v>944</v>
      </c>
      <c r="E4355" s="37">
        <v>1.2999999999999999E-3</v>
      </c>
      <c r="F4355" s="54">
        <v>17.128499999999999</v>
      </c>
      <c r="G4355" s="54">
        <f t="shared" si="81"/>
        <v>2.2267049999999997E-2</v>
      </c>
      <c r="H4355" s="73"/>
      <c r="I4355" s="74"/>
      <c r="J4355" s="102">
        <v>0</v>
      </c>
    </row>
    <row r="4356" spans="1:10" ht="15.75" hidden="1" thickBot="1" x14ac:dyDescent="0.3">
      <c r="A4356" s="225"/>
      <c r="B4356" s="223"/>
      <c r="C4356" s="55"/>
      <c r="D4356" s="55"/>
      <c r="E4356" s="66"/>
      <c r="F4356" s="76" t="s">
        <v>522</v>
      </c>
      <c r="G4356" s="76" t="str">
        <f t="shared" si="81"/>
        <v/>
      </c>
      <c r="H4356" s="77"/>
      <c r="I4356" s="74"/>
      <c r="J4356" s="102">
        <v>0</v>
      </c>
    </row>
    <row r="4357" spans="1:10" ht="15.75" hidden="1" thickBot="1" x14ac:dyDescent="0.3">
      <c r="A4357" s="218" t="s">
        <v>1305</v>
      </c>
      <c r="B4357" s="221" t="e">
        <f>INDEX(#REF!,MATCH(Composições!A4357,#REF!,0),2)</f>
        <v>#REF!</v>
      </c>
      <c r="C4357" s="41"/>
      <c r="D4357" s="26" t="s">
        <v>93</v>
      </c>
      <c r="E4357" s="27"/>
      <c r="F4357" s="49" t="s">
        <v>522</v>
      </c>
      <c r="G4357" s="28" t="str">
        <f t="shared" si="81"/>
        <v/>
      </c>
      <c r="H4357" s="29"/>
      <c r="I4357" s="30"/>
      <c r="J4357" s="102">
        <v>0</v>
      </c>
    </row>
    <row r="4358" spans="1:10" hidden="1" x14ac:dyDescent="0.25">
      <c r="A4358" s="224"/>
      <c r="B4358" s="237"/>
      <c r="C4358" s="32"/>
      <c r="D4358" s="32"/>
      <c r="E4358" s="33"/>
      <c r="F4358" s="54" t="s">
        <v>522</v>
      </c>
      <c r="G4358" s="54" t="str">
        <f t="shared" si="81"/>
        <v/>
      </c>
      <c r="H4358" s="73"/>
      <c r="I4358" s="74"/>
      <c r="J4358" s="102">
        <v>0</v>
      </c>
    </row>
    <row r="4359" spans="1:10" ht="38.25" hidden="1" x14ac:dyDescent="0.25">
      <c r="A4359" s="224"/>
      <c r="B4359" s="237"/>
      <c r="C4359" s="36" t="s">
        <v>1301</v>
      </c>
      <c r="D4359" s="47" t="s">
        <v>740</v>
      </c>
      <c r="E4359" s="37">
        <v>4.1500000000000004</v>
      </c>
      <c r="F4359" s="54">
        <v>2.1469999999999998</v>
      </c>
      <c r="G4359" s="54">
        <f t="shared" si="81"/>
        <v>8.91005</v>
      </c>
      <c r="H4359" s="39">
        <f>SUM(G4359:G4364)</f>
        <v>11.431674900000001</v>
      </c>
      <c r="I4359" s="40"/>
      <c r="J4359" s="102">
        <v>0</v>
      </c>
    </row>
    <row r="4360" spans="1:10" hidden="1" x14ac:dyDescent="0.25">
      <c r="A4360" s="224"/>
      <c r="B4360" s="237"/>
      <c r="C4360" s="36" t="s">
        <v>1926</v>
      </c>
      <c r="D4360" s="36" t="s">
        <v>93</v>
      </c>
      <c r="E4360" s="37">
        <v>1.0289999999999999</v>
      </c>
      <c r="F4360" s="54" t="s">
        <v>522</v>
      </c>
      <c r="G4360" s="54" t="str">
        <f t="shared" si="81"/>
        <v/>
      </c>
      <c r="H4360" s="73"/>
      <c r="I4360" s="74"/>
      <c r="J4360" s="102">
        <v>0</v>
      </c>
    </row>
    <row r="4361" spans="1:10" hidden="1" x14ac:dyDescent="0.25">
      <c r="A4361" s="224"/>
      <c r="B4361" s="237"/>
      <c r="C4361" s="36" t="s">
        <v>704</v>
      </c>
      <c r="D4361" s="36" t="s">
        <v>703</v>
      </c>
      <c r="E4361" s="37">
        <v>7.2999999999999995E-2</v>
      </c>
      <c r="F4361" s="54">
        <v>16.1785</v>
      </c>
      <c r="G4361" s="54">
        <f t="shared" ref="G4361:G4424" si="82">IF(ISNUMBER(F4361),E4361*F4361,"")</f>
        <v>1.1810304999999999</v>
      </c>
      <c r="H4361" s="73"/>
      <c r="I4361" s="74"/>
      <c r="J4361" s="102">
        <v>0</v>
      </c>
    </row>
    <row r="4362" spans="1:10" hidden="1" x14ac:dyDescent="0.25">
      <c r="A4362" s="224"/>
      <c r="B4362" s="237"/>
      <c r="C4362" s="36" t="s">
        <v>1302</v>
      </c>
      <c r="D4362" s="36" t="s">
        <v>703</v>
      </c>
      <c r="E4362" s="37">
        <v>0.06</v>
      </c>
      <c r="F4362" s="54">
        <v>21.061500000000002</v>
      </c>
      <c r="G4362" s="54">
        <f t="shared" si="82"/>
        <v>1.2636900000000002</v>
      </c>
      <c r="H4362" s="73"/>
      <c r="I4362" s="74"/>
      <c r="J4362" s="102">
        <v>0</v>
      </c>
    </row>
    <row r="4363" spans="1:10" ht="25.5" hidden="1" x14ac:dyDescent="0.25">
      <c r="A4363" s="224"/>
      <c r="B4363" s="237"/>
      <c r="C4363" s="36" t="s">
        <v>1303</v>
      </c>
      <c r="D4363" s="36" t="s">
        <v>942</v>
      </c>
      <c r="E4363" s="37">
        <v>1.8E-3</v>
      </c>
      <c r="F4363" s="54">
        <v>17.983499999999999</v>
      </c>
      <c r="G4363" s="54">
        <f t="shared" si="82"/>
        <v>3.2370299999999998E-2</v>
      </c>
      <c r="H4363" s="73"/>
      <c r="I4363" s="74"/>
      <c r="J4363" s="102">
        <v>0</v>
      </c>
    </row>
    <row r="4364" spans="1:10" ht="25.5" hidden="1" x14ac:dyDescent="0.25">
      <c r="A4364" s="224"/>
      <c r="B4364" s="237"/>
      <c r="C4364" s="36" t="s">
        <v>1304</v>
      </c>
      <c r="D4364" s="36" t="s">
        <v>944</v>
      </c>
      <c r="E4364" s="37">
        <v>2.5999999999999999E-3</v>
      </c>
      <c r="F4364" s="54">
        <v>17.128499999999999</v>
      </c>
      <c r="G4364" s="54">
        <f t="shared" si="82"/>
        <v>4.4534099999999993E-2</v>
      </c>
      <c r="H4364" s="73"/>
      <c r="I4364" s="74"/>
      <c r="J4364" s="102">
        <v>0</v>
      </c>
    </row>
    <row r="4365" spans="1:10" ht="15.75" hidden="1" thickBot="1" x14ac:dyDescent="0.3">
      <c r="A4365" s="225"/>
      <c r="B4365" s="223"/>
      <c r="C4365" s="55"/>
      <c r="D4365" s="55"/>
      <c r="E4365" s="66"/>
      <c r="F4365" s="76" t="s">
        <v>522</v>
      </c>
      <c r="G4365" s="76" t="str">
        <f t="shared" si="82"/>
        <v/>
      </c>
      <c r="H4365" s="77"/>
      <c r="I4365" s="74"/>
      <c r="J4365" s="102">
        <v>0</v>
      </c>
    </row>
    <row r="4366" spans="1:10" ht="15.75" hidden="1" thickBot="1" x14ac:dyDescent="0.3">
      <c r="A4366" s="218" t="s">
        <v>1306</v>
      </c>
      <c r="B4366" s="221" t="e">
        <f>INDEX(#REF!,MATCH(Composições!A4366,#REF!,0),2)</f>
        <v>#REF!</v>
      </c>
      <c r="C4366" s="41"/>
      <c r="D4366" s="26" t="s">
        <v>95</v>
      </c>
      <c r="E4366" s="27"/>
      <c r="F4366" s="49" t="s">
        <v>522</v>
      </c>
      <c r="G4366" s="28" t="str">
        <f t="shared" si="82"/>
        <v/>
      </c>
      <c r="H4366" s="29"/>
      <c r="I4366" s="30"/>
      <c r="J4366" s="102">
        <v>0</v>
      </c>
    </row>
    <row r="4367" spans="1:10" hidden="1" x14ac:dyDescent="0.25">
      <c r="A4367" s="224"/>
      <c r="B4367" s="237"/>
      <c r="C4367" s="32"/>
      <c r="D4367" s="32"/>
      <c r="E4367" s="33"/>
      <c r="F4367" s="54" t="s">
        <v>522</v>
      </c>
      <c r="G4367" s="54" t="str">
        <f t="shared" si="82"/>
        <v/>
      </c>
      <c r="H4367" s="73"/>
      <c r="I4367" s="74"/>
      <c r="J4367" s="102">
        <v>0</v>
      </c>
    </row>
    <row r="4368" spans="1:10" ht="25.5" hidden="1" x14ac:dyDescent="0.25">
      <c r="A4368" s="224"/>
      <c r="B4368" s="237"/>
      <c r="C4368" s="36" t="s">
        <v>1307</v>
      </c>
      <c r="D4368" s="47" t="s">
        <v>992</v>
      </c>
      <c r="E4368" s="37">
        <v>1.1659999999999999</v>
      </c>
      <c r="F4368" s="54" t="s">
        <v>522</v>
      </c>
      <c r="G4368" s="54" t="str">
        <f t="shared" si="82"/>
        <v/>
      </c>
      <c r="H4368" s="39">
        <f>SUM(G4368:G4373)</f>
        <v>12.4344132</v>
      </c>
      <c r="I4368" s="40"/>
      <c r="J4368" s="102">
        <v>0</v>
      </c>
    </row>
    <row r="4369" spans="1:10" ht="38.25" hidden="1" x14ac:dyDescent="0.25">
      <c r="A4369" s="224"/>
      <c r="B4369" s="237"/>
      <c r="C4369" s="36" t="s">
        <v>1301</v>
      </c>
      <c r="D4369" s="47" t="s">
        <v>740</v>
      </c>
      <c r="E4369" s="37">
        <v>4.1500000000000004</v>
      </c>
      <c r="F4369" s="54">
        <v>2.1469999999999998</v>
      </c>
      <c r="G4369" s="54">
        <f t="shared" si="82"/>
        <v>8.91005</v>
      </c>
      <c r="H4369" s="73"/>
      <c r="I4369" s="74"/>
      <c r="J4369" s="102">
        <v>0</v>
      </c>
    </row>
    <row r="4370" spans="1:10" hidden="1" x14ac:dyDescent="0.25">
      <c r="A4370" s="224"/>
      <c r="B4370" s="237"/>
      <c r="C4370" s="36" t="s">
        <v>704</v>
      </c>
      <c r="D4370" s="36" t="s">
        <v>703</v>
      </c>
      <c r="E4370" s="37">
        <v>9.7000000000000003E-2</v>
      </c>
      <c r="F4370" s="54">
        <v>16.1785</v>
      </c>
      <c r="G4370" s="54">
        <f t="shared" si="82"/>
        <v>1.5693144999999999</v>
      </c>
      <c r="H4370" s="73"/>
      <c r="I4370" s="74"/>
      <c r="J4370" s="102">
        <v>0</v>
      </c>
    </row>
    <row r="4371" spans="1:10" hidden="1" x14ac:dyDescent="0.25">
      <c r="A4371" s="224"/>
      <c r="B4371" s="237"/>
      <c r="C4371" s="36" t="s">
        <v>1302</v>
      </c>
      <c r="D4371" s="36" t="s">
        <v>703</v>
      </c>
      <c r="E4371" s="37">
        <v>9.0999999999999998E-2</v>
      </c>
      <c r="F4371" s="54">
        <v>21.061500000000002</v>
      </c>
      <c r="G4371" s="54">
        <f t="shared" si="82"/>
        <v>1.9165965000000003</v>
      </c>
      <c r="H4371" s="73"/>
      <c r="I4371" s="74"/>
      <c r="J4371" s="102">
        <v>0</v>
      </c>
    </row>
    <row r="4372" spans="1:10" ht="25.5" hidden="1" x14ac:dyDescent="0.25">
      <c r="A4372" s="224"/>
      <c r="B4372" s="237"/>
      <c r="C4372" s="36" t="s">
        <v>1303</v>
      </c>
      <c r="D4372" s="36" t="s">
        <v>942</v>
      </c>
      <c r="E4372" s="37">
        <v>8.9999999999999998E-4</v>
      </c>
      <c r="F4372" s="54">
        <v>17.983499999999999</v>
      </c>
      <c r="G4372" s="54">
        <f t="shared" si="82"/>
        <v>1.6185149999999999E-2</v>
      </c>
      <c r="H4372" s="73"/>
      <c r="I4372" s="74"/>
      <c r="J4372" s="102">
        <v>0</v>
      </c>
    </row>
    <row r="4373" spans="1:10" ht="25.5" hidden="1" x14ac:dyDescent="0.25">
      <c r="A4373" s="224"/>
      <c r="B4373" s="237"/>
      <c r="C4373" s="36" t="s">
        <v>1304</v>
      </c>
      <c r="D4373" s="36" t="s">
        <v>944</v>
      </c>
      <c r="E4373" s="37">
        <v>1.2999999999999999E-3</v>
      </c>
      <c r="F4373" s="54">
        <v>17.128499999999999</v>
      </c>
      <c r="G4373" s="54">
        <f t="shared" si="82"/>
        <v>2.2267049999999997E-2</v>
      </c>
      <c r="H4373" s="73"/>
      <c r="I4373" s="74"/>
      <c r="J4373" s="102">
        <v>0</v>
      </c>
    </row>
    <row r="4374" spans="1:10" ht="15.75" hidden="1" thickBot="1" x14ac:dyDescent="0.3">
      <c r="A4374" s="225"/>
      <c r="B4374" s="223"/>
      <c r="C4374" s="55"/>
      <c r="D4374" s="55"/>
      <c r="E4374" s="66"/>
      <c r="F4374" s="76" t="s">
        <v>522</v>
      </c>
      <c r="G4374" s="76" t="str">
        <f t="shared" si="82"/>
        <v/>
      </c>
      <c r="H4374" s="77"/>
      <c r="I4374" s="74"/>
      <c r="J4374" s="102">
        <v>0</v>
      </c>
    </row>
    <row r="4375" spans="1:10" ht="15.75" hidden="1" thickBot="1" x14ac:dyDescent="0.3">
      <c r="A4375" s="218" t="s">
        <v>1308</v>
      </c>
      <c r="B4375" s="221" t="e">
        <f>INDEX(#REF!,MATCH(Composições!A4375,#REF!,0),2)</f>
        <v>#REF!</v>
      </c>
      <c r="C4375" s="41"/>
      <c r="D4375" s="26" t="s">
        <v>93</v>
      </c>
      <c r="E4375" s="27"/>
      <c r="F4375" s="49" t="s">
        <v>522</v>
      </c>
      <c r="G4375" s="28" t="str">
        <f t="shared" si="82"/>
        <v/>
      </c>
      <c r="H4375" s="29"/>
      <c r="I4375" s="30"/>
      <c r="J4375" s="102">
        <v>0</v>
      </c>
    </row>
    <row r="4376" spans="1:10" hidden="1" x14ac:dyDescent="0.25">
      <c r="A4376" s="224"/>
      <c r="B4376" s="237"/>
      <c r="C4376" s="32"/>
      <c r="D4376" s="32"/>
      <c r="E4376" s="33"/>
      <c r="F4376" s="54" t="s">
        <v>522</v>
      </c>
      <c r="G4376" s="54" t="str">
        <f t="shared" si="82"/>
        <v/>
      </c>
      <c r="H4376" s="73"/>
      <c r="I4376" s="74"/>
      <c r="J4376" s="102">
        <v>0</v>
      </c>
    </row>
    <row r="4377" spans="1:10" ht="38.25" hidden="1" x14ac:dyDescent="0.25">
      <c r="A4377" s="224"/>
      <c r="B4377" s="237"/>
      <c r="C4377" s="36" t="s">
        <v>1301</v>
      </c>
      <c r="D4377" s="47" t="s">
        <v>740</v>
      </c>
      <c r="E4377" s="37">
        <v>4.1500000000000004</v>
      </c>
      <c r="F4377" s="54">
        <v>2.1469999999999998</v>
      </c>
      <c r="G4377" s="54">
        <f t="shared" si="82"/>
        <v>8.91005</v>
      </c>
      <c r="H4377" s="39">
        <f>SUM(G4377:G4382)</f>
        <v>11.431674900000001</v>
      </c>
      <c r="I4377" s="40"/>
      <c r="J4377" s="102">
        <v>0</v>
      </c>
    </row>
    <row r="4378" spans="1:10" hidden="1" x14ac:dyDescent="0.25">
      <c r="A4378" s="224"/>
      <c r="B4378" s="237"/>
      <c r="C4378" s="36" t="s">
        <v>1925</v>
      </c>
      <c r="D4378" s="36" t="s">
        <v>93</v>
      </c>
      <c r="E4378" s="37">
        <v>1.0289999999999999</v>
      </c>
      <c r="F4378" s="54" t="s">
        <v>522</v>
      </c>
      <c r="G4378" s="54" t="str">
        <f t="shared" si="82"/>
        <v/>
      </c>
      <c r="H4378" s="73"/>
      <c r="I4378" s="74"/>
      <c r="J4378" s="102">
        <v>0</v>
      </c>
    </row>
    <row r="4379" spans="1:10" hidden="1" x14ac:dyDescent="0.25">
      <c r="A4379" s="224"/>
      <c r="B4379" s="237"/>
      <c r="C4379" s="36" t="s">
        <v>704</v>
      </c>
      <c r="D4379" s="36" t="s">
        <v>703</v>
      </c>
      <c r="E4379" s="37">
        <v>7.2999999999999995E-2</v>
      </c>
      <c r="F4379" s="54">
        <v>16.1785</v>
      </c>
      <c r="G4379" s="54">
        <f t="shared" si="82"/>
        <v>1.1810304999999999</v>
      </c>
      <c r="H4379" s="73"/>
      <c r="I4379" s="74"/>
      <c r="J4379" s="102">
        <v>0</v>
      </c>
    </row>
    <row r="4380" spans="1:10" hidden="1" x14ac:dyDescent="0.25">
      <c r="A4380" s="224"/>
      <c r="B4380" s="237"/>
      <c r="C4380" s="36" t="s">
        <v>1302</v>
      </c>
      <c r="D4380" s="36" t="s">
        <v>703</v>
      </c>
      <c r="E4380" s="37">
        <v>0.06</v>
      </c>
      <c r="F4380" s="54">
        <v>21.061500000000002</v>
      </c>
      <c r="G4380" s="54">
        <f t="shared" si="82"/>
        <v>1.2636900000000002</v>
      </c>
      <c r="H4380" s="73"/>
      <c r="I4380" s="74"/>
      <c r="J4380" s="102">
        <v>0</v>
      </c>
    </row>
    <row r="4381" spans="1:10" ht="25.5" hidden="1" x14ac:dyDescent="0.25">
      <c r="A4381" s="224"/>
      <c r="B4381" s="237"/>
      <c r="C4381" s="36" t="s">
        <v>1303</v>
      </c>
      <c r="D4381" s="36" t="s">
        <v>942</v>
      </c>
      <c r="E4381" s="37">
        <v>1.8E-3</v>
      </c>
      <c r="F4381" s="54">
        <v>17.983499999999999</v>
      </c>
      <c r="G4381" s="54">
        <f t="shared" si="82"/>
        <v>3.2370299999999998E-2</v>
      </c>
      <c r="H4381" s="73"/>
      <c r="I4381" s="74"/>
      <c r="J4381" s="102">
        <v>0</v>
      </c>
    </row>
    <row r="4382" spans="1:10" ht="25.5" hidden="1" x14ac:dyDescent="0.25">
      <c r="A4382" s="224"/>
      <c r="B4382" s="237"/>
      <c r="C4382" s="36" t="s">
        <v>1304</v>
      </c>
      <c r="D4382" s="36" t="s">
        <v>944</v>
      </c>
      <c r="E4382" s="37">
        <v>2.5999999999999999E-3</v>
      </c>
      <c r="F4382" s="54">
        <v>17.128499999999999</v>
      </c>
      <c r="G4382" s="54">
        <f t="shared" si="82"/>
        <v>4.4534099999999993E-2</v>
      </c>
      <c r="H4382" s="73"/>
      <c r="I4382" s="74"/>
      <c r="J4382" s="102">
        <v>0</v>
      </c>
    </row>
    <row r="4383" spans="1:10" ht="15.75" hidden="1" thickBot="1" x14ac:dyDescent="0.3">
      <c r="A4383" s="225"/>
      <c r="B4383" s="223"/>
      <c r="C4383" s="55"/>
      <c r="D4383" s="55"/>
      <c r="E4383" s="66"/>
      <c r="F4383" s="76" t="s">
        <v>522</v>
      </c>
      <c r="G4383" s="76" t="str">
        <f t="shared" si="82"/>
        <v/>
      </c>
      <c r="H4383" s="77"/>
      <c r="I4383" s="74"/>
      <c r="J4383" s="102">
        <v>0</v>
      </c>
    </row>
    <row r="4384" spans="1:10" ht="15.75" hidden="1" thickBot="1" x14ac:dyDescent="0.3">
      <c r="A4384" s="218" t="s">
        <v>1309</v>
      </c>
      <c r="B4384" s="221" t="e">
        <f>INDEX(#REF!,MATCH(Composições!A4384,#REF!,0),2)</f>
        <v>#REF!</v>
      </c>
      <c r="C4384" s="41"/>
      <c r="D4384" s="26" t="s">
        <v>95</v>
      </c>
      <c r="E4384" s="27"/>
      <c r="F4384" s="49" t="s">
        <v>522</v>
      </c>
      <c r="G4384" s="28" t="str">
        <f t="shared" si="82"/>
        <v/>
      </c>
      <c r="H4384" s="29"/>
      <c r="I4384" s="30"/>
      <c r="J4384" s="102">
        <v>0</v>
      </c>
    </row>
    <row r="4385" spans="1:10" hidden="1" x14ac:dyDescent="0.25">
      <c r="A4385" s="224"/>
      <c r="B4385" s="237"/>
      <c r="C4385" s="32"/>
      <c r="D4385" s="32"/>
      <c r="E4385" s="33"/>
      <c r="F4385" s="54" t="s">
        <v>522</v>
      </c>
      <c r="G4385" s="54" t="str">
        <f t="shared" si="82"/>
        <v/>
      </c>
      <c r="H4385" s="73"/>
      <c r="I4385" s="74"/>
      <c r="J4385" s="102">
        <v>0</v>
      </c>
    </row>
    <row r="4386" spans="1:10" hidden="1" x14ac:dyDescent="0.25">
      <c r="A4386" s="224"/>
      <c r="B4386" s="237"/>
      <c r="C4386" s="36" t="s">
        <v>1302</v>
      </c>
      <c r="D4386" s="36" t="s">
        <v>12</v>
      </c>
      <c r="E4386" s="37">
        <v>0.3</v>
      </c>
      <c r="F4386" s="54">
        <v>21.061500000000002</v>
      </c>
      <c r="G4386" s="54">
        <f t="shared" si="82"/>
        <v>6.3184500000000003</v>
      </c>
      <c r="H4386" s="39">
        <f>SUM(G4386:G4392)</f>
        <v>16.025549999999999</v>
      </c>
      <c r="I4386" s="40"/>
      <c r="J4386" s="102">
        <v>0</v>
      </c>
    </row>
    <row r="4387" spans="1:10" hidden="1" x14ac:dyDescent="0.25">
      <c r="A4387" s="224"/>
      <c r="B4387" s="237"/>
      <c r="C4387" s="36" t="s">
        <v>704</v>
      </c>
      <c r="D4387" s="36" t="s">
        <v>12</v>
      </c>
      <c r="E4387" s="37">
        <v>0.6</v>
      </c>
      <c r="F4387" s="54">
        <v>16.1785</v>
      </c>
      <c r="G4387" s="54">
        <f t="shared" si="82"/>
        <v>9.7070999999999987</v>
      </c>
      <c r="H4387" s="73"/>
      <c r="I4387" s="74"/>
      <c r="J4387" s="102">
        <v>0</v>
      </c>
    </row>
    <row r="4388" spans="1:10" hidden="1" x14ac:dyDescent="0.25">
      <c r="A4388" s="224"/>
      <c r="B4388" s="237"/>
      <c r="C4388" s="36" t="s">
        <v>1310</v>
      </c>
      <c r="D4388" s="36" t="s">
        <v>279</v>
      </c>
      <c r="E4388" s="37">
        <v>1.1100000000000001</v>
      </c>
      <c r="F4388" s="54">
        <v>0</v>
      </c>
      <c r="G4388" s="54">
        <f t="shared" si="82"/>
        <v>0</v>
      </c>
      <c r="H4388" s="73"/>
      <c r="I4388" s="74"/>
      <c r="J4388" s="102">
        <v>0</v>
      </c>
    </row>
    <row r="4389" spans="1:10" hidden="1" x14ac:dyDescent="0.25">
      <c r="A4389" s="224"/>
      <c r="B4389" s="237"/>
      <c r="C4389" s="36" t="s">
        <v>1311</v>
      </c>
      <c r="D4389" s="36" t="s">
        <v>95</v>
      </c>
      <c r="E4389" s="37">
        <v>1.24</v>
      </c>
      <c r="F4389" s="54">
        <v>0</v>
      </c>
      <c r="G4389" s="54">
        <f t="shared" si="82"/>
        <v>0</v>
      </c>
      <c r="H4389" s="73"/>
      <c r="I4389" s="74"/>
      <c r="J4389" s="102">
        <v>0</v>
      </c>
    </row>
    <row r="4390" spans="1:10" ht="25.5" hidden="1" x14ac:dyDescent="0.25">
      <c r="A4390" s="224"/>
      <c r="B4390" s="237"/>
      <c r="C4390" s="36" t="s">
        <v>1312</v>
      </c>
      <c r="D4390" s="36" t="s">
        <v>279</v>
      </c>
      <c r="E4390" s="37">
        <v>1.1100000000000001</v>
      </c>
      <c r="F4390" s="54">
        <v>0</v>
      </c>
      <c r="G4390" s="54">
        <f t="shared" si="82"/>
        <v>0</v>
      </c>
      <c r="H4390" s="73"/>
      <c r="I4390" s="74"/>
      <c r="J4390" s="102">
        <v>0</v>
      </c>
    </row>
    <row r="4391" spans="1:10" hidden="1" x14ac:dyDescent="0.25">
      <c r="A4391" s="224"/>
      <c r="B4391" s="237"/>
      <c r="C4391" s="36" t="s">
        <v>1313</v>
      </c>
      <c r="D4391" s="36" t="s">
        <v>279</v>
      </c>
      <c r="E4391" s="37">
        <v>1</v>
      </c>
      <c r="F4391" s="54">
        <v>0</v>
      </c>
      <c r="G4391" s="54">
        <f t="shared" si="82"/>
        <v>0</v>
      </c>
      <c r="H4391" s="73"/>
      <c r="I4391" s="74"/>
      <c r="J4391" s="102">
        <v>0</v>
      </c>
    </row>
    <row r="4392" spans="1:10" hidden="1" x14ac:dyDescent="0.25">
      <c r="A4392" s="224"/>
      <c r="B4392" s="237"/>
      <c r="C4392" s="36" t="s">
        <v>1314</v>
      </c>
      <c r="D4392" s="36" t="s">
        <v>279</v>
      </c>
      <c r="E4392" s="37">
        <v>1.1100000000000001</v>
      </c>
      <c r="F4392" s="54">
        <v>0</v>
      </c>
      <c r="G4392" s="54">
        <f t="shared" si="82"/>
        <v>0</v>
      </c>
      <c r="H4392" s="73"/>
      <c r="I4392" s="74"/>
      <c r="J4392" s="102">
        <v>0</v>
      </c>
    </row>
    <row r="4393" spans="1:10" ht="15.75" hidden="1" thickBot="1" x14ac:dyDescent="0.3">
      <c r="A4393" s="225"/>
      <c r="B4393" s="223"/>
      <c r="C4393" s="55"/>
      <c r="D4393" s="55"/>
      <c r="E4393" s="66"/>
      <c r="F4393" s="76" t="s">
        <v>522</v>
      </c>
      <c r="G4393" s="76" t="str">
        <f t="shared" si="82"/>
        <v/>
      </c>
      <c r="H4393" s="77"/>
      <c r="I4393" s="74"/>
      <c r="J4393" s="102">
        <v>0</v>
      </c>
    </row>
    <row r="4394" spans="1:10" ht="15.75" hidden="1" thickBot="1" x14ac:dyDescent="0.3">
      <c r="A4394" s="218" t="s">
        <v>1315</v>
      </c>
      <c r="B4394" s="221" t="e">
        <f>INDEX(#REF!,MATCH(Composições!A4394,#REF!,0),2)</f>
        <v>#REF!</v>
      </c>
      <c r="C4394" s="41"/>
      <c r="D4394" s="26" t="s">
        <v>93</v>
      </c>
      <c r="E4394" s="27"/>
      <c r="F4394" s="49" t="s">
        <v>522</v>
      </c>
      <c r="G4394" s="28" t="str">
        <f t="shared" si="82"/>
        <v/>
      </c>
      <c r="H4394" s="29"/>
      <c r="I4394" s="30"/>
      <c r="J4394" s="102">
        <v>0</v>
      </c>
    </row>
    <row r="4395" spans="1:10" hidden="1" x14ac:dyDescent="0.25">
      <c r="A4395" s="224"/>
      <c r="B4395" s="237"/>
      <c r="C4395" s="32"/>
      <c r="D4395" s="32"/>
      <c r="E4395" s="33"/>
      <c r="F4395" s="54" t="s">
        <v>522</v>
      </c>
      <c r="G4395" s="54" t="str">
        <f t="shared" si="82"/>
        <v/>
      </c>
      <c r="H4395" s="73"/>
      <c r="I4395" s="74"/>
      <c r="J4395" s="102">
        <v>0</v>
      </c>
    </row>
    <row r="4396" spans="1:10" hidden="1" x14ac:dyDescent="0.25">
      <c r="A4396" s="224"/>
      <c r="B4396" s="237"/>
      <c r="C4396" s="36" t="s">
        <v>1302</v>
      </c>
      <c r="D4396" s="36" t="s">
        <v>12</v>
      </c>
      <c r="E4396" s="37">
        <f>0.12/2</f>
        <v>0.06</v>
      </c>
      <c r="F4396" s="54">
        <v>21.061500000000002</v>
      </c>
      <c r="G4396" s="54">
        <f t="shared" si="82"/>
        <v>1.2636900000000002</v>
      </c>
      <c r="H4396" s="39">
        <f>SUM(G4396:G4400)</f>
        <v>2.2343999999999999</v>
      </c>
      <c r="I4396" s="40"/>
      <c r="J4396" s="102">
        <v>0</v>
      </c>
    </row>
    <row r="4397" spans="1:10" hidden="1" x14ac:dyDescent="0.25">
      <c r="A4397" s="224"/>
      <c r="B4397" s="237"/>
      <c r="C4397" s="36" t="s">
        <v>704</v>
      </c>
      <c r="D4397" s="36" t="s">
        <v>12</v>
      </c>
      <c r="E4397" s="37">
        <f>0.12/2</f>
        <v>0.06</v>
      </c>
      <c r="F4397" s="54">
        <v>16.1785</v>
      </c>
      <c r="G4397" s="54">
        <f t="shared" si="82"/>
        <v>0.97070999999999996</v>
      </c>
      <c r="H4397" s="73"/>
      <c r="I4397" s="74"/>
      <c r="J4397" s="102">
        <v>0</v>
      </c>
    </row>
    <row r="4398" spans="1:10" hidden="1" x14ac:dyDescent="0.25">
      <c r="A4398" s="224"/>
      <c r="B4398" s="237"/>
      <c r="C4398" s="36" t="s">
        <v>1310</v>
      </c>
      <c r="D4398" s="36" t="s">
        <v>279</v>
      </c>
      <c r="E4398" s="37">
        <f>4.12/2</f>
        <v>2.06</v>
      </c>
      <c r="F4398" s="54">
        <v>0</v>
      </c>
      <c r="G4398" s="54">
        <f t="shared" si="82"/>
        <v>0</v>
      </c>
      <c r="H4398" s="73"/>
      <c r="I4398" s="74"/>
      <c r="J4398" s="102">
        <v>0</v>
      </c>
    </row>
    <row r="4399" spans="1:10" ht="25.5" hidden="1" x14ac:dyDescent="0.25">
      <c r="A4399" s="224"/>
      <c r="B4399" s="237"/>
      <c r="C4399" s="36" t="s">
        <v>1316</v>
      </c>
      <c r="D4399" s="36" t="s">
        <v>279</v>
      </c>
      <c r="E4399" s="37">
        <v>2.06</v>
      </c>
      <c r="F4399" s="54">
        <v>0</v>
      </c>
      <c r="G4399" s="54">
        <f t="shared" si="82"/>
        <v>0</v>
      </c>
      <c r="H4399" s="73"/>
      <c r="I4399" s="74"/>
      <c r="J4399" s="102">
        <v>0</v>
      </c>
    </row>
    <row r="4400" spans="1:10" hidden="1" x14ac:dyDescent="0.25">
      <c r="A4400" s="224"/>
      <c r="B4400" s="237"/>
      <c r="C4400" s="36" t="s">
        <v>1314</v>
      </c>
      <c r="D4400" s="36" t="s">
        <v>279</v>
      </c>
      <c r="E4400" s="37">
        <f>4.12/2</f>
        <v>2.06</v>
      </c>
      <c r="F4400" s="54">
        <v>0</v>
      </c>
      <c r="G4400" s="54">
        <f t="shared" si="82"/>
        <v>0</v>
      </c>
      <c r="H4400" s="73"/>
      <c r="I4400" s="74"/>
      <c r="J4400" s="102">
        <v>0</v>
      </c>
    </row>
    <row r="4401" spans="1:10" ht="15.75" hidden="1" thickBot="1" x14ac:dyDescent="0.3">
      <c r="A4401" s="225"/>
      <c r="B4401" s="223"/>
      <c r="C4401" s="55"/>
      <c r="D4401" s="55"/>
      <c r="E4401" s="66"/>
      <c r="F4401" s="76" t="s">
        <v>522</v>
      </c>
      <c r="G4401" s="76" t="str">
        <f t="shared" si="82"/>
        <v/>
      </c>
      <c r="H4401" s="77"/>
      <c r="I4401" s="74"/>
      <c r="J4401" s="102">
        <v>0</v>
      </c>
    </row>
    <row r="4402" spans="1:10" ht="15.75" hidden="1" thickBot="1" x14ac:dyDescent="0.3">
      <c r="A4402" s="218" t="s">
        <v>1317</v>
      </c>
      <c r="B4402" s="221" t="e">
        <f>INDEX(#REF!,MATCH(Composições!A4402,#REF!,0),2)</f>
        <v>#REF!</v>
      </c>
      <c r="C4402" s="41"/>
      <c r="D4402" s="26" t="s">
        <v>93</v>
      </c>
      <c r="E4402" s="27"/>
      <c r="F4402" s="49" t="s">
        <v>522</v>
      </c>
      <c r="G4402" s="28" t="str">
        <f t="shared" si="82"/>
        <v/>
      </c>
      <c r="H4402" s="29"/>
      <c r="I4402" s="30"/>
      <c r="J4402" s="102">
        <v>0</v>
      </c>
    </row>
    <row r="4403" spans="1:10" hidden="1" x14ac:dyDescent="0.25">
      <c r="A4403" s="224"/>
      <c r="B4403" s="237"/>
      <c r="C4403" s="32"/>
      <c r="D4403" s="32"/>
      <c r="E4403" s="33"/>
      <c r="F4403" s="54" t="s">
        <v>522</v>
      </c>
      <c r="G4403" s="54" t="str">
        <f t="shared" si="82"/>
        <v/>
      </c>
      <c r="H4403" s="73"/>
      <c r="I4403" s="74"/>
      <c r="J4403" s="102">
        <v>0</v>
      </c>
    </row>
    <row r="4404" spans="1:10" hidden="1" x14ac:dyDescent="0.25">
      <c r="A4404" s="224"/>
      <c r="B4404" s="237"/>
      <c r="C4404" s="36" t="s">
        <v>1302</v>
      </c>
      <c r="D4404" s="36" t="s">
        <v>12</v>
      </c>
      <c r="E4404" s="37">
        <f>0.12/2</f>
        <v>0.06</v>
      </c>
      <c r="F4404" s="54">
        <v>21.061500000000002</v>
      </c>
      <c r="G4404" s="54">
        <f t="shared" si="82"/>
        <v>1.2636900000000002</v>
      </c>
      <c r="H4404" s="39">
        <f>SUM(G4404:G4408)</f>
        <v>2.2343999999999999</v>
      </c>
      <c r="I4404" s="40"/>
      <c r="J4404" s="102">
        <v>0</v>
      </c>
    </row>
    <row r="4405" spans="1:10" hidden="1" x14ac:dyDescent="0.25">
      <c r="A4405" s="224"/>
      <c r="B4405" s="237"/>
      <c r="C4405" s="36" t="s">
        <v>704</v>
      </c>
      <c r="D4405" s="36" t="s">
        <v>12</v>
      </c>
      <c r="E4405" s="37">
        <f>0.12/2</f>
        <v>0.06</v>
      </c>
      <c r="F4405" s="54">
        <v>16.1785</v>
      </c>
      <c r="G4405" s="54">
        <f t="shared" si="82"/>
        <v>0.97070999999999996</v>
      </c>
      <c r="H4405" s="73"/>
      <c r="I4405" s="74"/>
      <c r="J4405" s="102">
        <v>0</v>
      </c>
    </row>
    <row r="4406" spans="1:10" hidden="1" x14ac:dyDescent="0.25">
      <c r="A4406" s="224"/>
      <c r="B4406" s="237"/>
      <c r="C4406" s="36" t="s">
        <v>1310</v>
      </c>
      <c r="D4406" s="36" t="s">
        <v>279</v>
      </c>
      <c r="E4406" s="37">
        <f>4.12/2</f>
        <v>2.06</v>
      </c>
      <c r="F4406" s="54">
        <v>0</v>
      </c>
      <c r="G4406" s="54">
        <f t="shared" si="82"/>
        <v>0</v>
      </c>
      <c r="H4406" s="73"/>
      <c r="I4406" s="74"/>
      <c r="J4406" s="102">
        <v>0</v>
      </c>
    </row>
    <row r="4407" spans="1:10" ht="25.5" hidden="1" x14ac:dyDescent="0.25">
      <c r="A4407" s="224"/>
      <c r="B4407" s="237"/>
      <c r="C4407" s="36" t="s">
        <v>1318</v>
      </c>
      <c r="D4407" s="36" t="s">
        <v>279</v>
      </c>
      <c r="E4407" s="37">
        <v>2.06</v>
      </c>
      <c r="F4407" s="54">
        <v>0</v>
      </c>
      <c r="G4407" s="54">
        <f t="shared" si="82"/>
        <v>0</v>
      </c>
      <c r="H4407" s="73"/>
      <c r="I4407" s="74"/>
      <c r="J4407" s="102">
        <v>0</v>
      </c>
    </row>
    <row r="4408" spans="1:10" hidden="1" x14ac:dyDescent="0.25">
      <c r="A4408" s="224"/>
      <c r="B4408" s="237"/>
      <c r="C4408" s="36" t="s">
        <v>1314</v>
      </c>
      <c r="D4408" s="36" t="s">
        <v>279</v>
      </c>
      <c r="E4408" s="37">
        <f>4.12/2</f>
        <v>2.06</v>
      </c>
      <c r="F4408" s="54">
        <v>0</v>
      </c>
      <c r="G4408" s="54">
        <f t="shared" si="82"/>
        <v>0</v>
      </c>
      <c r="H4408" s="73"/>
      <c r="I4408" s="74"/>
      <c r="J4408" s="102">
        <v>0</v>
      </c>
    </row>
    <row r="4409" spans="1:10" ht="15.75" hidden="1" thickBot="1" x14ac:dyDescent="0.3">
      <c r="A4409" s="225"/>
      <c r="B4409" s="223"/>
      <c r="C4409" s="55"/>
      <c r="D4409" s="55"/>
      <c r="E4409" s="66"/>
      <c r="F4409" s="76" t="s">
        <v>522</v>
      </c>
      <c r="G4409" s="76" t="str">
        <f t="shared" si="82"/>
        <v/>
      </c>
      <c r="H4409" s="77"/>
      <c r="I4409" s="74"/>
      <c r="J4409" s="102">
        <v>0</v>
      </c>
    </row>
    <row r="4410" spans="1:10" ht="15.75" hidden="1" thickBot="1" x14ac:dyDescent="0.3">
      <c r="A4410" s="218" t="s">
        <v>1319</v>
      </c>
      <c r="B4410" s="221" t="e">
        <f>INDEX(#REF!,MATCH(Composições!A4410,#REF!,0),2)</f>
        <v>#REF!</v>
      </c>
      <c r="C4410" s="41"/>
      <c r="D4410" s="26" t="s">
        <v>95</v>
      </c>
      <c r="E4410" s="27"/>
      <c r="F4410" s="49" t="s">
        <v>522</v>
      </c>
      <c r="G4410" s="28" t="str">
        <f t="shared" si="82"/>
        <v/>
      </c>
      <c r="H4410" s="29"/>
      <c r="I4410" s="30"/>
      <c r="J4410" s="102">
        <v>0</v>
      </c>
    </row>
    <row r="4411" spans="1:10" hidden="1" x14ac:dyDescent="0.25">
      <c r="A4411" s="224"/>
      <c r="B4411" s="237"/>
      <c r="C4411" s="32"/>
      <c r="D4411" s="32"/>
      <c r="E4411" s="33"/>
      <c r="F4411" s="54" t="s">
        <v>522</v>
      </c>
      <c r="G4411" s="54" t="str">
        <f t="shared" si="82"/>
        <v/>
      </c>
      <c r="H4411" s="73"/>
      <c r="I4411" s="74"/>
      <c r="J4411" s="102">
        <v>0</v>
      </c>
    </row>
    <row r="4412" spans="1:10" ht="38.25" hidden="1" x14ac:dyDescent="0.25">
      <c r="A4412" s="224"/>
      <c r="B4412" s="237"/>
      <c r="C4412" s="36" t="s">
        <v>1320</v>
      </c>
      <c r="D4412" s="47" t="s">
        <v>740</v>
      </c>
      <c r="E4412" s="37">
        <v>1.27</v>
      </c>
      <c r="F4412" s="54">
        <v>0.28499999999999998</v>
      </c>
      <c r="G4412" s="54">
        <f t="shared" si="82"/>
        <v>0.36194999999999999</v>
      </c>
      <c r="H4412" s="39">
        <f>SUM(G4412:G4418)</f>
        <v>48.069531649999995</v>
      </c>
      <c r="I4412" s="40"/>
      <c r="J4412" s="102">
        <v>0</v>
      </c>
    </row>
    <row r="4413" spans="1:10" ht="25.5" hidden="1" x14ac:dyDescent="0.25">
      <c r="A4413" s="224"/>
      <c r="B4413" s="237"/>
      <c r="C4413" s="36" t="s">
        <v>1321</v>
      </c>
      <c r="D4413" s="36" t="s">
        <v>279</v>
      </c>
      <c r="E4413" s="37">
        <v>1.27</v>
      </c>
      <c r="F4413" s="54">
        <v>4.3414999999999999</v>
      </c>
      <c r="G4413" s="54">
        <f t="shared" si="82"/>
        <v>5.5137049999999999</v>
      </c>
      <c r="H4413" s="73"/>
      <c r="I4413" s="74"/>
      <c r="J4413" s="102">
        <v>0</v>
      </c>
    </row>
    <row r="4414" spans="1:10" ht="25.5" hidden="1" x14ac:dyDescent="0.25">
      <c r="A4414" s="224"/>
      <c r="B4414" s="237"/>
      <c r="C4414" s="36" t="s">
        <v>1322</v>
      </c>
      <c r="D4414" s="36" t="s">
        <v>992</v>
      </c>
      <c r="E4414" s="37">
        <v>1.2749999999999999</v>
      </c>
      <c r="F4414" s="54">
        <v>29.126999999999999</v>
      </c>
      <c r="G4414" s="54">
        <f t="shared" si="82"/>
        <v>37.136924999999998</v>
      </c>
      <c r="H4414" s="73"/>
      <c r="I4414" s="74"/>
      <c r="J4414" s="102">
        <v>0</v>
      </c>
    </row>
    <row r="4415" spans="1:10" hidden="1" x14ac:dyDescent="0.25">
      <c r="A4415" s="224"/>
      <c r="B4415" s="237"/>
      <c r="C4415" s="36" t="s">
        <v>704</v>
      </c>
      <c r="D4415" s="36" t="s">
        <v>703</v>
      </c>
      <c r="E4415" s="37">
        <v>0.15</v>
      </c>
      <c r="F4415" s="54">
        <v>16.1785</v>
      </c>
      <c r="G4415" s="54">
        <f t="shared" si="82"/>
        <v>2.4267749999999997</v>
      </c>
      <c r="H4415" s="73"/>
      <c r="I4415" s="74"/>
      <c r="J4415" s="102">
        <v>0</v>
      </c>
    </row>
    <row r="4416" spans="1:10" hidden="1" x14ac:dyDescent="0.25">
      <c r="A4416" s="224"/>
      <c r="B4416" s="237"/>
      <c r="C4416" s="36" t="s">
        <v>1302</v>
      </c>
      <c r="D4416" s="36" t="s">
        <v>703</v>
      </c>
      <c r="E4416" s="37">
        <v>0.115</v>
      </c>
      <c r="F4416" s="54">
        <v>21.061500000000002</v>
      </c>
      <c r="G4416" s="54">
        <f t="shared" si="82"/>
        <v>2.4220725000000005</v>
      </c>
      <c r="H4416" s="73"/>
      <c r="I4416" s="74"/>
      <c r="J4416" s="102">
        <v>0</v>
      </c>
    </row>
    <row r="4417" spans="1:10" ht="25.5" hidden="1" x14ac:dyDescent="0.25">
      <c r="A4417" s="224"/>
      <c r="B4417" s="237"/>
      <c r="C4417" s="36" t="s">
        <v>1303</v>
      </c>
      <c r="D4417" s="36" t="s">
        <v>942</v>
      </c>
      <c r="E4417" s="37">
        <v>5.0000000000000001E-3</v>
      </c>
      <c r="F4417" s="54">
        <v>17.983499999999999</v>
      </c>
      <c r="G4417" s="54">
        <f t="shared" si="82"/>
        <v>8.9917499999999997E-2</v>
      </c>
      <c r="H4417" s="73"/>
      <c r="I4417" s="74"/>
      <c r="J4417" s="102">
        <v>0</v>
      </c>
    </row>
    <row r="4418" spans="1:10" ht="25.5" hidden="1" x14ac:dyDescent="0.25">
      <c r="A4418" s="224"/>
      <c r="B4418" s="237"/>
      <c r="C4418" s="36" t="s">
        <v>1304</v>
      </c>
      <c r="D4418" s="36" t="s">
        <v>944</v>
      </c>
      <c r="E4418" s="37">
        <v>6.8999999999999999E-3</v>
      </c>
      <c r="F4418" s="54">
        <v>17.128499999999999</v>
      </c>
      <c r="G4418" s="54">
        <f t="shared" si="82"/>
        <v>0.11818664999999999</v>
      </c>
      <c r="H4418" s="73"/>
      <c r="I4418" s="74"/>
      <c r="J4418" s="102">
        <v>0</v>
      </c>
    </row>
    <row r="4419" spans="1:10" ht="15.75" hidden="1" thickBot="1" x14ac:dyDescent="0.3">
      <c r="A4419" s="225"/>
      <c r="B4419" s="223"/>
      <c r="C4419" s="55"/>
      <c r="D4419" s="55"/>
      <c r="E4419" s="66"/>
      <c r="F4419" s="76" t="s">
        <v>522</v>
      </c>
      <c r="G4419" s="76" t="str">
        <f t="shared" si="82"/>
        <v/>
      </c>
      <c r="H4419" s="77"/>
      <c r="I4419" s="74"/>
      <c r="J4419" s="102">
        <v>0</v>
      </c>
    </row>
    <row r="4420" spans="1:10" ht="15.75" hidden="1" thickBot="1" x14ac:dyDescent="0.3">
      <c r="A4420" s="218" t="s">
        <v>1323</v>
      </c>
      <c r="B4420" s="221" t="e">
        <f>INDEX(#REF!,MATCH(Composições!A4420,#REF!,0),2)</f>
        <v>#REF!</v>
      </c>
      <c r="C4420" s="41"/>
      <c r="D4420" s="26" t="s">
        <v>93</v>
      </c>
      <c r="E4420" s="27"/>
      <c r="F4420" s="49" t="s">
        <v>522</v>
      </c>
      <c r="G4420" s="28" t="str">
        <f t="shared" si="82"/>
        <v/>
      </c>
      <c r="H4420" s="29"/>
      <c r="I4420" s="30"/>
      <c r="J4420" s="102">
        <v>0</v>
      </c>
    </row>
    <row r="4421" spans="1:10" hidden="1" x14ac:dyDescent="0.25">
      <c r="A4421" s="224"/>
      <c r="B4421" s="237"/>
      <c r="C4421" s="32"/>
      <c r="D4421" s="32"/>
      <c r="E4421" s="33"/>
      <c r="F4421" s="54" t="s">
        <v>522</v>
      </c>
      <c r="G4421" s="54" t="str">
        <f t="shared" si="82"/>
        <v/>
      </c>
      <c r="H4421" s="73"/>
      <c r="I4421" s="74"/>
      <c r="J4421" s="102">
        <v>0</v>
      </c>
    </row>
    <row r="4422" spans="1:10" ht="38.25" hidden="1" x14ac:dyDescent="0.25">
      <c r="A4422" s="224"/>
      <c r="B4422" s="237"/>
      <c r="C4422" s="36" t="s">
        <v>1320</v>
      </c>
      <c r="D4422" s="47" t="s">
        <v>740</v>
      </c>
      <c r="E4422" s="37">
        <v>4.2</v>
      </c>
      <c r="F4422" s="54">
        <v>0.28499999999999998</v>
      </c>
      <c r="G4422" s="54">
        <f t="shared" si="82"/>
        <v>1.1969999999999998</v>
      </c>
      <c r="H4422" s="39">
        <f>SUM(G4422:G4428)</f>
        <v>85.347042399999992</v>
      </c>
      <c r="I4422" s="40"/>
      <c r="J4422" s="102">
        <v>0</v>
      </c>
    </row>
    <row r="4423" spans="1:10" ht="25.5" hidden="1" x14ac:dyDescent="0.25">
      <c r="A4423" s="224"/>
      <c r="B4423" s="237"/>
      <c r="C4423" s="36" t="s">
        <v>1321</v>
      </c>
      <c r="D4423" s="36" t="s">
        <v>279</v>
      </c>
      <c r="E4423" s="37">
        <v>4.2</v>
      </c>
      <c r="F4423" s="54">
        <v>4.3414999999999999</v>
      </c>
      <c r="G4423" s="54">
        <f t="shared" si="82"/>
        <v>18.234300000000001</v>
      </c>
      <c r="H4423" s="73"/>
      <c r="I4423" s="74"/>
      <c r="J4423" s="102">
        <v>0</v>
      </c>
    </row>
    <row r="4424" spans="1:10" ht="25.5" hidden="1" x14ac:dyDescent="0.25">
      <c r="A4424" s="224"/>
      <c r="B4424" s="237"/>
      <c r="C4424" s="36" t="s">
        <v>1324</v>
      </c>
      <c r="D4424" s="36" t="s">
        <v>279</v>
      </c>
      <c r="E4424" s="37">
        <v>1.0289999999999999</v>
      </c>
      <c r="F4424" s="54">
        <v>61.607499999999995</v>
      </c>
      <c r="G4424" s="54">
        <f t="shared" si="82"/>
        <v>63.394117499999986</v>
      </c>
      <c r="H4424" s="73"/>
      <c r="I4424" s="74"/>
      <c r="J4424" s="102">
        <v>0</v>
      </c>
    </row>
    <row r="4425" spans="1:10" hidden="1" x14ac:dyDescent="0.25">
      <c r="A4425" s="224"/>
      <c r="B4425" s="237"/>
      <c r="C4425" s="36" t="s">
        <v>704</v>
      </c>
      <c r="D4425" s="36" t="s">
        <v>703</v>
      </c>
      <c r="E4425" s="37">
        <v>7.2999999999999995E-2</v>
      </c>
      <c r="F4425" s="54">
        <v>16.1785</v>
      </c>
      <c r="G4425" s="54">
        <f t="shared" ref="G4425:G4488" si="83">IF(ISNUMBER(F4425),E4425*F4425,"")</f>
        <v>1.1810304999999999</v>
      </c>
      <c r="H4425" s="73"/>
      <c r="I4425" s="74"/>
      <c r="J4425" s="102">
        <v>0</v>
      </c>
    </row>
    <row r="4426" spans="1:10" hidden="1" x14ac:dyDescent="0.25">
      <c r="A4426" s="224"/>
      <c r="B4426" s="237"/>
      <c r="C4426" s="36" t="s">
        <v>1302</v>
      </c>
      <c r="D4426" s="36" t="s">
        <v>703</v>
      </c>
      <c r="E4426" s="37">
        <v>0.06</v>
      </c>
      <c r="F4426" s="54">
        <v>21.061500000000002</v>
      </c>
      <c r="G4426" s="54">
        <f t="shared" si="83"/>
        <v>1.2636900000000002</v>
      </c>
      <c r="H4426" s="73"/>
      <c r="I4426" s="74"/>
      <c r="J4426" s="102">
        <v>0</v>
      </c>
    </row>
    <row r="4427" spans="1:10" ht="25.5" hidden="1" x14ac:dyDescent="0.25">
      <c r="A4427" s="224"/>
      <c r="B4427" s="237"/>
      <c r="C4427" s="36" t="s">
        <v>1303</v>
      </c>
      <c r="D4427" s="36" t="s">
        <v>942</v>
      </c>
      <c r="E4427" s="37">
        <v>1.8E-3</v>
      </c>
      <c r="F4427" s="54">
        <v>17.983499999999999</v>
      </c>
      <c r="G4427" s="54">
        <f t="shared" si="83"/>
        <v>3.2370299999999998E-2</v>
      </c>
      <c r="H4427" s="73"/>
      <c r="I4427" s="74"/>
      <c r="J4427" s="102">
        <v>0</v>
      </c>
    </row>
    <row r="4428" spans="1:10" ht="25.5" hidden="1" x14ac:dyDescent="0.25">
      <c r="A4428" s="224"/>
      <c r="B4428" s="237"/>
      <c r="C4428" s="36" t="s">
        <v>1304</v>
      </c>
      <c r="D4428" s="36" t="s">
        <v>944</v>
      </c>
      <c r="E4428" s="37">
        <v>2.5999999999999999E-3</v>
      </c>
      <c r="F4428" s="54">
        <v>17.128499999999999</v>
      </c>
      <c r="G4428" s="54">
        <f t="shared" si="83"/>
        <v>4.4534099999999993E-2</v>
      </c>
      <c r="H4428" s="73"/>
      <c r="I4428" s="74"/>
      <c r="J4428" s="102">
        <v>0</v>
      </c>
    </row>
    <row r="4429" spans="1:10" ht="15.75" hidden="1" thickBot="1" x14ac:dyDescent="0.3">
      <c r="A4429" s="225"/>
      <c r="B4429" s="223"/>
      <c r="C4429" s="55"/>
      <c r="D4429" s="55"/>
      <c r="E4429" s="66"/>
      <c r="F4429" s="76" t="s">
        <v>522</v>
      </c>
      <c r="G4429" s="76" t="str">
        <f t="shared" si="83"/>
        <v/>
      </c>
      <c r="H4429" s="77"/>
      <c r="I4429" s="74"/>
      <c r="J4429" s="102">
        <v>0</v>
      </c>
    </row>
    <row r="4430" spans="1:10" ht="15.75" hidden="1" thickBot="1" x14ac:dyDescent="0.3">
      <c r="A4430" s="218" t="s">
        <v>1325</v>
      </c>
      <c r="B4430" s="221" t="e">
        <f>INDEX(#REF!,MATCH(Composições!A4430,#REF!,0),2)</f>
        <v>#REF!</v>
      </c>
      <c r="C4430" s="41"/>
      <c r="D4430" s="26" t="s">
        <v>93</v>
      </c>
      <c r="E4430" s="27"/>
      <c r="F4430" s="49" t="s">
        <v>522</v>
      </c>
      <c r="G4430" s="28" t="str">
        <f t="shared" si="83"/>
        <v/>
      </c>
      <c r="H4430" s="29"/>
      <c r="I4430" s="30"/>
      <c r="J4430" s="102">
        <v>0</v>
      </c>
    </row>
    <row r="4431" spans="1:10" hidden="1" x14ac:dyDescent="0.25">
      <c r="A4431" s="224"/>
      <c r="B4431" s="237"/>
      <c r="C4431" s="32"/>
      <c r="D4431" s="32"/>
      <c r="E4431" s="33"/>
      <c r="F4431" s="54" t="s">
        <v>522</v>
      </c>
      <c r="G4431" s="54" t="str">
        <f t="shared" si="83"/>
        <v/>
      </c>
      <c r="H4431" s="73"/>
      <c r="I4431" s="74"/>
      <c r="J4431" s="102">
        <v>0</v>
      </c>
    </row>
    <row r="4432" spans="1:10" ht="38.25" hidden="1" x14ac:dyDescent="0.25">
      <c r="A4432" s="224"/>
      <c r="B4432" s="237"/>
      <c r="C4432" s="36" t="s">
        <v>1320</v>
      </c>
      <c r="D4432" s="47" t="s">
        <v>740</v>
      </c>
      <c r="E4432" s="37">
        <v>4.2</v>
      </c>
      <c r="F4432" s="54">
        <v>0.28499999999999998</v>
      </c>
      <c r="G4432" s="54">
        <f t="shared" si="83"/>
        <v>1.1969999999999998</v>
      </c>
      <c r="H4432" s="39">
        <f>SUM(G4432:G4438)</f>
        <v>92.730223900000013</v>
      </c>
      <c r="I4432" s="40"/>
      <c r="J4432" s="102">
        <v>0</v>
      </c>
    </row>
    <row r="4433" spans="1:10" ht="25.5" hidden="1" x14ac:dyDescent="0.25">
      <c r="A4433" s="224"/>
      <c r="B4433" s="237"/>
      <c r="C4433" s="36" t="s">
        <v>1321</v>
      </c>
      <c r="D4433" s="36" t="s">
        <v>279</v>
      </c>
      <c r="E4433" s="37">
        <v>4.2</v>
      </c>
      <c r="F4433" s="54">
        <v>4.3414999999999999</v>
      </c>
      <c r="G4433" s="54">
        <f t="shared" si="83"/>
        <v>18.234300000000001</v>
      </c>
      <c r="H4433" s="73"/>
      <c r="I4433" s="74"/>
      <c r="J4433" s="102">
        <v>0</v>
      </c>
    </row>
    <row r="4434" spans="1:10" ht="25.5" hidden="1" x14ac:dyDescent="0.25">
      <c r="A4434" s="224"/>
      <c r="B4434" s="237"/>
      <c r="C4434" s="36" t="s">
        <v>1326</v>
      </c>
      <c r="D4434" s="36" t="s">
        <v>279</v>
      </c>
      <c r="E4434" s="37">
        <v>1.0289999999999999</v>
      </c>
      <c r="F4434" s="54">
        <v>69.454499999999996</v>
      </c>
      <c r="G4434" s="54">
        <f t="shared" si="83"/>
        <v>71.468680499999991</v>
      </c>
      <c r="H4434" s="73"/>
      <c r="I4434" s="74"/>
      <c r="J4434" s="102">
        <v>0</v>
      </c>
    </row>
    <row r="4435" spans="1:10" hidden="1" x14ac:dyDescent="0.25">
      <c r="A4435" s="224"/>
      <c r="B4435" s="237"/>
      <c r="C4435" s="36" t="s">
        <v>704</v>
      </c>
      <c r="D4435" s="36" t="s">
        <v>703</v>
      </c>
      <c r="E4435" s="37">
        <v>5.5E-2</v>
      </c>
      <c r="F4435" s="54">
        <v>16.1785</v>
      </c>
      <c r="G4435" s="54">
        <f t="shared" si="83"/>
        <v>0.88981750000000004</v>
      </c>
      <c r="H4435" s="73"/>
      <c r="I4435" s="74"/>
      <c r="J4435" s="102">
        <v>0</v>
      </c>
    </row>
    <row r="4436" spans="1:10" hidden="1" x14ac:dyDescent="0.25">
      <c r="A4436" s="224"/>
      <c r="B4436" s="237"/>
      <c r="C4436" s="36" t="s">
        <v>1302</v>
      </c>
      <c r="D4436" s="36" t="s">
        <v>703</v>
      </c>
      <c r="E4436" s="37">
        <v>4.1000000000000002E-2</v>
      </c>
      <c r="F4436" s="54">
        <v>21.061500000000002</v>
      </c>
      <c r="G4436" s="54">
        <f t="shared" si="83"/>
        <v>0.86352150000000016</v>
      </c>
      <c r="H4436" s="73"/>
      <c r="I4436" s="74"/>
      <c r="J4436" s="102">
        <v>0</v>
      </c>
    </row>
    <row r="4437" spans="1:10" ht="25.5" hidden="1" x14ac:dyDescent="0.25">
      <c r="A4437" s="224"/>
      <c r="B4437" s="237"/>
      <c r="C4437" s="36" t="s">
        <v>1303</v>
      </c>
      <c r="D4437" s="36" t="s">
        <v>942</v>
      </c>
      <c r="E4437" s="37">
        <v>1.8E-3</v>
      </c>
      <c r="F4437" s="54">
        <v>17.983499999999999</v>
      </c>
      <c r="G4437" s="54">
        <f t="shared" si="83"/>
        <v>3.2370299999999998E-2</v>
      </c>
      <c r="H4437" s="73"/>
      <c r="I4437" s="74"/>
      <c r="J4437" s="102">
        <v>0</v>
      </c>
    </row>
    <row r="4438" spans="1:10" ht="25.5" hidden="1" x14ac:dyDescent="0.25">
      <c r="A4438" s="224"/>
      <c r="B4438" s="237"/>
      <c r="C4438" s="36" t="s">
        <v>1304</v>
      </c>
      <c r="D4438" s="36" t="s">
        <v>944</v>
      </c>
      <c r="E4438" s="37">
        <v>2.5999999999999999E-3</v>
      </c>
      <c r="F4438" s="54">
        <v>17.128499999999999</v>
      </c>
      <c r="G4438" s="54">
        <f t="shared" si="83"/>
        <v>4.4534099999999993E-2</v>
      </c>
      <c r="H4438" s="73"/>
      <c r="I4438" s="74"/>
      <c r="J4438" s="102">
        <v>0</v>
      </c>
    </row>
    <row r="4439" spans="1:10" ht="15.75" hidden="1" thickBot="1" x14ac:dyDescent="0.3">
      <c r="A4439" s="225"/>
      <c r="B4439" s="223"/>
      <c r="C4439" s="55"/>
      <c r="D4439" s="55"/>
      <c r="E4439" s="66"/>
      <c r="F4439" s="76" t="s">
        <v>522</v>
      </c>
      <c r="G4439" s="76" t="str">
        <f t="shared" si="83"/>
        <v/>
      </c>
      <c r="H4439" s="77"/>
      <c r="I4439" s="74"/>
      <c r="J4439" s="102">
        <v>0</v>
      </c>
    </row>
    <row r="4440" spans="1:10" ht="15.75" hidden="1" thickBot="1" x14ac:dyDescent="0.3">
      <c r="A4440" s="218" t="s">
        <v>1327</v>
      </c>
      <c r="B4440" s="221" t="e">
        <f>INDEX(#REF!,MATCH(Composições!A4440,#REF!,0),2)</f>
        <v>#REF!</v>
      </c>
      <c r="C4440" s="41"/>
      <c r="D4440" s="26" t="s">
        <v>95</v>
      </c>
      <c r="E4440" s="27"/>
      <c r="F4440" s="49" t="s">
        <v>522</v>
      </c>
      <c r="G4440" s="28" t="str">
        <f t="shared" si="83"/>
        <v/>
      </c>
      <c r="H4440" s="29"/>
      <c r="I4440" s="30"/>
      <c r="J4440" s="102">
        <v>0</v>
      </c>
    </row>
    <row r="4441" spans="1:10" hidden="1" x14ac:dyDescent="0.25">
      <c r="A4441" s="224"/>
      <c r="B4441" s="237"/>
      <c r="C4441" s="32"/>
      <c r="D4441" s="32"/>
      <c r="E4441" s="33"/>
      <c r="F4441" s="54" t="s">
        <v>522</v>
      </c>
      <c r="G4441" s="54" t="str">
        <f t="shared" si="83"/>
        <v/>
      </c>
      <c r="H4441" s="73"/>
      <c r="I4441" s="74"/>
      <c r="J4441" s="102">
        <v>0</v>
      </c>
    </row>
    <row r="4442" spans="1:10" hidden="1" x14ac:dyDescent="0.25">
      <c r="A4442" s="224"/>
      <c r="B4442" s="237"/>
      <c r="C4442" s="36" t="s">
        <v>1302</v>
      </c>
      <c r="D4442" s="36" t="s">
        <v>12</v>
      </c>
      <c r="E4442" s="37">
        <v>0.15</v>
      </c>
      <c r="F4442" s="54">
        <v>21.061500000000002</v>
      </c>
      <c r="G4442" s="54">
        <f t="shared" si="83"/>
        <v>3.1592250000000002</v>
      </c>
      <c r="H4442" s="39">
        <f>SUM(G4442:G4446)</f>
        <v>5.5860000000000003</v>
      </c>
      <c r="I4442" s="40"/>
      <c r="J4442" s="102">
        <v>0</v>
      </c>
    </row>
    <row r="4443" spans="1:10" hidden="1" x14ac:dyDescent="0.25">
      <c r="A4443" s="224"/>
      <c r="B4443" s="237"/>
      <c r="C4443" s="36" t="s">
        <v>704</v>
      </c>
      <c r="D4443" s="36" t="s">
        <v>12</v>
      </c>
      <c r="E4443" s="37">
        <v>0.15</v>
      </c>
      <c r="F4443" s="54">
        <v>16.1785</v>
      </c>
      <c r="G4443" s="54">
        <f t="shared" si="83"/>
        <v>2.4267749999999997</v>
      </c>
      <c r="H4443" s="73"/>
      <c r="I4443" s="74"/>
      <c r="J4443" s="102">
        <v>0</v>
      </c>
    </row>
    <row r="4444" spans="1:10" hidden="1" x14ac:dyDescent="0.25">
      <c r="A4444" s="224"/>
      <c r="B4444" s="237"/>
      <c r="C4444" s="36" t="s">
        <v>1310</v>
      </c>
      <c r="D4444" s="36" t="s">
        <v>279</v>
      </c>
      <c r="E4444" s="37">
        <v>4.12</v>
      </c>
      <c r="F4444" s="54">
        <v>0</v>
      </c>
      <c r="G4444" s="54">
        <f t="shared" si="83"/>
        <v>0</v>
      </c>
      <c r="H4444" s="73"/>
      <c r="I4444" s="74"/>
      <c r="J4444" s="102">
        <v>0</v>
      </c>
    </row>
    <row r="4445" spans="1:10" hidden="1" x14ac:dyDescent="0.25">
      <c r="A4445" s="224"/>
      <c r="B4445" s="237"/>
      <c r="C4445" s="36" t="s">
        <v>1921</v>
      </c>
      <c r="D4445" s="36" t="s">
        <v>95</v>
      </c>
      <c r="E4445" s="37">
        <v>1.06</v>
      </c>
      <c r="F4445" s="54">
        <v>0</v>
      </c>
      <c r="G4445" s="54">
        <f t="shared" si="83"/>
        <v>0</v>
      </c>
      <c r="H4445" s="73"/>
      <c r="I4445" s="74"/>
      <c r="J4445" s="102">
        <v>0</v>
      </c>
    </row>
    <row r="4446" spans="1:10" hidden="1" x14ac:dyDescent="0.25">
      <c r="A4446" s="224"/>
      <c r="B4446" s="237"/>
      <c r="C4446" s="36" t="s">
        <v>1328</v>
      </c>
      <c r="D4446" s="36" t="s">
        <v>279</v>
      </c>
      <c r="E4446" s="37">
        <v>4.12</v>
      </c>
      <c r="F4446" s="54">
        <v>0</v>
      </c>
      <c r="G4446" s="54">
        <f t="shared" si="83"/>
        <v>0</v>
      </c>
      <c r="H4446" s="73"/>
      <c r="I4446" s="74"/>
      <c r="J4446" s="102">
        <v>0</v>
      </c>
    </row>
    <row r="4447" spans="1:10" ht="15.75" hidden="1" thickBot="1" x14ac:dyDescent="0.3">
      <c r="A4447" s="225"/>
      <c r="B4447" s="223"/>
      <c r="C4447" s="55"/>
      <c r="D4447" s="55"/>
      <c r="E4447" s="66"/>
      <c r="F4447" s="76" t="s">
        <v>522</v>
      </c>
      <c r="G4447" s="76" t="str">
        <f t="shared" si="83"/>
        <v/>
      </c>
      <c r="H4447" s="77"/>
      <c r="I4447" s="74"/>
      <c r="J4447" s="102">
        <v>0</v>
      </c>
    </row>
    <row r="4448" spans="1:10" ht="15.75" hidden="1" thickBot="1" x14ac:dyDescent="0.3">
      <c r="A4448" s="232" t="s">
        <v>1329</v>
      </c>
      <c r="B4448" s="229" t="e">
        <f>INDEX(#REF!,MATCH(Composições!A4448,#REF!,0),2)</f>
        <v>#REF!</v>
      </c>
      <c r="C4448" s="41"/>
      <c r="D4448" s="26" t="s">
        <v>93</v>
      </c>
      <c r="E4448" s="27"/>
      <c r="F4448" s="49" t="s">
        <v>522</v>
      </c>
      <c r="G4448" s="28" t="str">
        <f t="shared" si="83"/>
        <v/>
      </c>
      <c r="H4448" s="29"/>
      <c r="I4448" s="30"/>
      <c r="J4448" s="102">
        <v>0</v>
      </c>
    </row>
    <row r="4449" spans="1:10" hidden="1" x14ac:dyDescent="0.25">
      <c r="A4449" s="235"/>
      <c r="B4449" s="238"/>
      <c r="C4449" s="32"/>
      <c r="D4449" s="32"/>
      <c r="E4449" s="33"/>
      <c r="F4449" s="54" t="s">
        <v>522</v>
      </c>
      <c r="G4449" s="54" t="str">
        <f t="shared" si="83"/>
        <v/>
      </c>
      <c r="H4449" s="73"/>
      <c r="I4449" s="74"/>
      <c r="J4449" s="102">
        <v>0</v>
      </c>
    </row>
    <row r="4450" spans="1:10" hidden="1" x14ac:dyDescent="0.25">
      <c r="A4450" s="235"/>
      <c r="B4450" s="238"/>
      <c r="C4450" s="36" t="s">
        <v>771</v>
      </c>
      <c r="D4450" s="47" t="s">
        <v>898</v>
      </c>
      <c r="E4450" s="37">
        <v>2.8</v>
      </c>
      <c r="F4450" s="54">
        <v>10.535499999999999</v>
      </c>
      <c r="G4450" s="54">
        <f t="shared" si="83"/>
        <v>29.499399999999994</v>
      </c>
      <c r="H4450" s="39">
        <f>SUM(G4450:G4458)</f>
        <v>268.59902297788346</v>
      </c>
      <c r="I4450" s="40"/>
      <c r="J4450" s="102">
        <v>0</v>
      </c>
    </row>
    <row r="4451" spans="1:10" hidden="1" x14ac:dyDescent="0.25">
      <c r="A4451" s="235"/>
      <c r="B4451" s="238"/>
      <c r="C4451" s="36" t="s">
        <v>1330</v>
      </c>
      <c r="D4451" s="36" t="s">
        <v>102</v>
      </c>
      <c r="E4451" s="37">
        <v>2.5000000000000001E-2</v>
      </c>
      <c r="F4451" s="54">
        <v>37.923999999999999</v>
      </c>
      <c r="G4451" s="54">
        <f t="shared" si="83"/>
        <v>0.94810000000000005</v>
      </c>
      <c r="H4451" s="73"/>
      <c r="I4451" s="74"/>
      <c r="J4451" s="102">
        <v>0</v>
      </c>
    </row>
    <row r="4452" spans="1:10" hidden="1" x14ac:dyDescent="0.25">
      <c r="A4452" s="235"/>
      <c r="B4452" s="238"/>
      <c r="C4452" s="36" t="s">
        <v>901</v>
      </c>
      <c r="D4452" s="36" t="s">
        <v>703</v>
      </c>
      <c r="E4452" s="37">
        <v>0.35</v>
      </c>
      <c r="F4452" s="54">
        <v>21.365499999999997</v>
      </c>
      <c r="G4452" s="54">
        <f t="shared" si="83"/>
        <v>7.4779249999999982</v>
      </c>
      <c r="H4452" s="73"/>
      <c r="I4452" s="74"/>
      <c r="J4452" s="102">
        <v>0</v>
      </c>
    </row>
    <row r="4453" spans="1:10" hidden="1" x14ac:dyDescent="0.25">
      <c r="A4453" s="235"/>
      <c r="B4453" s="238"/>
      <c r="C4453" s="36" t="s">
        <v>711</v>
      </c>
      <c r="D4453" s="36" t="s">
        <v>703</v>
      </c>
      <c r="E4453" s="37">
        <v>1.1000000000000001</v>
      </c>
      <c r="F4453" s="54">
        <v>21.479499999999998</v>
      </c>
      <c r="G4453" s="54">
        <f t="shared" si="83"/>
        <v>23.62745</v>
      </c>
      <c r="H4453" s="73"/>
      <c r="I4453" s="74"/>
      <c r="J4453" s="102">
        <v>0</v>
      </c>
    </row>
    <row r="4454" spans="1:10" hidden="1" x14ac:dyDescent="0.25">
      <c r="A4454" s="235"/>
      <c r="B4454" s="238"/>
      <c r="C4454" s="36" t="s">
        <v>704</v>
      </c>
      <c r="D4454" s="36" t="s">
        <v>703</v>
      </c>
      <c r="E4454" s="37">
        <v>1.1299999999999999</v>
      </c>
      <c r="F4454" s="54">
        <v>16.1785</v>
      </c>
      <c r="G4454" s="54">
        <f t="shared" si="83"/>
        <v>18.281704999999999</v>
      </c>
      <c r="H4454" s="73"/>
      <c r="I4454" s="74"/>
      <c r="J4454" s="102">
        <v>0</v>
      </c>
    </row>
    <row r="4455" spans="1:10" ht="25.5" hidden="1" x14ac:dyDescent="0.25">
      <c r="A4455" s="235"/>
      <c r="B4455" s="238"/>
      <c r="C4455" s="36" t="s">
        <v>108</v>
      </c>
      <c r="D4455" s="36" t="s">
        <v>120</v>
      </c>
      <c r="E4455" s="37">
        <v>3.5000000000000001E-3</v>
      </c>
      <c r="F4455" s="54">
        <v>633.89799368099989</v>
      </c>
      <c r="G4455" s="54">
        <f t="shared" si="83"/>
        <v>2.2186429778834995</v>
      </c>
      <c r="H4455" s="73"/>
      <c r="I4455" s="74"/>
      <c r="J4455" s="102">
        <v>0</v>
      </c>
    </row>
    <row r="4456" spans="1:10" hidden="1" x14ac:dyDescent="0.25">
      <c r="A4456" s="235"/>
      <c r="B4456" s="238"/>
      <c r="C4456" s="36" t="s">
        <v>771</v>
      </c>
      <c r="D4456" s="47" t="s">
        <v>898</v>
      </c>
      <c r="E4456" s="37">
        <v>3</v>
      </c>
      <c r="F4456" s="54">
        <v>10.535499999999999</v>
      </c>
      <c r="G4456" s="54">
        <f t="shared" si="83"/>
        <v>31.606499999999997</v>
      </c>
      <c r="H4456" s="73"/>
      <c r="I4456" s="74"/>
      <c r="J4456" s="102">
        <v>0</v>
      </c>
    </row>
    <row r="4457" spans="1:10" ht="25.5" hidden="1" x14ac:dyDescent="0.25">
      <c r="A4457" s="235"/>
      <c r="B4457" s="238"/>
      <c r="C4457" s="36" t="s">
        <v>130</v>
      </c>
      <c r="D4457" s="47" t="s">
        <v>898</v>
      </c>
      <c r="E4457" s="37">
        <v>15</v>
      </c>
      <c r="F4457" s="54">
        <v>9.7564999999999991</v>
      </c>
      <c r="G4457" s="54">
        <f t="shared" si="83"/>
        <v>146.3475</v>
      </c>
      <c r="H4457" s="73"/>
      <c r="I4457" s="74"/>
      <c r="J4457" s="102">
        <v>0</v>
      </c>
    </row>
    <row r="4458" spans="1:10" hidden="1" x14ac:dyDescent="0.25">
      <c r="A4458" s="235"/>
      <c r="B4458" s="238"/>
      <c r="C4458" s="36" t="s">
        <v>711</v>
      </c>
      <c r="D4458" s="36" t="s">
        <v>703</v>
      </c>
      <c r="E4458" s="37">
        <v>0.4</v>
      </c>
      <c r="F4458" s="54">
        <v>21.479499999999998</v>
      </c>
      <c r="G4458" s="54">
        <f t="shared" si="83"/>
        <v>8.5917999999999992</v>
      </c>
      <c r="H4458" s="73"/>
      <c r="I4458" s="74"/>
      <c r="J4458" s="102">
        <v>0</v>
      </c>
    </row>
    <row r="4459" spans="1:10" ht="15.75" hidden="1" thickBot="1" x14ac:dyDescent="0.3">
      <c r="A4459" s="236"/>
      <c r="B4459" s="231"/>
      <c r="C4459" s="55"/>
      <c r="D4459" s="55"/>
      <c r="E4459" s="66"/>
      <c r="F4459" s="76" t="s">
        <v>522</v>
      </c>
      <c r="G4459" s="76" t="str">
        <f t="shared" si="83"/>
        <v/>
      </c>
      <c r="H4459" s="77"/>
      <c r="I4459" s="74"/>
      <c r="J4459" s="102">
        <v>0</v>
      </c>
    </row>
    <row r="4460" spans="1:10" ht="15.75" hidden="1" thickBot="1" x14ac:dyDescent="0.3">
      <c r="A4460" s="232" t="s">
        <v>1331</v>
      </c>
      <c r="B4460" s="229" t="e">
        <f>INDEX(#REF!,MATCH(Composições!A4460,#REF!,0),2)</f>
        <v>#REF!</v>
      </c>
      <c r="C4460" s="41"/>
      <c r="D4460" s="26" t="s">
        <v>93</v>
      </c>
      <c r="E4460" s="27"/>
      <c r="F4460" s="49" t="s">
        <v>522</v>
      </c>
      <c r="G4460" s="28" t="str">
        <f t="shared" si="83"/>
        <v/>
      </c>
      <c r="H4460" s="29"/>
      <c r="I4460" s="30"/>
      <c r="J4460" s="102">
        <v>0</v>
      </c>
    </row>
    <row r="4461" spans="1:10" hidden="1" x14ac:dyDescent="0.25">
      <c r="A4461" s="235"/>
      <c r="B4461" s="238"/>
      <c r="C4461" s="32"/>
      <c r="D4461" s="32"/>
      <c r="E4461" s="33"/>
      <c r="F4461" s="54" t="s">
        <v>522</v>
      </c>
      <c r="G4461" s="54" t="str">
        <f t="shared" si="83"/>
        <v/>
      </c>
      <c r="H4461" s="73"/>
      <c r="I4461" s="74"/>
      <c r="J4461" s="102">
        <v>0</v>
      </c>
    </row>
    <row r="4462" spans="1:10" hidden="1" x14ac:dyDescent="0.25">
      <c r="A4462" s="235"/>
      <c r="B4462" s="238"/>
      <c r="C4462" s="36" t="s">
        <v>771</v>
      </c>
      <c r="D4462" s="47" t="s">
        <v>898</v>
      </c>
      <c r="E4462" s="37">
        <v>2.8</v>
      </c>
      <c r="F4462" s="54">
        <v>10.535499999999999</v>
      </c>
      <c r="G4462" s="54">
        <f t="shared" si="83"/>
        <v>29.499399999999994</v>
      </c>
      <c r="H4462" s="39">
        <f>SUM(G4462:G4470)</f>
        <v>126.181020955767</v>
      </c>
      <c r="I4462" s="40"/>
      <c r="J4462" s="102">
        <v>0</v>
      </c>
    </row>
    <row r="4463" spans="1:10" hidden="1" x14ac:dyDescent="0.25">
      <c r="A4463" s="235"/>
      <c r="B4463" s="238"/>
      <c r="C4463" s="36" t="s">
        <v>1330</v>
      </c>
      <c r="D4463" s="36" t="s">
        <v>102</v>
      </c>
      <c r="E4463" s="37">
        <v>2.5000000000000001E-2</v>
      </c>
      <c r="F4463" s="54">
        <v>37.923999999999999</v>
      </c>
      <c r="G4463" s="54">
        <f t="shared" si="83"/>
        <v>0.94810000000000005</v>
      </c>
      <c r="H4463" s="73"/>
      <c r="I4463" s="74"/>
      <c r="J4463" s="102">
        <v>0</v>
      </c>
    </row>
    <row r="4464" spans="1:10" hidden="1" x14ac:dyDescent="0.25">
      <c r="A4464" s="235"/>
      <c r="B4464" s="238"/>
      <c r="C4464" s="36" t="s">
        <v>901</v>
      </c>
      <c r="D4464" s="36" t="s">
        <v>703</v>
      </c>
      <c r="E4464" s="37">
        <v>0.35</v>
      </c>
      <c r="F4464" s="54">
        <v>21.365499999999997</v>
      </c>
      <c r="G4464" s="54">
        <f t="shared" si="83"/>
        <v>7.4779249999999982</v>
      </c>
      <c r="H4464" s="73"/>
      <c r="I4464" s="74"/>
      <c r="J4464" s="102">
        <v>0</v>
      </c>
    </row>
    <row r="4465" spans="1:10" hidden="1" x14ac:dyDescent="0.25">
      <c r="A4465" s="235"/>
      <c r="B4465" s="238"/>
      <c r="C4465" s="36" t="s">
        <v>711</v>
      </c>
      <c r="D4465" s="36" t="s">
        <v>703</v>
      </c>
      <c r="E4465" s="37">
        <v>1.1000000000000001</v>
      </c>
      <c r="F4465" s="54">
        <v>21.479499999999998</v>
      </c>
      <c r="G4465" s="54">
        <f t="shared" si="83"/>
        <v>23.62745</v>
      </c>
      <c r="H4465" s="73"/>
      <c r="I4465" s="74"/>
      <c r="J4465" s="102">
        <v>0</v>
      </c>
    </row>
    <row r="4466" spans="1:10" hidden="1" x14ac:dyDescent="0.25">
      <c r="A4466" s="235"/>
      <c r="B4466" s="238"/>
      <c r="C4466" s="36" t="s">
        <v>704</v>
      </c>
      <c r="D4466" s="36" t="s">
        <v>703</v>
      </c>
      <c r="E4466" s="37">
        <v>1.1299999999999999</v>
      </c>
      <c r="F4466" s="54">
        <v>16.1785</v>
      </c>
      <c r="G4466" s="54">
        <f t="shared" si="83"/>
        <v>18.281704999999999</v>
      </c>
      <c r="H4466" s="73"/>
      <c r="I4466" s="74"/>
      <c r="J4466" s="102">
        <v>0</v>
      </c>
    </row>
    <row r="4467" spans="1:10" ht="25.5" hidden="1" x14ac:dyDescent="0.25">
      <c r="A4467" s="235"/>
      <c r="B4467" s="238"/>
      <c r="C4467" s="36" t="s">
        <v>108</v>
      </c>
      <c r="D4467" s="36" t="s">
        <v>120</v>
      </c>
      <c r="E4467" s="37">
        <v>3.5000000000000001E-3</v>
      </c>
      <c r="F4467" s="54">
        <v>633.89799368099989</v>
      </c>
      <c r="G4467" s="54">
        <f t="shared" si="83"/>
        <v>2.2186429778834995</v>
      </c>
      <c r="H4467" s="73"/>
      <c r="I4467" s="74"/>
      <c r="J4467" s="102">
        <v>0</v>
      </c>
    </row>
    <row r="4468" spans="1:10" hidden="1" x14ac:dyDescent="0.25">
      <c r="A4468" s="235"/>
      <c r="B4468" s="238"/>
      <c r="C4468" s="36" t="s">
        <v>711</v>
      </c>
      <c r="D4468" s="36" t="s">
        <v>703</v>
      </c>
      <c r="E4468" s="37">
        <v>1.1000000000000001</v>
      </c>
      <c r="F4468" s="54">
        <v>21.479499999999998</v>
      </c>
      <c r="G4468" s="54">
        <f t="shared" si="83"/>
        <v>23.62745</v>
      </c>
      <c r="H4468" s="73"/>
      <c r="I4468" s="74"/>
      <c r="J4468" s="102">
        <v>0</v>
      </c>
    </row>
    <row r="4469" spans="1:10" hidden="1" x14ac:dyDescent="0.25">
      <c r="A4469" s="235"/>
      <c r="B4469" s="238"/>
      <c r="C4469" s="36" t="s">
        <v>704</v>
      </c>
      <c r="D4469" s="36" t="s">
        <v>703</v>
      </c>
      <c r="E4469" s="37">
        <v>1.1299999999999999</v>
      </c>
      <c r="F4469" s="54">
        <v>16.1785</v>
      </c>
      <c r="G4469" s="54">
        <f t="shared" si="83"/>
        <v>18.281704999999999</v>
      </c>
      <c r="H4469" s="73"/>
      <c r="I4469" s="74"/>
      <c r="J4469" s="102">
        <v>0</v>
      </c>
    </row>
    <row r="4470" spans="1:10" ht="25.5" hidden="1" x14ac:dyDescent="0.25">
      <c r="A4470" s="235"/>
      <c r="B4470" s="238"/>
      <c r="C4470" s="36" t="s">
        <v>108</v>
      </c>
      <c r="D4470" s="36" t="s">
        <v>120</v>
      </c>
      <c r="E4470" s="37">
        <v>3.5000000000000001E-3</v>
      </c>
      <c r="F4470" s="54">
        <v>633.89799368099989</v>
      </c>
      <c r="G4470" s="54">
        <f t="shared" si="83"/>
        <v>2.2186429778834995</v>
      </c>
      <c r="H4470" s="73"/>
      <c r="I4470" s="74"/>
      <c r="J4470" s="102">
        <v>0</v>
      </c>
    </row>
    <row r="4471" spans="1:10" ht="15.75" hidden="1" thickBot="1" x14ac:dyDescent="0.3">
      <c r="A4471" s="236"/>
      <c r="B4471" s="231"/>
      <c r="C4471" s="55"/>
      <c r="D4471" s="55"/>
      <c r="E4471" s="66"/>
      <c r="F4471" s="76" t="s">
        <v>522</v>
      </c>
      <c r="G4471" s="76" t="str">
        <f t="shared" si="83"/>
        <v/>
      </c>
      <c r="H4471" s="77"/>
      <c r="I4471" s="74"/>
      <c r="J4471" s="102">
        <v>0</v>
      </c>
    </row>
    <row r="4472" spans="1:10" ht="15.75" hidden="1" thickBot="1" x14ac:dyDescent="0.3">
      <c r="A4472" s="218" t="s">
        <v>1332</v>
      </c>
      <c r="B4472" s="221" t="e">
        <f>INDEX(#REF!,MATCH(Composições!A4472,#REF!,0),2)</f>
        <v>#REF!</v>
      </c>
      <c r="C4472" s="41"/>
      <c r="D4472" s="26" t="s">
        <v>95</v>
      </c>
      <c r="E4472" s="27"/>
      <c r="F4472" s="49" t="s">
        <v>522</v>
      </c>
      <c r="G4472" s="28" t="str">
        <f t="shared" si="83"/>
        <v/>
      </c>
      <c r="H4472" s="29"/>
      <c r="I4472" s="30"/>
      <c r="J4472" s="102">
        <v>0</v>
      </c>
    </row>
    <row r="4473" spans="1:10" hidden="1" x14ac:dyDescent="0.25">
      <c r="A4473" s="224"/>
      <c r="B4473" s="237"/>
      <c r="C4473" s="32"/>
      <c r="D4473" s="32"/>
      <c r="E4473" s="33"/>
      <c r="F4473" s="54" t="s">
        <v>522</v>
      </c>
      <c r="G4473" s="54" t="str">
        <f t="shared" si="83"/>
        <v/>
      </c>
      <c r="H4473" s="73"/>
      <c r="I4473" s="74"/>
      <c r="J4473" s="102">
        <v>0</v>
      </c>
    </row>
    <row r="4474" spans="1:10" hidden="1" x14ac:dyDescent="0.25">
      <c r="A4474" s="224"/>
      <c r="B4474" s="237"/>
      <c r="C4474" s="36" t="s">
        <v>704</v>
      </c>
      <c r="D4474" s="36" t="s">
        <v>12</v>
      </c>
      <c r="E4474" s="37">
        <v>0.11</v>
      </c>
      <c r="F4474" s="54">
        <v>16.1785</v>
      </c>
      <c r="G4474" s="54">
        <f t="shared" si="83"/>
        <v>1.7796350000000001</v>
      </c>
      <c r="H4474" s="39">
        <f>SUM(G4474:G4476)</f>
        <v>1.7796350000000001</v>
      </c>
      <c r="I4474" s="40"/>
      <c r="J4474" s="102">
        <v>0</v>
      </c>
    </row>
    <row r="4475" spans="1:10" hidden="1" x14ac:dyDescent="0.25">
      <c r="A4475" s="224"/>
      <c r="B4475" s="237"/>
      <c r="C4475" s="36" t="s">
        <v>1333</v>
      </c>
      <c r="D4475" s="36" t="s">
        <v>1334</v>
      </c>
      <c r="E4475" s="37">
        <v>0.22</v>
      </c>
      <c r="F4475" s="54">
        <v>0</v>
      </c>
      <c r="G4475" s="54">
        <f t="shared" si="83"/>
        <v>0</v>
      </c>
      <c r="H4475" s="73"/>
      <c r="I4475" s="74"/>
      <c r="J4475" s="102">
        <v>0</v>
      </c>
    </row>
    <row r="4476" spans="1:10" hidden="1" x14ac:dyDescent="0.25">
      <c r="A4476" s="224"/>
      <c r="B4476" s="237"/>
      <c r="C4476" s="36" t="s">
        <v>1335</v>
      </c>
      <c r="D4476" s="36" t="s">
        <v>102</v>
      </c>
      <c r="E4476" s="37">
        <v>0.4</v>
      </c>
      <c r="F4476" s="54">
        <v>0</v>
      </c>
      <c r="G4476" s="54">
        <f t="shared" si="83"/>
        <v>0</v>
      </c>
      <c r="H4476" s="73"/>
      <c r="I4476" s="74"/>
      <c r="J4476" s="102">
        <v>0</v>
      </c>
    </row>
    <row r="4477" spans="1:10" ht="15.75" hidden="1" thickBot="1" x14ac:dyDescent="0.3">
      <c r="A4477" s="225"/>
      <c r="B4477" s="223"/>
      <c r="C4477" s="55"/>
      <c r="D4477" s="55"/>
      <c r="E4477" s="66"/>
      <c r="F4477" s="76" t="s">
        <v>522</v>
      </c>
      <c r="G4477" s="76" t="str">
        <f t="shared" si="83"/>
        <v/>
      </c>
      <c r="H4477" s="77"/>
      <c r="I4477" s="74"/>
      <c r="J4477" s="102">
        <v>0</v>
      </c>
    </row>
    <row r="4478" spans="1:10" ht="15.75" hidden="1" thickBot="1" x14ac:dyDescent="0.3">
      <c r="A4478" s="218" t="s">
        <v>1336</v>
      </c>
      <c r="B4478" s="221" t="e">
        <f>INDEX(#REF!,MATCH(Composições!A4478,#REF!,0),2)</f>
        <v>#REF!</v>
      </c>
      <c r="C4478" s="41"/>
      <c r="D4478" s="26" t="s">
        <v>20</v>
      </c>
      <c r="E4478" s="27"/>
      <c r="F4478" s="49" t="s">
        <v>522</v>
      </c>
      <c r="G4478" s="28" t="str">
        <f t="shared" si="83"/>
        <v/>
      </c>
      <c r="H4478" s="29"/>
      <c r="I4478" s="30"/>
      <c r="J4478" s="102">
        <v>0</v>
      </c>
    </row>
    <row r="4479" spans="1:10" hidden="1" x14ac:dyDescent="0.25">
      <c r="A4479" s="224"/>
      <c r="B4479" s="237"/>
      <c r="C4479" s="32"/>
      <c r="D4479" s="32"/>
      <c r="E4479" s="33"/>
      <c r="F4479" s="54" t="s">
        <v>522</v>
      </c>
      <c r="G4479" s="54" t="str">
        <f t="shared" si="83"/>
        <v/>
      </c>
      <c r="H4479" s="73"/>
      <c r="I4479" s="74"/>
      <c r="J4479" s="102">
        <v>0</v>
      </c>
    </row>
    <row r="4480" spans="1:10" ht="25.5" hidden="1" x14ac:dyDescent="0.25">
      <c r="A4480" s="224"/>
      <c r="B4480" s="237"/>
      <c r="C4480" s="36" t="s">
        <v>1337</v>
      </c>
      <c r="D4480" s="47" t="s">
        <v>279</v>
      </c>
      <c r="E4480" s="37">
        <v>1</v>
      </c>
      <c r="F4480" s="54">
        <v>13.5375</v>
      </c>
      <c r="G4480" s="54">
        <f t="shared" si="83"/>
        <v>13.5375</v>
      </c>
      <c r="H4480" s="39">
        <f>SUM(G4480:G4494)</f>
        <v>235.71311934999997</v>
      </c>
      <c r="I4480" s="40"/>
      <c r="J4480" s="102">
        <v>0</v>
      </c>
    </row>
    <row r="4481" spans="1:10" ht="25.5" hidden="1" x14ac:dyDescent="0.25">
      <c r="A4481" s="224"/>
      <c r="B4481" s="237"/>
      <c r="C4481" s="36" t="s">
        <v>2038</v>
      </c>
      <c r="D4481" s="36" t="s">
        <v>279</v>
      </c>
      <c r="E4481" s="37">
        <v>1</v>
      </c>
      <c r="F4481" s="54">
        <v>59.821499999999993</v>
      </c>
      <c r="G4481" s="54">
        <f t="shared" si="83"/>
        <v>59.821499999999993</v>
      </c>
      <c r="H4481" s="73"/>
      <c r="I4481" s="74"/>
      <c r="J4481" s="102">
        <v>0</v>
      </c>
    </row>
    <row r="4482" spans="1:10" ht="38.25" hidden="1" x14ac:dyDescent="0.25">
      <c r="A4482" s="224"/>
      <c r="B4482" s="237"/>
      <c r="C4482" s="36" t="s">
        <v>2381</v>
      </c>
      <c r="D4482" s="36" t="s">
        <v>279</v>
      </c>
      <c r="E4482" s="37">
        <v>7.0000000000000007E-2</v>
      </c>
      <c r="F4482" s="54">
        <v>27.122499999999999</v>
      </c>
      <c r="G4482" s="54">
        <f t="shared" si="83"/>
        <v>1.8985750000000001</v>
      </c>
      <c r="H4482" s="73"/>
      <c r="I4482" s="74"/>
      <c r="J4482" s="102">
        <v>0</v>
      </c>
    </row>
    <row r="4483" spans="1:10" ht="25.5" hidden="1" x14ac:dyDescent="0.25">
      <c r="A4483" s="224"/>
      <c r="B4483" s="237"/>
      <c r="C4483" s="36" t="s">
        <v>953</v>
      </c>
      <c r="D4483" s="36" t="s">
        <v>703</v>
      </c>
      <c r="E4483" s="37">
        <v>0.11</v>
      </c>
      <c r="F4483" s="54">
        <v>16.672499999999999</v>
      </c>
      <c r="G4483" s="54">
        <f t="shared" si="83"/>
        <v>1.8339749999999999</v>
      </c>
      <c r="H4483" s="73"/>
      <c r="I4483" s="74"/>
      <c r="J4483" s="102">
        <v>0</v>
      </c>
    </row>
    <row r="4484" spans="1:10" ht="25.5" hidden="1" x14ac:dyDescent="0.25">
      <c r="A4484" s="224"/>
      <c r="B4484" s="237"/>
      <c r="C4484" s="36" t="s">
        <v>954</v>
      </c>
      <c r="D4484" s="36" t="s">
        <v>703</v>
      </c>
      <c r="E4484" s="37">
        <v>0.11</v>
      </c>
      <c r="F4484" s="54">
        <v>20.9</v>
      </c>
      <c r="G4484" s="54">
        <f t="shared" si="83"/>
        <v>2.2989999999999999</v>
      </c>
      <c r="H4484" s="73"/>
      <c r="I4484" s="74"/>
      <c r="J4484" s="102">
        <v>0</v>
      </c>
    </row>
    <row r="4485" spans="1:10" hidden="1" x14ac:dyDescent="0.25">
      <c r="A4485" s="224"/>
      <c r="B4485" s="237"/>
      <c r="C4485" s="36" t="s">
        <v>2378</v>
      </c>
      <c r="D4485" s="36" t="s">
        <v>279</v>
      </c>
      <c r="E4485" s="37">
        <v>6.1999999999999998E-3</v>
      </c>
      <c r="F4485" s="54">
        <v>65.711500000000001</v>
      </c>
      <c r="G4485" s="54">
        <f t="shared" si="83"/>
        <v>0.40741129999999998</v>
      </c>
      <c r="H4485" s="73"/>
      <c r="I4485" s="74"/>
      <c r="J4485" s="102">
        <v>0</v>
      </c>
    </row>
    <row r="4486" spans="1:10" ht="25.5" hidden="1" x14ac:dyDescent="0.25">
      <c r="A4486" s="224"/>
      <c r="B4486" s="237"/>
      <c r="C4486" s="36" t="s">
        <v>2041</v>
      </c>
      <c r="D4486" s="36" t="s">
        <v>479</v>
      </c>
      <c r="E4486" s="37">
        <f>1.04/2</f>
        <v>0.52</v>
      </c>
      <c r="F4486" s="54">
        <v>87.342999999999989</v>
      </c>
      <c r="G4486" s="54">
        <f t="shared" si="83"/>
        <v>45.418359999999993</v>
      </c>
      <c r="H4486" s="73"/>
      <c r="I4486" s="74"/>
      <c r="J4486" s="102">
        <v>0</v>
      </c>
    </row>
    <row r="4487" spans="1:10" ht="25.5" hidden="1" x14ac:dyDescent="0.25">
      <c r="A4487" s="224"/>
      <c r="B4487" s="237"/>
      <c r="C4487" s="36" t="s">
        <v>2379</v>
      </c>
      <c r="D4487" s="36" t="s">
        <v>279</v>
      </c>
      <c r="E4487" s="37">
        <v>1.0200000000000001E-2</v>
      </c>
      <c r="F4487" s="54">
        <v>74.451499999999996</v>
      </c>
      <c r="G4487" s="54">
        <f t="shared" si="83"/>
        <v>0.75940530000000006</v>
      </c>
      <c r="H4487" s="73"/>
      <c r="I4487" s="74"/>
      <c r="J4487" s="102">
        <v>0</v>
      </c>
    </row>
    <row r="4488" spans="1:10" hidden="1" x14ac:dyDescent="0.25">
      <c r="A4488" s="224"/>
      <c r="B4488" s="237"/>
      <c r="C4488" s="36" t="s">
        <v>1193</v>
      </c>
      <c r="D4488" s="36" t="s">
        <v>279</v>
      </c>
      <c r="E4488" s="37">
        <v>3.6999999999999998E-2</v>
      </c>
      <c r="F4488" s="54">
        <v>2.4224999999999999</v>
      </c>
      <c r="G4488" s="54">
        <f t="shared" si="83"/>
        <v>8.963249999999999E-2</v>
      </c>
      <c r="H4488" s="73"/>
      <c r="I4488" s="74"/>
      <c r="J4488" s="102">
        <v>0</v>
      </c>
    </row>
    <row r="4489" spans="1:10" ht="25.5" hidden="1" x14ac:dyDescent="0.25">
      <c r="A4489" s="224"/>
      <c r="B4489" s="237"/>
      <c r="C4489" s="36" t="s">
        <v>953</v>
      </c>
      <c r="D4489" s="36" t="s">
        <v>703</v>
      </c>
      <c r="E4489" s="37">
        <v>0.18</v>
      </c>
      <c r="F4489" s="54">
        <v>16.672499999999999</v>
      </c>
      <c r="G4489" s="54">
        <f t="shared" ref="G4489:G4494" si="84">IF(ISNUMBER(F4489),E4489*F4489,"")</f>
        <v>3.0010499999999998</v>
      </c>
      <c r="H4489" s="73"/>
      <c r="I4489" s="74"/>
      <c r="J4489" s="102">
        <v>0</v>
      </c>
    </row>
    <row r="4490" spans="1:10" ht="25.5" hidden="1" x14ac:dyDescent="0.25">
      <c r="A4490" s="224"/>
      <c r="B4490" s="237"/>
      <c r="C4490" s="36" t="s">
        <v>954</v>
      </c>
      <c r="D4490" s="36" t="s">
        <v>703</v>
      </c>
      <c r="E4490" s="37">
        <v>0.18</v>
      </c>
      <c r="F4490" s="54">
        <v>20.9</v>
      </c>
      <c r="G4490" s="54">
        <f t="shared" si="84"/>
        <v>3.7619999999999996</v>
      </c>
      <c r="H4490" s="73"/>
      <c r="I4490" s="74"/>
      <c r="J4490" s="102">
        <v>0</v>
      </c>
    </row>
    <row r="4491" spans="1:10" hidden="1" x14ac:dyDescent="0.25">
      <c r="A4491" s="224"/>
      <c r="B4491" s="237"/>
      <c r="C4491" s="36" t="s">
        <v>711</v>
      </c>
      <c r="D4491" s="47" t="s">
        <v>703</v>
      </c>
      <c r="E4491" s="37">
        <v>1</v>
      </c>
      <c r="F4491" s="54">
        <v>21.479499999999998</v>
      </c>
      <c r="G4491" s="54">
        <f t="shared" si="84"/>
        <v>21.479499999999998</v>
      </c>
      <c r="H4491" s="73"/>
      <c r="I4491" s="74"/>
      <c r="J4491" s="102">
        <v>0</v>
      </c>
    </row>
    <row r="4492" spans="1:10" ht="25.5" hidden="1" x14ac:dyDescent="0.25">
      <c r="A4492" s="224"/>
      <c r="B4492" s="237"/>
      <c r="C4492" s="36" t="s">
        <v>776</v>
      </c>
      <c r="D4492" s="47" t="s">
        <v>898</v>
      </c>
      <c r="E4492" s="37">
        <f>ROUND(1.8*(PI()*(0.25-0.15)*0.1)*10,4)</f>
        <v>0.5655</v>
      </c>
      <c r="F4492" s="54">
        <v>47.205499999999994</v>
      </c>
      <c r="G4492" s="54">
        <f t="shared" si="84"/>
        <v>26.694710249999996</v>
      </c>
      <c r="H4492" s="73"/>
      <c r="I4492" s="74"/>
      <c r="J4492" s="102">
        <v>0</v>
      </c>
    </row>
    <row r="4493" spans="1:10" ht="25.5" hidden="1" x14ac:dyDescent="0.25">
      <c r="A4493" s="224"/>
      <c r="B4493" s="237"/>
      <c r="C4493" s="36" t="s">
        <v>1063</v>
      </c>
      <c r="D4493" s="37" t="s">
        <v>1064</v>
      </c>
      <c r="E4493" s="37">
        <v>0.2</v>
      </c>
      <c r="F4493" s="54">
        <v>35.72</v>
      </c>
      <c r="G4493" s="54">
        <f t="shared" si="84"/>
        <v>7.1440000000000001</v>
      </c>
      <c r="H4493" s="73"/>
      <c r="I4493" s="74"/>
      <c r="J4493" s="102">
        <v>0</v>
      </c>
    </row>
    <row r="4494" spans="1:10" hidden="1" x14ac:dyDescent="0.25">
      <c r="A4494" s="224"/>
      <c r="B4494" s="237"/>
      <c r="C4494" s="36" t="s">
        <v>1338</v>
      </c>
      <c r="D4494" s="36" t="s">
        <v>279</v>
      </c>
      <c r="E4494" s="37">
        <v>1</v>
      </c>
      <c r="F4494" s="54">
        <v>47.566499999999998</v>
      </c>
      <c r="G4494" s="54">
        <f t="shared" si="84"/>
        <v>47.566499999999998</v>
      </c>
      <c r="H4494" s="73"/>
      <c r="I4494" s="74"/>
      <c r="J4494" s="102">
        <v>0</v>
      </c>
    </row>
    <row r="4495" spans="1:10" hidden="1" x14ac:dyDescent="0.25">
      <c r="A4495" s="224"/>
      <c r="B4495" s="237"/>
      <c r="C4495" s="36"/>
      <c r="D4495" s="36"/>
      <c r="E4495" s="37"/>
      <c r="F4495" s="54" t="s">
        <v>522</v>
      </c>
      <c r="G4495" s="54"/>
      <c r="H4495" s="73"/>
      <c r="I4495" s="74"/>
      <c r="J4495" s="102">
        <v>0</v>
      </c>
    </row>
    <row r="4496" spans="1:10" hidden="1" x14ac:dyDescent="0.25">
      <c r="A4496" s="224"/>
      <c r="B4496" s="237"/>
      <c r="C4496" s="48" t="s">
        <v>1928</v>
      </c>
      <c r="D4496" s="36"/>
      <c r="E4496" s="37"/>
      <c r="F4496" s="54" t="s">
        <v>522</v>
      </c>
      <c r="G4496" s="54"/>
      <c r="H4496" s="73"/>
      <c r="I4496" s="74"/>
      <c r="J4496" s="102">
        <v>0</v>
      </c>
    </row>
    <row r="4497" spans="1:10" ht="15.75" hidden="1" thickBot="1" x14ac:dyDescent="0.3">
      <c r="A4497" s="225"/>
      <c r="B4497" s="223"/>
      <c r="C4497" s="55"/>
      <c r="D4497" s="55"/>
      <c r="E4497" s="66"/>
      <c r="F4497" s="76" t="s">
        <v>522</v>
      </c>
      <c r="G4497" s="76" t="str">
        <f t="shared" ref="G4497:G4502" si="85">IF(ISNUMBER(F4497),E4497*F4497,"")</f>
        <v/>
      </c>
      <c r="H4497" s="77"/>
      <c r="I4497" s="74"/>
      <c r="J4497" s="102">
        <v>0</v>
      </c>
    </row>
    <row r="4498" spans="1:10" ht="15.75" hidden="1" thickBot="1" x14ac:dyDescent="0.3">
      <c r="A4498" s="218" t="s">
        <v>1339</v>
      </c>
      <c r="B4498" s="221" t="e">
        <f>INDEX(#REF!,MATCH(Composições!A4498,#REF!,0),2)</f>
        <v>#REF!</v>
      </c>
      <c r="C4498" s="41"/>
      <c r="D4498" s="26" t="s">
        <v>20</v>
      </c>
      <c r="E4498" s="27"/>
      <c r="F4498" s="49" t="s">
        <v>522</v>
      </c>
      <c r="G4498" s="28" t="str">
        <f t="shared" si="85"/>
        <v/>
      </c>
      <c r="H4498" s="29"/>
      <c r="I4498" s="30"/>
      <c r="J4498" s="102">
        <v>0</v>
      </c>
    </row>
    <row r="4499" spans="1:10" hidden="1" x14ac:dyDescent="0.25">
      <c r="A4499" s="224"/>
      <c r="B4499" s="237"/>
      <c r="C4499" s="32"/>
      <c r="D4499" s="32"/>
      <c r="E4499" s="33"/>
      <c r="F4499" s="54" t="s">
        <v>522</v>
      </c>
      <c r="G4499" s="54" t="str">
        <f t="shared" si="85"/>
        <v/>
      </c>
      <c r="H4499" s="73"/>
      <c r="I4499" s="74"/>
      <c r="J4499" s="102">
        <v>0</v>
      </c>
    </row>
    <row r="4500" spans="1:10" hidden="1" x14ac:dyDescent="0.25">
      <c r="A4500" s="224"/>
      <c r="B4500" s="237"/>
      <c r="C4500" s="36" t="s">
        <v>1014</v>
      </c>
      <c r="D4500" s="36" t="s">
        <v>703</v>
      </c>
      <c r="E4500" s="37">
        <v>0.5</v>
      </c>
      <c r="F4500" s="54">
        <v>21.479499999999998</v>
      </c>
      <c r="G4500" s="54">
        <f t="shared" si="85"/>
        <v>10.739749999999999</v>
      </c>
      <c r="H4500" s="39">
        <f>SUM(G4500:G4502)</f>
        <v>44.578460249999992</v>
      </c>
      <c r="I4500" s="40"/>
      <c r="J4500" s="102">
        <v>0</v>
      </c>
    </row>
    <row r="4501" spans="1:10" ht="25.5" hidden="1" x14ac:dyDescent="0.25">
      <c r="A4501" s="224"/>
      <c r="B4501" s="237"/>
      <c r="C4501" s="36" t="s">
        <v>776</v>
      </c>
      <c r="D4501" s="47" t="s">
        <v>898</v>
      </c>
      <c r="E4501" s="37">
        <f>ROUND(1.8*(PI()*(0.25-0.15)*0.1)*10,4)</f>
        <v>0.5655</v>
      </c>
      <c r="F4501" s="54">
        <v>47.205499999999994</v>
      </c>
      <c r="G4501" s="54">
        <f t="shared" si="85"/>
        <v>26.694710249999996</v>
      </c>
      <c r="H4501" s="73"/>
      <c r="I4501" s="74"/>
      <c r="J4501" s="102">
        <v>0</v>
      </c>
    </row>
    <row r="4502" spans="1:10" ht="25.5" hidden="1" x14ac:dyDescent="0.25">
      <c r="A4502" s="224"/>
      <c r="B4502" s="237"/>
      <c r="C4502" s="36" t="s">
        <v>1063</v>
      </c>
      <c r="D4502" s="37" t="s">
        <v>1064</v>
      </c>
      <c r="E4502" s="37">
        <v>0.2</v>
      </c>
      <c r="F4502" s="54">
        <v>35.72</v>
      </c>
      <c r="G4502" s="54">
        <f t="shared" si="85"/>
        <v>7.1440000000000001</v>
      </c>
      <c r="H4502" s="73"/>
      <c r="I4502" s="74"/>
      <c r="J4502" s="102">
        <v>0</v>
      </c>
    </row>
    <row r="4503" spans="1:10" hidden="1" x14ac:dyDescent="0.25">
      <c r="A4503" s="224"/>
      <c r="B4503" s="237"/>
      <c r="C4503" s="36"/>
      <c r="D4503" s="37"/>
      <c r="E4503" s="37"/>
      <c r="F4503" s="54" t="s">
        <v>522</v>
      </c>
      <c r="G4503" s="54"/>
      <c r="H4503" s="73"/>
      <c r="I4503" s="74"/>
      <c r="J4503" s="102">
        <v>0</v>
      </c>
    </row>
    <row r="4504" spans="1:10" hidden="1" x14ac:dyDescent="0.25">
      <c r="A4504" s="224"/>
      <c r="B4504" s="237"/>
      <c r="C4504" s="48" t="s">
        <v>1928</v>
      </c>
      <c r="D4504" s="37"/>
      <c r="E4504" s="37"/>
      <c r="F4504" s="54" t="s">
        <v>522</v>
      </c>
      <c r="G4504" s="54"/>
      <c r="H4504" s="73"/>
      <c r="I4504" s="74"/>
      <c r="J4504" s="102">
        <v>0</v>
      </c>
    </row>
    <row r="4505" spans="1:10" ht="15.75" hidden="1" thickBot="1" x14ac:dyDescent="0.3">
      <c r="A4505" s="225"/>
      <c r="B4505" s="223"/>
      <c r="C4505" s="55"/>
      <c r="D4505" s="55"/>
      <c r="E4505" s="66"/>
      <c r="F4505" s="76" t="s">
        <v>522</v>
      </c>
      <c r="G4505" s="76" t="str">
        <f t="shared" ref="G4505:G4568" si="86">IF(ISNUMBER(F4505),E4505*F4505,"")</f>
        <v/>
      </c>
      <c r="H4505" s="77"/>
      <c r="I4505" s="74"/>
      <c r="J4505" s="102">
        <v>0</v>
      </c>
    </row>
    <row r="4506" spans="1:10" ht="15.75" hidden="1" thickBot="1" x14ac:dyDescent="0.3">
      <c r="A4506" s="218" t="s">
        <v>1340</v>
      </c>
      <c r="B4506" s="221" t="e">
        <f>INDEX(#REF!,MATCH(Composições!A4506,#REF!,0),2)</f>
        <v>#REF!</v>
      </c>
      <c r="C4506" s="41"/>
      <c r="D4506" s="26" t="s">
        <v>95</v>
      </c>
      <c r="E4506" s="27"/>
      <c r="F4506" s="49" t="s">
        <v>522</v>
      </c>
      <c r="G4506" s="28" t="str">
        <f t="shared" si="86"/>
        <v/>
      </c>
      <c r="H4506" s="29"/>
      <c r="I4506" s="30"/>
      <c r="J4506" s="102">
        <v>0</v>
      </c>
    </row>
    <row r="4507" spans="1:10" hidden="1" x14ac:dyDescent="0.25">
      <c r="A4507" s="224"/>
      <c r="B4507" s="237"/>
      <c r="C4507" s="32"/>
      <c r="D4507" s="32"/>
      <c r="E4507" s="33"/>
      <c r="F4507" s="54" t="s">
        <v>522</v>
      </c>
      <c r="G4507" s="54" t="str">
        <f t="shared" si="86"/>
        <v/>
      </c>
      <c r="H4507" s="73"/>
      <c r="I4507" s="74"/>
      <c r="J4507" s="102">
        <v>0</v>
      </c>
    </row>
    <row r="4508" spans="1:10" hidden="1" x14ac:dyDescent="0.25">
      <c r="A4508" s="224"/>
      <c r="B4508" s="237"/>
      <c r="C4508" s="36" t="s">
        <v>748</v>
      </c>
      <c r="D4508" s="36" t="s">
        <v>898</v>
      </c>
      <c r="E4508" s="37">
        <v>0.5</v>
      </c>
      <c r="F4508" s="54">
        <v>0.58899999999999997</v>
      </c>
      <c r="G4508" s="54">
        <f t="shared" si="86"/>
        <v>0.29449999999999998</v>
      </c>
      <c r="H4508" s="39">
        <f>SUM(G4508:G4512)</f>
        <v>36.786241404752793</v>
      </c>
      <c r="I4508" s="40"/>
      <c r="J4508" s="102">
        <v>0</v>
      </c>
    </row>
    <row r="4509" spans="1:10" ht="25.5" hidden="1" x14ac:dyDescent="0.25">
      <c r="A4509" s="224"/>
      <c r="B4509" s="237"/>
      <c r="C4509" s="36" t="s">
        <v>1341</v>
      </c>
      <c r="D4509" s="36" t="s">
        <v>102</v>
      </c>
      <c r="E4509" s="37">
        <v>0.21</v>
      </c>
      <c r="F4509" s="54">
        <v>11.969999999999999</v>
      </c>
      <c r="G4509" s="54">
        <f t="shared" si="86"/>
        <v>2.5136999999999996</v>
      </c>
      <c r="H4509" s="73"/>
      <c r="I4509" s="74"/>
      <c r="J4509" s="102">
        <v>0</v>
      </c>
    </row>
    <row r="4510" spans="1:10" ht="38.25" hidden="1" x14ac:dyDescent="0.25">
      <c r="A4510" s="224"/>
      <c r="B4510" s="237"/>
      <c r="C4510" s="36" t="s">
        <v>1342</v>
      </c>
      <c r="D4510" s="36" t="s">
        <v>120</v>
      </c>
      <c r="E4510" s="37">
        <v>4.3099999999999999E-2</v>
      </c>
      <c r="F4510" s="54">
        <v>620.08372168799997</v>
      </c>
      <c r="G4510" s="54">
        <f t="shared" si="86"/>
        <v>26.725608404752798</v>
      </c>
      <c r="H4510" s="73"/>
      <c r="I4510" s="74"/>
      <c r="J4510" s="102">
        <v>0</v>
      </c>
    </row>
    <row r="4511" spans="1:10" hidden="1" x14ac:dyDescent="0.25">
      <c r="A4511" s="224"/>
      <c r="B4511" s="237"/>
      <c r="C4511" s="36" t="s">
        <v>711</v>
      </c>
      <c r="D4511" s="47" t="s">
        <v>703</v>
      </c>
      <c r="E4511" s="37">
        <v>0.245</v>
      </c>
      <c r="F4511" s="54">
        <v>21.479499999999998</v>
      </c>
      <c r="G4511" s="54">
        <f t="shared" si="86"/>
        <v>5.2624774999999993</v>
      </c>
      <c r="H4511" s="73"/>
      <c r="I4511" s="74"/>
      <c r="J4511" s="102">
        <v>0</v>
      </c>
    </row>
    <row r="4512" spans="1:10" hidden="1" x14ac:dyDescent="0.25">
      <c r="A4512" s="224"/>
      <c r="B4512" s="237"/>
      <c r="C4512" s="36" t="s">
        <v>704</v>
      </c>
      <c r="D4512" s="36" t="s">
        <v>703</v>
      </c>
      <c r="E4512" s="37">
        <v>0.123</v>
      </c>
      <c r="F4512" s="54">
        <v>16.1785</v>
      </c>
      <c r="G4512" s="54">
        <f t="shared" si="86"/>
        <v>1.9899555</v>
      </c>
      <c r="H4512" s="73"/>
      <c r="I4512" s="74"/>
      <c r="J4512" s="102">
        <v>0</v>
      </c>
    </row>
    <row r="4513" spans="1:10" hidden="1" x14ac:dyDescent="0.25">
      <c r="A4513" s="224"/>
      <c r="B4513" s="237"/>
      <c r="C4513" s="36"/>
      <c r="D4513" s="36"/>
      <c r="E4513" s="37"/>
      <c r="F4513" s="54" t="s">
        <v>522</v>
      </c>
      <c r="G4513" s="54" t="str">
        <f t="shared" si="86"/>
        <v/>
      </c>
      <c r="H4513" s="73"/>
      <c r="I4513" s="74"/>
      <c r="J4513" s="102">
        <v>0</v>
      </c>
    </row>
    <row r="4514" spans="1:10" ht="15.75" hidden="1" thickBot="1" x14ac:dyDescent="0.3">
      <c r="A4514" s="218" t="s">
        <v>1343</v>
      </c>
      <c r="B4514" s="221" t="e">
        <f>INDEX(#REF!,MATCH(Composições!A4514,#REF!,0),2)</f>
        <v>#REF!</v>
      </c>
      <c r="C4514" s="41"/>
      <c r="D4514" s="26" t="s">
        <v>95</v>
      </c>
      <c r="E4514" s="27"/>
      <c r="F4514" s="49" t="s">
        <v>522</v>
      </c>
      <c r="G4514" s="28" t="str">
        <f t="shared" si="86"/>
        <v/>
      </c>
      <c r="H4514" s="29"/>
      <c r="I4514" s="30"/>
      <c r="J4514" s="102">
        <v>0</v>
      </c>
    </row>
    <row r="4515" spans="1:10" hidden="1" x14ac:dyDescent="0.25">
      <c r="A4515" s="224"/>
      <c r="B4515" s="237"/>
      <c r="C4515" s="32"/>
      <c r="D4515" s="32"/>
      <c r="E4515" s="33"/>
      <c r="F4515" s="54" t="s">
        <v>522</v>
      </c>
      <c r="G4515" s="54" t="str">
        <f t="shared" si="86"/>
        <v/>
      </c>
      <c r="H4515" s="73"/>
      <c r="I4515" s="74"/>
      <c r="J4515" s="102">
        <v>0</v>
      </c>
    </row>
    <row r="4516" spans="1:10" hidden="1" x14ac:dyDescent="0.25">
      <c r="A4516" s="224"/>
      <c r="B4516" s="237"/>
      <c r="C4516" s="36" t="s">
        <v>711</v>
      </c>
      <c r="D4516" s="36" t="s">
        <v>12</v>
      </c>
      <c r="E4516" s="37">
        <v>0.29899999999999999</v>
      </c>
      <c r="F4516" s="54">
        <v>21.479499999999998</v>
      </c>
      <c r="G4516" s="54">
        <f t="shared" si="86"/>
        <v>6.4223704999999995</v>
      </c>
      <c r="H4516" s="39">
        <f>SUM(G4516:G4518)</f>
        <v>49.820501003576808</v>
      </c>
      <c r="I4516" s="40"/>
      <c r="J4516" s="102">
        <v>0</v>
      </c>
    </row>
    <row r="4517" spans="1:10" hidden="1" x14ac:dyDescent="0.25">
      <c r="A4517" s="224"/>
      <c r="B4517" s="237"/>
      <c r="C4517" s="36" t="s">
        <v>704</v>
      </c>
      <c r="D4517" s="36" t="s">
        <v>12</v>
      </c>
      <c r="E4517" s="37">
        <v>0.14899999999999999</v>
      </c>
      <c r="F4517" s="54">
        <v>16.1785</v>
      </c>
      <c r="G4517" s="54">
        <f t="shared" si="86"/>
        <v>2.4105965</v>
      </c>
      <c r="H4517" s="73"/>
      <c r="I4517" s="74"/>
      <c r="J4517" s="102">
        <v>0</v>
      </c>
    </row>
    <row r="4518" spans="1:10" ht="38.25" hidden="1" x14ac:dyDescent="0.25">
      <c r="A4518" s="224"/>
      <c r="B4518" s="237"/>
      <c r="C4518" s="36" t="s">
        <v>1342</v>
      </c>
      <c r="D4518" s="36" t="s">
        <v>120</v>
      </c>
      <c r="E4518" s="37">
        <v>6.6100000000000006E-2</v>
      </c>
      <c r="F4518" s="54">
        <v>620.08372168799997</v>
      </c>
      <c r="G4518" s="54">
        <f t="shared" si="86"/>
        <v>40.987534003576805</v>
      </c>
      <c r="H4518" s="73"/>
      <c r="I4518" s="74"/>
      <c r="J4518" s="102">
        <v>0</v>
      </c>
    </row>
    <row r="4519" spans="1:10" ht="15.75" hidden="1" thickBot="1" x14ac:dyDescent="0.3">
      <c r="A4519" s="225"/>
      <c r="B4519" s="223"/>
      <c r="C4519" s="55"/>
      <c r="D4519" s="55"/>
      <c r="E4519" s="66"/>
      <c r="F4519" s="76" t="s">
        <v>522</v>
      </c>
      <c r="G4519" s="76" t="str">
        <f t="shared" si="86"/>
        <v/>
      </c>
      <c r="H4519" s="77"/>
      <c r="I4519" s="74"/>
      <c r="J4519" s="102">
        <v>0</v>
      </c>
    </row>
    <row r="4520" spans="1:10" ht="15.75" hidden="1" thickBot="1" x14ac:dyDescent="0.3">
      <c r="A4520" s="218" t="s">
        <v>1344</v>
      </c>
      <c r="B4520" s="221" t="e">
        <f>INDEX(#REF!,MATCH(Composições!A4520,#REF!,0),2)</f>
        <v>#REF!</v>
      </c>
      <c r="C4520" s="41"/>
      <c r="D4520" s="26" t="s">
        <v>95</v>
      </c>
      <c r="E4520" s="27"/>
      <c r="F4520" s="49" t="s">
        <v>522</v>
      </c>
      <c r="G4520" s="28" t="str">
        <f t="shared" si="86"/>
        <v/>
      </c>
      <c r="H4520" s="29"/>
      <c r="I4520" s="30"/>
      <c r="J4520" s="102">
        <v>0</v>
      </c>
    </row>
    <row r="4521" spans="1:10" hidden="1" x14ac:dyDescent="0.25">
      <c r="A4521" s="224"/>
      <c r="B4521" s="237"/>
      <c r="C4521" s="32"/>
      <c r="D4521" s="32"/>
      <c r="E4521" s="33"/>
      <c r="F4521" s="54" t="s">
        <v>522</v>
      </c>
      <c r="G4521" s="54" t="str">
        <f t="shared" si="86"/>
        <v/>
      </c>
      <c r="H4521" s="73"/>
      <c r="I4521" s="74"/>
      <c r="J4521" s="102">
        <v>0</v>
      </c>
    </row>
    <row r="4522" spans="1:10" hidden="1" x14ac:dyDescent="0.25">
      <c r="A4522" s="224"/>
      <c r="B4522" s="237"/>
      <c r="C4522" s="36" t="s">
        <v>704</v>
      </c>
      <c r="D4522" s="36" t="s">
        <v>703</v>
      </c>
      <c r="E4522" s="37">
        <v>0.01</v>
      </c>
      <c r="F4522" s="54">
        <v>16.1785</v>
      </c>
      <c r="G4522" s="54">
        <f t="shared" si="86"/>
        <v>0.16178500000000001</v>
      </c>
      <c r="H4522" s="39">
        <f>SUM(G4522:G4523)</f>
        <v>7.288685000000001</v>
      </c>
      <c r="I4522" s="40"/>
      <c r="J4522" s="102">
        <v>0</v>
      </c>
    </row>
    <row r="4523" spans="1:10" ht="25.5" hidden="1" x14ac:dyDescent="0.25">
      <c r="A4523" s="224"/>
      <c r="B4523" s="237"/>
      <c r="C4523" s="36" t="s">
        <v>1345</v>
      </c>
      <c r="D4523" s="36" t="s">
        <v>95</v>
      </c>
      <c r="E4523" s="37">
        <v>1.1000000000000001</v>
      </c>
      <c r="F4523" s="54">
        <v>6.4790000000000001</v>
      </c>
      <c r="G4523" s="54">
        <f t="shared" si="86"/>
        <v>7.1269000000000009</v>
      </c>
      <c r="H4523" s="73"/>
      <c r="I4523" s="74"/>
      <c r="J4523" s="102">
        <v>0</v>
      </c>
    </row>
    <row r="4524" spans="1:10" ht="15.75" hidden="1" thickBot="1" x14ac:dyDescent="0.3">
      <c r="A4524" s="225"/>
      <c r="B4524" s="223"/>
      <c r="C4524" s="55"/>
      <c r="D4524" s="55"/>
      <c r="E4524" s="66"/>
      <c r="F4524" s="76" t="s">
        <v>522</v>
      </c>
      <c r="G4524" s="76" t="str">
        <f t="shared" si="86"/>
        <v/>
      </c>
      <c r="H4524" s="77"/>
      <c r="I4524" s="74"/>
      <c r="J4524" s="102">
        <v>0</v>
      </c>
    </row>
    <row r="4525" spans="1:10" ht="15.75" hidden="1" thickBot="1" x14ac:dyDescent="0.3">
      <c r="A4525" s="218" t="s">
        <v>1346</v>
      </c>
      <c r="B4525" s="221" t="e">
        <f>INDEX(#REF!,MATCH(Composições!A4525,#REF!,0),2)</f>
        <v>#REF!</v>
      </c>
      <c r="C4525" s="41"/>
      <c r="D4525" s="26" t="s">
        <v>95</v>
      </c>
      <c r="E4525" s="27"/>
      <c r="F4525" s="49" t="s">
        <v>522</v>
      </c>
      <c r="G4525" s="28" t="str">
        <f t="shared" si="86"/>
        <v/>
      </c>
      <c r="H4525" s="29"/>
      <c r="I4525" s="30"/>
      <c r="J4525" s="102">
        <v>0</v>
      </c>
    </row>
    <row r="4526" spans="1:10" hidden="1" x14ac:dyDescent="0.25">
      <c r="A4526" s="224"/>
      <c r="B4526" s="237"/>
      <c r="C4526" s="32"/>
      <c r="D4526" s="32"/>
      <c r="E4526" s="33"/>
      <c r="F4526" s="54" t="s">
        <v>522</v>
      </c>
      <c r="G4526" s="54" t="str">
        <f t="shared" si="86"/>
        <v/>
      </c>
      <c r="H4526" s="73"/>
      <c r="I4526" s="74"/>
      <c r="J4526" s="102">
        <v>0</v>
      </c>
    </row>
    <row r="4527" spans="1:10" hidden="1" x14ac:dyDescent="0.25">
      <c r="A4527" s="224"/>
      <c r="B4527" s="237"/>
      <c r="C4527" s="36" t="s">
        <v>704</v>
      </c>
      <c r="D4527" s="36" t="s">
        <v>703</v>
      </c>
      <c r="E4527" s="37">
        <v>0.05</v>
      </c>
      <c r="F4527" s="54">
        <v>16.1785</v>
      </c>
      <c r="G4527" s="54">
        <f t="shared" si="86"/>
        <v>0.80892500000000001</v>
      </c>
      <c r="H4527" s="39">
        <f>SUM(G4527:G4528)</f>
        <v>9.2477750000000007</v>
      </c>
      <c r="I4527" s="40"/>
      <c r="J4527" s="102">
        <v>0</v>
      </c>
    </row>
    <row r="4528" spans="1:10" ht="25.5" hidden="1" x14ac:dyDescent="0.25">
      <c r="A4528" s="224"/>
      <c r="B4528" s="237"/>
      <c r="C4528" s="36" t="s">
        <v>1347</v>
      </c>
      <c r="D4528" s="36" t="s">
        <v>95</v>
      </c>
      <c r="E4528" s="37">
        <v>1.05</v>
      </c>
      <c r="F4528" s="54">
        <v>8.0370000000000008</v>
      </c>
      <c r="G4528" s="54">
        <f t="shared" si="86"/>
        <v>8.4388500000000004</v>
      </c>
      <c r="H4528" s="73"/>
      <c r="I4528" s="74"/>
      <c r="J4528" s="102">
        <v>0</v>
      </c>
    </row>
    <row r="4529" spans="1:10" ht="15.75" hidden="1" thickBot="1" x14ac:dyDescent="0.3">
      <c r="A4529" s="225"/>
      <c r="B4529" s="223"/>
      <c r="C4529" s="55"/>
      <c r="D4529" s="55"/>
      <c r="E4529" s="66"/>
      <c r="F4529" s="76" t="s">
        <v>522</v>
      </c>
      <c r="G4529" s="76" t="str">
        <f t="shared" si="86"/>
        <v/>
      </c>
      <c r="H4529" s="77"/>
      <c r="I4529" s="74"/>
      <c r="J4529" s="102">
        <v>0</v>
      </c>
    </row>
    <row r="4530" spans="1:10" ht="15.75" hidden="1" thickBot="1" x14ac:dyDescent="0.3">
      <c r="A4530" s="218" t="s">
        <v>1348</v>
      </c>
      <c r="B4530" s="221" t="e">
        <f>INDEX(#REF!,MATCH(Composições!A4530,#REF!,0),2)</f>
        <v>#REF!</v>
      </c>
      <c r="C4530" s="41"/>
      <c r="D4530" s="26" t="s">
        <v>95</v>
      </c>
      <c r="E4530" s="27"/>
      <c r="F4530" s="49" t="s">
        <v>522</v>
      </c>
      <c r="G4530" s="28" t="str">
        <f t="shared" si="86"/>
        <v/>
      </c>
      <c r="H4530" s="29"/>
      <c r="I4530" s="30"/>
      <c r="J4530" s="102">
        <v>0</v>
      </c>
    </row>
    <row r="4531" spans="1:10" hidden="1" x14ac:dyDescent="0.25">
      <c r="A4531" s="224"/>
      <c r="B4531" s="237"/>
      <c r="C4531" s="32"/>
      <c r="D4531" s="32"/>
      <c r="E4531" s="33"/>
      <c r="F4531" s="54" t="s">
        <v>522</v>
      </c>
      <c r="G4531" s="54" t="str">
        <f t="shared" si="86"/>
        <v/>
      </c>
      <c r="H4531" s="73"/>
      <c r="I4531" s="74"/>
      <c r="J4531" s="102">
        <v>0</v>
      </c>
    </row>
    <row r="4532" spans="1:10" hidden="1" x14ac:dyDescent="0.25">
      <c r="A4532" s="224"/>
      <c r="B4532" s="237"/>
      <c r="C4532" s="36" t="s">
        <v>711</v>
      </c>
      <c r="D4532" s="36" t="s">
        <v>12</v>
      </c>
      <c r="E4532" s="37">
        <v>0.107</v>
      </c>
      <c r="F4532" s="54">
        <v>21.479499999999998</v>
      </c>
      <c r="G4532" s="54">
        <f t="shared" si="86"/>
        <v>2.2983064999999998</v>
      </c>
      <c r="H4532" s="39">
        <f>SUM(G4532:G4536)</f>
        <v>26.592580947867997</v>
      </c>
      <c r="I4532" s="40"/>
      <c r="J4532" s="102">
        <v>0</v>
      </c>
    </row>
    <row r="4533" spans="1:10" hidden="1" x14ac:dyDescent="0.25">
      <c r="A4533" s="224"/>
      <c r="B4533" s="237"/>
      <c r="C4533" s="36" t="s">
        <v>704</v>
      </c>
      <c r="D4533" s="36" t="s">
        <v>12</v>
      </c>
      <c r="E4533" s="37">
        <v>0.214</v>
      </c>
      <c r="F4533" s="54">
        <v>16.1785</v>
      </c>
      <c r="G4533" s="54">
        <f t="shared" si="86"/>
        <v>3.462199</v>
      </c>
      <c r="H4533" s="73"/>
      <c r="I4533" s="74"/>
      <c r="J4533" s="102">
        <v>0</v>
      </c>
    </row>
    <row r="4534" spans="1:10" hidden="1" x14ac:dyDescent="0.25">
      <c r="A4534" s="224"/>
      <c r="B4534" s="237"/>
      <c r="C4534" s="36" t="s">
        <v>748</v>
      </c>
      <c r="D4534" s="36" t="s">
        <v>898</v>
      </c>
      <c r="E4534" s="37">
        <v>0.5</v>
      </c>
      <c r="F4534" s="54">
        <v>0.58899999999999997</v>
      </c>
      <c r="G4534" s="54">
        <f t="shared" si="86"/>
        <v>0.29449999999999998</v>
      </c>
      <c r="H4534" s="73"/>
      <c r="I4534" s="74"/>
      <c r="J4534" s="102">
        <v>0</v>
      </c>
    </row>
    <row r="4535" spans="1:10" ht="25.5" hidden="1" x14ac:dyDescent="0.25">
      <c r="A4535" s="224"/>
      <c r="B4535" s="237"/>
      <c r="C4535" s="36" t="s">
        <v>1341</v>
      </c>
      <c r="D4535" s="36" t="s">
        <v>102</v>
      </c>
      <c r="E4535" s="37">
        <v>0.21</v>
      </c>
      <c r="F4535" s="54">
        <v>11.969999999999999</v>
      </c>
      <c r="G4535" s="54">
        <f t="shared" si="86"/>
        <v>2.5136999999999996</v>
      </c>
      <c r="H4535" s="73"/>
      <c r="I4535" s="74"/>
      <c r="J4535" s="102">
        <v>0</v>
      </c>
    </row>
    <row r="4536" spans="1:10" ht="51" hidden="1" x14ac:dyDescent="0.25">
      <c r="A4536" s="224"/>
      <c r="B4536" s="237"/>
      <c r="C4536" s="36" t="s">
        <v>154</v>
      </c>
      <c r="D4536" s="36" t="s">
        <v>120</v>
      </c>
      <c r="E4536" s="37">
        <v>3.1E-2</v>
      </c>
      <c r="F4536" s="54">
        <v>581.41533702799995</v>
      </c>
      <c r="G4536" s="54">
        <f t="shared" si="86"/>
        <v>18.023875447867997</v>
      </c>
      <c r="H4536" s="73"/>
      <c r="I4536" s="74"/>
      <c r="J4536" s="102">
        <v>0</v>
      </c>
    </row>
    <row r="4537" spans="1:10" ht="15.75" hidden="1" thickBot="1" x14ac:dyDescent="0.3">
      <c r="A4537" s="225"/>
      <c r="B4537" s="223"/>
      <c r="C4537" s="55"/>
      <c r="D4537" s="55"/>
      <c r="E4537" s="66"/>
      <c r="F4537" s="76" t="s">
        <v>522</v>
      </c>
      <c r="G4537" s="76" t="str">
        <f t="shared" si="86"/>
        <v/>
      </c>
      <c r="H4537" s="77"/>
      <c r="I4537" s="74"/>
      <c r="J4537" s="102">
        <v>0</v>
      </c>
    </row>
    <row r="4538" spans="1:10" ht="15.75" hidden="1" thickBot="1" x14ac:dyDescent="0.3">
      <c r="A4538" s="218" t="s">
        <v>1349</v>
      </c>
      <c r="B4538" s="221" t="e">
        <f>INDEX(#REF!,MATCH(Composições!A4538,#REF!,0),2)</f>
        <v>#REF!</v>
      </c>
      <c r="C4538" s="41"/>
      <c r="D4538" s="26" t="s">
        <v>95</v>
      </c>
      <c r="E4538" s="27"/>
      <c r="F4538" s="49" t="s">
        <v>522</v>
      </c>
      <c r="G4538" s="28" t="str">
        <f t="shared" si="86"/>
        <v/>
      </c>
      <c r="H4538" s="29"/>
      <c r="I4538" s="30"/>
      <c r="J4538" s="102">
        <v>0</v>
      </c>
    </row>
    <row r="4539" spans="1:10" hidden="1" x14ac:dyDescent="0.25">
      <c r="A4539" s="224"/>
      <c r="B4539" s="237"/>
      <c r="C4539" s="32"/>
      <c r="D4539" s="32"/>
      <c r="E4539" s="33"/>
      <c r="F4539" s="54" t="s">
        <v>522</v>
      </c>
      <c r="G4539" s="54" t="str">
        <f t="shared" si="86"/>
        <v/>
      </c>
      <c r="H4539" s="73"/>
      <c r="I4539" s="74"/>
      <c r="J4539" s="102">
        <v>0</v>
      </c>
    </row>
    <row r="4540" spans="1:10" hidden="1" x14ac:dyDescent="0.25">
      <c r="A4540" s="224"/>
      <c r="B4540" s="237"/>
      <c r="C4540" s="36" t="s">
        <v>1016</v>
      </c>
      <c r="D4540" s="36" t="s">
        <v>992</v>
      </c>
      <c r="E4540" s="37">
        <v>1.04</v>
      </c>
      <c r="F4540" s="54">
        <v>1.7765</v>
      </c>
      <c r="G4540" s="54">
        <f t="shared" si="86"/>
        <v>1.8475600000000001</v>
      </c>
      <c r="H4540" s="39">
        <f>SUM(G4540:G4544)</f>
        <v>74.4656981965</v>
      </c>
      <c r="I4540" s="40"/>
      <c r="J4540" s="102">
        <v>0</v>
      </c>
    </row>
    <row r="4541" spans="1:10" ht="25.5" hidden="1" x14ac:dyDescent="0.25">
      <c r="A4541" s="224"/>
      <c r="B4541" s="237"/>
      <c r="C4541" s="36" t="s">
        <v>1017</v>
      </c>
      <c r="D4541" s="36" t="s">
        <v>120</v>
      </c>
      <c r="E4541" s="37">
        <v>4.3999999999999997E-2</v>
      </c>
      <c r="F4541" s="54">
        <v>766.67797037499997</v>
      </c>
      <c r="G4541" s="54">
        <f t="shared" si="86"/>
        <v>33.7338306965</v>
      </c>
      <c r="H4541" s="73"/>
      <c r="I4541" s="74"/>
      <c r="J4541" s="102">
        <v>0</v>
      </c>
    </row>
    <row r="4542" spans="1:10" hidden="1" x14ac:dyDescent="0.25">
      <c r="A4542" s="224"/>
      <c r="B4542" s="237"/>
      <c r="C4542" s="36" t="s">
        <v>711</v>
      </c>
      <c r="D4542" s="36" t="s">
        <v>703</v>
      </c>
      <c r="E4542" s="37">
        <v>0.89900000000000002</v>
      </c>
      <c r="F4542" s="54">
        <v>21.479499999999998</v>
      </c>
      <c r="G4542" s="54">
        <f t="shared" si="86"/>
        <v>19.310070499999998</v>
      </c>
      <c r="H4542" s="73"/>
      <c r="I4542" s="74"/>
      <c r="J4542" s="102">
        <v>0</v>
      </c>
    </row>
    <row r="4543" spans="1:10" hidden="1" x14ac:dyDescent="0.25">
      <c r="A4543" s="224"/>
      <c r="B4543" s="237"/>
      <c r="C4543" s="36" t="s">
        <v>704</v>
      </c>
      <c r="D4543" s="36" t="s">
        <v>703</v>
      </c>
      <c r="E4543" s="37">
        <v>0.182</v>
      </c>
      <c r="F4543" s="54">
        <v>16.1785</v>
      </c>
      <c r="G4543" s="54">
        <f t="shared" si="86"/>
        <v>2.9444870000000001</v>
      </c>
      <c r="H4543" s="73"/>
      <c r="I4543" s="74"/>
      <c r="J4543" s="102">
        <v>0</v>
      </c>
    </row>
    <row r="4544" spans="1:10" ht="38.25" hidden="1" x14ac:dyDescent="0.25">
      <c r="A4544" s="224"/>
      <c r="B4544" s="237"/>
      <c r="C4544" s="36" t="s">
        <v>1012</v>
      </c>
      <c r="D4544" s="36" t="s">
        <v>898</v>
      </c>
      <c r="E4544" s="37">
        <f>0.15*2.5*(6/2)</f>
        <v>1.125</v>
      </c>
      <c r="F4544" s="54">
        <v>14.782</v>
      </c>
      <c r="G4544" s="54">
        <f t="shared" si="86"/>
        <v>16.629750000000001</v>
      </c>
      <c r="H4544" s="73"/>
      <c r="I4544" s="74"/>
      <c r="J4544" s="102">
        <v>0</v>
      </c>
    </row>
    <row r="4545" spans="1:10" hidden="1" x14ac:dyDescent="0.25">
      <c r="A4545" s="224"/>
      <c r="B4545" s="237"/>
      <c r="C4545" s="36"/>
      <c r="D4545" s="36"/>
      <c r="E4545" s="37"/>
      <c r="F4545" s="54" t="s">
        <v>522</v>
      </c>
      <c r="G4545" s="54" t="str">
        <f t="shared" si="86"/>
        <v/>
      </c>
      <c r="H4545" s="73"/>
      <c r="I4545" s="74"/>
      <c r="J4545" s="102">
        <v>0</v>
      </c>
    </row>
    <row r="4546" spans="1:10" ht="15.75" hidden="1" thickBot="1" x14ac:dyDescent="0.3">
      <c r="A4546" s="218" t="s">
        <v>1350</v>
      </c>
      <c r="B4546" s="221" t="e">
        <f>INDEX(#REF!,MATCH(Composições!A4546,#REF!,0),2)</f>
        <v>#REF!</v>
      </c>
      <c r="C4546" s="41"/>
      <c r="D4546" s="26" t="s">
        <v>95</v>
      </c>
      <c r="E4546" s="27"/>
      <c r="F4546" s="49" t="s">
        <v>522</v>
      </c>
      <c r="G4546" s="28" t="str">
        <f t="shared" si="86"/>
        <v/>
      </c>
      <c r="H4546" s="29"/>
      <c r="I4546" s="30"/>
      <c r="J4546" s="102">
        <v>0</v>
      </c>
    </row>
    <row r="4547" spans="1:10" hidden="1" x14ac:dyDescent="0.25">
      <c r="A4547" s="224"/>
      <c r="B4547" s="237"/>
      <c r="C4547" s="32"/>
      <c r="D4547" s="32"/>
      <c r="E4547" s="33"/>
      <c r="F4547" s="54" t="s">
        <v>522</v>
      </c>
      <c r="G4547" s="54" t="str">
        <f t="shared" si="86"/>
        <v/>
      </c>
      <c r="H4547" s="73"/>
      <c r="I4547" s="74"/>
      <c r="J4547" s="102">
        <v>0</v>
      </c>
    </row>
    <row r="4548" spans="1:10" hidden="1" x14ac:dyDescent="0.25">
      <c r="A4548" s="224"/>
      <c r="B4548" s="237"/>
      <c r="C4548" s="36" t="s">
        <v>1351</v>
      </c>
      <c r="D4548" s="36" t="s">
        <v>102</v>
      </c>
      <c r="E4548" s="37">
        <v>0.32569999999999999</v>
      </c>
      <c r="F4548" s="54" t="s">
        <v>522</v>
      </c>
      <c r="G4548" s="54" t="str">
        <f t="shared" si="86"/>
        <v/>
      </c>
      <c r="H4548" s="39">
        <f>SUM(G4548:G4549)</f>
        <v>10.188438400000001</v>
      </c>
      <c r="I4548" s="40"/>
      <c r="J4548" s="102">
        <v>0</v>
      </c>
    </row>
    <row r="4549" spans="1:10" hidden="1" x14ac:dyDescent="0.25">
      <c r="A4549" s="224"/>
      <c r="B4549" s="237"/>
      <c r="C4549" s="36" t="s">
        <v>1095</v>
      </c>
      <c r="D4549" s="36" t="s">
        <v>703</v>
      </c>
      <c r="E4549" s="37">
        <v>0.45290000000000002</v>
      </c>
      <c r="F4549" s="54">
        <v>22.495999999999999</v>
      </c>
      <c r="G4549" s="54">
        <f t="shared" si="86"/>
        <v>10.188438400000001</v>
      </c>
      <c r="H4549" s="73"/>
      <c r="I4549" s="74"/>
      <c r="J4549" s="102">
        <v>0</v>
      </c>
    </row>
    <row r="4550" spans="1:10" ht="15.75" hidden="1" thickBot="1" x14ac:dyDescent="0.3">
      <c r="A4550" s="225"/>
      <c r="B4550" s="223"/>
      <c r="C4550" s="55"/>
      <c r="D4550" s="55"/>
      <c r="E4550" s="66"/>
      <c r="F4550" s="76" t="s">
        <v>522</v>
      </c>
      <c r="G4550" s="76" t="str">
        <f t="shared" si="86"/>
        <v/>
      </c>
      <c r="H4550" s="77"/>
      <c r="I4550" s="74"/>
      <c r="J4550" s="102">
        <v>0</v>
      </c>
    </row>
    <row r="4551" spans="1:10" ht="15.75" hidden="1" thickBot="1" x14ac:dyDescent="0.3">
      <c r="A4551" s="218" t="s">
        <v>1352</v>
      </c>
      <c r="B4551" s="221" t="e">
        <f>INDEX(#REF!,MATCH(Composições!A4551,#REF!,0),2)</f>
        <v>#REF!</v>
      </c>
      <c r="C4551" s="41"/>
      <c r="D4551" s="26" t="s">
        <v>95</v>
      </c>
      <c r="E4551" s="27"/>
      <c r="F4551" s="49" t="s">
        <v>522</v>
      </c>
      <c r="G4551" s="28" t="str">
        <f t="shared" si="86"/>
        <v/>
      </c>
      <c r="H4551" s="29"/>
      <c r="I4551" s="30"/>
      <c r="J4551" s="102">
        <v>0</v>
      </c>
    </row>
    <row r="4552" spans="1:10" hidden="1" x14ac:dyDescent="0.25">
      <c r="A4552" s="224"/>
      <c r="B4552" s="237"/>
      <c r="C4552" s="32"/>
      <c r="D4552" s="32"/>
      <c r="E4552" s="33"/>
      <c r="F4552" s="54" t="s">
        <v>522</v>
      </c>
      <c r="G4552" s="54" t="str">
        <f t="shared" si="86"/>
        <v/>
      </c>
      <c r="H4552" s="73"/>
      <c r="I4552" s="74"/>
      <c r="J4552" s="102">
        <v>0</v>
      </c>
    </row>
    <row r="4553" spans="1:10" hidden="1" x14ac:dyDescent="0.25">
      <c r="A4553" s="224"/>
      <c r="B4553" s="237"/>
      <c r="C4553" s="36" t="s">
        <v>704</v>
      </c>
      <c r="D4553" s="36" t="s">
        <v>703</v>
      </c>
      <c r="E4553" s="37">
        <v>0.02</v>
      </c>
      <c r="F4553" s="54">
        <v>16.1785</v>
      </c>
      <c r="G4553" s="54">
        <f t="shared" si="86"/>
        <v>0.32357000000000002</v>
      </c>
      <c r="H4553" s="39">
        <f>SUM(G4553:G4555)</f>
        <v>7.450470000000001</v>
      </c>
      <c r="I4553" s="40"/>
      <c r="J4553" s="102">
        <v>0</v>
      </c>
    </row>
    <row r="4554" spans="1:10" ht="25.5" hidden="1" x14ac:dyDescent="0.25">
      <c r="A4554" s="224"/>
      <c r="B4554" s="237"/>
      <c r="C4554" s="36" t="s">
        <v>1353</v>
      </c>
      <c r="D4554" s="36" t="s">
        <v>95</v>
      </c>
      <c r="E4554" s="37">
        <v>1.05</v>
      </c>
      <c r="F4554" s="54" t="s">
        <v>522</v>
      </c>
      <c r="G4554" s="54" t="str">
        <f t="shared" si="86"/>
        <v/>
      </c>
      <c r="H4554" s="73"/>
      <c r="I4554" s="74"/>
      <c r="J4554" s="102">
        <v>0</v>
      </c>
    </row>
    <row r="4555" spans="1:10" ht="25.5" hidden="1" x14ac:dyDescent="0.25">
      <c r="A4555" s="224"/>
      <c r="B4555" s="237"/>
      <c r="C4555" s="36" t="s">
        <v>1345</v>
      </c>
      <c r="D4555" s="36" t="s">
        <v>95</v>
      </c>
      <c r="E4555" s="37">
        <v>1.1000000000000001</v>
      </c>
      <c r="F4555" s="54">
        <v>6.4790000000000001</v>
      </c>
      <c r="G4555" s="54">
        <f t="shared" si="86"/>
        <v>7.1269000000000009</v>
      </c>
      <c r="H4555" s="73"/>
      <c r="I4555" s="74"/>
      <c r="J4555" s="102">
        <v>0</v>
      </c>
    </row>
    <row r="4556" spans="1:10" ht="15.75" hidden="1" thickBot="1" x14ac:dyDescent="0.3">
      <c r="A4556" s="225"/>
      <c r="B4556" s="223"/>
      <c r="C4556" s="55"/>
      <c r="D4556" s="55"/>
      <c r="E4556" s="66"/>
      <c r="F4556" s="76" t="s">
        <v>522</v>
      </c>
      <c r="G4556" s="76" t="str">
        <f t="shared" si="86"/>
        <v/>
      </c>
      <c r="H4556" s="77"/>
      <c r="I4556" s="74"/>
      <c r="J4556" s="102">
        <v>0</v>
      </c>
    </row>
    <row r="4557" spans="1:10" ht="15.75" hidden="1" thickBot="1" x14ac:dyDescent="0.3">
      <c r="A4557" s="218" t="s">
        <v>1354</v>
      </c>
      <c r="B4557" s="221" t="e">
        <f>INDEX(#REF!,MATCH(Composições!A4557,#REF!,0),2)</f>
        <v>#REF!</v>
      </c>
      <c r="C4557" s="41"/>
      <c r="D4557" s="26" t="s">
        <v>95</v>
      </c>
      <c r="E4557" s="27"/>
      <c r="F4557" s="49" t="s">
        <v>522</v>
      </c>
      <c r="G4557" s="28" t="str">
        <f t="shared" si="86"/>
        <v/>
      </c>
      <c r="H4557" s="29"/>
      <c r="I4557" s="30"/>
      <c r="J4557" s="102">
        <v>0</v>
      </c>
    </row>
    <row r="4558" spans="1:10" hidden="1" x14ac:dyDescent="0.25">
      <c r="A4558" s="224"/>
      <c r="B4558" s="237"/>
      <c r="C4558" s="32"/>
      <c r="D4558" s="32"/>
      <c r="E4558" s="33"/>
      <c r="F4558" s="54" t="s">
        <v>522</v>
      </c>
      <c r="G4558" s="54" t="str">
        <f t="shared" si="86"/>
        <v/>
      </c>
      <c r="H4558" s="73"/>
      <c r="I4558" s="74"/>
      <c r="J4558" s="102">
        <v>0</v>
      </c>
    </row>
    <row r="4559" spans="1:10" ht="25.5" hidden="1" x14ac:dyDescent="0.25">
      <c r="A4559" s="224"/>
      <c r="B4559" s="237"/>
      <c r="C4559" s="36" t="s">
        <v>1063</v>
      </c>
      <c r="D4559" s="47" t="s">
        <v>1074</v>
      </c>
      <c r="E4559" s="37">
        <v>0.161</v>
      </c>
      <c r="F4559" s="54">
        <v>35.72</v>
      </c>
      <c r="G4559" s="54">
        <f t="shared" si="86"/>
        <v>5.7509199999999998</v>
      </c>
      <c r="H4559" s="39">
        <f>SUM(G4559:G4567)</f>
        <v>173.4210712</v>
      </c>
      <c r="I4559" s="40"/>
      <c r="J4559" s="102">
        <v>0</v>
      </c>
    </row>
    <row r="4560" spans="1:10" hidden="1" x14ac:dyDescent="0.25">
      <c r="A4560" s="224"/>
      <c r="B4560" s="237"/>
      <c r="C4560" s="36" t="s">
        <v>1355</v>
      </c>
      <c r="D4560" s="36" t="s">
        <v>898</v>
      </c>
      <c r="E4560" s="37">
        <v>2.5000000000000001E-2</v>
      </c>
      <c r="F4560" s="54">
        <v>21.754999999999999</v>
      </c>
      <c r="G4560" s="54">
        <f t="shared" si="86"/>
        <v>0.543875</v>
      </c>
      <c r="H4560" s="73"/>
      <c r="I4560" s="74"/>
      <c r="J4560" s="102">
        <v>0</v>
      </c>
    </row>
    <row r="4561" spans="1:10" ht="25.5" hidden="1" x14ac:dyDescent="0.25">
      <c r="A4561" s="224"/>
      <c r="B4561" s="237"/>
      <c r="C4561" s="36" t="s">
        <v>1356</v>
      </c>
      <c r="D4561" s="36" t="s">
        <v>898</v>
      </c>
      <c r="E4561" s="37">
        <v>4.8999999999999998E-3</v>
      </c>
      <c r="F4561" s="54">
        <v>68.390499999999989</v>
      </c>
      <c r="G4561" s="54">
        <f t="shared" si="86"/>
        <v>0.33511344999999992</v>
      </c>
      <c r="H4561" s="73"/>
      <c r="I4561" s="74"/>
      <c r="J4561" s="102">
        <v>0</v>
      </c>
    </row>
    <row r="4562" spans="1:10" hidden="1" x14ac:dyDescent="0.25">
      <c r="A4562" s="224"/>
      <c r="B4562" s="237"/>
      <c r="C4562" s="36" t="s">
        <v>1357</v>
      </c>
      <c r="D4562" s="36" t="s">
        <v>898</v>
      </c>
      <c r="E4562" s="37">
        <v>0.18</v>
      </c>
      <c r="F4562" s="54">
        <v>152.56049999999999</v>
      </c>
      <c r="G4562" s="54">
        <f t="shared" si="86"/>
        <v>27.460889999999996</v>
      </c>
      <c r="H4562" s="73"/>
      <c r="I4562" s="74"/>
      <c r="J4562" s="102">
        <v>0</v>
      </c>
    </row>
    <row r="4563" spans="1:10" ht="25.5" hidden="1" x14ac:dyDescent="0.25">
      <c r="A4563" s="224"/>
      <c r="B4563" s="237"/>
      <c r="C4563" s="36" t="s">
        <v>1358</v>
      </c>
      <c r="D4563" s="36" t="s">
        <v>479</v>
      </c>
      <c r="E4563" s="37">
        <v>1.05</v>
      </c>
      <c r="F4563" s="54">
        <v>111.60599999999999</v>
      </c>
      <c r="G4563" s="54">
        <f t="shared" si="86"/>
        <v>117.1863</v>
      </c>
      <c r="H4563" s="73"/>
      <c r="I4563" s="74"/>
      <c r="J4563" s="102">
        <v>0</v>
      </c>
    </row>
    <row r="4564" spans="1:10" hidden="1" x14ac:dyDescent="0.25">
      <c r="A4564" s="224"/>
      <c r="B4564" s="237"/>
      <c r="C4564" s="36" t="s">
        <v>704</v>
      </c>
      <c r="D4564" s="36" t="s">
        <v>703</v>
      </c>
      <c r="E4564" s="37">
        <v>0.63300000000000001</v>
      </c>
      <c r="F4564" s="54">
        <v>16.1785</v>
      </c>
      <c r="G4564" s="54">
        <f t="shared" si="86"/>
        <v>10.240990500000001</v>
      </c>
      <c r="H4564" s="73"/>
      <c r="I4564" s="74"/>
      <c r="J4564" s="102">
        <v>0</v>
      </c>
    </row>
    <row r="4565" spans="1:10" hidden="1" x14ac:dyDescent="0.25">
      <c r="A4565" s="224"/>
      <c r="B4565" s="237"/>
      <c r="C4565" s="36" t="s">
        <v>1302</v>
      </c>
      <c r="D4565" s="36" t="s">
        <v>703</v>
      </c>
      <c r="E4565" s="37">
        <v>0.53900000000000003</v>
      </c>
      <c r="F4565" s="54">
        <v>21.061500000000002</v>
      </c>
      <c r="G4565" s="54">
        <f t="shared" si="86"/>
        <v>11.352148500000002</v>
      </c>
      <c r="H4565" s="73"/>
      <c r="I4565" s="74"/>
      <c r="J4565" s="102">
        <v>0</v>
      </c>
    </row>
    <row r="4566" spans="1:10" ht="25.5" hidden="1" x14ac:dyDescent="0.25">
      <c r="A4566" s="224"/>
      <c r="B4566" s="237"/>
      <c r="C4566" s="36" t="s">
        <v>1303</v>
      </c>
      <c r="D4566" s="36" t="s">
        <v>942</v>
      </c>
      <c r="E4566" s="37">
        <v>1.32E-2</v>
      </c>
      <c r="F4566" s="54">
        <v>17.983499999999999</v>
      </c>
      <c r="G4566" s="54">
        <f t="shared" si="86"/>
        <v>0.23738219999999999</v>
      </c>
      <c r="H4566" s="73"/>
      <c r="I4566" s="74"/>
      <c r="J4566" s="102">
        <v>0</v>
      </c>
    </row>
    <row r="4567" spans="1:10" ht="25.5" hidden="1" x14ac:dyDescent="0.25">
      <c r="A4567" s="224"/>
      <c r="B4567" s="237"/>
      <c r="C4567" s="36" t="s">
        <v>1304</v>
      </c>
      <c r="D4567" s="36" t="s">
        <v>944</v>
      </c>
      <c r="E4567" s="37">
        <v>1.83E-2</v>
      </c>
      <c r="F4567" s="54">
        <v>17.128499999999999</v>
      </c>
      <c r="G4567" s="54">
        <f t="shared" si="86"/>
        <v>0.31345154999999997</v>
      </c>
      <c r="H4567" s="73"/>
      <c r="I4567" s="74"/>
      <c r="J4567" s="102">
        <v>0</v>
      </c>
    </row>
    <row r="4568" spans="1:10" ht="15.75" hidden="1" thickBot="1" x14ac:dyDescent="0.3">
      <c r="A4568" s="225"/>
      <c r="B4568" s="223"/>
      <c r="C4568" s="55"/>
      <c r="D4568" s="55"/>
      <c r="E4568" s="66"/>
      <c r="F4568" s="76" t="s">
        <v>522</v>
      </c>
      <c r="G4568" s="76" t="str">
        <f t="shared" si="86"/>
        <v/>
      </c>
      <c r="H4568" s="77"/>
      <c r="I4568" s="74"/>
      <c r="J4568" s="102">
        <v>0</v>
      </c>
    </row>
    <row r="4569" spans="1:10" ht="15.75" hidden="1" thickBot="1" x14ac:dyDescent="0.3">
      <c r="A4569" s="218" t="s">
        <v>1359</v>
      </c>
      <c r="B4569" s="221" t="e">
        <f>INDEX(#REF!,MATCH(Composições!A4569,#REF!,0),2)</f>
        <v>#REF!</v>
      </c>
      <c r="C4569" s="41"/>
      <c r="D4569" s="26" t="s">
        <v>95</v>
      </c>
      <c r="E4569" s="27"/>
      <c r="F4569" s="49" t="s">
        <v>522</v>
      </c>
      <c r="G4569" s="28" t="str">
        <f t="shared" ref="G4569:G4632" si="87">IF(ISNUMBER(F4569),E4569*F4569,"")</f>
        <v/>
      </c>
      <c r="H4569" s="29"/>
      <c r="I4569" s="30"/>
      <c r="J4569" s="102">
        <v>0</v>
      </c>
    </row>
    <row r="4570" spans="1:10" hidden="1" x14ac:dyDescent="0.25">
      <c r="A4570" s="224"/>
      <c r="B4570" s="237"/>
      <c r="C4570" s="32"/>
      <c r="D4570" s="32"/>
      <c r="E4570" s="33"/>
      <c r="F4570" s="54" t="s">
        <v>522</v>
      </c>
      <c r="G4570" s="54" t="str">
        <f t="shared" si="87"/>
        <v/>
      </c>
      <c r="H4570" s="73"/>
      <c r="I4570" s="74"/>
      <c r="J4570" s="102">
        <v>0</v>
      </c>
    </row>
    <row r="4571" spans="1:10" ht="25.5" hidden="1" x14ac:dyDescent="0.25">
      <c r="A4571" s="224"/>
      <c r="B4571" s="237"/>
      <c r="C4571" s="36" t="s">
        <v>1063</v>
      </c>
      <c r="D4571" s="47" t="s">
        <v>1074</v>
      </c>
      <c r="E4571" s="37">
        <f>0.198*4</f>
        <v>0.79200000000000004</v>
      </c>
      <c r="F4571" s="54">
        <v>35.72</v>
      </c>
      <c r="G4571" s="54">
        <f t="shared" si="87"/>
        <v>28.290240000000001</v>
      </c>
      <c r="H4571" s="39">
        <f>SUM(G4571:G4579)</f>
        <v>202.10556690000001</v>
      </c>
      <c r="I4571" s="40"/>
      <c r="J4571" s="102">
        <v>0</v>
      </c>
    </row>
    <row r="4572" spans="1:10" hidden="1" x14ac:dyDescent="0.25">
      <c r="A4572" s="224"/>
      <c r="B4572" s="237"/>
      <c r="C4572" s="36" t="s">
        <v>1355</v>
      </c>
      <c r="D4572" s="36" t="s">
        <v>898</v>
      </c>
      <c r="E4572" s="37">
        <f>0.006*4</f>
        <v>2.4E-2</v>
      </c>
      <c r="F4572" s="54">
        <v>21.754999999999999</v>
      </c>
      <c r="G4572" s="54">
        <f t="shared" si="87"/>
        <v>0.52212000000000003</v>
      </c>
      <c r="H4572" s="73"/>
      <c r="I4572" s="74"/>
      <c r="J4572" s="102">
        <v>0</v>
      </c>
    </row>
    <row r="4573" spans="1:10" ht="25.5" hidden="1" x14ac:dyDescent="0.25">
      <c r="A4573" s="224"/>
      <c r="B4573" s="237"/>
      <c r="C4573" s="36" t="s">
        <v>1356</v>
      </c>
      <c r="D4573" s="36" t="s">
        <v>898</v>
      </c>
      <c r="E4573" s="37">
        <f>0.0012*4</f>
        <v>4.7999999999999996E-3</v>
      </c>
      <c r="F4573" s="54">
        <v>68.390499999999989</v>
      </c>
      <c r="G4573" s="54">
        <f t="shared" si="87"/>
        <v>0.32827439999999991</v>
      </c>
      <c r="H4573" s="73"/>
      <c r="I4573" s="74"/>
      <c r="J4573" s="102">
        <v>0</v>
      </c>
    </row>
    <row r="4574" spans="1:10" hidden="1" x14ac:dyDescent="0.25">
      <c r="A4574" s="224"/>
      <c r="B4574" s="237"/>
      <c r="C4574" s="36" t="s">
        <v>1357</v>
      </c>
      <c r="D4574" s="36" t="s">
        <v>898</v>
      </c>
      <c r="E4574" s="37">
        <f>0.045*4</f>
        <v>0.18</v>
      </c>
      <c r="F4574" s="54">
        <v>152.56049999999999</v>
      </c>
      <c r="G4574" s="54">
        <f t="shared" si="87"/>
        <v>27.460889999999996</v>
      </c>
      <c r="H4574" s="73"/>
      <c r="I4574" s="74"/>
      <c r="J4574" s="102">
        <v>0</v>
      </c>
    </row>
    <row r="4575" spans="1:10" ht="25.5" hidden="1" x14ac:dyDescent="0.25">
      <c r="A4575" s="224"/>
      <c r="B4575" s="237"/>
      <c r="C4575" s="36" t="s">
        <v>1360</v>
      </c>
      <c r="D4575" s="36" t="s">
        <v>479</v>
      </c>
      <c r="E4575" s="37">
        <f>4*1.05</f>
        <v>4.2</v>
      </c>
      <c r="F4575" s="54">
        <v>31.663499999999996</v>
      </c>
      <c r="G4575" s="54">
        <f t="shared" si="87"/>
        <v>132.98669999999998</v>
      </c>
      <c r="H4575" s="73"/>
      <c r="I4575" s="74"/>
      <c r="J4575" s="102">
        <v>0</v>
      </c>
    </row>
    <row r="4576" spans="1:10" hidden="1" x14ac:dyDescent="0.25">
      <c r="A4576" s="224"/>
      <c r="B4576" s="237"/>
      <c r="C4576" s="36" t="s">
        <v>704</v>
      </c>
      <c r="D4576" s="36" t="s">
        <v>703</v>
      </c>
      <c r="E4576" s="37">
        <f>0.207*2</f>
        <v>0.41399999999999998</v>
      </c>
      <c r="F4576" s="54">
        <v>16.1785</v>
      </c>
      <c r="G4576" s="54">
        <f t="shared" si="87"/>
        <v>6.6978989999999996</v>
      </c>
      <c r="H4576" s="73"/>
      <c r="I4576" s="74"/>
      <c r="J4576" s="102">
        <v>0</v>
      </c>
    </row>
    <row r="4577" spans="1:10" hidden="1" x14ac:dyDescent="0.25">
      <c r="A4577" s="224"/>
      <c r="B4577" s="237"/>
      <c r="C4577" s="36" t="s">
        <v>1302</v>
      </c>
      <c r="D4577" s="36" t="s">
        <v>703</v>
      </c>
      <c r="E4577" s="37">
        <f>0.112*2</f>
        <v>0.224</v>
      </c>
      <c r="F4577" s="54">
        <v>21.061500000000002</v>
      </c>
      <c r="G4577" s="54">
        <f t="shared" si="87"/>
        <v>4.7177760000000006</v>
      </c>
      <c r="H4577" s="73"/>
      <c r="I4577" s="74"/>
      <c r="J4577" s="102">
        <v>0</v>
      </c>
    </row>
    <row r="4578" spans="1:10" ht="25.5" hidden="1" x14ac:dyDescent="0.25">
      <c r="A4578" s="224"/>
      <c r="B4578" s="237"/>
      <c r="C4578" s="36" t="s">
        <v>1303</v>
      </c>
      <c r="D4578" s="36" t="s">
        <v>942</v>
      </c>
      <c r="E4578" s="37">
        <f>0.0132*2</f>
        <v>2.64E-2</v>
      </c>
      <c r="F4578" s="54">
        <v>17.983499999999999</v>
      </c>
      <c r="G4578" s="54">
        <f t="shared" si="87"/>
        <v>0.47476439999999998</v>
      </c>
      <c r="H4578" s="73"/>
      <c r="I4578" s="74"/>
      <c r="J4578" s="102">
        <v>0</v>
      </c>
    </row>
    <row r="4579" spans="1:10" ht="25.5" hidden="1" x14ac:dyDescent="0.25">
      <c r="A4579" s="224"/>
      <c r="B4579" s="237"/>
      <c r="C4579" s="36" t="s">
        <v>1304</v>
      </c>
      <c r="D4579" s="36" t="s">
        <v>944</v>
      </c>
      <c r="E4579" s="37">
        <f>0.0183*2</f>
        <v>3.6600000000000001E-2</v>
      </c>
      <c r="F4579" s="54">
        <v>17.128499999999999</v>
      </c>
      <c r="G4579" s="54">
        <f t="shared" si="87"/>
        <v>0.62690309999999994</v>
      </c>
      <c r="H4579" s="73"/>
      <c r="I4579" s="74"/>
      <c r="J4579" s="102">
        <v>0</v>
      </c>
    </row>
    <row r="4580" spans="1:10" ht="15.75" hidden="1" thickBot="1" x14ac:dyDescent="0.3">
      <c r="A4580" s="225"/>
      <c r="B4580" s="223"/>
      <c r="C4580" s="55"/>
      <c r="D4580" s="55"/>
      <c r="E4580" s="66"/>
      <c r="F4580" s="76" t="s">
        <v>522</v>
      </c>
      <c r="G4580" s="76" t="str">
        <f t="shared" si="87"/>
        <v/>
      </c>
      <c r="H4580" s="77"/>
      <c r="I4580" s="74"/>
      <c r="J4580" s="102">
        <v>0</v>
      </c>
    </row>
    <row r="4581" spans="1:10" ht="15.75" hidden="1" thickBot="1" x14ac:dyDescent="0.3">
      <c r="A4581" s="218" t="s">
        <v>1361</v>
      </c>
      <c r="B4581" s="221" t="e">
        <f>INDEX(#REF!,MATCH(Composições!A4581,#REF!,0),2)</f>
        <v>#REF!</v>
      </c>
      <c r="C4581" s="41"/>
      <c r="D4581" s="26" t="s">
        <v>93</v>
      </c>
      <c r="E4581" s="27"/>
      <c r="F4581" s="49" t="s">
        <v>522</v>
      </c>
      <c r="G4581" s="28" t="str">
        <f t="shared" si="87"/>
        <v/>
      </c>
      <c r="H4581" s="29"/>
      <c r="I4581" s="30"/>
      <c r="J4581" s="102">
        <v>0</v>
      </c>
    </row>
    <row r="4582" spans="1:10" hidden="1" x14ac:dyDescent="0.25">
      <c r="A4582" s="224"/>
      <c r="B4582" s="237"/>
      <c r="C4582" s="32"/>
      <c r="D4582" s="32"/>
      <c r="E4582" s="33"/>
      <c r="F4582" s="54" t="s">
        <v>522</v>
      </c>
      <c r="G4582" s="54" t="str">
        <f t="shared" si="87"/>
        <v/>
      </c>
      <c r="H4582" s="73"/>
      <c r="I4582" s="74"/>
      <c r="J4582" s="102">
        <v>0</v>
      </c>
    </row>
    <row r="4583" spans="1:10" ht="25.5" hidden="1" x14ac:dyDescent="0.25">
      <c r="A4583" s="224"/>
      <c r="B4583" s="237"/>
      <c r="C4583" s="36" t="s">
        <v>1897</v>
      </c>
      <c r="D4583" s="36" t="s">
        <v>898</v>
      </c>
      <c r="E4583" s="37">
        <v>0.02</v>
      </c>
      <c r="F4583" s="54">
        <v>24.738</v>
      </c>
      <c r="G4583" s="54">
        <f t="shared" si="87"/>
        <v>0.49475999999999998</v>
      </c>
      <c r="H4583" s="39">
        <f>SUM(G4583:G4596)</f>
        <v>109.18712220750001</v>
      </c>
      <c r="I4583" s="40"/>
      <c r="J4583" s="102">
        <v>0</v>
      </c>
    </row>
    <row r="4584" spans="1:10" ht="25.5" hidden="1" x14ac:dyDescent="0.25">
      <c r="A4584" s="224"/>
      <c r="B4584" s="237"/>
      <c r="C4584" s="36" t="s">
        <v>1285</v>
      </c>
      <c r="D4584" s="36" t="s">
        <v>109</v>
      </c>
      <c r="E4584" s="37">
        <v>0.04</v>
      </c>
      <c r="F4584" s="54">
        <v>144.36199999999999</v>
      </c>
      <c r="G4584" s="54">
        <f t="shared" si="87"/>
        <v>5.7744799999999996</v>
      </c>
      <c r="H4584" s="73"/>
      <c r="I4584" s="74"/>
      <c r="J4584" s="102">
        <v>0</v>
      </c>
    </row>
    <row r="4585" spans="1:10" hidden="1" x14ac:dyDescent="0.25">
      <c r="A4585" s="224"/>
      <c r="B4585" s="237"/>
      <c r="C4585" s="36" t="s">
        <v>901</v>
      </c>
      <c r="D4585" s="36" t="s">
        <v>703</v>
      </c>
      <c r="E4585" s="37">
        <v>0.8</v>
      </c>
      <c r="F4585" s="54">
        <v>21.365499999999997</v>
      </c>
      <c r="G4585" s="54">
        <f t="shared" si="87"/>
        <v>17.092399999999998</v>
      </c>
      <c r="H4585" s="73"/>
      <c r="I4585" s="74"/>
      <c r="J4585" s="102">
        <v>0</v>
      </c>
    </row>
    <row r="4586" spans="1:10" ht="25.5" hidden="1" x14ac:dyDescent="0.25">
      <c r="A4586" s="224"/>
      <c r="B4586" s="237"/>
      <c r="C4586" s="36" t="s">
        <v>1362</v>
      </c>
      <c r="D4586" s="36" t="s">
        <v>898</v>
      </c>
      <c r="E4586" s="37">
        <v>1.35</v>
      </c>
      <c r="F4586" s="54">
        <v>10.488</v>
      </c>
      <c r="G4586" s="54">
        <f t="shared" si="87"/>
        <v>14.158800000000001</v>
      </c>
      <c r="H4586" s="73"/>
      <c r="I4586" s="74"/>
      <c r="J4586" s="102">
        <v>0</v>
      </c>
    </row>
    <row r="4587" spans="1:10" hidden="1" x14ac:dyDescent="0.25">
      <c r="A4587" s="224"/>
      <c r="B4587" s="237"/>
      <c r="C4587" s="36" t="s">
        <v>78</v>
      </c>
      <c r="D4587" s="36" t="s">
        <v>703</v>
      </c>
      <c r="E4587" s="37">
        <v>0.7</v>
      </c>
      <c r="F4587" s="54">
        <v>21.2515</v>
      </c>
      <c r="G4587" s="54">
        <f t="shared" si="87"/>
        <v>14.876049999999999</v>
      </c>
      <c r="H4587" s="73"/>
      <c r="I4587" s="74"/>
      <c r="J4587" s="102">
        <v>0</v>
      </c>
    </row>
    <row r="4588" spans="1:10" hidden="1" x14ac:dyDescent="0.25">
      <c r="A4588" s="224"/>
      <c r="B4588" s="237"/>
      <c r="C4588" s="36" t="s">
        <v>1363</v>
      </c>
      <c r="D4588" s="36" t="s">
        <v>95</v>
      </c>
      <c r="E4588" s="37">
        <v>1</v>
      </c>
      <c r="F4588" s="54">
        <v>0</v>
      </c>
      <c r="G4588" s="54">
        <f t="shared" si="87"/>
        <v>0</v>
      </c>
      <c r="H4588" s="73"/>
      <c r="I4588" s="74"/>
      <c r="J4588" s="102">
        <v>0</v>
      </c>
    </row>
    <row r="4589" spans="1:10" ht="38.25" hidden="1" x14ac:dyDescent="0.25">
      <c r="A4589" s="224"/>
      <c r="B4589" s="237"/>
      <c r="C4589" s="36" t="s">
        <v>1364</v>
      </c>
      <c r="D4589" s="36" t="s">
        <v>942</v>
      </c>
      <c r="E4589" s="37">
        <v>0.02</v>
      </c>
      <c r="F4589" s="54">
        <v>4.8165000000000004</v>
      </c>
      <c r="G4589" s="54">
        <f t="shared" si="87"/>
        <v>9.6330000000000013E-2</v>
      </c>
      <c r="H4589" s="73"/>
      <c r="I4589" s="74"/>
      <c r="J4589" s="102">
        <v>0</v>
      </c>
    </row>
    <row r="4590" spans="1:10" hidden="1" x14ac:dyDescent="0.25">
      <c r="A4590" s="224"/>
      <c r="B4590" s="237"/>
      <c r="C4590" s="36" t="s">
        <v>748</v>
      </c>
      <c r="D4590" s="36" t="s">
        <v>898</v>
      </c>
      <c r="E4590" s="37">
        <v>17.36</v>
      </c>
      <c r="F4590" s="54">
        <v>0.58899999999999997</v>
      </c>
      <c r="G4590" s="54">
        <f t="shared" si="87"/>
        <v>10.22504</v>
      </c>
      <c r="H4590" s="73"/>
      <c r="I4590" s="74"/>
      <c r="J4590" s="102">
        <v>0</v>
      </c>
    </row>
    <row r="4591" spans="1:10" ht="25.5" hidden="1" x14ac:dyDescent="0.25">
      <c r="A4591" s="224"/>
      <c r="B4591" s="237"/>
      <c r="C4591" s="36" t="s">
        <v>757</v>
      </c>
      <c r="D4591" s="36" t="s">
        <v>109</v>
      </c>
      <c r="E4591" s="37">
        <v>0.09</v>
      </c>
      <c r="F4591" s="54">
        <v>163.65649999999999</v>
      </c>
      <c r="G4591" s="54">
        <f t="shared" si="87"/>
        <v>14.729085</v>
      </c>
      <c r="H4591" s="73"/>
      <c r="I4591" s="74"/>
      <c r="J4591" s="102">
        <v>0</v>
      </c>
    </row>
    <row r="4592" spans="1:10" hidden="1" x14ac:dyDescent="0.25">
      <c r="A4592" s="224"/>
      <c r="B4592" s="237"/>
      <c r="C4592" s="36" t="s">
        <v>1365</v>
      </c>
      <c r="D4592" s="36" t="s">
        <v>42</v>
      </c>
      <c r="E4592" s="37">
        <v>0.02</v>
      </c>
      <c r="F4592" s="54">
        <v>22.134999999999998</v>
      </c>
      <c r="G4592" s="54">
        <f t="shared" si="87"/>
        <v>0.44269999999999998</v>
      </c>
      <c r="H4592" s="73"/>
      <c r="I4592" s="74"/>
      <c r="J4592" s="102">
        <v>0</v>
      </c>
    </row>
    <row r="4593" spans="1:10" hidden="1" x14ac:dyDescent="0.25">
      <c r="A4593" s="224"/>
      <c r="B4593" s="237"/>
      <c r="C4593" s="36" t="s">
        <v>711</v>
      </c>
      <c r="D4593" s="36" t="s">
        <v>12</v>
      </c>
      <c r="E4593" s="37">
        <v>0.3</v>
      </c>
      <c r="F4593" s="54">
        <v>21.479499999999998</v>
      </c>
      <c r="G4593" s="54">
        <f t="shared" si="87"/>
        <v>6.4438499999999994</v>
      </c>
      <c r="H4593" s="73"/>
      <c r="I4593" s="74"/>
      <c r="J4593" s="102">
        <v>0</v>
      </c>
    </row>
    <row r="4594" spans="1:10" hidden="1" x14ac:dyDescent="0.25">
      <c r="A4594" s="224"/>
      <c r="B4594" s="237"/>
      <c r="C4594" s="36" t="s">
        <v>704</v>
      </c>
      <c r="D4594" s="36" t="s">
        <v>703</v>
      </c>
      <c r="E4594" s="37">
        <v>1.1000000000000001</v>
      </c>
      <c r="F4594" s="54">
        <v>16.1785</v>
      </c>
      <c r="G4594" s="54">
        <f t="shared" si="87"/>
        <v>17.79635</v>
      </c>
      <c r="H4594" s="73"/>
      <c r="I4594" s="74"/>
      <c r="J4594" s="102">
        <v>0</v>
      </c>
    </row>
    <row r="4595" spans="1:10" ht="51" hidden="1" x14ac:dyDescent="0.25">
      <c r="A4595" s="224"/>
      <c r="B4595" s="237"/>
      <c r="C4595" s="36" t="s">
        <v>1914</v>
      </c>
      <c r="D4595" s="36" t="s">
        <v>109</v>
      </c>
      <c r="E4595" s="37">
        <f>1*(E4584+E4591)</f>
        <v>0.13</v>
      </c>
      <c r="F4595" s="34">
        <v>7.0254067499999993</v>
      </c>
      <c r="G4595" s="34">
        <f t="shared" si="87"/>
        <v>0.91330287749999994</v>
      </c>
      <c r="H4595" s="35"/>
      <c r="I4595" s="31"/>
      <c r="J4595" s="102">
        <v>0</v>
      </c>
    </row>
    <row r="4596" spans="1:10" ht="38.25" hidden="1" x14ac:dyDescent="0.25">
      <c r="A4596" s="224"/>
      <c r="B4596" s="237"/>
      <c r="C4596" s="36" t="s">
        <v>121</v>
      </c>
      <c r="D4596" s="36" t="s">
        <v>122</v>
      </c>
      <c r="E4596" s="37">
        <f>(E4584+E4591)*20</f>
        <v>2.6</v>
      </c>
      <c r="F4596" s="54">
        <v>2.3630670500000002</v>
      </c>
      <c r="G4596" s="54">
        <f t="shared" si="87"/>
        <v>6.1439743300000007</v>
      </c>
      <c r="H4596" s="73"/>
      <c r="I4596" s="74"/>
      <c r="J4596" s="102">
        <v>0</v>
      </c>
    </row>
    <row r="4597" spans="1:10" hidden="1" x14ac:dyDescent="0.25">
      <c r="A4597" s="224"/>
      <c r="B4597" s="237"/>
      <c r="C4597" s="36"/>
      <c r="D4597" s="36"/>
      <c r="E4597" s="37"/>
      <c r="F4597" s="54" t="s">
        <v>522</v>
      </c>
      <c r="G4597" s="54" t="str">
        <f t="shared" si="87"/>
        <v/>
      </c>
      <c r="H4597" s="73"/>
      <c r="I4597" s="74"/>
      <c r="J4597" s="102">
        <v>0</v>
      </c>
    </row>
    <row r="4598" spans="1:10" ht="25.5" hidden="1" x14ac:dyDescent="0.25">
      <c r="A4598" s="224"/>
      <c r="B4598" s="237"/>
      <c r="C4598" s="48" t="s">
        <v>1273</v>
      </c>
      <c r="D4598" s="36"/>
      <c r="E4598" s="37"/>
      <c r="F4598" s="54" t="s">
        <v>522</v>
      </c>
      <c r="G4598" s="54" t="str">
        <f t="shared" si="87"/>
        <v/>
      </c>
      <c r="H4598" s="73"/>
      <c r="I4598" s="74"/>
      <c r="J4598" s="102">
        <v>0</v>
      </c>
    </row>
    <row r="4599" spans="1:10" ht="15.75" hidden="1" thickBot="1" x14ac:dyDescent="0.3">
      <c r="A4599" s="225"/>
      <c r="B4599" s="223"/>
      <c r="C4599" s="55"/>
      <c r="D4599" s="55"/>
      <c r="E4599" s="66"/>
      <c r="F4599" s="76" t="s">
        <v>522</v>
      </c>
      <c r="G4599" s="76" t="str">
        <f t="shared" si="87"/>
        <v/>
      </c>
      <c r="H4599" s="77"/>
      <c r="I4599" s="74"/>
      <c r="J4599" s="102">
        <v>0</v>
      </c>
    </row>
    <row r="4600" spans="1:10" ht="15.75" hidden="1" thickBot="1" x14ac:dyDescent="0.3">
      <c r="A4600" s="218" t="s">
        <v>1366</v>
      </c>
      <c r="B4600" s="221" t="e">
        <f>INDEX(#REF!,MATCH(Composições!A4600,#REF!,0),2)</f>
        <v>#REF!</v>
      </c>
      <c r="C4600" s="41"/>
      <c r="D4600" s="26" t="s">
        <v>95</v>
      </c>
      <c r="E4600" s="27"/>
      <c r="F4600" s="49" t="s">
        <v>522</v>
      </c>
      <c r="G4600" s="28" t="str">
        <f t="shared" si="87"/>
        <v/>
      </c>
      <c r="H4600" s="29"/>
      <c r="I4600" s="30"/>
      <c r="J4600" s="102">
        <v>0</v>
      </c>
    </row>
    <row r="4601" spans="1:10" hidden="1" x14ac:dyDescent="0.25">
      <c r="A4601" s="224"/>
      <c r="B4601" s="237"/>
      <c r="C4601" s="32"/>
      <c r="D4601" s="32"/>
      <c r="E4601" s="33"/>
      <c r="F4601" s="54" t="s">
        <v>522</v>
      </c>
      <c r="G4601" s="54" t="str">
        <f t="shared" si="87"/>
        <v/>
      </c>
      <c r="H4601" s="73"/>
      <c r="I4601" s="74"/>
      <c r="J4601" s="102">
        <v>0</v>
      </c>
    </row>
    <row r="4602" spans="1:10" ht="38.25" hidden="1" x14ac:dyDescent="0.25">
      <c r="A4602" s="224"/>
      <c r="B4602" s="237"/>
      <c r="C4602" s="36" t="s">
        <v>2395</v>
      </c>
      <c r="D4602" s="36" t="s">
        <v>992</v>
      </c>
      <c r="E4602" s="37">
        <f>ROUND(0.712*1.48,4)</f>
        <v>1.0538000000000001</v>
      </c>
      <c r="F4602" s="54">
        <v>18.2685</v>
      </c>
      <c r="G4602" s="54">
        <f t="shared" si="87"/>
        <v>19.251345300000001</v>
      </c>
      <c r="H4602" s="39">
        <f>SUM(G4602:G4606)</f>
        <v>21.439220000000002</v>
      </c>
      <c r="I4602" s="40"/>
      <c r="J4602" s="102">
        <v>0</v>
      </c>
    </row>
    <row r="4603" spans="1:10" ht="38.25" hidden="1" x14ac:dyDescent="0.25">
      <c r="A4603" s="224"/>
      <c r="B4603" s="237"/>
      <c r="C4603" s="36" t="s">
        <v>899</v>
      </c>
      <c r="D4603" s="36" t="s">
        <v>279</v>
      </c>
      <c r="E4603" s="37">
        <f>ROUND(1.382*1.48,4)</f>
        <v>2.0453999999999999</v>
      </c>
      <c r="F4603" s="54">
        <v>0.20899999999999999</v>
      </c>
      <c r="G4603" s="54">
        <f t="shared" si="87"/>
        <v>0.42748859999999994</v>
      </c>
      <c r="H4603" s="73"/>
      <c r="I4603" s="74"/>
      <c r="J4603" s="102">
        <v>0</v>
      </c>
    </row>
    <row r="4604" spans="1:10" ht="25.5" hidden="1" x14ac:dyDescent="0.25">
      <c r="A4604" s="224"/>
      <c r="B4604" s="237"/>
      <c r="C4604" s="36" t="s">
        <v>1897</v>
      </c>
      <c r="D4604" s="36" t="s">
        <v>898</v>
      </c>
      <c r="E4604" s="37">
        <f>ROUND(0.0105*1.48,4)</f>
        <v>1.55E-2</v>
      </c>
      <c r="F4604" s="54">
        <v>24.738</v>
      </c>
      <c r="G4604" s="54">
        <f t="shared" si="87"/>
        <v>0.38343899999999997</v>
      </c>
      <c r="H4604" s="73"/>
      <c r="I4604" s="74"/>
      <c r="J4604" s="102">
        <v>0</v>
      </c>
    </row>
    <row r="4605" spans="1:10" hidden="1" x14ac:dyDescent="0.25">
      <c r="A4605" s="224"/>
      <c r="B4605" s="237"/>
      <c r="C4605" s="36" t="s">
        <v>900</v>
      </c>
      <c r="D4605" s="36" t="s">
        <v>703</v>
      </c>
      <c r="E4605" s="37">
        <f>ROUND(0.006*1.48,4)</f>
        <v>8.8999999999999999E-3</v>
      </c>
      <c r="F4605" s="54">
        <v>16.197500000000002</v>
      </c>
      <c r="G4605" s="54">
        <f t="shared" si="87"/>
        <v>0.14415775</v>
      </c>
      <c r="H4605" s="73"/>
      <c r="I4605" s="74"/>
      <c r="J4605" s="102">
        <v>0</v>
      </c>
    </row>
    <row r="4606" spans="1:10" hidden="1" x14ac:dyDescent="0.25">
      <c r="A4606" s="224"/>
      <c r="B4606" s="237"/>
      <c r="C4606" s="36" t="s">
        <v>901</v>
      </c>
      <c r="D4606" s="36" t="s">
        <v>703</v>
      </c>
      <c r="E4606" s="37">
        <f>ROUND(0.039*1.48,4)</f>
        <v>5.7700000000000001E-2</v>
      </c>
      <c r="F4606" s="54">
        <v>21.365499999999997</v>
      </c>
      <c r="G4606" s="54">
        <f t="shared" si="87"/>
        <v>1.2327893499999998</v>
      </c>
      <c r="H4606" s="73"/>
      <c r="I4606" s="74"/>
      <c r="J4606" s="102">
        <v>0</v>
      </c>
    </row>
    <row r="4607" spans="1:10" hidden="1" x14ac:dyDescent="0.25">
      <c r="A4607" s="224"/>
      <c r="B4607" s="237"/>
      <c r="C4607" s="36"/>
      <c r="D4607" s="36"/>
      <c r="E4607" s="37"/>
      <c r="F4607" s="54" t="s">
        <v>522</v>
      </c>
      <c r="G4607" s="54" t="str">
        <f t="shared" si="87"/>
        <v/>
      </c>
      <c r="H4607" s="73"/>
      <c r="I4607" s="74"/>
      <c r="J4607" s="102">
        <v>0</v>
      </c>
    </row>
    <row r="4608" spans="1:10" ht="15.75" hidden="1" thickBot="1" x14ac:dyDescent="0.3">
      <c r="A4608" s="218" t="s">
        <v>1367</v>
      </c>
      <c r="B4608" s="221" t="e">
        <f>INDEX(#REF!,MATCH(Composições!A4608,#REF!,0),2)</f>
        <v>#REF!</v>
      </c>
      <c r="C4608" s="41"/>
      <c r="D4608" s="26" t="s">
        <v>95</v>
      </c>
      <c r="E4608" s="27"/>
      <c r="F4608" s="49" t="s">
        <v>522</v>
      </c>
      <c r="G4608" s="28" t="str">
        <f t="shared" si="87"/>
        <v/>
      </c>
      <c r="H4608" s="29"/>
      <c r="I4608" s="30"/>
      <c r="J4608" s="102">
        <v>0</v>
      </c>
    </row>
    <row r="4609" spans="1:10" hidden="1" x14ac:dyDescent="0.25">
      <c r="A4609" s="224"/>
      <c r="B4609" s="237"/>
      <c r="C4609" s="32"/>
      <c r="D4609" s="32"/>
      <c r="E4609" s="33"/>
      <c r="F4609" s="54" t="s">
        <v>522</v>
      </c>
      <c r="G4609" s="54" t="str">
        <f t="shared" si="87"/>
        <v/>
      </c>
      <c r="H4609" s="73"/>
      <c r="I4609" s="74"/>
      <c r="J4609" s="102">
        <v>0</v>
      </c>
    </row>
    <row r="4610" spans="1:10" ht="25.5" hidden="1" x14ac:dyDescent="0.25">
      <c r="A4610" s="224"/>
      <c r="B4610" s="237"/>
      <c r="C4610" s="36" t="s">
        <v>1368</v>
      </c>
      <c r="D4610" s="47" t="s">
        <v>1248</v>
      </c>
      <c r="E4610" s="37">
        <v>7.0000000000000001E-3</v>
      </c>
      <c r="F4610" s="54">
        <v>182.31449999999998</v>
      </c>
      <c r="G4610" s="54">
        <f t="shared" si="87"/>
        <v>1.2762015</v>
      </c>
      <c r="H4610" s="39">
        <f>SUM(G4610:G4615)</f>
        <v>52.423371199999998</v>
      </c>
      <c r="I4610" s="40"/>
      <c r="J4610" s="102">
        <v>0</v>
      </c>
    </row>
    <row r="4611" spans="1:10" ht="25.5" hidden="1" x14ac:dyDescent="0.25">
      <c r="A4611" s="224"/>
      <c r="B4611" s="237"/>
      <c r="C4611" s="36" t="s">
        <v>1369</v>
      </c>
      <c r="D4611" s="36" t="s">
        <v>898</v>
      </c>
      <c r="E4611" s="37">
        <v>4.3330000000000002</v>
      </c>
      <c r="F4611" s="54">
        <v>10.535499999999999</v>
      </c>
      <c r="G4611" s="54">
        <f t="shared" si="87"/>
        <v>45.650321499999997</v>
      </c>
      <c r="H4611" s="73"/>
      <c r="I4611" s="74"/>
      <c r="J4611" s="102">
        <v>0</v>
      </c>
    </row>
    <row r="4612" spans="1:10" ht="25.5" hidden="1" x14ac:dyDescent="0.25">
      <c r="A4612" s="224"/>
      <c r="B4612" s="237"/>
      <c r="C4612" s="36" t="s">
        <v>985</v>
      </c>
      <c r="D4612" s="36" t="s">
        <v>703</v>
      </c>
      <c r="E4612" s="37">
        <v>0.21299999999999999</v>
      </c>
      <c r="F4612" s="54">
        <v>16.4255</v>
      </c>
      <c r="G4612" s="54">
        <f t="shared" si="87"/>
        <v>3.4986314999999997</v>
      </c>
      <c r="H4612" s="73"/>
      <c r="I4612" s="74"/>
      <c r="J4612" s="102">
        <v>0</v>
      </c>
    </row>
    <row r="4613" spans="1:10" hidden="1" x14ac:dyDescent="0.25">
      <c r="A4613" s="224"/>
      <c r="B4613" s="237"/>
      <c r="C4613" s="36" t="s">
        <v>704</v>
      </c>
      <c r="D4613" s="36" t="s">
        <v>703</v>
      </c>
      <c r="E4613" s="37">
        <v>0.106</v>
      </c>
      <c r="F4613" s="54">
        <v>16.1785</v>
      </c>
      <c r="G4613" s="54">
        <f t="shared" si="87"/>
        <v>1.7149209999999999</v>
      </c>
      <c r="H4613" s="73"/>
      <c r="I4613" s="74"/>
      <c r="J4613" s="102">
        <v>0</v>
      </c>
    </row>
    <row r="4614" spans="1:10" ht="25.5" hidden="1" x14ac:dyDescent="0.25">
      <c r="A4614" s="224"/>
      <c r="B4614" s="237"/>
      <c r="C4614" s="36" t="s">
        <v>1303</v>
      </c>
      <c r="D4614" s="36" t="s">
        <v>942</v>
      </c>
      <c r="E4614" s="37">
        <v>6.7999999999999996E-3</v>
      </c>
      <c r="F4614" s="54">
        <v>17.983499999999999</v>
      </c>
      <c r="G4614" s="54">
        <f t="shared" si="87"/>
        <v>0.12228779999999999</v>
      </c>
      <c r="H4614" s="73"/>
      <c r="I4614" s="74"/>
      <c r="J4614" s="102">
        <v>0</v>
      </c>
    </row>
    <row r="4615" spans="1:10" ht="25.5" hidden="1" x14ac:dyDescent="0.25">
      <c r="A4615" s="224"/>
      <c r="B4615" s="237"/>
      <c r="C4615" s="36" t="s">
        <v>1304</v>
      </c>
      <c r="D4615" s="36" t="s">
        <v>944</v>
      </c>
      <c r="E4615" s="37">
        <v>9.4000000000000004E-3</v>
      </c>
      <c r="F4615" s="54">
        <v>17.128499999999999</v>
      </c>
      <c r="G4615" s="54">
        <f t="shared" si="87"/>
        <v>0.16100790000000001</v>
      </c>
      <c r="H4615" s="73"/>
      <c r="I4615" s="74"/>
      <c r="J4615" s="102">
        <v>0</v>
      </c>
    </row>
    <row r="4616" spans="1:10" ht="15.75" hidden="1" thickBot="1" x14ac:dyDescent="0.3">
      <c r="A4616" s="225"/>
      <c r="B4616" s="223"/>
      <c r="C4616" s="55"/>
      <c r="D4616" s="55"/>
      <c r="E4616" s="66"/>
      <c r="F4616" s="76" t="s">
        <v>522</v>
      </c>
      <c r="G4616" s="76" t="str">
        <f t="shared" si="87"/>
        <v/>
      </c>
      <c r="H4616" s="77"/>
      <c r="I4616" s="74"/>
      <c r="J4616" s="102">
        <v>0</v>
      </c>
    </row>
    <row r="4617" spans="1:10" ht="15.75" hidden="1" thickBot="1" x14ac:dyDescent="0.3">
      <c r="A4617" s="218" t="s">
        <v>1370</v>
      </c>
      <c r="B4617" s="221" t="e">
        <f>INDEX(#REF!,MATCH(Composições!A4617,#REF!,0),2)</f>
        <v>#REF!</v>
      </c>
      <c r="C4617" s="41"/>
      <c r="D4617" s="26" t="s">
        <v>95</v>
      </c>
      <c r="E4617" s="27"/>
      <c r="F4617" s="49" t="s">
        <v>522</v>
      </c>
      <c r="G4617" s="28" t="str">
        <f t="shared" si="87"/>
        <v/>
      </c>
      <c r="H4617" s="29"/>
      <c r="I4617" s="30"/>
      <c r="J4617" s="102">
        <v>0</v>
      </c>
    </row>
    <row r="4618" spans="1:10" hidden="1" x14ac:dyDescent="0.25">
      <c r="A4618" s="224"/>
      <c r="B4618" s="237"/>
      <c r="C4618" s="32"/>
      <c r="D4618" s="32"/>
      <c r="E4618" s="33"/>
      <c r="F4618" s="54" t="s">
        <v>522</v>
      </c>
      <c r="G4618" s="54" t="str">
        <f t="shared" si="87"/>
        <v/>
      </c>
      <c r="H4618" s="73"/>
      <c r="I4618" s="74"/>
      <c r="J4618" s="102">
        <v>0</v>
      </c>
    </row>
    <row r="4619" spans="1:10" hidden="1" x14ac:dyDescent="0.25">
      <c r="A4619" s="224"/>
      <c r="B4619" s="237"/>
      <c r="C4619" s="36" t="s">
        <v>1049</v>
      </c>
      <c r="D4619" s="36" t="s">
        <v>703</v>
      </c>
      <c r="E4619" s="37">
        <v>0.1</v>
      </c>
      <c r="F4619" s="54">
        <v>18.277999999999999</v>
      </c>
      <c r="G4619" s="54">
        <f t="shared" si="87"/>
        <v>1.8277999999999999</v>
      </c>
      <c r="H4619" s="39">
        <f>SUM(G4619:G4621)</f>
        <v>6.327</v>
      </c>
      <c r="I4619" s="40"/>
      <c r="J4619" s="102">
        <v>0</v>
      </c>
    </row>
    <row r="4620" spans="1:10" hidden="1" x14ac:dyDescent="0.25">
      <c r="A4620" s="224"/>
      <c r="B4620" s="237"/>
      <c r="C4620" s="36" t="s">
        <v>1095</v>
      </c>
      <c r="D4620" s="36" t="s">
        <v>703</v>
      </c>
      <c r="E4620" s="37">
        <v>0.2</v>
      </c>
      <c r="F4620" s="54">
        <v>22.495999999999999</v>
      </c>
      <c r="G4620" s="54">
        <f t="shared" si="87"/>
        <v>4.4992000000000001</v>
      </c>
      <c r="H4620" s="73"/>
      <c r="I4620" s="74"/>
      <c r="J4620" s="102">
        <v>0</v>
      </c>
    </row>
    <row r="4621" spans="1:10" hidden="1" x14ac:dyDescent="0.25">
      <c r="A4621" s="224"/>
      <c r="B4621" s="237"/>
      <c r="C4621" s="36" t="s">
        <v>1927</v>
      </c>
      <c r="D4621" s="36" t="s">
        <v>102</v>
      </c>
      <c r="E4621" s="37">
        <f>2*3.6/75</f>
        <v>9.6000000000000002E-2</v>
      </c>
      <c r="F4621" s="54" t="s">
        <v>522</v>
      </c>
      <c r="G4621" s="54" t="str">
        <f t="shared" si="87"/>
        <v/>
      </c>
      <c r="H4621" s="73"/>
      <c r="I4621" s="74"/>
      <c r="J4621" s="102">
        <v>0</v>
      </c>
    </row>
    <row r="4622" spans="1:10" hidden="1" x14ac:dyDescent="0.25">
      <c r="A4622" s="224"/>
      <c r="B4622" s="237"/>
      <c r="C4622" s="36"/>
      <c r="D4622" s="36"/>
      <c r="E4622" s="37"/>
      <c r="F4622" s="54" t="s">
        <v>522</v>
      </c>
      <c r="G4622" s="54" t="str">
        <f t="shared" si="87"/>
        <v/>
      </c>
      <c r="H4622" s="73"/>
      <c r="I4622" s="74"/>
      <c r="J4622" s="102">
        <v>0</v>
      </c>
    </row>
    <row r="4623" spans="1:10" ht="38.25" hidden="1" x14ac:dyDescent="0.25">
      <c r="A4623" s="224"/>
      <c r="B4623" s="237"/>
      <c r="C4623" s="48" t="s">
        <v>1371</v>
      </c>
      <c r="D4623" s="36"/>
      <c r="E4623" s="37"/>
      <c r="F4623" s="54" t="s">
        <v>522</v>
      </c>
      <c r="G4623" s="54" t="str">
        <f t="shared" si="87"/>
        <v/>
      </c>
      <c r="H4623" s="73"/>
      <c r="I4623" s="74"/>
      <c r="J4623" s="102">
        <v>0</v>
      </c>
    </row>
    <row r="4624" spans="1:10" hidden="1" x14ac:dyDescent="0.25">
      <c r="A4624" s="224"/>
      <c r="B4624" s="237"/>
      <c r="C4624" s="36"/>
      <c r="D4624" s="36"/>
      <c r="E4624" s="37"/>
      <c r="F4624" s="54" t="s">
        <v>522</v>
      </c>
      <c r="G4624" s="54" t="str">
        <f t="shared" si="87"/>
        <v/>
      </c>
      <c r="H4624" s="73"/>
      <c r="I4624" s="74"/>
      <c r="J4624" s="102">
        <v>0</v>
      </c>
    </row>
    <row r="4625" spans="1:10" ht="15.75" hidden="1" thickBot="1" x14ac:dyDescent="0.3">
      <c r="A4625" s="218" t="s">
        <v>1372</v>
      </c>
      <c r="B4625" s="221" t="e">
        <f>INDEX(#REF!,MATCH(Composições!A4625,#REF!,0),2)</f>
        <v>#REF!</v>
      </c>
      <c r="C4625" s="41"/>
      <c r="D4625" s="26" t="s">
        <v>95</v>
      </c>
      <c r="E4625" s="27"/>
      <c r="F4625" s="49" t="s">
        <v>522</v>
      </c>
      <c r="G4625" s="28" t="str">
        <f t="shared" si="87"/>
        <v/>
      </c>
      <c r="H4625" s="29"/>
      <c r="I4625" s="30"/>
      <c r="J4625" s="102">
        <v>0</v>
      </c>
    </row>
    <row r="4626" spans="1:10" hidden="1" x14ac:dyDescent="0.25">
      <c r="A4626" s="224"/>
      <c r="B4626" s="237"/>
      <c r="C4626" s="32"/>
      <c r="D4626" s="32"/>
      <c r="E4626" s="33"/>
      <c r="F4626" s="54" t="s">
        <v>522</v>
      </c>
      <c r="G4626" s="54" t="str">
        <f t="shared" si="87"/>
        <v/>
      </c>
      <c r="H4626" s="73"/>
      <c r="I4626" s="74"/>
      <c r="J4626" s="102">
        <v>0</v>
      </c>
    </row>
    <row r="4627" spans="1:10" hidden="1" x14ac:dyDescent="0.25">
      <c r="A4627" s="224"/>
      <c r="B4627" s="237"/>
      <c r="C4627" s="36" t="s">
        <v>1049</v>
      </c>
      <c r="D4627" s="36" t="s">
        <v>703</v>
      </c>
      <c r="E4627" s="37">
        <v>0.1</v>
      </c>
      <c r="F4627" s="54">
        <v>18.277999999999999</v>
      </c>
      <c r="G4627" s="54">
        <f t="shared" si="87"/>
        <v>1.8277999999999999</v>
      </c>
      <c r="H4627" s="39">
        <f>SUM(G4627:G4629)</f>
        <v>6.327</v>
      </c>
      <c r="I4627" s="40"/>
      <c r="J4627" s="102">
        <v>0</v>
      </c>
    </row>
    <row r="4628" spans="1:10" hidden="1" x14ac:dyDescent="0.25">
      <c r="A4628" s="224"/>
      <c r="B4628" s="237"/>
      <c r="C4628" s="36" t="s">
        <v>1095</v>
      </c>
      <c r="D4628" s="36" t="s">
        <v>703</v>
      </c>
      <c r="E4628" s="37">
        <v>0.2</v>
      </c>
      <c r="F4628" s="54">
        <v>22.495999999999999</v>
      </c>
      <c r="G4628" s="54">
        <f t="shared" si="87"/>
        <v>4.4992000000000001</v>
      </c>
      <c r="H4628" s="73"/>
      <c r="I4628" s="74"/>
      <c r="J4628" s="102">
        <v>0</v>
      </c>
    </row>
    <row r="4629" spans="1:10" hidden="1" x14ac:dyDescent="0.25">
      <c r="A4629" s="224"/>
      <c r="B4629" s="237"/>
      <c r="C4629" s="36" t="s">
        <v>1373</v>
      </c>
      <c r="D4629" s="36" t="s">
        <v>102</v>
      </c>
      <c r="E4629" s="37">
        <v>0.5</v>
      </c>
      <c r="F4629" s="54">
        <v>0</v>
      </c>
      <c r="G4629" s="54">
        <f t="shared" si="87"/>
        <v>0</v>
      </c>
      <c r="H4629" s="73"/>
      <c r="I4629" s="74"/>
      <c r="J4629" s="102">
        <v>0</v>
      </c>
    </row>
    <row r="4630" spans="1:10" hidden="1" x14ac:dyDescent="0.25">
      <c r="A4630" s="224"/>
      <c r="B4630" s="237"/>
      <c r="C4630" s="36"/>
      <c r="D4630" s="36"/>
      <c r="E4630" s="37"/>
      <c r="F4630" s="54" t="s">
        <v>522</v>
      </c>
      <c r="G4630" s="54" t="str">
        <f t="shared" si="87"/>
        <v/>
      </c>
      <c r="H4630" s="73"/>
      <c r="I4630" s="74"/>
      <c r="J4630" s="102">
        <v>0</v>
      </c>
    </row>
    <row r="4631" spans="1:10" ht="15.75" hidden="1" thickBot="1" x14ac:dyDescent="0.3">
      <c r="A4631" s="218" t="s">
        <v>1374</v>
      </c>
      <c r="B4631" s="221" t="e">
        <f>INDEX(#REF!,MATCH(Composições!A4631,#REF!,0),2)</f>
        <v>#REF!</v>
      </c>
      <c r="C4631" s="41"/>
      <c r="D4631" s="26" t="s">
        <v>109</v>
      </c>
      <c r="E4631" s="27"/>
      <c r="F4631" s="49" t="s">
        <v>522</v>
      </c>
      <c r="G4631" s="28" t="str">
        <f t="shared" si="87"/>
        <v/>
      </c>
      <c r="H4631" s="29"/>
      <c r="I4631" s="30"/>
      <c r="J4631" s="102">
        <v>0</v>
      </c>
    </row>
    <row r="4632" spans="1:10" hidden="1" x14ac:dyDescent="0.25">
      <c r="A4632" s="224"/>
      <c r="B4632" s="237"/>
      <c r="C4632" s="32"/>
      <c r="D4632" s="32"/>
      <c r="E4632" s="33"/>
      <c r="F4632" s="54" t="s">
        <v>522</v>
      </c>
      <c r="G4632" s="54" t="str">
        <f t="shared" si="87"/>
        <v/>
      </c>
      <c r="H4632" s="73"/>
      <c r="I4632" s="74"/>
      <c r="J4632" s="102">
        <v>0</v>
      </c>
    </row>
    <row r="4633" spans="1:10" hidden="1" x14ac:dyDescent="0.25">
      <c r="A4633" s="224"/>
      <c r="B4633" s="237"/>
      <c r="C4633" s="36" t="s">
        <v>704</v>
      </c>
      <c r="D4633" s="36" t="s">
        <v>703</v>
      </c>
      <c r="E4633" s="37">
        <v>6.5</v>
      </c>
      <c r="F4633" s="54">
        <v>16.1785</v>
      </c>
      <c r="G4633" s="54">
        <f t="shared" ref="G4633:G4696" si="88">IF(ISNUMBER(F4633),E4633*F4633,"")</f>
        <v>105.16024999999999</v>
      </c>
      <c r="H4633" s="39">
        <f>SUM(G4633:G4639)</f>
        <v>898.6598931945</v>
      </c>
      <c r="I4633" s="40"/>
      <c r="J4633" s="102">
        <v>0</v>
      </c>
    </row>
    <row r="4634" spans="1:10" ht="25.5" hidden="1" x14ac:dyDescent="0.25">
      <c r="A4634" s="224"/>
      <c r="B4634" s="237"/>
      <c r="C4634" s="36" t="s">
        <v>752</v>
      </c>
      <c r="D4634" s="36" t="s">
        <v>109</v>
      </c>
      <c r="E4634" s="37">
        <v>0.35799999999999998</v>
      </c>
      <c r="F4634" s="54">
        <v>142.5</v>
      </c>
      <c r="G4634" s="54">
        <f t="shared" si="88"/>
        <v>51.015000000000001</v>
      </c>
      <c r="H4634" s="73"/>
      <c r="I4634" s="74"/>
      <c r="J4634" s="102">
        <v>0</v>
      </c>
    </row>
    <row r="4635" spans="1:10" hidden="1" x14ac:dyDescent="0.25">
      <c r="A4635" s="224"/>
      <c r="B4635" s="237"/>
      <c r="C4635" s="36" t="s">
        <v>748</v>
      </c>
      <c r="D4635" s="36" t="s">
        <v>898</v>
      </c>
      <c r="E4635" s="37">
        <v>400</v>
      </c>
      <c r="F4635" s="54">
        <v>0.58899999999999997</v>
      </c>
      <c r="G4635" s="54">
        <f t="shared" si="88"/>
        <v>235.6</v>
      </c>
      <c r="H4635" s="73"/>
      <c r="I4635" s="74"/>
      <c r="J4635" s="102">
        <v>0</v>
      </c>
    </row>
    <row r="4636" spans="1:10" ht="25.5" hidden="1" x14ac:dyDescent="0.25">
      <c r="A4636" s="224"/>
      <c r="B4636" s="237"/>
      <c r="C4636" s="36" t="s">
        <v>1375</v>
      </c>
      <c r="D4636" s="36" t="s">
        <v>42</v>
      </c>
      <c r="E4636" s="37">
        <v>10.5</v>
      </c>
      <c r="F4636" s="54">
        <v>46.369500000000002</v>
      </c>
      <c r="G4636" s="54">
        <f t="shared" si="88"/>
        <v>486.87975</v>
      </c>
      <c r="H4636" s="73"/>
      <c r="I4636" s="74"/>
      <c r="J4636" s="102">
        <v>0</v>
      </c>
    </row>
    <row r="4637" spans="1:10" ht="38.25" hidden="1" x14ac:dyDescent="0.25">
      <c r="A4637" s="224"/>
      <c r="B4637" s="237"/>
      <c r="C4637" s="36" t="s">
        <v>117</v>
      </c>
      <c r="D4637" s="36" t="s">
        <v>942</v>
      </c>
      <c r="E4637" s="37">
        <v>0.34300000000000003</v>
      </c>
      <c r="F4637" s="54">
        <v>1.6624999999999999</v>
      </c>
      <c r="G4637" s="54">
        <f t="shared" si="88"/>
        <v>0.57023749999999995</v>
      </c>
      <c r="H4637" s="73"/>
      <c r="I4637" s="74"/>
      <c r="J4637" s="102">
        <v>0</v>
      </c>
    </row>
    <row r="4638" spans="1:10" ht="51" hidden="1" x14ac:dyDescent="0.25">
      <c r="A4638" s="224"/>
      <c r="B4638" s="237"/>
      <c r="C4638" s="36" t="s">
        <v>1914</v>
      </c>
      <c r="D4638" s="36" t="s">
        <v>109</v>
      </c>
      <c r="E4638" s="37">
        <f>1*E4634</f>
        <v>0.35799999999999998</v>
      </c>
      <c r="F4638" s="34">
        <v>7.0254067499999993</v>
      </c>
      <c r="G4638" s="34">
        <f t="shared" si="88"/>
        <v>2.5150956164999996</v>
      </c>
      <c r="H4638" s="35"/>
      <c r="I4638" s="31"/>
      <c r="J4638" s="102">
        <v>0</v>
      </c>
    </row>
    <row r="4639" spans="1:10" ht="38.25" hidden="1" x14ac:dyDescent="0.25">
      <c r="A4639" s="224"/>
      <c r="B4639" s="237"/>
      <c r="C4639" s="36" t="s">
        <v>121</v>
      </c>
      <c r="D4639" s="36" t="s">
        <v>122</v>
      </c>
      <c r="E4639" s="37">
        <f>E4634*20</f>
        <v>7.16</v>
      </c>
      <c r="F4639" s="54">
        <v>2.3630670500000002</v>
      </c>
      <c r="G4639" s="54">
        <f t="shared" si="88"/>
        <v>16.919560078</v>
      </c>
      <c r="H4639" s="73"/>
      <c r="I4639" s="74"/>
      <c r="J4639" s="102">
        <v>0</v>
      </c>
    </row>
    <row r="4640" spans="1:10" hidden="1" x14ac:dyDescent="0.25">
      <c r="A4640" s="224"/>
      <c r="B4640" s="237"/>
      <c r="C4640" s="36"/>
      <c r="D4640" s="36"/>
      <c r="E4640" s="37"/>
      <c r="F4640" s="54" t="s">
        <v>522</v>
      </c>
      <c r="G4640" s="54" t="str">
        <f t="shared" si="88"/>
        <v/>
      </c>
      <c r="H4640" s="73"/>
      <c r="I4640" s="74"/>
      <c r="J4640" s="102">
        <v>0</v>
      </c>
    </row>
    <row r="4641" spans="1:10" hidden="1" x14ac:dyDescent="0.25">
      <c r="A4641" s="224"/>
      <c r="B4641" s="237"/>
      <c r="C4641" s="48" t="s">
        <v>1376</v>
      </c>
      <c r="D4641" s="36"/>
      <c r="E4641" s="37"/>
      <c r="F4641" s="54" t="s">
        <v>522</v>
      </c>
      <c r="G4641" s="54" t="str">
        <f t="shared" si="88"/>
        <v/>
      </c>
      <c r="H4641" s="73"/>
      <c r="I4641" s="74"/>
      <c r="J4641" s="102">
        <v>0</v>
      </c>
    </row>
    <row r="4642" spans="1:10" hidden="1" x14ac:dyDescent="0.25">
      <c r="A4642" s="224"/>
      <c r="B4642" s="237"/>
      <c r="C4642" s="36"/>
      <c r="D4642" s="36"/>
      <c r="E4642" s="37"/>
      <c r="F4642" s="54" t="s">
        <v>522</v>
      </c>
      <c r="G4642" s="54" t="str">
        <f t="shared" si="88"/>
        <v/>
      </c>
      <c r="H4642" s="73"/>
      <c r="I4642" s="74"/>
      <c r="J4642" s="102">
        <v>0</v>
      </c>
    </row>
    <row r="4643" spans="1:10" ht="15.75" hidden="1" thickBot="1" x14ac:dyDescent="0.3">
      <c r="A4643" s="218" t="s">
        <v>1377</v>
      </c>
      <c r="B4643" s="221" t="e">
        <f>INDEX(#REF!,MATCH(Composições!A4643,#REF!,0),2)</f>
        <v>#REF!</v>
      </c>
      <c r="C4643" s="41"/>
      <c r="D4643" s="26" t="s">
        <v>95</v>
      </c>
      <c r="E4643" s="27"/>
      <c r="F4643" s="49" t="s">
        <v>522</v>
      </c>
      <c r="G4643" s="28" t="str">
        <f t="shared" si="88"/>
        <v/>
      </c>
      <c r="H4643" s="29"/>
      <c r="I4643" s="30"/>
      <c r="J4643" s="102">
        <v>0</v>
      </c>
    </row>
    <row r="4644" spans="1:10" hidden="1" x14ac:dyDescent="0.25">
      <c r="A4644" s="224"/>
      <c r="B4644" s="237"/>
      <c r="C4644" s="32"/>
      <c r="D4644" s="32"/>
      <c r="E4644" s="33"/>
      <c r="F4644" s="54" t="s">
        <v>522</v>
      </c>
      <c r="G4644" s="54" t="str">
        <f t="shared" si="88"/>
        <v/>
      </c>
      <c r="H4644" s="73"/>
      <c r="I4644" s="74"/>
      <c r="J4644" s="102">
        <v>0</v>
      </c>
    </row>
    <row r="4645" spans="1:10" ht="25.5" hidden="1" x14ac:dyDescent="0.25">
      <c r="A4645" s="224"/>
      <c r="B4645" s="237"/>
      <c r="C4645" s="36" t="s">
        <v>1378</v>
      </c>
      <c r="D4645" s="36" t="s">
        <v>102</v>
      </c>
      <c r="E4645" s="37">
        <v>0.35</v>
      </c>
      <c r="F4645" s="54">
        <v>14.791499999999999</v>
      </c>
      <c r="G4645" s="54">
        <f t="shared" si="88"/>
        <v>5.1770249999999995</v>
      </c>
      <c r="H4645" s="39">
        <f>SUM(G4645:G4646)</f>
        <v>6.6256799999999991</v>
      </c>
      <c r="I4645" s="40"/>
      <c r="J4645" s="102">
        <v>0</v>
      </c>
    </row>
    <row r="4646" spans="1:10" hidden="1" x14ac:dyDescent="0.25">
      <c r="A4646" s="224"/>
      <c r="B4646" s="237"/>
      <c r="C4646" s="36" t="s">
        <v>1379</v>
      </c>
      <c r="D4646" s="36" t="s">
        <v>703</v>
      </c>
      <c r="E4646" s="37">
        <v>8.5000000000000006E-2</v>
      </c>
      <c r="F4646" s="54">
        <v>17.042999999999999</v>
      </c>
      <c r="G4646" s="54">
        <f t="shared" si="88"/>
        <v>1.448655</v>
      </c>
      <c r="H4646" s="73"/>
      <c r="I4646" s="74"/>
      <c r="J4646" s="102">
        <v>0</v>
      </c>
    </row>
    <row r="4647" spans="1:10" hidden="1" x14ac:dyDescent="0.25">
      <c r="A4647" s="224"/>
      <c r="B4647" s="237"/>
      <c r="C4647" s="36"/>
      <c r="D4647" s="36"/>
      <c r="E4647" s="37"/>
      <c r="F4647" s="54" t="s">
        <v>522</v>
      </c>
      <c r="G4647" s="54" t="str">
        <f t="shared" si="88"/>
        <v/>
      </c>
      <c r="H4647" s="73"/>
      <c r="I4647" s="74"/>
      <c r="J4647" s="102">
        <v>0</v>
      </c>
    </row>
    <row r="4648" spans="1:10" ht="25.5" hidden="1" x14ac:dyDescent="0.25">
      <c r="A4648" s="224"/>
      <c r="B4648" s="237"/>
      <c r="C4648" s="48" t="s">
        <v>1380</v>
      </c>
      <c r="D4648" s="36"/>
      <c r="E4648" s="37"/>
      <c r="F4648" s="54" t="s">
        <v>522</v>
      </c>
      <c r="G4648" s="54" t="str">
        <f t="shared" si="88"/>
        <v/>
      </c>
      <c r="H4648" s="73"/>
      <c r="I4648" s="74"/>
      <c r="J4648" s="102">
        <v>0</v>
      </c>
    </row>
    <row r="4649" spans="1:10" hidden="1" x14ac:dyDescent="0.25">
      <c r="A4649" s="224"/>
      <c r="B4649" s="237"/>
      <c r="C4649" s="100" t="s">
        <v>1381</v>
      </c>
      <c r="D4649" s="36"/>
      <c r="E4649" s="37"/>
      <c r="F4649" s="54" t="s">
        <v>522</v>
      </c>
      <c r="G4649" s="54" t="str">
        <f t="shared" si="88"/>
        <v/>
      </c>
      <c r="H4649" s="73"/>
      <c r="I4649" s="74"/>
      <c r="J4649" s="102">
        <v>0</v>
      </c>
    </row>
    <row r="4650" spans="1:10" ht="15.75" hidden="1" thickBot="1" x14ac:dyDescent="0.3">
      <c r="A4650" s="225"/>
      <c r="B4650" s="223"/>
      <c r="C4650" s="36"/>
      <c r="D4650" s="36"/>
      <c r="E4650" s="37"/>
      <c r="F4650" s="54" t="s">
        <v>522</v>
      </c>
      <c r="G4650" s="54" t="str">
        <f t="shared" si="88"/>
        <v/>
      </c>
      <c r="H4650" s="73"/>
      <c r="I4650" s="74"/>
      <c r="J4650" s="102">
        <v>0</v>
      </c>
    </row>
    <row r="4651" spans="1:10" ht="15.75" hidden="1" thickBot="1" x14ac:dyDescent="0.3">
      <c r="A4651" s="218" t="s">
        <v>1382</v>
      </c>
      <c r="B4651" s="221" t="e">
        <f>INDEX(#REF!,MATCH(Composições!A4651,#REF!,0),2)</f>
        <v>#REF!</v>
      </c>
      <c r="C4651" s="41"/>
      <c r="D4651" s="26" t="s">
        <v>95</v>
      </c>
      <c r="E4651" s="27"/>
      <c r="F4651" s="49" t="s">
        <v>522</v>
      </c>
      <c r="G4651" s="28" t="str">
        <f t="shared" si="88"/>
        <v/>
      </c>
      <c r="H4651" s="29"/>
      <c r="I4651" s="30"/>
      <c r="J4651" s="102">
        <v>0</v>
      </c>
    </row>
    <row r="4652" spans="1:10" hidden="1" x14ac:dyDescent="0.25">
      <c r="A4652" s="224"/>
      <c r="B4652" s="237"/>
      <c r="C4652" s="32"/>
      <c r="D4652" s="32"/>
      <c r="E4652" s="33"/>
      <c r="F4652" s="54" t="s">
        <v>522</v>
      </c>
      <c r="G4652" s="54" t="str">
        <f t="shared" si="88"/>
        <v/>
      </c>
      <c r="H4652" s="73"/>
      <c r="I4652" s="74"/>
      <c r="J4652" s="102">
        <v>0</v>
      </c>
    </row>
    <row r="4653" spans="1:10" hidden="1" x14ac:dyDescent="0.25">
      <c r="A4653" s="224"/>
      <c r="B4653" s="237"/>
      <c r="C4653" s="36" t="s">
        <v>1383</v>
      </c>
      <c r="D4653" s="36" t="s">
        <v>898</v>
      </c>
      <c r="E4653" s="37">
        <v>2</v>
      </c>
      <c r="F4653" s="54">
        <v>61.949499999999993</v>
      </c>
      <c r="G4653" s="54">
        <f t="shared" si="88"/>
        <v>123.89899999999999</v>
      </c>
      <c r="H4653" s="39">
        <f>SUM(G4653:G4655)</f>
        <v>135.75936999999999</v>
      </c>
      <c r="I4653" s="40"/>
      <c r="J4653" s="102">
        <v>0</v>
      </c>
    </row>
    <row r="4654" spans="1:10" hidden="1" x14ac:dyDescent="0.25">
      <c r="A4654" s="224"/>
      <c r="B4654" s="237"/>
      <c r="C4654" s="36" t="s">
        <v>1379</v>
      </c>
      <c r="D4654" s="36" t="s">
        <v>703</v>
      </c>
      <c r="E4654" s="37">
        <v>9.6000000000000002E-2</v>
      </c>
      <c r="F4654" s="54">
        <v>17.042999999999999</v>
      </c>
      <c r="G4654" s="54">
        <f t="shared" si="88"/>
        <v>1.636128</v>
      </c>
      <c r="H4654" s="73"/>
      <c r="I4654" s="74"/>
      <c r="J4654" s="102">
        <v>0</v>
      </c>
    </row>
    <row r="4655" spans="1:10" hidden="1" x14ac:dyDescent="0.25">
      <c r="A4655" s="224"/>
      <c r="B4655" s="237"/>
      <c r="C4655" s="36" t="s">
        <v>1014</v>
      </c>
      <c r="D4655" s="36" t="s">
        <v>703</v>
      </c>
      <c r="E4655" s="37">
        <v>0.47599999999999998</v>
      </c>
      <c r="F4655" s="54">
        <v>21.479499999999998</v>
      </c>
      <c r="G4655" s="54">
        <f t="shared" si="88"/>
        <v>10.224241999999998</v>
      </c>
      <c r="H4655" s="73"/>
      <c r="I4655" s="74"/>
      <c r="J4655" s="102">
        <v>0</v>
      </c>
    </row>
    <row r="4656" spans="1:10" hidden="1" x14ac:dyDescent="0.25">
      <c r="A4656" s="224"/>
      <c r="B4656" s="237"/>
      <c r="C4656" s="36"/>
      <c r="D4656" s="36"/>
      <c r="E4656" s="37"/>
      <c r="F4656" s="54" t="s">
        <v>522</v>
      </c>
      <c r="G4656" s="54" t="str">
        <f t="shared" si="88"/>
        <v/>
      </c>
      <c r="H4656" s="73"/>
      <c r="I4656" s="74"/>
      <c r="J4656" s="102">
        <v>0</v>
      </c>
    </row>
    <row r="4657" spans="1:10" ht="15.75" hidden="1" thickBot="1" x14ac:dyDescent="0.3">
      <c r="A4657" s="218" t="s">
        <v>1384</v>
      </c>
      <c r="B4657" s="221" t="e">
        <f>INDEX(#REF!,MATCH(Composições!A4657,#REF!,0),2)</f>
        <v>#REF!</v>
      </c>
      <c r="C4657" s="41"/>
      <c r="D4657" s="26" t="s">
        <v>95</v>
      </c>
      <c r="E4657" s="27"/>
      <c r="F4657" s="49" t="s">
        <v>522</v>
      </c>
      <c r="G4657" s="28" t="str">
        <f t="shared" si="88"/>
        <v/>
      </c>
      <c r="H4657" s="29"/>
      <c r="I4657" s="30"/>
      <c r="J4657" s="102">
        <v>0</v>
      </c>
    </row>
    <row r="4658" spans="1:10" hidden="1" x14ac:dyDescent="0.25">
      <c r="A4658" s="224"/>
      <c r="B4658" s="237"/>
      <c r="C4658" s="32"/>
      <c r="D4658" s="32"/>
      <c r="E4658" s="33"/>
      <c r="F4658" s="54" t="s">
        <v>522</v>
      </c>
      <c r="G4658" s="54" t="str">
        <f t="shared" si="88"/>
        <v/>
      </c>
      <c r="H4658" s="73"/>
      <c r="I4658" s="74"/>
      <c r="J4658" s="102">
        <v>0</v>
      </c>
    </row>
    <row r="4659" spans="1:10" ht="25.5" hidden="1" x14ac:dyDescent="0.25">
      <c r="A4659" s="224"/>
      <c r="B4659" s="237"/>
      <c r="C4659" s="36" t="s">
        <v>1378</v>
      </c>
      <c r="D4659" s="36" t="s">
        <v>102</v>
      </c>
      <c r="E4659" s="37">
        <v>0.61499999999999999</v>
      </c>
      <c r="F4659" s="54">
        <v>14.791499999999999</v>
      </c>
      <c r="G4659" s="54">
        <f t="shared" si="88"/>
        <v>9.0967725000000002</v>
      </c>
      <c r="H4659" s="39">
        <f>SUM(G4659:G4663)</f>
        <v>98.108314500000006</v>
      </c>
      <c r="I4659" s="40"/>
      <c r="J4659" s="102">
        <v>0</v>
      </c>
    </row>
    <row r="4660" spans="1:10" ht="25.5" hidden="1" x14ac:dyDescent="0.25">
      <c r="A4660" s="224"/>
      <c r="B4660" s="237"/>
      <c r="C4660" s="36" t="s">
        <v>1385</v>
      </c>
      <c r="D4660" s="36" t="s">
        <v>992</v>
      </c>
      <c r="E4660" s="37">
        <v>1.125</v>
      </c>
      <c r="F4660" s="54">
        <v>56.353999999999999</v>
      </c>
      <c r="G4660" s="54">
        <f t="shared" si="88"/>
        <v>63.398249999999997</v>
      </c>
      <c r="H4660" s="73"/>
      <c r="I4660" s="74"/>
      <c r="J4660" s="102">
        <v>0</v>
      </c>
    </row>
    <row r="4661" spans="1:10" hidden="1" x14ac:dyDescent="0.25">
      <c r="A4661" s="224"/>
      <c r="B4661" s="237"/>
      <c r="C4661" s="36" t="s">
        <v>1386</v>
      </c>
      <c r="D4661" s="36" t="s">
        <v>898</v>
      </c>
      <c r="E4661" s="37">
        <v>0.26</v>
      </c>
      <c r="F4661" s="54">
        <v>7.6094999999999997</v>
      </c>
      <c r="G4661" s="54">
        <f t="shared" si="88"/>
        <v>1.97847</v>
      </c>
      <c r="H4661" s="73"/>
      <c r="I4661" s="74"/>
      <c r="J4661" s="102">
        <v>0</v>
      </c>
    </row>
    <row r="4662" spans="1:10" hidden="1" x14ac:dyDescent="0.25">
      <c r="A4662" s="224"/>
      <c r="B4662" s="237"/>
      <c r="C4662" s="36" t="s">
        <v>1379</v>
      </c>
      <c r="D4662" s="36" t="s">
        <v>703</v>
      </c>
      <c r="E4662" s="37">
        <v>0.192</v>
      </c>
      <c r="F4662" s="54">
        <v>17.042999999999999</v>
      </c>
      <c r="G4662" s="54">
        <f t="shared" si="88"/>
        <v>3.2722560000000001</v>
      </c>
      <c r="H4662" s="73"/>
      <c r="I4662" s="74"/>
      <c r="J4662" s="102">
        <v>0</v>
      </c>
    </row>
    <row r="4663" spans="1:10" hidden="1" x14ac:dyDescent="0.25">
      <c r="A4663" s="224"/>
      <c r="B4663" s="237"/>
      <c r="C4663" s="36" t="s">
        <v>1014</v>
      </c>
      <c r="D4663" s="36" t="s">
        <v>703</v>
      </c>
      <c r="E4663" s="37">
        <v>0.94799999999999995</v>
      </c>
      <c r="F4663" s="54">
        <v>21.479499999999998</v>
      </c>
      <c r="G4663" s="54">
        <f t="shared" si="88"/>
        <v>20.362565999999998</v>
      </c>
      <c r="H4663" s="73"/>
      <c r="I4663" s="74"/>
      <c r="J4663" s="102">
        <v>0</v>
      </c>
    </row>
    <row r="4664" spans="1:10" hidden="1" x14ac:dyDescent="0.25">
      <c r="A4664" s="224"/>
      <c r="B4664" s="237"/>
      <c r="C4664" s="36"/>
      <c r="D4664" s="36"/>
      <c r="E4664" s="37"/>
      <c r="F4664" s="54" t="s">
        <v>522</v>
      </c>
      <c r="G4664" s="54" t="str">
        <f t="shared" si="88"/>
        <v/>
      </c>
      <c r="H4664" s="73"/>
      <c r="I4664" s="74"/>
      <c r="J4664" s="102">
        <v>0</v>
      </c>
    </row>
    <row r="4665" spans="1:10" ht="15.75" hidden="1" thickBot="1" x14ac:dyDescent="0.3">
      <c r="A4665" s="218" t="s">
        <v>1387</v>
      </c>
      <c r="B4665" s="221" t="e">
        <f>INDEX(#REF!,MATCH(Composições!A4665,#REF!,0),2)</f>
        <v>#REF!</v>
      </c>
      <c r="C4665" s="41"/>
      <c r="D4665" s="26" t="s">
        <v>95</v>
      </c>
      <c r="E4665" s="27"/>
      <c r="F4665" s="49" t="s">
        <v>522</v>
      </c>
      <c r="G4665" s="28" t="str">
        <f t="shared" si="88"/>
        <v/>
      </c>
      <c r="H4665" s="29"/>
      <c r="I4665" s="30"/>
      <c r="J4665" s="102">
        <v>0</v>
      </c>
    </row>
    <row r="4666" spans="1:10" hidden="1" x14ac:dyDescent="0.25">
      <c r="A4666" s="224"/>
      <c r="B4666" s="237"/>
      <c r="C4666" s="32"/>
      <c r="D4666" s="32"/>
      <c r="E4666" s="33"/>
      <c r="F4666" s="54" t="s">
        <v>522</v>
      </c>
      <c r="G4666" s="54" t="str">
        <f t="shared" si="88"/>
        <v/>
      </c>
      <c r="H4666" s="73"/>
      <c r="I4666" s="74"/>
      <c r="J4666" s="102">
        <v>0</v>
      </c>
    </row>
    <row r="4667" spans="1:10" ht="25.5" hidden="1" x14ac:dyDescent="0.25">
      <c r="A4667" s="224"/>
      <c r="B4667" s="237"/>
      <c r="C4667" s="36" t="s">
        <v>1378</v>
      </c>
      <c r="D4667" s="36" t="s">
        <v>102</v>
      </c>
      <c r="E4667" s="37">
        <v>0.61499999999999999</v>
      </c>
      <c r="F4667" s="54">
        <v>14.791499999999999</v>
      </c>
      <c r="G4667" s="54">
        <f t="shared" si="88"/>
        <v>9.0967725000000002</v>
      </c>
      <c r="H4667" s="39">
        <f>SUM(G4667:G4671)</f>
        <v>34.710064500000001</v>
      </c>
      <c r="I4667" s="40"/>
      <c r="J4667" s="102">
        <v>0</v>
      </c>
    </row>
    <row r="4668" spans="1:10" hidden="1" x14ac:dyDescent="0.25">
      <c r="A4668" s="224"/>
      <c r="B4668" s="237"/>
      <c r="C4668" s="36" t="s">
        <v>1388</v>
      </c>
      <c r="D4668" s="36" t="s">
        <v>992</v>
      </c>
      <c r="E4668" s="37">
        <v>1.125</v>
      </c>
      <c r="F4668" s="54">
        <v>0</v>
      </c>
      <c r="G4668" s="54">
        <f t="shared" si="88"/>
        <v>0</v>
      </c>
      <c r="H4668" s="73"/>
      <c r="I4668" s="74"/>
      <c r="J4668" s="102">
        <v>0</v>
      </c>
    </row>
    <row r="4669" spans="1:10" hidden="1" x14ac:dyDescent="0.25">
      <c r="A4669" s="224"/>
      <c r="B4669" s="237"/>
      <c r="C4669" s="36" t="s">
        <v>1386</v>
      </c>
      <c r="D4669" s="36" t="s">
        <v>898</v>
      </c>
      <c r="E4669" s="37">
        <v>0.26</v>
      </c>
      <c r="F4669" s="54">
        <v>7.6094999999999997</v>
      </c>
      <c r="G4669" s="54">
        <f t="shared" si="88"/>
        <v>1.97847</v>
      </c>
      <c r="H4669" s="73"/>
      <c r="I4669" s="74"/>
      <c r="J4669" s="102">
        <v>0</v>
      </c>
    </row>
    <row r="4670" spans="1:10" hidden="1" x14ac:dyDescent="0.25">
      <c r="A4670" s="224"/>
      <c r="B4670" s="237"/>
      <c r="C4670" s="36" t="s">
        <v>1379</v>
      </c>
      <c r="D4670" s="36" t="s">
        <v>703</v>
      </c>
      <c r="E4670" s="37">
        <v>0.192</v>
      </c>
      <c r="F4670" s="54">
        <v>17.042999999999999</v>
      </c>
      <c r="G4670" s="54">
        <f t="shared" si="88"/>
        <v>3.2722560000000001</v>
      </c>
      <c r="H4670" s="73"/>
      <c r="I4670" s="74"/>
      <c r="J4670" s="102">
        <v>0</v>
      </c>
    </row>
    <row r="4671" spans="1:10" hidden="1" x14ac:dyDescent="0.25">
      <c r="A4671" s="224"/>
      <c r="B4671" s="237"/>
      <c r="C4671" s="36" t="s">
        <v>1014</v>
      </c>
      <c r="D4671" s="36" t="s">
        <v>703</v>
      </c>
      <c r="E4671" s="37">
        <v>0.94799999999999995</v>
      </c>
      <c r="F4671" s="54">
        <v>21.479499999999998</v>
      </c>
      <c r="G4671" s="54">
        <f t="shared" si="88"/>
        <v>20.362565999999998</v>
      </c>
      <c r="H4671" s="73"/>
      <c r="I4671" s="74"/>
      <c r="J4671" s="102">
        <v>0</v>
      </c>
    </row>
    <row r="4672" spans="1:10" hidden="1" x14ac:dyDescent="0.25">
      <c r="A4672" s="224"/>
      <c r="B4672" s="237"/>
      <c r="C4672" s="36"/>
      <c r="D4672" s="36"/>
      <c r="E4672" s="37"/>
      <c r="F4672" s="54" t="s">
        <v>522</v>
      </c>
      <c r="G4672" s="54" t="str">
        <f t="shared" si="88"/>
        <v/>
      </c>
      <c r="H4672" s="73"/>
      <c r="I4672" s="74"/>
      <c r="J4672" s="102">
        <v>0</v>
      </c>
    </row>
    <row r="4673" spans="1:10" ht="15.75" hidden="1" thickBot="1" x14ac:dyDescent="0.3">
      <c r="A4673" s="218" t="s">
        <v>1389</v>
      </c>
      <c r="B4673" s="221" t="e">
        <f>INDEX(#REF!,MATCH(Composições!A4673,#REF!,0),2)</f>
        <v>#REF!</v>
      </c>
      <c r="C4673" s="41"/>
      <c r="D4673" s="26" t="s">
        <v>95</v>
      </c>
      <c r="E4673" s="27"/>
      <c r="F4673" s="49" t="s">
        <v>522</v>
      </c>
      <c r="G4673" s="28" t="str">
        <f t="shared" si="88"/>
        <v/>
      </c>
      <c r="H4673" s="29"/>
      <c r="I4673" s="30"/>
      <c r="J4673" s="102">
        <v>0</v>
      </c>
    </row>
    <row r="4674" spans="1:10" hidden="1" x14ac:dyDescent="0.25">
      <c r="A4674" s="224"/>
      <c r="B4674" s="237"/>
      <c r="C4674" s="32"/>
      <c r="D4674" s="32"/>
      <c r="E4674" s="33"/>
      <c r="F4674" s="54" t="s">
        <v>522</v>
      </c>
      <c r="G4674" s="54" t="str">
        <f t="shared" si="88"/>
        <v/>
      </c>
      <c r="H4674" s="73"/>
      <c r="I4674" s="74"/>
      <c r="J4674" s="102">
        <v>0</v>
      </c>
    </row>
    <row r="4675" spans="1:10" hidden="1" x14ac:dyDescent="0.25">
      <c r="A4675" s="224"/>
      <c r="B4675" s="237"/>
      <c r="C4675" s="36" t="s">
        <v>1014</v>
      </c>
      <c r="D4675" s="36" t="s">
        <v>703</v>
      </c>
      <c r="E4675" s="37">
        <v>0.5</v>
      </c>
      <c r="F4675" s="54">
        <v>21.479499999999998</v>
      </c>
      <c r="G4675" s="54">
        <f t="shared" si="88"/>
        <v>10.739749999999999</v>
      </c>
      <c r="H4675" s="39">
        <f>SUM(G4675:G4681)</f>
        <v>19.261249999999997</v>
      </c>
      <c r="I4675" s="40"/>
      <c r="J4675" s="102">
        <v>0</v>
      </c>
    </row>
    <row r="4676" spans="1:10" hidden="1" x14ac:dyDescent="0.25">
      <c r="A4676" s="224"/>
      <c r="B4676" s="237"/>
      <c r="C4676" s="36" t="s">
        <v>1379</v>
      </c>
      <c r="D4676" s="36" t="s">
        <v>703</v>
      </c>
      <c r="E4676" s="37">
        <v>0.5</v>
      </c>
      <c r="F4676" s="54">
        <v>17.042999999999999</v>
      </c>
      <c r="G4676" s="54">
        <f t="shared" si="88"/>
        <v>8.5214999999999996</v>
      </c>
      <c r="H4676" s="73"/>
      <c r="I4676" s="74"/>
      <c r="J4676" s="102">
        <v>0</v>
      </c>
    </row>
    <row r="4677" spans="1:10" hidden="1" x14ac:dyDescent="0.25">
      <c r="A4677" s="224"/>
      <c r="B4677" s="237"/>
      <c r="C4677" s="36" t="s">
        <v>1390</v>
      </c>
      <c r="D4677" s="36" t="s">
        <v>898</v>
      </c>
      <c r="E4677" s="37">
        <v>0.8</v>
      </c>
      <c r="F4677" s="54">
        <v>0</v>
      </c>
      <c r="G4677" s="54">
        <f t="shared" si="88"/>
        <v>0</v>
      </c>
      <c r="H4677" s="73"/>
      <c r="I4677" s="74"/>
      <c r="J4677" s="102">
        <v>0</v>
      </c>
    </row>
    <row r="4678" spans="1:10" hidden="1" x14ac:dyDescent="0.25">
      <c r="A4678" s="224"/>
      <c r="B4678" s="237"/>
      <c r="C4678" s="36" t="s">
        <v>1391</v>
      </c>
      <c r="D4678" s="36" t="s">
        <v>102</v>
      </c>
      <c r="E4678" s="37">
        <v>0.6</v>
      </c>
      <c r="F4678" s="54">
        <v>0</v>
      </c>
      <c r="G4678" s="54">
        <f t="shared" si="88"/>
        <v>0</v>
      </c>
      <c r="H4678" s="73"/>
      <c r="I4678" s="74"/>
      <c r="J4678" s="102">
        <v>0</v>
      </c>
    </row>
    <row r="4679" spans="1:10" hidden="1" x14ac:dyDescent="0.25">
      <c r="A4679" s="224"/>
      <c r="B4679" s="237"/>
      <c r="C4679" s="36" t="s">
        <v>1392</v>
      </c>
      <c r="D4679" s="36" t="s">
        <v>95</v>
      </c>
      <c r="E4679" s="37">
        <v>1.1000000000000001</v>
      </c>
      <c r="F4679" s="54">
        <v>0</v>
      </c>
      <c r="G4679" s="54">
        <f t="shared" si="88"/>
        <v>0</v>
      </c>
      <c r="H4679" s="73"/>
      <c r="I4679" s="74"/>
      <c r="J4679" s="102">
        <v>0</v>
      </c>
    </row>
    <row r="4680" spans="1:10" hidden="1" x14ac:dyDescent="0.25">
      <c r="A4680" s="224"/>
      <c r="B4680" s="237"/>
      <c r="C4680" s="36" t="s">
        <v>1393</v>
      </c>
      <c r="D4680" s="36" t="s">
        <v>93</v>
      </c>
      <c r="E4680" s="37">
        <v>2</v>
      </c>
      <c r="F4680" s="54">
        <v>0</v>
      </c>
      <c r="G4680" s="54">
        <f t="shared" si="88"/>
        <v>0</v>
      </c>
      <c r="H4680" s="73"/>
      <c r="I4680" s="74"/>
      <c r="J4680" s="102">
        <v>0</v>
      </c>
    </row>
    <row r="4681" spans="1:10" hidden="1" x14ac:dyDescent="0.25">
      <c r="A4681" s="224"/>
      <c r="B4681" s="237"/>
      <c r="C4681" s="36" t="s">
        <v>1394</v>
      </c>
      <c r="D4681" s="36" t="s">
        <v>102</v>
      </c>
      <c r="E4681" s="37">
        <v>0.2</v>
      </c>
      <c r="F4681" s="54">
        <v>0</v>
      </c>
      <c r="G4681" s="54">
        <f t="shared" si="88"/>
        <v>0</v>
      </c>
      <c r="H4681" s="73"/>
      <c r="I4681" s="74"/>
      <c r="J4681" s="102">
        <v>0</v>
      </c>
    </row>
    <row r="4682" spans="1:10" hidden="1" x14ac:dyDescent="0.25">
      <c r="A4682" s="224"/>
      <c r="B4682" s="237"/>
      <c r="C4682" s="36"/>
      <c r="D4682" s="36"/>
      <c r="E4682" s="37"/>
      <c r="F4682" s="54" t="s">
        <v>522</v>
      </c>
      <c r="G4682" s="54" t="str">
        <f t="shared" si="88"/>
        <v/>
      </c>
      <c r="H4682" s="73"/>
      <c r="I4682" s="74"/>
      <c r="J4682" s="102">
        <v>0</v>
      </c>
    </row>
    <row r="4683" spans="1:10" ht="15.75" hidden="1" thickBot="1" x14ac:dyDescent="0.3">
      <c r="A4683" s="218" t="s">
        <v>1395</v>
      </c>
      <c r="B4683" s="221" t="e">
        <f>INDEX(#REF!,MATCH(Composições!A4683,#REF!,0),2)</f>
        <v>#REF!</v>
      </c>
      <c r="C4683" s="41"/>
      <c r="D4683" s="26" t="s">
        <v>95</v>
      </c>
      <c r="E4683" s="27"/>
      <c r="F4683" s="49" t="s">
        <v>522</v>
      </c>
      <c r="G4683" s="28" t="str">
        <f t="shared" si="88"/>
        <v/>
      </c>
      <c r="H4683" s="29"/>
      <c r="I4683" s="30"/>
      <c r="J4683" s="102">
        <v>0</v>
      </c>
    </row>
    <row r="4684" spans="1:10" hidden="1" x14ac:dyDescent="0.25">
      <c r="A4684" s="224"/>
      <c r="B4684" s="237"/>
      <c r="C4684" s="32"/>
      <c r="D4684" s="32"/>
      <c r="E4684" s="33"/>
      <c r="F4684" s="54" t="s">
        <v>522</v>
      </c>
      <c r="G4684" s="54" t="str">
        <f t="shared" si="88"/>
        <v/>
      </c>
      <c r="H4684" s="73"/>
      <c r="I4684" s="74"/>
      <c r="J4684" s="102">
        <v>0</v>
      </c>
    </row>
    <row r="4685" spans="1:10" hidden="1" x14ac:dyDescent="0.25">
      <c r="A4685" s="224"/>
      <c r="B4685" s="237"/>
      <c r="C4685" s="36" t="s">
        <v>1396</v>
      </c>
      <c r="D4685" s="36" t="s">
        <v>898</v>
      </c>
      <c r="E4685" s="37">
        <v>1.2</v>
      </c>
      <c r="F4685" s="54">
        <v>23.997</v>
      </c>
      <c r="G4685" s="54">
        <f t="shared" si="88"/>
        <v>28.796399999999998</v>
      </c>
      <c r="H4685" s="39">
        <f>SUM(G4685:G4687)</f>
        <v>43.205581999999993</v>
      </c>
      <c r="I4685" s="40"/>
      <c r="J4685" s="102">
        <v>0</v>
      </c>
    </row>
    <row r="4686" spans="1:10" hidden="1" x14ac:dyDescent="0.25">
      <c r="A4686" s="224"/>
      <c r="B4686" s="237"/>
      <c r="C4686" s="36" t="s">
        <v>1379</v>
      </c>
      <c r="D4686" s="36" t="s">
        <v>703</v>
      </c>
      <c r="E4686" s="37">
        <v>0.11700000000000001</v>
      </c>
      <c r="F4686" s="54">
        <v>17.042999999999999</v>
      </c>
      <c r="G4686" s="54">
        <f t="shared" si="88"/>
        <v>1.9940310000000001</v>
      </c>
      <c r="H4686" s="73"/>
      <c r="I4686" s="74"/>
      <c r="J4686" s="102">
        <v>0</v>
      </c>
    </row>
    <row r="4687" spans="1:10" hidden="1" x14ac:dyDescent="0.25">
      <c r="A4687" s="224"/>
      <c r="B4687" s="237"/>
      <c r="C4687" s="36" t="s">
        <v>1014</v>
      </c>
      <c r="D4687" s="36" t="s">
        <v>703</v>
      </c>
      <c r="E4687" s="37">
        <v>0.57799999999999996</v>
      </c>
      <c r="F4687" s="54">
        <v>21.479499999999998</v>
      </c>
      <c r="G4687" s="54">
        <f t="shared" si="88"/>
        <v>12.415150999999998</v>
      </c>
      <c r="H4687" s="73"/>
      <c r="I4687" s="74"/>
      <c r="J4687" s="102">
        <v>0</v>
      </c>
    </row>
    <row r="4688" spans="1:10" hidden="1" x14ac:dyDescent="0.25">
      <c r="A4688" s="224"/>
      <c r="B4688" s="237"/>
      <c r="C4688" s="36"/>
      <c r="D4688" s="36"/>
      <c r="E4688" s="37"/>
      <c r="F4688" s="54" t="s">
        <v>522</v>
      </c>
      <c r="G4688" s="54" t="str">
        <f t="shared" si="88"/>
        <v/>
      </c>
      <c r="H4688" s="73"/>
      <c r="I4688" s="74"/>
      <c r="J4688" s="102">
        <v>0</v>
      </c>
    </row>
    <row r="4689" spans="1:10" ht="15.75" hidden="1" thickBot="1" x14ac:dyDescent="0.3">
      <c r="A4689" s="218" t="s">
        <v>1397</v>
      </c>
      <c r="B4689" s="221" t="e">
        <f>INDEX(#REF!,MATCH(Composições!A4689,#REF!,0),2)</f>
        <v>#REF!</v>
      </c>
      <c r="C4689" s="41"/>
      <c r="D4689" s="26" t="s">
        <v>95</v>
      </c>
      <c r="E4689" s="27"/>
      <c r="F4689" s="49" t="s">
        <v>522</v>
      </c>
      <c r="G4689" s="28" t="str">
        <f t="shared" si="88"/>
        <v/>
      </c>
      <c r="H4689" s="29"/>
      <c r="I4689" s="30"/>
      <c r="J4689" s="102">
        <v>0</v>
      </c>
    </row>
    <row r="4690" spans="1:10" hidden="1" x14ac:dyDescent="0.25">
      <c r="A4690" s="224"/>
      <c r="B4690" s="237"/>
      <c r="C4690" s="32"/>
      <c r="D4690" s="32"/>
      <c r="E4690" s="33"/>
      <c r="F4690" s="54" t="s">
        <v>522</v>
      </c>
      <c r="G4690" s="54" t="str">
        <f t="shared" si="88"/>
        <v/>
      </c>
      <c r="H4690" s="73"/>
      <c r="I4690" s="74"/>
      <c r="J4690" s="102">
        <v>0</v>
      </c>
    </row>
    <row r="4691" spans="1:10" hidden="1" x14ac:dyDescent="0.25">
      <c r="A4691" s="224"/>
      <c r="B4691" s="237"/>
      <c r="C4691" s="36" t="s">
        <v>1398</v>
      </c>
      <c r="D4691" s="36" t="s">
        <v>898</v>
      </c>
      <c r="E4691" s="37">
        <v>3</v>
      </c>
      <c r="F4691" s="54" t="s">
        <v>522</v>
      </c>
      <c r="G4691" s="54" t="str">
        <f t="shared" si="88"/>
        <v/>
      </c>
      <c r="H4691" s="39">
        <f>SUM(G4691:G4692)</f>
        <v>4.2958999999999996</v>
      </c>
      <c r="I4691" s="40"/>
      <c r="J4691" s="102">
        <v>0</v>
      </c>
    </row>
    <row r="4692" spans="1:10" hidden="1" x14ac:dyDescent="0.25">
      <c r="A4692" s="224"/>
      <c r="B4692" s="237"/>
      <c r="C4692" s="36" t="s">
        <v>1014</v>
      </c>
      <c r="D4692" s="36" t="s">
        <v>703</v>
      </c>
      <c r="E4692" s="37">
        <v>0.2</v>
      </c>
      <c r="F4692" s="54">
        <v>21.479499999999998</v>
      </c>
      <c r="G4692" s="54">
        <f t="shared" si="88"/>
        <v>4.2958999999999996</v>
      </c>
      <c r="H4692" s="73"/>
      <c r="I4692" s="74"/>
      <c r="J4692" s="102">
        <v>0</v>
      </c>
    </row>
    <row r="4693" spans="1:10" hidden="1" x14ac:dyDescent="0.25">
      <c r="A4693" s="224"/>
      <c r="B4693" s="237"/>
      <c r="C4693" s="36"/>
      <c r="D4693" s="36"/>
      <c r="E4693" s="37"/>
      <c r="F4693" s="54" t="s">
        <v>522</v>
      </c>
      <c r="G4693" s="54" t="str">
        <f t="shared" si="88"/>
        <v/>
      </c>
      <c r="H4693" s="73"/>
      <c r="I4693" s="74"/>
      <c r="J4693" s="102">
        <v>0</v>
      </c>
    </row>
    <row r="4694" spans="1:10" ht="25.5" hidden="1" x14ac:dyDescent="0.25">
      <c r="A4694" s="224"/>
      <c r="B4694" s="237"/>
      <c r="C4694" s="48" t="s">
        <v>1399</v>
      </c>
      <c r="D4694" s="36"/>
      <c r="E4694" s="37"/>
      <c r="F4694" s="54" t="s">
        <v>522</v>
      </c>
      <c r="G4694" s="54" t="str">
        <f t="shared" si="88"/>
        <v/>
      </c>
      <c r="H4694" s="73"/>
      <c r="I4694" s="74"/>
      <c r="J4694" s="102">
        <v>0</v>
      </c>
    </row>
    <row r="4695" spans="1:10" ht="24.75" hidden="1" x14ac:dyDescent="0.25">
      <c r="A4695" s="224"/>
      <c r="B4695" s="237"/>
      <c r="C4695" s="101" t="s">
        <v>1400</v>
      </c>
      <c r="D4695" s="36"/>
      <c r="E4695" s="37"/>
      <c r="F4695" s="54" t="s">
        <v>522</v>
      </c>
      <c r="G4695" s="54" t="str">
        <f t="shared" si="88"/>
        <v/>
      </c>
      <c r="H4695" s="73"/>
      <c r="I4695" s="74"/>
      <c r="J4695" s="102">
        <v>0</v>
      </c>
    </row>
    <row r="4696" spans="1:10" hidden="1" x14ac:dyDescent="0.25">
      <c r="A4696" s="224"/>
      <c r="B4696" s="237"/>
      <c r="C4696" s="36"/>
      <c r="D4696" s="36"/>
      <c r="E4696" s="37"/>
      <c r="F4696" s="54" t="s">
        <v>522</v>
      </c>
      <c r="G4696" s="54" t="str">
        <f t="shared" si="88"/>
        <v/>
      </c>
      <c r="H4696" s="73"/>
      <c r="I4696" s="74"/>
      <c r="J4696" s="102">
        <v>0</v>
      </c>
    </row>
    <row r="4697" spans="1:10" ht="15.75" hidden="1" thickBot="1" x14ac:dyDescent="0.3">
      <c r="A4697" s="218" t="s">
        <v>1401</v>
      </c>
      <c r="B4697" s="221" t="e">
        <f>INDEX(#REF!,MATCH(Composições!A4697,#REF!,0),2)</f>
        <v>#REF!</v>
      </c>
      <c r="C4697" s="41"/>
      <c r="D4697" s="26" t="s">
        <v>95</v>
      </c>
      <c r="E4697" s="27"/>
      <c r="F4697" s="49" t="s">
        <v>522</v>
      </c>
      <c r="G4697" s="28" t="str">
        <f t="shared" ref="G4697:G4760" si="89">IF(ISNUMBER(F4697),E4697*F4697,"")</f>
        <v/>
      </c>
      <c r="H4697" s="29"/>
      <c r="I4697" s="30"/>
      <c r="J4697" s="102">
        <v>0</v>
      </c>
    </row>
    <row r="4698" spans="1:10" hidden="1" x14ac:dyDescent="0.25">
      <c r="A4698" s="224"/>
      <c r="B4698" s="237"/>
      <c r="C4698" s="32"/>
      <c r="D4698" s="32"/>
      <c r="E4698" s="33"/>
      <c r="F4698" s="54" t="s">
        <v>522</v>
      </c>
      <c r="G4698" s="54" t="str">
        <f t="shared" si="89"/>
        <v/>
      </c>
      <c r="H4698" s="73"/>
      <c r="I4698" s="74"/>
      <c r="J4698" s="102">
        <v>0</v>
      </c>
    </row>
    <row r="4699" spans="1:10" ht="25.5" hidden="1" x14ac:dyDescent="0.25">
      <c r="A4699" s="224"/>
      <c r="B4699" s="237"/>
      <c r="C4699" s="36" t="s">
        <v>1378</v>
      </c>
      <c r="D4699" s="36" t="s">
        <v>102</v>
      </c>
      <c r="E4699" s="37">
        <v>0.61499999999999999</v>
      </c>
      <c r="F4699" s="54">
        <v>14.791499999999999</v>
      </c>
      <c r="G4699" s="54">
        <f t="shared" si="89"/>
        <v>9.0967725000000002</v>
      </c>
      <c r="H4699" s="39">
        <f>SUM(G4699:G4704)</f>
        <v>162.344854</v>
      </c>
      <c r="I4699" s="40"/>
      <c r="J4699" s="102">
        <v>0</v>
      </c>
    </row>
    <row r="4700" spans="1:10" ht="25.5" hidden="1" x14ac:dyDescent="0.25">
      <c r="A4700" s="224"/>
      <c r="B4700" s="237"/>
      <c r="C4700" s="36" t="s">
        <v>1402</v>
      </c>
      <c r="D4700" s="36" t="s">
        <v>992</v>
      </c>
      <c r="E4700" s="37">
        <v>1.125</v>
      </c>
      <c r="F4700" s="54">
        <v>45.884999999999998</v>
      </c>
      <c r="G4700" s="54">
        <f t="shared" si="89"/>
        <v>51.620624999999997</v>
      </c>
      <c r="H4700" s="73"/>
      <c r="I4700" s="74"/>
      <c r="J4700" s="102">
        <v>0</v>
      </c>
    </row>
    <row r="4701" spans="1:10" ht="25.5" hidden="1" x14ac:dyDescent="0.25">
      <c r="A4701" s="224"/>
      <c r="B4701" s="237"/>
      <c r="C4701" s="36" t="s">
        <v>1385</v>
      </c>
      <c r="D4701" s="36" t="s">
        <v>992</v>
      </c>
      <c r="E4701" s="37">
        <v>1.125</v>
      </c>
      <c r="F4701" s="54">
        <v>56.353999999999999</v>
      </c>
      <c r="G4701" s="54">
        <f t="shared" si="89"/>
        <v>63.398249999999997</v>
      </c>
      <c r="H4701" s="73"/>
      <c r="I4701" s="74"/>
      <c r="J4701" s="102">
        <v>0</v>
      </c>
    </row>
    <row r="4702" spans="1:10" hidden="1" x14ac:dyDescent="0.25">
      <c r="A4702" s="224"/>
      <c r="B4702" s="237"/>
      <c r="C4702" s="36" t="s">
        <v>1386</v>
      </c>
      <c r="D4702" s="36" t="s">
        <v>898</v>
      </c>
      <c r="E4702" s="37">
        <v>0.52</v>
      </c>
      <c r="F4702" s="54">
        <v>7.6094999999999997</v>
      </c>
      <c r="G4702" s="54">
        <f t="shared" si="89"/>
        <v>3.9569399999999999</v>
      </c>
      <c r="H4702" s="73"/>
      <c r="I4702" s="74"/>
      <c r="J4702" s="102">
        <v>0</v>
      </c>
    </row>
    <row r="4703" spans="1:10" hidden="1" x14ac:dyDescent="0.25">
      <c r="A4703" s="224"/>
      <c r="B4703" s="237"/>
      <c r="C4703" s="36" t="s">
        <v>1379</v>
      </c>
      <c r="D4703" s="36" t="s">
        <v>703</v>
      </c>
      <c r="E4703" s="37">
        <v>0.27800000000000002</v>
      </c>
      <c r="F4703" s="54">
        <v>17.042999999999999</v>
      </c>
      <c r="G4703" s="54">
        <f t="shared" si="89"/>
        <v>4.7379540000000002</v>
      </c>
      <c r="H4703" s="73"/>
      <c r="I4703" s="74"/>
      <c r="J4703" s="102">
        <v>0</v>
      </c>
    </row>
    <row r="4704" spans="1:10" hidden="1" x14ac:dyDescent="0.25">
      <c r="A4704" s="224"/>
      <c r="B4704" s="237"/>
      <c r="C4704" s="36" t="s">
        <v>1014</v>
      </c>
      <c r="D4704" s="36" t="s">
        <v>703</v>
      </c>
      <c r="E4704" s="37">
        <v>1.375</v>
      </c>
      <c r="F4704" s="54">
        <v>21.479499999999998</v>
      </c>
      <c r="G4704" s="54">
        <f t="shared" si="89"/>
        <v>29.534312499999999</v>
      </c>
      <c r="H4704" s="73"/>
      <c r="I4704" s="74"/>
      <c r="J4704" s="102">
        <v>0</v>
      </c>
    </row>
    <row r="4705" spans="1:10" hidden="1" x14ac:dyDescent="0.25">
      <c r="A4705" s="224"/>
      <c r="B4705" s="237"/>
      <c r="C4705" s="36"/>
      <c r="D4705" s="36"/>
      <c r="E4705" s="37"/>
      <c r="F4705" s="54" t="s">
        <v>522</v>
      </c>
      <c r="G4705" s="54" t="str">
        <f t="shared" si="89"/>
        <v/>
      </c>
      <c r="H4705" s="73"/>
      <c r="I4705" s="74"/>
      <c r="J4705" s="102">
        <v>0</v>
      </c>
    </row>
    <row r="4706" spans="1:10" ht="15.75" hidden="1" thickBot="1" x14ac:dyDescent="0.3">
      <c r="A4706" s="218" t="s">
        <v>1403</v>
      </c>
      <c r="B4706" s="221" t="e">
        <f>INDEX(#REF!,MATCH(Composições!A4706,#REF!,0),2)</f>
        <v>#REF!</v>
      </c>
      <c r="C4706" s="41"/>
      <c r="D4706" s="26" t="s">
        <v>95</v>
      </c>
      <c r="E4706" s="27"/>
      <c r="F4706" s="49" t="s">
        <v>522</v>
      </c>
      <c r="G4706" s="28" t="str">
        <f t="shared" si="89"/>
        <v/>
      </c>
      <c r="H4706" s="29"/>
      <c r="I4706" s="30"/>
      <c r="J4706" s="102">
        <v>0</v>
      </c>
    </row>
    <row r="4707" spans="1:10" hidden="1" x14ac:dyDescent="0.25">
      <c r="A4707" s="224"/>
      <c r="B4707" s="237"/>
      <c r="C4707" s="32"/>
      <c r="D4707" s="32"/>
      <c r="E4707" s="33"/>
      <c r="F4707" s="54" t="s">
        <v>522</v>
      </c>
      <c r="G4707" s="54" t="str">
        <f t="shared" si="89"/>
        <v/>
      </c>
      <c r="H4707" s="73"/>
      <c r="I4707" s="74"/>
      <c r="J4707" s="102">
        <v>0</v>
      </c>
    </row>
    <row r="4708" spans="1:10" ht="25.5" hidden="1" x14ac:dyDescent="0.25">
      <c r="A4708" s="224"/>
      <c r="B4708" s="237"/>
      <c r="C4708" s="36" t="s">
        <v>1378</v>
      </c>
      <c r="D4708" s="36" t="s">
        <v>102</v>
      </c>
      <c r="E4708" s="37">
        <v>0.61499999999999999</v>
      </c>
      <c r="F4708" s="54">
        <v>14.791499999999999</v>
      </c>
      <c r="G4708" s="54">
        <f t="shared" si="89"/>
        <v>9.0967725000000002</v>
      </c>
      <c r="H4708" s="39">
        <f>SUM(G4708:G4713)</f>
        <v>163.125868</v>
      </c>
      <c r="I4708" s="40"/>
      <c r="J4708" s="102">
        <v>0</v>
      </c>
    </row>
    <row r="4709" spans="1:10" ht="25.5" hidden="1" x14ac:dyDescent="0.25">
      <c r="A4709" s="224"/>
      <c r="B4709" s="237"/>
      <c r="C4709" s="36" t="s">
        <v>1402</v>
      </c>
      <c r="D4709" s="36" t="s">
        <v>992</v>
      </c>
      <c r="E4709" s="37">
        <v>1.125</v>
      </c>
      <c r="F4709" s="54">
        <v>45.884999999999998</v>
      </c>
      <c r="G4709" s="54">
        <f t="shared" si="89"/>
        <v>51.620624999999997</v>
      </c>
      <c r="H4709" s="73"/>
      <c r="I4709" s="74"/>
      <c r="J4709" s="102">
        <v>0</v>
      </c>
    </row>
    <row r="4710" spans="1:10" ht="25.5" hidden="1" x14ac:dyDescent="0.25">
      <c r="A4710" s="224"/>
      <c r="B4710" s="237"/>
      <c r="C4710" s="36" t="s">
        <v>1385</v>
      </c>
      <c r="D4710" s="36" t="s">
        <v>992</v>
      </c>
      <c r="E4710" s="37">
        <v>1.125</v>
      </c>
      <c r="F4710" s="54">
        <v>56.353999999999999</v>
      </c>
      <c r="G4710" s="54">
        <f t="shared" si="89"/>
        <v>63.398249999999997</v>
      </c>
      <c r="H4710" s="73"/>
      <c r="I4710" s="74"/>
      <c r="J4710" s="102">
        <v>0</v>
      </c>
    </row>
    <row r="4711" spans="1:10" hidden="1" x14ac:dyDescent="0.25">
      <c r="A4711" s="224"/>
      <c r="B4711" s="237"/>
      <c r="C4711" s="36" t="s">
        <v>1398</v>
      </c>
      <c r="D4711" s="36" t="s">
        <v>898</v>
      </c>
      <c r="E4711" s="37">
        <v>2</v>
      </c>
      <c r="F4711" s="54" t="s">
        <v>522</v>
      </c>
      <c r="G4711" s="54" t="str">
        <f t="shared" si="89"/>
        <v/>
      </c>
      <c r="H4711" s="73"/>
      <c r="I4711" s="74"/>
      <c r="J4711" s="102">
        <v>0</v>
      </c>
    </row>
    <row r="4712" spans="1:10" hidden="1" x14ac:dyDescent="0.25">
      <c r="A4712" s="224"/>
      <c r="B4712" s="237"/>
      <c r="C4712" s="36" t="s">
        <v>1379</v>
      </c>
      <c r="D4712" s="36" t="s">
        <v>703</v>
      </c>
      <c r="E4712" s="37">
        <f>0.278*2</f>
        <v>0.55600000000000005</v>
      </c>
      <c r="F4712" s="54">
        <v>17.042999999999999</v>
      </c>
      <c r="G4712" s="54">
        <f t="shared" si="89"/>
        <v>9.4759080000000004</v>
      </c>
      <c r="H4712" s="73"/>
      <c r="I4712" s="74"/>
      <c r="J4712" s="102">
        <v>0</v>
      </c>
    </row>
    <row r="4713" spans="1:10" hidden="1" x14ac:dyDescent="0.25">
      <c r="A4713" s="224"/>
      <c r="B4713" s="237"/>
      <c r="C4713" s="36" t="s">
        <v>1014</v>
      </c>
      <c r="D4713" s="36" t="s">
        <v>703</v>
      </c>
      <c r="E4713" s="37">
        <v>1.375</v>
      </c>
      <c r="F4713" s="54">
        <v>21.479499999999998</v>
      </c>
      <c r="G4713" s="54">
        <f t="shared" si="89"/>
        <v>29.534312499999999</v>
      </c>
      <c r="H4713" s="73"/>
      <c r="I4713" s="74"/>
      <c r="J4713" s="102">
        <v>0</v>
      </c>
    </row>
    <row r="4714" spans="1:10" hidden="1" x14ac:dyDescent="0.25">
      <c r="A4714" s="224"/>
      <c r="B4714" s="237"/>
      <c r="C4714" s="36"/>
      <c r="D4714" s="36"/>
      <c r="E4714" s="37"/>
      <c r="F4714" s="54" t="s">
        <v>522</v>
      </c>
      <c r="G4714" s="54" t="str">
        <f t="shared" si="89"/>
        <v/>
      </c>
      <c r="H4714" s="73"/>
      <c r="I4714" s="74"/>
      <c r="J4714" s="102">
        <v>0</v>
      </c>
    </row>
    <row r="4715" spans="1:10" ht="25.5" hidden="1" x14ac:dyDescent="0.25">
      <c r="A4715" s="224"/>
      <c r="B4715" s="237"/>
      <c r="C4715" s="48" t="s">
        <v>1399</v>
      </c>
      <c r="D4715" s="36"/>
      <c r="E4715" s="37"/>
      <c r="F4715" s="54" t="s">
        <v>522</v>
      </c>
      <c r="G4715" s="54" t="str">
        <f t="shared" si="89"/>
        <v/>
      </c>
      <c r="H4715" s="73"/>
      <c r="I4715" s="74"/>
      <c r="J4715" s="102">
        <v>0</v>
      </c>
    </row>
    <row r="4716" spans="1:10" ht="24.75" hidden="1" x14ac:dyDescent="0.25">
      <c r="A4716" s="224"/>
      <c r="B4716" s="237"/>
      <c r="C4716" s="101" t="s">
        <v>1400</v>
      </c>
      <c r="D4716" s="36"/>
      <c r="E4716" s="37"/>
      <c r="F4716" s="54" t="s">
        <v>522</v>
      </c>
      <c r="G4716" s="54" t="str">
        <f t="shared" si="89"/>
        <v/>
      </c>
      <c r="H4716" s="73"/>
      <c r="I4716" s="74"/>
      <c r="J4716" s="102">
        <v>0</v>
      </c>
    </row>
    <row r="4717" spans="1:10" hidden="1" x14ac:dyDescent="0.25">
      <c r="A4717" s="224"/>
      <c r="B4717" s="237"/>
      <c r="C4717" s="36"/>
      <c r="D4717" s="36"/>
      <c r="E4717" s="37"/>
      <c r="F4717" s="54" t="s">
        <v>522</v>
      </c>
      <c r="G4717" s="54" t="str">
        <f t="shared" si="89"/>
        <v/>
      </c>
      <c r="H4717" s="73"/>
      <c r="I4717" s="74"/>
      <c r="J4717" s="102">
        <v>0</v>
      </c>
    </row>
    <row r="4718" spans="1:10" ht="15.75" hidden="1" thickBot="1" x14ac:dyDescent="0.3">
      <c r="A4718" s="218" t="s">
        <v>1404</v>
      </c>
      <c r="B4718" s="221" t="e">
        <f>INDEX(#REF!,MATCH(Composições!A4718,#REF!,0),2)</f>
        <v>#REF!</v>
      </c>
      <c r="C4718" s="41"/>
      <c r="D4718" s="26" t="s">
        <v>42</v>
      </c>
      <c r="E4718" s="27"/>
      <c r="F4718" s="49" t="s">
        <v>522</v>
      </c>
      <c r="G4718" s="28" t="str">
        <f t="shared" si="89"/>
        <v/>
      </c>
      <c r="H4718" s="29"/>
      <c r="I4718" s="30"/>
      <c r="J4718" s="102">
        <v>0</v>
      </c>
    </row>
    <row r="4719" spans="1:10" hidden="1" x14ac:dyDescent="0.25">
      <c r="A4719" s="224"/>
      <c r="B4719" s="237"/>
      <c r="C4719" s="32"/>
      <c r="D4719" s="32"/>
      <c r="E4719" s="33"/>
      <c r="F4719" s="54" t="s">
        <v>522</v>
      </c>
      <c r="G4719" s="54" t="str">
        <f t="shared" si="89"/>
        <v/>
      </c>
      <c r="H4719" s="73"/>
      <c r="I4719" s="74"/>
      <c r="J4719" s="102">
        <v>0</v>
      </c>
    </row>
    <row r="4720" spans="1:10" ht="25.5" hidden="1" x14ac:dyDescent="0.25">
      <c r="A4720" s="224"/>
      <c r="B4720" s="237"/>
      <c r="C4720" s="36" t="s">
        <v>1405</v>
      </c>
      <c r="D4720" s="36" t="s">
        <v>102</v>
      </c>
      <c r="E4720" s="37">
        <v>1.01</v>
      </c>
      <c r="F4720" s="54">
        <v>7.3814999999999991</v>
      </c>
      <c r="G4720" s="54">
        <f t="shared" si="89"/>
        <v>7.4553149999999988</v>
      </c>
      <c r="H4720" s="39">
        <f>SUM(G4720:G4720)</f>
        <v>7.4553149999999988</v>
      </c>
      <c r="I4720" s="40"/>
      <c r="J4720" s="102">
        <v>0</v>
      </c>
    </row>
    <row r="4721" spans="1:10" hidden="1" x14ac:dyDescent="0.25">
      <c r="A4721" s="224"/>
      <c r="B4721" s="237"/>
      <c r="C4721" s="36"/>
      <c r="D4721" s="36"/>
      <c r="E4721" s="37"/>
      <c r="F4721" s="54" t="s">
        <v>522</v>
      </c>
      <c r="G4721" s="54" t="str">
        <f t="shared" si="89"/>
        <v/>
      </c>
      <c r="H4721" s="73"/>
      <c r="I4721" s="74"/>
      <c r="J4721" s="102">
        <v>0</v>
      </c>
    </row>
    <row r="4722" spans="1:10" ht="25.5" hidden="1" x14ac:dyDescent="0.25">
      <c r="A4722" s="224"/>
      <c r="B4722" s="237"/>
      <c r="C4722" s="48" t="s">
        <v>1406</v>
      </c>
      <c r="D4722" s="36"/>
      <c r="E4722" s="37"/>
      <c r="F4722" s="54" t="s">
        <v>522</v>
      </c>
      <c r="G4722" s="54" t="str">
        <f t="shared" si="89"/>
        <v/>
      </c>
      <c r="H4722" s="73"/>
      <c r="I4722" s="74"/>
      <c r="J4722" s="102">
        <v>0</v>
      </c>
    </row>
    <row r="4723" spans="1:10" ht="15.75" hidden="1" thickBot="1" x14ac:dyDescent="0.3">
      <c r="A4723" s="224"/>
      <c r="B4723" s="237"/>
      <c r="C4723" s="55"/>
      <c r="D4723" s="55"/>
      <c r="E4723" s="66"/>
      <c r="F4723" s="76" t="s">
        <v>522</v>
      </c>
      <c r="G4723" s="76" t="str">
        <f t="shared" si="89"/>
        <v/>
      </c>
      <c r="H4723" s="77"/>
      <c r="I4723" s="74"/>
      <c r="J4723" s="102">
        <v>0</v>
      </c>
    </row>
    <row r="4724" spans="1:10" ht="15.75" hidden="1" thickBot="1" x14ac:dyDescent="0.3">
      <c r="A4724" s="218" t="s">
        <v>1407</v>
      </c>
      <c r="B4724" s="221" t="e">
        <f>INDEX(#REF!,MATCH(Composições!A4724,#REF!,0),2)</f>
        <v>#REF!</v>
      </c>
      <c r="C4724" s="41"/>
      <c r="D4724" s="26" t="s">
        <v>109</v>
      </c>
      <c r="E4724" s="27"/>
      <c r="F4724" s="49" t="s">
        <v>522</v>
      </c>
      <c r="G4724" s="28" t="str">
        <f t="shared" si="89"/>
        <v/>
      </c>
      <c r="H4724" s="29"/>
      <c r="I4724" s="30"/>
      <c r="J4724" s="102">
        <v>0</v>
      </c>
    </row>
    <row r="4725" spans="1:10" hidden="1" x14ac:dyDescent="0.25">
      <c r="A4725" s="224"/>
      <c r="B4725" s="237"/>
      <c r="C4725" s="32"/>
      <c r="D4725" s="32"/>
      <c r="E4725" s="33"/>
      <c r="F4725" s="54" t="s">
        <v>522</v>
      </c>
      <c r="G4725" s="54" t="str">
        <f t="shared" si="89"/>
        <v/>
      </c>
      <c r="H4725" s="73"/>
      <c r="I4725" s="74"/>
      <c r="J4725" s="102">
        <v>0</v>
      </c>
    </row>
    <row r="4726" spans="1:10" ht="25.5" hidden="1" x14ac:dyDescent="0.25">
      <c r="A4726" s="224"/>
      <c r="B4726" s="237"/>
      <c r="C4726" s="36" t="s">
        <v>1100</v>
      </c>
      <c r="D4726" s="36" t="s">
        <v>109</v>
      </c>
      <c r="E4726" s="37">
        <v>1</v>
      </c>
      <c r="F4726" s="54">
        <v>142.5</v>
      </c>
      <c r="G4726" s="54">
        <f t="shared" si="89"/>
        <v>142.5</v>
      </c>
      <c r="H4726" s="39">
        <f>SUM(G4726:G4728)</f>
        <v>196.78674775000002</v>
      </c>
      <c r="I4726" s="40"/>
      <c r="J4726" s="102">
        <v>0</v>
      </c>
    </row>
    <row r="4727" spans="1:10" ht="51" hidden="1" x14ac:dyDescent="0.25">
      <c r="A4727" s="224"/>
      <c r="B4727" s="237"/>
      <c r="C4727" s="36" t="s">
        <v>1914</v>
      </c>
      <c r="D4727" s="36" t="s">
        <v>109</v>
      </c>
      <c r="E4727" s="37">
        <f>1*E4726</f>
        <v>1</v>
      </c>
      <c r="F4727" s="34">
        <v>7.0254067499999993</v>
      </c>
      <c r="G4727" s="34">
        <f t="shared" si="89"/>
        <v>7.0254067499999993</v>
      </c>
      <c r="H4727" s="35"/>
      <c r="I4727" s="31"/>
      <c r="J4727" s="102">
        <v>0</v>
      </c>
    </row>
    <row r="4728" spans="1:10" ht="38.25" hidden="1" x14ac:dyDescent="0.25">
      <c r="A4728" s="224"/>
      <c r="B4728" s="237"/>
      <c r="C4728" s="36" t="s">
        <v>121</v>
      </c>
      <c r="D4728" s="36" t="s">
        <v>122</v>
      </c>
      <c r="E4728" s="37">
        <f>E4726*20</f>
        <v>20</v>
      </c>
      <c r="F4728" s="54">
        <v>2.3630670500000002</v>
      </c>
      <c r="G4728" s="54">
        <f t="shared" si="89"/>
        <v>47.261341000000002</v>
      </c>
      <c r="H4728" s="73"/>
      <c r="I4728" s="74"/>
      <c r="J4728" s="102">
        <v>0</v>
      </c>
    </row>
    <row r="4729" spans="1:10" hidden="1" x14ac:dyDescent="0.25">
      <c r="A4729" s="224"/>
      <c r="B4729" s="237"/>
      <c r="C4729" s="36"/>
      <c r="D4729" s="36"/>
      <c r="E4729" s="37"/>
      <c r="F4729" s="54" t="s">
        <v>522</v>
      </c>
      <c r="G4729" s="54" t="str">
        <f t="shared" si="89"/>
        <v/>
      </c>
      <c r="H4729" s="73"/>
      <c r="I4729" s="74"/>
      <c r="J4729" s="102">
        <v>0</v>
      </c>
    </row>
    <row r="4730" spans="1:10" hidden="1" x14ac:dyDescent="0.25">
      <c r="A4730" s="224"/>
      <c r="B4730" s="237"/>
      <c r="C4730" s="48" t="s">
        <v>1408</v>
      </c>
      <c r="D4730" s="36"/>
      <c r="E4730" s="37"/>
      <c r="F4730" s="54" t="s">
        <v>522</v>
      </c>
      <c r="G4730" s="54" t="str">
        <f t="shared" si="89"/>
        <v/>
      </c>
      <c r="H4730" s="73"/>
      <c r="I4730" s="74"/>
      <c r="J4730" s="102">
        <v>0</v>
      </c>
    </row>
    <row r="4731" spans="1:10" ht="15.75" hidden="1" thickBot="1" x14ac:dyDescent="0.3">
      <c r="A4731" s="225"/>
      <c r="B4731" s="223"/>
      <c r="C4731" s="55"/>
      <c r="D4731" s="55"/>
      <c r="E4731" s="66"/>
      <c r="F4731" s="76" t="s">
        <v>522</v>
      </c>
      <c r="G4731" s="76" t="str">
        <f t="shared" si="89"/>
        <v/>
      </c>
      <c r="H4731" s="77"/>
      <c r="I4731" s="74"/>
      <c r="J4731" s="102">
        <v>0</v>
      </c>
    </row>
    <row r="4732" spans="1:10" ht="15.75" hidden="1" thickBot="1" x14ac:dyDescent="0.3">
      <c r="A4732" s="218" t="s">
        <v>1618</v>
      </c>
      <c r="B4732" s="221" t="e">
        <f>INDEX(#REF!,MATCH(Composições!A4732,#REF!,0),2)</f>
        <v>#REF!</v>
      </c>
      <c r="C4732" s="41"/>
      <c r="D4732" s="26" t="s">
        <v>20</v>
      </c>
      <c r="E4732" s="27"/>
      <c r="F4732" s="49" t="s">
        <v>522</v>
      </c>
      <c r="G4732" s="28" t="str">
        <f t="shared" si="89"/>
        <v/>
      </c>
      <c r="H4732" s="29"/>
      <c r="I4732" s="30"/>
      <c r="J4732" s="102">
        <v>0</v>
      </c>
    </row>
    <row r="4733" spans="1:10" hidden="1" x14ac:dyDescent="0.25">
      <c r="A4733" s="224"/>
      <c r="B4733" s="222"/>
      <c r="C4733" s="32"/>
      <c r="D4733" s="32"/>
      <c r="E4733" s="33"/>
      <c r="F4733" s="54" t="s">
        <v>522</v>
      </c>
      <c r="G4733" s="54" t="str">
        <f t="shared" si="89"/>
        <v/>
      </c>
      <c r="H4733" s="73"/>
      <c r="I4733" s="74"/>
      <c r="J4733" s="102">
        <v>0</v>
      </c>
    </row>
    <row r="4734" spans="1:10" hidden="1" x14ac:dyDescent="0.25">
      <c r="A4734" s="224"/>
      <c r="B4734" s="222"/>
      <c r="C4734" s="36" t="s">
        <v>3291</v>
      </c>
      <c r="D4734" s="36" t="s">
        <v>279</v>
      </c>
      <c r="E4734" s="37">
        <v>1</v>
      </c>
      <c r="F4734" s="54">
        <v>34.503999999999998</v>
      </c>
      <c r="G4734" s="54">
        <f t="shared" si="89"/>
        <v>34.503999999999998</v>
      </c>
      <c r="H4734" s="39">
        <f>SUM(G4734:G4734)</f>
        <v>34.503999999999998</v>
      </c>
      <c r="I4734" s="40"/>
      <c r="J4734" s="102">
        <v>0</v>
      </c>
    </row>
    <row r="4735" spans="1:10" ht="15.75" hidden="1" thickBot="1" x14ac:dyDescent="0.3">
      <c r="A4735" s="225"/>
      <c r="B4735" s="223"/>
      <c r="C4735" s="55"/>
      <c r="D4735" s="55"/>
      <c r="E4735" s="66"/>
      <c r="F4735" s="76" t="s">
        <v>522</v>
      </c>
      <c r="G4735" s="76" t="str">
        <f t="shared" si="89"/>
        <v/>
      </c>
      <c r="H4735" s="77"/>
      <c r="I4735" s="74"/>
      <c r="J4735" s="102">
        <v>0</v>
      </c>
    </row>
    <row r="4736" spans="1:10" ht="15.75" hidden="1" thickBot="1" x14ac:dyDescent="0.3">
      <c r="A4736" s="218" t="s">
        <v>1621</v>
      </c>
      <c r="B4736" s="221" t="e">
        <f>INDEX(#REF!,MATCH(Composições!A4736,#REF!,0),2)</f>
        <v>#REF!</v>
      </c>
      <c r="C4736" s="41"/>
      <c r="D4736" s="26" t="s">
        <v>1576</v>
      </c>
      <c r="E4736" s="27"/>
      <c r="F4736" s="49" t="s">
        <v>522</v>
      </c>
      <c r="G4736" s="28" t="str">
        <f t="shared" si="89"/>
        <v/>
      </c>
      <c r="H4736" s="29"/>
      <c r="I4736" s="30"/>
      <c r="J4736" s="102">
        <v>0</v>
      </c>
    </row>
    <row r="4737" spans="1:10" hidden="1" x14ac:dyDescent="0.25">
      <c r="A4737" s="224"/>
      <c r="B4737" s="222"/>
      <c r="C4737" s="32"/>
      <c r="D4737" s="32"/>
      <c r="E4737" s="33"/>
      <c r="F4737" s="54" t="s">
        <v>522</v>
      </c>
      <c r="G4737" s="54" t="str">
        <f t="shared" si="89"/>
        <v/>
      </c>
      <c r="H4737" s="73"/>
      <c r="I4737" s="74"/>
      <c r="J4737" s="102">
        <v>0</v>
      </c>
    </row>
    <row r="4738" spans="1:10" hidden="1" x14ac:dyDescent="0.25">
      <c r="A4738" s="224"/>
      <c r="B4738" s="222"/>
      <c r="C4738" s="36" t="s">
        <v>3238</v>
      </c>
      <c r="D4738" s="36" t="s">
        <v>279</v>
      </c>
      <c r="E4738" s="37">
        <v>1</v>
      </c>
      <c r="F4738" s="54">
        <v>49.713499999999996</v>
      </c>
      <c r="G4738" s="54">
        <f t="shared" si="89"/>
        <v>49.713499999999996</v>
      </c>
      <c r="H4738" s="39">
        <f>SUM(G4738:G4738)</f>
        <v>49.713499999999996</v>
      </c>
      <c r="I4738" s="40"/>
      <c r="J4738" s="102">
        <v>0</v>
      </c>
    </row>
    <row r="4739" spans="1:10" ht="15.75" hidden="1" thickBot="1" x14ac:dyDescent="0.3">
      <c r="A4739" s="225"/>
      <c r="B4739" s="223"/>
      <c r="C4739" s="55"/>
      <c r="D4739" s="55"/>
      <c r="E4739" s="66"/>
      <c r="F4739" s="76" t="s">
        <v>522</v>
      </c>
      <c r="G4739" s="76" t="str">
        <f t="shared" si="89"/>
        <v/>
      </c>
      <c r="H4739" s="77"/>
      <c r="I4739" s="74"/>
      <c r="J4739" s="102">
        <v>0</v>
      </c>
    </row>
    <row r="4740" spans="1:10" ht="15.75" hidden="1" thickBot="1" x14ac:dyDescent="0.3">
      <c r="A4740" s="218" t="s">
        <v>1623</v>
      </c>
      <c r="B4740" s="221" t="e">
        <f>INDEX(#REF!,MATCH(Composições!A4740,#REF!,0),2)</f>
        <v>#REF!</v>
      </c>
      <c r="C4740" s="41"/>
      <c r="D4740" s="26" t="s">
        <v>20</v>
      </c>
      <c r="E4740" s="27"/>
      <c r="F4740" s="49" t="s">
        <v>522</v>
      </c>
      <c r="G4740" s="28" t="str">
        <f t="shared" si="89"/>
        <v/>
      </c>
      <c r="H4740" s="29"/>
      <c r="I4740" s="30"/>
      <c r="J4740" s="102">
        <v>0</v>
      </c>
    </row>
    <row r="4741" spans="1:10" hidden="1" x14ac:dyDescent="0.25">
      <c r="A4741" s="224"/>
      <c r="B4741" s="237"/>
      <c r="C4741" s="32"/>
      <c r="D4741" s="32"/>
      <c r="E4741" s="33"/>
      <c r="F4741" s="54" t="s">
        <v>522</v>
      </c>
      <c r="G4741" s="54" t="str">
        <f t="shared" si="89"/>
        <v/>
      </c>
      <c r="H4741" s="73"/>
      <c r="I4741" s="74"/>
      <c r="J4741" s="102">
        <v>0</v>
      </c>
    </row>
    <row r="4742" spans="1:10" ht="25.5" hidden="1" x14ac:dyDescent="0.25">
      <c r="A4742" s="224"/>
      <c r="B4742" s="237"/>
      <c r="C4742" s="36" t="s">
        <v>3239</v>
      </c>
      <c r="D4742" s="36" t="s">
        <v>279</v>
      </c>
      <c r="E4742" s="37">
        <v>1</v>
      </c>
      <c r="F4742" s="54">
        <v>373.64449999999999</v>
      </c>
      <c r="G4742" s="54">
        <f t="shared" si="89"/>
        <v>373.64449999999999</v>
      </c>
      <c r="H4742" s="39">
        <f>SUM(G4742:G4742)</f>
        <v>373.64449999999999</v>
      </c>
      <c r="I4742" s="40"/>
      <c r="J4742" s="102">
        <v>0</v>
      </c>
    </row>
    <row r="4743" spans="1:10" ht="15.75" hidden="1" thickBot="1" x14ac:dyDescent="0.3">
      <c r="A4743" s="225"/>
      <c r="B4743" s="223"/>
      <c r="C4743" s="55"/>
      <c r="D4743" s="55"/>
      <c r="E4743" s="66"/>
      <c r="F4743" s="76" t="s">
        <v>522</v>
      </c>
      <c r="G4743" s="76" t="str">
        <f t="shared" si="89"/>
        <v/>
      </c>
      <c r="H4743" s="77"/>
      <c r="I4743" s="74"/>
      <c r="J4743" s="102">
        <v>0</v>
      </c>
    </row>
    <row r="4744" spans="1:10" ht="15.75" hidden="1" thickBot="1" x14ac:dyDescent="0.3">
      <c r="A4744" s="218" t="s">
        <v>1631</v>
      </c>
      <c r="B4744" s="221" t="e">
        <f>INDEX(#REF!,MATCH(Composições!A4744,#REF!,0),2)</f>
        <v>#REF!</v>
      </c>
      <c r="C4744" s="41"/>
      <c r="D4744" s="26" t="s">
        <v>20</v>
      </c>
      <c r="E4744" s="27"/>
      <c r="F4744" s="49" t="s">
        <v>522</v>
      </c>
      <c r="G4744" s="28" t="str">
        <f t="shared" si="89"/>
        <v/>
      </c>
      <c r="H4744" s="29"/>
      <c r="I4744" s="30"/>
      <c r="J4744" s="102">
        <v>0</v>
      </c>
    </row>
    <row r="4745" spans="1:10" hidden="1" x14ac:dyDescent="0.25">
      <c r="A4745" s="224"/>
      <c r="B4745" s="237"/>
      <c r="C4745" s="32"/>
      <c r="D4745" s="32"/>
      <c r="E4745" s="33"/>
      <c r="F4745" s="54" t="s">
        <v>522</v>
      </c>
      <c r="G4745" s="54" t="str">
        <f t="shared" si="89"/>
        <v/>
      </c>
      <c r="H4745" s="73"/>
      <c r="I4745" s="74"/>
      <c r="J4745" s="102">
        <v>0</v>
      </c>
    </row>
    <row r="4746" spans="1:10" ht="25.5" hidden="1" x14ac:dyDescent="0.25">
      <c r="A4746" s="224"/>
      <c r="B4746" s="237"/>
      <c r="C4746" s="36" t="s">
        <v>3257</v>
      </c>
      <c r="D4746" s="36" t="s">
        <v>93</v>
      </c>
      <c r="E4746" s="37">
        <v>20</v>
      </c>
      <c r="F4746" s="54">
        <v>2.2894999999999999</v>
      </c>
      <c r="G4746" s="54">
        <f t="shared" si="89"/>
        <v>45.79</v>
      </c>
      <c r="H4746" s="39">
        <f>SUM(G4746:G4746)</f>
        <v>45.79</v>
      </c>
      <c r="I4746" s="40"/>
      <c r="J4746" s="102">
        <v>0</v>
      </c>
    </row>
    <row r="4747" spans="1:10" ht="15.75" hidden="1" thickBot="1" x14ac:dyDescent="0.3">
      <c r="A4747" s="225"/>
      <c r="B4747" s="223"/>
      <c r="C4747" s="55"/>
      <c r="D4747" s="55"/>
      <c r="E4747" s="66"/>
      <c r="F4747" s="76" t="s">
        <v>522</v>
      </c>
      <c r="G4747" s="76" t="str">
        <f t="shared" si="89"/>
        <v/>
      </c>
      <c r="H4747" s="77"/>
      <c r="I4747" s="74"/>
      <c r="J4747" s="102">
        <v>0</v>
      </c>
    </row>
    <row r="4748" spans="1:10" ht="15.75" hidden="1" thickBot="1" x14ac:dyDescent="0.3">
      <c r="A4748" s="218" t="s">
        <v>1641</v>
      </c>
      <c r="B4748" s="221" t="e">
        <f>INDEX(#REF!,MATCH(Composições!A4748,#REF!,0),2)</f>
        <v>#REF!</v>
      </c>
      <c r="C4748" s="41"/>
      <c r="D4748" s="26" t="s">
        <v>20</v>
      </c>
      <c r="E4748" s="27"/>
      <c r="F4748" s="49" t="s">
        <v>522</v>
      </c>
      <c r="G4748" s="28" t="str">
        <f t="shared" si="89"/>
        <v/>
      </c>
      <c r="H4748" s="29"/>
      <c r="I4748" s="30"/>
      <c r="J4748" s="102">
        <v>0</v>
      </c>
    </row>
    <row r="4749" spans="1:10" hidden="1" x14ac:dyDescent="0.25">
      <c r="A4749" s="224"/>
      <c r="B4749" s="237"/>
      <c r="C4749" s="32"/>
      <c r="D4749" s="32"/>
      <c r="E4749" s="33"/>
      <c r="F4749" s="54" t="s">
        <v>522</v>
      </c>
      <c r="G4749" s="54" t="str">
        <f t="shared" si="89"/>
        <v/>
      </c>
      <c r="H4749" s="73"/>
      <c r="I4749" s="74"/>
      <c r="J4749" s="102">
        <v>0</v>
      </c>
    </row>
    <row r="4750" spans="1:10" ht="25.5" hidden="1" x14ac:dyDescent="0.25">
      <c r="A4750" s="224"/>
      <c r="B4750" s="237"/>
      <c r="C4750" s="36" t="s">
        <v>3290</v>
      </c>
      <c r="D4750" s="36" t="s">
        <v>279</v>
      </c>
      <c r="E4750" s="37">
        <v>1</v>
      </c>
      <c r="F4750" s="54">
        <v>1072.4074999999998</v>
      </c>
      <c r="G4750" s="54">
        <f t="shared" si="89"/>
        <v>1072.4074999999998</v>
      </c>
      <c r="H4750" s="39">
        <f>SUM(G4750:G4750)</f>
        <v>1072.4074999999998</v>
      </c>
      <c r="I4750" s="40"/>
      <c r="J4750" s="102">
        <v>0</v>
      </c>
    </row>
    <row r="4751" spans="1:10" ht="15.75" hidden="1" thickBot="1" x14ac:dyDescent="0.3">
      <c r="A4751" s="225"/>
      <c r="B4751" s="223"/>
      <c r="C4751" s="55"/>
      <c r="D4751" s="55"/>
      <c r="E4751" s="66"/>
      <c r="F4751" s="76" t="s">
        <v>522</v>
      </c>
      <c r="G4751" s="76" t="str">
        <f t="shared" si="89"/>
        <v/>
      </c>
      <c r="H4751" s="77"/>
      <c r="I4751" s="74"/>
      <c r="J4751" s="102">
        <v>0</v>
      </c>
    </row>
    <row r="4752" spans="1:10" ht="15.75" hidden="1" thickBot="1" x14ac:dyDescent="0.3">
      <c r="A4752" s="218" t="s">
        <v>1409</v>
      </c>
      <c r="B4752" s="221" t="e">
        <f>INDEX(#REF!,MATCH(Composições!A4752,#REF!,0),2)</f>
        <v>#REF!</v>
      </c>
      <c r="C4752" s="41"/>
      <c r="D4752" s="26" t="s">
        <v>95</v>
      </c>
      <c r="E4752" s="27"/>
      <c r="F4752" s="49" t="s">
        <v>522</v>
      </c>
      <c r="G4752" s="28" t="str">
        <f t="shared" si="89"/>
        <v/>
      </c>
      <c r="H4752" s="29"/>
      <c r="I4752" s="30"/>
      <c r="J4752" s="102">
        <v>0</v>
      </c>
    </row>
    <row r="4753" spans="1:10" hidden="1" x14ac:dyDescent="0.25">
      <c r="A4753" s="224"/>
      <c r="B4753" s="237"/>
      <c r="C4753" s="32"/>
      <c r="D4753" s="32"/>
      <c r="E4753" s="33"/>
      <c r="F4753" s="54" t="s">
        <v>522</v>
      </c>
      <c r="G4753" s="54" t="str">
        <f t="shared" si="89"/>
        <v/>
      </c>
      <c r="H4753" s="73"/>
      <c r="I4753" s="74"/>
      <c r="J4753" s="102">
        <v>0</v>
      </c>
    </row>
    <row r="4754" spans="1:10" hidden="1" x14ac:dyDescent="0.25">
      <c r="A4754" s="224"/>
      <c r="B4754" s="237"/>
      <c r="C4754" s="36" t="s">
        <v>711</v>
      </c>
      <c r="D4754" s="36" t="s">
        <v>703</v>
      </c>
      <c r="E4754" s="37">
        <v>0.1</v>
      </c>
      <c r="F4754" s="54">
        <v>21.479499999999998</v>
      </c>
      <c r="G4754" s="54">
        <f t="shared" si="89"/>
        <v>2.1479499999999998</v>
      </c>
      <c r="H4754" s="39">
        <f>SUM(G4754:G4761)</f>
        <v>12.180899999999998</v>
      </c>
      <c r="I4754" s="40"/>
      <c r="J4754" s="102">
        <v>0</v>
      </c>
    </row>
    <row r="4755" spans="1:10" hidden="1" x14ac:dyDescent="0.25">
      <c r="A4755" s="224"/>
      <c r="B4755" s="237"/>
      <c r="C4755" s="36" t="s">
        <v>704</v>
      </c>
      <c r="D4755" s="36" t="s">
        <v>703</v>
      </c>
      <c r="E4755" s="37">
        <v>0.1</v>
      </c>
      <c r="F4755" s="54">
        <v>16.1785</v>
      </c>
      <c r="G4755" s="54">
        <f t="shared" si="89"/>
        <v>1.61785</v>
      </c>
      <c r="H4755" s="73"/>
      <c r="I4755" s="74"/>
      <c r="J4755" s="102">
        <v>0</v>
      </c>
    </row>
    <row r="4756" spans="1:10" hidden="1" x14ac:dyDescent="0.25">
      <c r="A4756" s="224"/>
      <c r="B4756" s="237"/>
      <c r="C4756" s="36" t="s">
        <v>2366</v>
      </c>
      <c r="D4756" s="36" t="s">
        <v>898</v>
      </c>
      <c r="E4756" s="37">
        <v>0.1</v>
      </c>
      <c r="F4756" s="54" t="s">
        <v>522</v>
      </c>
      <c r="G4756" s="54" t="str">
        <f t="shared" si="89"/>
        <v/>
      </c>
      <c r="H4756" s="73"/>
      <c r="I4756" s="74"/>
      <c r="J4756" s="102">
        <v>0</v>
      </c>
    </row>
    <row r="4757" spans="1:10" ht="25.5" hidden="1" x14ac:dyDescent="0.25">
      <c r="A4757" s="224"/>
      <c r="B4757" s="237"/>
      <c r="C4757" s="36" t="s">
        <v>1411</v>
      </c>
      <c r="D4757" s="36" t="s">
        <v>95</v>
      </c>
      <c r="E4757" s="37">
        <v>1.1000000000000001</v>
      </c>
      <c r="F4757" s="54" t="s">
        <v>522</v>
      </c>
      <c r="G4757" s="54" t="str">
        <f t="shared" si="89"/>
        <v/>
      </c>
      <c r="H4757" s="73"/>
      <c r="I4757" s="74"/>
      <c r="J4757" s="102">
        <v>0</v>
      </c>
    </row>
    <row r="4758" spans="1:10" hidden="1" x14ac:dyDescent="0.25">
      <c r="A4758" s="224"/>
      <c r="B4758" s="237"/>
      <c r="C4758" s="36" t="s">
        <v>711</v>
      </c>
      <c r="D4758" s="36" t="s">
        <v>703</v>
      </c>
      <c r="E4758" s="37">
        <v>0.2</v>
      </c>
      <c r="F4758" s="54">
        <v>21.479499999999998</v>
      </c>
      <c r="G4758" s="54">
        <f t="shared" si="89"/>
        <v>4.2958999999999996</v>
      </c>
      <c r="H4758" s="73"/>
      <c r="I4758" s="40"/>
      <c r="J4758" s="102">
        <v>0</v>
      </c>
    </row>
    <row r="4759" spans="1:10" hidden="1" x14ac:dyDescent="0.25">
      <c r="A4759" s="224"/>
      <c r="B4759" s="237"/>
      <c r="C4759" s="36" t="s">
        <v>704</v>
      </c>
      <c r="D4759" s="36" t="s">
        <v>703</v>
      </c>
      <c r="E4759" s="37">
        <v>0.2</v>
      </c>
      <c r="F4759" s="54">
        <v>16.1785</v>
      </c>
      <c r="G4759" s="54">
        <f t="shared" si="89"/>
        <v>3.2357</v>
      </c>
      <c r="H4759" s="73"/>
      <c r="I4759" s="74"/>
      <c r="J4759" s="102">
        <v>0</v>
      </c>
    </row>
    <row r="4760" spans="1:10" hidden="1" x14ac:dyDescent="0.25">
      <c r="A4760" s="224"/>
      <c r="B4760" s="237"/>
      <c r="C4760" s="36" t="s">
        <v>748</v>
      </c>
      <c r="D4760" s="36" t="s">
        <v>898</v>
      </c>
      <c r="E4760" s="37">
        <v>1.5</v>
      </c>
      <c r="F4760" s="54">
        <v>0.58899999999999997</v>
      </c>
      <c r="G4760" s="54">
        <f t="shared" si="89"/>
        <v>0.88349999999999995</v>
      </c>
      <c r="H4760" s="73"/>
      <c r="I4760" s="74"/>
      <c r="J4760" s="102">
        <v>0</v>
      </c>
    </row>
    <row r="4761" spans="1:10" hidden="1" x14ac:dyDescent="0.25">
      <c r="A4761" s="224"/>
      <c r="B4761" s="237"/>
      <c r="C4761" s="36" t="s">
        <v>1410</v>
      </c>
      <c r="D4761" s="36" t="s">
        <v>898</v>
      </c>
      <c r="E4761" s="37">
        <f>ROUND(E4760*0.1,2)</f>
        <v>0.15</v>
      </c>
      <c r="F4761" s="54" t="s">
        <v>522</v>
      </c>
      <c r="G4761" s="54" t="str">
        <f t="shared" ref="G4761:G4806" si="90">IF(ISNUMBER(F4761),E4761*F4761,"")</f>
        <v/>
      </c>
      <c r="H4761" s="73"/>
      <c r="I4761" s="74"/>
      <c r="J4761" s="102">
        <v>0</v>
      </c>
    </row>
    <row r="4762" spans="1:10" hidden="1" x14ac:dyDescent="0.25">
      <c r="A4762" s="224"/>
      <c r="B4762" s="237"/>
      <c r="C4762" s="36"/>
      <c r="D4762" s="36"/>
      <c r="E4762" s="37"/>
      <c r="F4762" s="54" t="s">
        <v>522</v>
      </c>
      <c r="G4762" s="54" t="str">
        <f t="shared" si="90"/>
        <v/>
      </c>
      <c r="H4762" s="73"/>
      <c r="I4762" s="74"/>
      <c r="J4762" s="102">
        <v>0</v>
      </c>
    </row>
    <row r="4763" spans="1:10" ht="15.75" hidden="1" thickBot="1" x14ac:dyDescent="0.3">
      <c r="A4763" s="218" t="s">
        <v>1412</v>
      </c>
      <c r="B4763" s="221" t="e">
        <f>INDEX(#REF!,MATCH(Composições!A4763,#REF!,0),2)</f>
        <v>#REF!</v>
      </c>
      <c r="C4763" s="41"/>
      <c r="D4763" s="26" t="s">
        <v>95</v>
      </c>
      <c r="E4763" s="27"/>
      <c r="F4763" s="49" t="s">
        <v>522</v>
      </c>
      <c r="G4763" s="28" t="str">
        <f t="shared" si="90"/>
        <v/>
      </c>
      <c r="H4763" s="29"/>
      <c r="I4763" s="30"/>
      <c r="J4763" s="102">
        <v>0</v>
      </c>
    </row>
    <row r="4764" spans="1:10" hidden="1" x14ac:dyDescent="0.25">
      <c r="A4764" s="224"/>
      <c r="B4764" s="237"/>
      <c r="C4764" s="32"/>
      <c r="D4764" s="32"/>
      <c r="E4764" s="33"/>
      <c r="F4764" s="54" t="s">
        <v>522</v>
      </c>
      <c r="G4764" s="54" t="str">
        <f t="shared" si="90"/>
        <v/>
      </c>
      <c r="H4764" s="73"/>
      <c r="I4764" s="74"/>
      <c r="J4764" s="102">
        <v>0</v>
      </c>
    </row>
    <row r="4765" spans="1:10" hidden="1" x14ac:dyDescent="0.25">
      <c r="A4765" s="224"/>
      <c r="B4765" s="237"/>
      <c r="C4765" s="36" t="s">
        <v>711</v>
      </c>
      <c r="D4765" s="36" t="s">
        <v>703</v>
      </c>
      <c r="E4765" s="37">
        <v>0.01</v>
      </c>
      <c r="F4765" s="54">
        <v>21.479499999999998</v>
      </c>
      <c r="G4765" s="54">
        <f t="shared" si="90"/>
        <v>0.21479499999999999</v>
      </c>
      <c r="H4765" s="39">
        <f>SUM(G4765:G4766)</f>
        <v>1.8326450000000001</v>
      </c>
      <c r="I4765" s="40"/>
      <c r="J4765" s="102">
        <v>0</v>
      </c>
    </row>
    <row r="4766" spans="1:10" hidden="1" x14ac:dyDescent="0.25">
      <c r="A4766" s="224"/>
      <c r="B4766" s="237"/>
      <c r="C4766" s="36" t="s">
        <v>704</v>
      </c>
      <c r="D4766" s="36" t="s">
        <v>703</v>
      </c>
      <c r="E4766" s="37">
        <v>0.1</v>
      </c>
      <c r="F4766" s="54">
        <v>16.1785</v>
      </c>
      <c r="G4766" s="54">
        <f t="shared" si="90"/>
        <v>1.61785</v>
      </c>
      <c r="H4766" s="73"/>
      <c r="I4766" s="74"/>
      <c r="J4766" s="102">
        <v>0</v>
      </c>
    </row>
    <row r="4767" spans="1:10" ht="15.75" hidden="1" thickBot="1" x14ac:dyDescent="0.3">
      <c r="A4767" s="225"/>
      <c r="B4767" s="223"/>
      <c r="C4767" s="55"/>
      <c r="D4767" s="55"/>
      <c r="E4767" s="66"/>
      <c r="F4767" s="76" t="s">
        <v>522</v>
      </c>
      <c r="G4767" s="76" t="str">
        <f t="shared" si="90"/>
        <v/>
      </c>
      <c r="H4767" s="77"/>
      <c r="I4767" s="74"/>
      <c r="J4767" s="102">
        <v>0</v>
      </c>
    </row>
    <row r="4768" spans="1:10" ht="15.75" hidden="1" thickBot="1" x14ac:dyDescent="0.3">
      <c r="A4768" s="218" t="s">
        <v>1839</v>
      </c>
      <c r="B4768" s="221" t="e">
        <f>INDEX(#REF!,MATCH(Composições!A4768,#REF!,0),2)</f>
        <v>#REF!</v>
      </c>
      <c r="C4768" s="41"/>
      <c r="D4768" s="26" t="s">
        <v>20</v>
      </c>
      <c r="E4768" s="27"/>
      <c r="F4768" s="49" t="s">
        <v>522</v>
      </c>
      <c r="G4768" s="28" t="str">
        <f t="shared" si="90"/>
        <v/>
      </c>
      <c r="H4768" s="29"/>
      <c r="I4768" s="30"/>
      <c r="J4768" s="102">
        <v>0</v>
      </c>
    </row>
    <row r="4769" spans="1:10" hidden="1" x14ac:dyDescent="0.25">
      <c r="A4769" s="224"/>
      <c r="B4769" s="237"/>
      <c r="C4769" s="32"/>
      <c r="D4769" s="32"/>
      <c r="E4769" s="33"/>
      <c r="F4769" s="54" t="s">
        <v>522</v>
      </c>
      <c r="G4769" s="54" t="str">
        <f t="shared" si="90"/>
        <v/>
      </c>
      <c r="H4769" s="73"/>
      <c r="I4769" s="74"/>
      <c r="J4769" s="102">
        <v>0</v>
      </c>
    </row>
    <row r="4770" spans="1:10" hidden="1" x14ac:dyDescent="0.25">
      <c r="A4770" s="224"/>
      <c r="B4770" s="237"/>
      <c r="C4770" s="36" t="s">
        <v>1791</v>
      </c>
      <c r="D4770" s="36" t="s">
        <v>898</v>
      </c>
      <c r="E4770" s="37">
        <f>0.5228*2.4/1.5</f>
        <v>0.83648</v>
      </c>
      <c r="F4770" s="54">
        <v>35.501499999999993</v>
      </c>
      <c r="G4770" s="54">
        <f t="shared" si="90"/>
        <v>29.696294719999994</v>
      </c>
      <c r="H4770" s="39">
        <f>SUM(G4770:G4776)</f>
        <v>883.08425377999981</v>
      </c>
      <c r="I4770" s="40"/>
      <c r="J4770" s="102">
        <v>0</v>
      </c>
    </row>
    <row r="4771" spans="1:10" ht="38.25" hidden="1" x14ac:dyDescent="0.25">
      <c r="A4771" s="224"/>
      <c r="B4771" s="237"/>
      <c r="C4771" s="36" t="s">
        <v>1131</v>
      </c>
      <c r="D4771" s="36" t="s">
        <v>279</v>
      </c>
      <c r="E4771" s="37">
        <v>9</v>
      </c>
      <c r="F4771" s="54">
        <v>0.874</v>
      </c>
      <c r="G4771" s="54">
        <f t="shared" si="90"/>
        <v>7.8659999999999997</v>
      </c>
      <c r="H4771" s="73"/>
      <c r="I4771" s="74"/>
      <c r="J4771" s="102">
        <v>0</v>
      </c>
    </row>
    <row r="4772" spans="1:10" ht="38.25" hidden="1" x14ac:dyDescent="0.25">
      <c r="A4772" s="224"/>
      <c r="B4772" s="237"/>
      <c r="C4772" s="36" t="s">
        <v>2396</v>
      </c>
      <c r="D4772" s="36" t="s">
        <v>992</v>
      </c>
      <c r="E4772" s="37">
        <f>1.005*2.4/1.5</f>
        <v>1.6079999999999997</v>
      </c>
      <c r="F4772" s="54">
        <v>448.82749999999999</v>
      </c>
      <c r="G4772" s="54">
        <f t="shared" si="90"/>
        <v>721.71461999999985</v>
      </c>
      <c r="H4772" s="73"/>
      <c r="I4772" s="74"/>
      <c r="J4772" s="102">
        <v>0</v>
      </c>
    </row>
    <row r="4773" spans="1:10" hidden="1" x14ac:dyDescent="0.25">
      <c r="A4773" s="224"/>
      <c r="B4773" s="237"/>
      <c r="C4773" s="36" t="s">
        <v>1906</v>
      </c>
      <c r="D4773" s="36" t="s">
        <v>898</v>
      </c>
      <c r="E4773" s="37">
        <f>0.0211*2.4/1.5</f>
        <v>3.3759999999999998E-2</v>
      </c>
      <c r="F4773" s="54">
        <v>58.738499999999995</v>
      </c>
      <c r="G4773" s="54">
        <f t="shared" si="90"/>
        <v>1.9830117599999997</v>
      </c>
      <c r="H4773" s="73"/>
      <c r="I4773" s="74"/>
      <c r="J4773" s="102">
        <v>0</v>
      </c>
    </row>
    <row r="4774" spans="1:10" ht="25.5" hidden="1" x14ac:dyDescent="0.25">
      <c r="A4774" s="224"/>
      <c r="B4774" s="237"/>
      <c r="C4774" s="36" t="s">
        <v>1807</v>
      </c>
      <c r="D4774" s="36" t="s">
        <v>279</v>
      </c>
      <c r="E4774" s="37">
        <v>3</v>
      </c>
      <c r="F4774" s="54">
        <v>24.643000000000001</v>
      </c>
      <c r="G4774" s="54">
        <f t="shared" si="90"/>
        <v>73.929000000000002</v>
      </c>
      <c r="H4774" s="73"/>
      <c r="I4774" s="40"/>
      <c r="J4774" s="102">
        <v>0</v>
      </c>
    </row>
    <row r="4775" spans="1:10" hidden="1" x14ac:dyDescent="0.25">
      <c r="A4775" s="224"/>
      <c r="B4775" s="237"/>
      <c r="C4775" s="36" t="s">
        <v>1685</v>
      </c>
      <c r="D4775" s="36" t="s">
        <v>703</v>
      </c>
      <c r="E4775" s="37">
        <v>1.4944</v>
      </c>
      <c r="F4775" s="54">
        <v>21.403500000000001</v>
      </c>
      <c r="G4775" s="54">
        <f t="shared" si="90"/>
        <v>31.9853904</v>
      </c>
      <c r="H4775" s="73"/>
      <c r="I4775" s="74"/>
      <c r="J4775" s="102">
        <v>0</v>
      </c>
    </row>
    <row r="4776" spans="1:10" hidden="1" x14ac:dyDescent="0.25">
      <c r="A4776" s="224"/>
      <c r="B4776" s="237"/>
      <c r="C4776" s="36" t="s">
        <v>704</v>
      </c>
      <c r="D4776" s="36" t="s">
        <v>703</v>
      </c>
      <c r="E4776" s="37">
        <v>0.98340000000000005</v>
      </c>
      <c r="F4776" s="54">
        <v>16.1785</v>
      </c>
      <c r="G4776" s="54">
        <f t="shared" si="90"/>
        <v>15.9099369</v>
      </c>
      <c r="H4776" s="73"/>
      <c r="I4776" s="74"/>
      <c r="J4776" s="102">
        <v>0</v>
      </c>
    </row>
    <row r="4777" spans="1:10" hidden="1" x14ac:dyDescent="0.25">
      <c r="A4777" s="224"/>
      <c r="B4777" s="237"/>
      <c r="C4777" s="36"/>
      <c r="D4777" s="36"/>
      <c r="E4777" s="37"/>
      <c r="F4777" s="54" t="s">
        <v>522</v>
      </c>
      <c r="G4777" s="54" t="str">
        <f t="shared" si="90"/>
        <v/>
      </c>
      <c r="H4777" s="73"/>
      <c r="I4777" s="74"/>
      <c r="J4777" s="102">
        <v>0</v>
      </c>
    </row>
    <row r="4778" spans="1:10" ht="15.75" hidden="1" thickBot="1" x14ac:dyDescent="0.3">
      <c r="A4778" s="218" t="s">
        <v>1840</v>
      </c>
      <c r="B4778" s="221" t="e">
        <f>INDEX(#REF!,MATCH(Composições!A4778,#REF!,0),2)</f>
        <v>#REF!</v>
      </c>
      <c r="C4778" s="41"/>
      <c r="D4778" s="26" t="s">
        <v>20</v>
      </c>
      <c r="E4778" s="27"/>
      <c r="F4778" s="49" t="s">
        <v>522</v>
      </c>
      <c r="G4778" s="28" t="str">
        <f t="shared" si="90"/>
        <v/>
      </c>
      <c r="H4778" s="29"/>
      <c r="I4778" s="30"/>
      <c r="J4778" s="102">
        <v>0</v>
      </c>
    </row>
    <row r="4779" spans="1:10" hidden="1" x14ac:dyDescent="0.25">
      <c r="A4779" s="224"/>
      <c r="B4779" s="237"/>
      <c r="C4779" s="32"/>
      <c r="D4779" s="32"/>
      <c r="E4779" s="33"/>
      <c r="F4779" s="54" t="s">
        <v>522</v>
      </c>
      <c r="G4779" s="54" t="str">
        <f t="shared" si="90"/>
        <v/>
      </c>
      <c r="H4779" s="73"/>
      <c r="I4779" s="74"/>
      <c r="J4779" s="102">
        <v>0</v>
      </c>
    </row>
    <row r="4780" spans="1:10" hidden="1" x14ac:dyDescent="0.25">
      <c r="A4780" s="224"/>
      <c r="B4780" s="237"/>
      <c r="C4780" s="36" t="s">
        <v>1791</v>
      </c>
      <c r="D4780" s="36" t="s">
        <v>898</v>
      </c>
      <c r="E4780" s="37">
        <f>0.5228*2.5/1.5</f>
        <v>0.8713333333333334</v>
      </c>
      <c r="F4780" s="54">
        <v>35.501499999999993</v>
      </c>
      <c r="G4780" s="54">
        <f t="shared" si="90"/>
        <v>30.933640333333329</v>
      </c>
      <c r="H4780" s="39">
        <f>SUM(G4780:G4786)</f>
        <v>914.47566738333319</v>
      </c>
      <c r="I4780" s="40"/>
      <c r="J4780" s="102">
        <v>0</v>
      </c>
    </row>
    <row r="4781" spans="1:10" ht="38.25" hidden="1" x14ac:dyDescent="0.25">
      <c r="A4781" s="224"/>
      <c r="B4781" s="237"/>
      <c r="C4781" s="36" t="s">
        <v>1131</v>
      </c>
      <c r="D4781" s="36" t="s">
        <v>279</v>
      </c>
      <c r="E4781" s="37">
        <v>9</v>
      </c>
      <c r="F4781" s="54">
        <v>0.874</v>
      </c>
      <c r="G4781" s="54">
        <f t="shared" si="90"/>
        <v>7.8659999999999997</v>
      </c>
      <c r="H4781" s="73"/>
      <c r="I4781" s="74"/>
      <c r="J4781" s="102">
        <v>0</v>
      </c>
    </row>
    <row r="4782" spans="1:10" ht="38.25" hidden="1" x14ac:dyDescent="0.25">
      <c r="A4782" s="224"/>
      <c r="B4782" s="237"/>
      <c r="C4782" s="36" t="s">
        <v>2396</v>
      </c>
      <c r="D4782" s="36" t="s">
        <v>992</v>
      </c>
      <c r="E4782" s="37">
        <f>1.005*2.5/1.5</f>
        <v>1.6749999999999998</v>
      </c>
      <c r="F4782" s="54">
        <v>448.82749999999999</v>
      </c>
      <c r="G4782" s="54">
        <f t="shared" si="90"/>
        <v>751.78606249999984</v>
      </c>
      <c r="H4782" s="73"/>
      <c r="I4782" s="74"/>
      <c r="J4782" s="102">
        <v>0</v>
      </c>
    </row>
    <row r="4783" spans="1:10" hidden="1" x14ac:dyDescent="0.25">
      <c r="A4783" s="224"/>
      <c r="B4783" s="237"/>
      <c r="C4783" s="36" t="s">
        <v>1906</v>
      </c>
      <c r="D4783" s="36" t="s">
        <v>898</v>
      </c>
      <c r="E4783" s="37">
        <f>0.0211*2.5/1.5</f>
        <v>3.5166666666666672E-2</v>
      </c>
      <c r="F4783" s="54">
        <v>58.738499999999995</v>
      </c>
      <c r="G4783" s="54">
        <f t="shared" si="90"/>
        <v>2.06563725</v>
      </c>
      <c r="H4783" s="73"/>
      <c r="I4783" s="74"/>
      <c r="J4783" s="102">
        <v>0</v>
      </c>
    </row>
    <row r="4784" spans="1:10" ht="25.5" hidden="1" x14ac:dyDescent="0.25">
      <c r="A4784" s="224"/>
      <c r="B4784" s="237"/>
      <c r="C4784" s="36" t="s">
        <v>1807</v>
      </c>
      <c r="D4784" s="36" t="s">
        <v>279</v>
      </c>
      <c r="E4784" s="37">
        <v>3</v>
      </c>
      <c r="F4784" s="54">
        <v>24.643000000000001</v>
      </c>
      <c r="G4784" s="54">
        <f t="shared" si="90"/>
        <v>73.929000000000002</v>
      </c>
      <c r="H4784" s="73"/>
      <c r="I4784" s="40"/>
      <c r="J4784" s="102">
        <v>0</v>
      </c>
    </row>
    <row r="4785" spans="1:10" hidden="1" x14ac:dyDescent="0.25">
      <c r="A4785" s="224"/>
      <c r="B4785" s="237"/>
      <c r="C4785" s="36" t="s">
        <v>1685</v>
      </c>
      <c r="D4785" s="36" t="s">
        <v>703</v>
      </c>
      <c r="E4785" s="37">
        <v>1.4944</v>
      </c>
      <c r="F4785" s="54">
        <v>21.403500000000001</v>
      </c>
      <c r="G4785" s="54">
        <f t="shared" si="90"/>
        <v>31.9853904</v>
      </c>
      <c r="H4785" s="73"/>
      <c r="I4785" s="74"/>
      <c r="J4785" s="102">
        <v>0</v>
      </c>
    </row>
    <row r="4786" spans="1:10" hidden="1" x14ac:dyDescent="0.25">
      <c r="A4786" s="224"/>
      <c r="B4786" s="237"/>
      <c r="C4786" s="36" t="s">
        <v>704</v>
      </c>
      <c r="D4786" s="36" t="s">
        <v>703</v>
      </c>
      <c r="E4786" s="37">
        <v>0.98340000000000005</v>
      </c>
      <c r="F4786" s="54">
        <v>16.1785</v>
      </c>
      <c r="G4786" s="54">
        <f t="shared" si="90"/>
        <v>15.9099369</v>
      </c>
      <c r="H4786" s="73"/>
      <c r="I4786" s="74"/>
      <c r="J4786" s="102">
        <v>0</v>
      </c>
    </row>
    <row r="4787" spans="1:10" hidden="1" x14ac:dyDescent="0.25">
      <c r="A4787" s="224"/>
      <c r="B4787" s="237"/>
      <c r="C4787" s="36"/>
      <c r="D4787" s="36"/>
      <c r="E4787" s="37"/>
      <c r="F4787" s="54" t="s">
        <v>522</v>
      </c>
      <c r="G4787" s="54" t="str">
        <f t="shared" si="90"/>
        <v/>
      </c>
      <c r="H4787" s="73"/>
      <c r="I4787" s="74"/>
      <c r="J4787" s="102">
        <v>0</v>
      </c>
    </row>
    <row r="4788" spans="1:10" ht="15.75" hidden="1" thickBot="1" x14ac:dyDescent="0.3">
      <c r="A4788" s="218" t="s">
        <v>1841</v>
      </c>
      <c r="B4788" s="221" t="e">
        <f>INDEX(#REF!,MATCH(Composições!A4788,#REF!,0),2)</f>
        <v>#REF!</v>
      </c>
      <c r="C4788" s="41"/>
      <c r="D4788" s="26" t="s">
        <v>20</v>
      </c>
      <c r="E4788" s="27"/>
      <c r="F4788" s="42" t="s">
        <v>522</v>
      </c>
      <c r="G4788" s="28" t="str">
        <f t="shared" si="90"/>
        <v/>
      </c>
      <c r="H4788" s="29"/>
      <c r="I4788" s="30"/>
      <c r="J4788" s="102">
        <v>0</v>
      </c>
    </row>
    <row r="4789" spans="1:10" hidden="1" x14ac:dyDescent="0.25">
      <c r="A4789" s="219"/>
      <c r="B4789" s="237"/>
      <c r="C4789" s="32"/>
      <c r="D4789" s="32"/>
      <c r="E4789" s="33"/>
      <c r="F4789" s="43" t="s">
        <v>522</v>
      </c>
      <c r="G4789" s="34" t="str">
        <f t="shared" si="90"/>
        <v/>
      </c>
      <c r="H4789" s="35"/>
      <c r="I4789" s="31"/>
      <c r="J4789" s="102">
        <v>0</v>
      </c>
    </row>
    <row r="4790" spans="1:10" hidden="1" x14ac:dyDescent="0.25">
      <c r="A4790" s="219"/>
      <c r="B4790" s="237"/>
      <c r="C4790" s="36" t="s">
        <v>68</v>
      </c>
      <c r="D4790" s="36" t="s">
        <v>12</v>
      </c>
      <c r="E4790" s="37">
        <v>0.15</v>
      </c>
      <c r="F4790" s="34">
        <v>19.9025</v>
      </c>
      <c r="G4790" s="34">
        <f t="shared" si="90"/>
        <v>2.9853749999999999</v>
      </c>
      <c r="H4790" s="39">
        <f>SUM(G4790:G4791)</f>
        <v>2.9853749999999999</v>
      </c>
      <c r="I4790" s="40"/>
      <c r="J4790" s="102">
        <v>0</v>
      </c>
    </row>
    <row r="4791" spans="1:10" ht="25.5" hidden="1" x14ac:dyDescent="0.25">
      <c r="A4791" s="219"/>
      <c r="B4791" s="237"/>
      <c r="C4791" s="36" t="s">
        <v>1930</v>
      </c>
      <c r="D4791" s="36" t="s">
        <v>20</v>
      </c>
      <c r="E4791" s="37">
        <v>1</v>
      </c>
      <c r="F4791" s="31" t="s">
        <v>522</v>
      </c>
      <c r="G4791" s="34" t="str">
        <f t="shared" si="90"/>
        <v/>
      </c>
      <c r="H4791" s="35"/>
      <c r="I4791" s="31"/>
      <c r="J4791" s="102">
        <v>0</v>
      </c>
    </row>
    <row r="4792" spans="1:10" ht="15.75" hidden="1" thickBot="1" x14ac:dyDescent="0.3">
      <c r="A4792" s="220"/>
      <c r="B4792" s="223"/>
      <c r="C4792" s="36"/>
      <c r="D4792" s="36"/>
      <c r="E4792" s="37"/>
      <c r="F4792" s="31" t="s">
        <v>522</v>
      </c>
      <c r="G4792" s="34" t="str">
        <f t="shared" si="90"/>
        <v/>
      </c>
      <c r="H4792" s="35"/>
      <c r="I4792" s="31"/>
      <c r="J4792" s="102">
        <v>0</v>
      </c>
    </row>
    <row r="4793" spans="1:10" ht="15.75" hidden="1" thickBot="1" x14ac:dyDescent="0.3">
      <c r="A4793" s="218" t="s">
        <v>1842</v>
      </c>
      <c r="B4793" s="221" t="e">
        <f>INDEX(#REF!,MATCH(Composições!A4793,#REF!,0),2)</f>
        <v>#REF!</v>
      </c>
      <c r="C4793" s="41"/>
      <c r="D4793" s="26" t="s">
        <v>20</v>
      </c>
      <c r="E4793" s="27"/>
      <c r="F4793" s="42" t="s">
        <v>522</v>
      </c>
      <c r="G4793" s="28" t="str">
        <f t="shared" si="90"/>
        <v/>
      </c>
      <c r="H4793" s="29"/>
      <c r="I4793" s="30"/>
      <c r="J4793" s="102">
        <v>0</v>
      </c>
    </row>
    <row r="4794" spans="1:10" hidden="1" x14ac:dyDescent="0.25">
      <c r="A4794" s="219"/>
      <c r="B4794" s="237"/>
      <c r="C4794" s="32"/>
      <c r="D4794" s="32"/>
      <c r="E4794" s="33"/>
      <c r="F4794" s="43" t="s">
        <v>522</v>
      </c>
      <c r="G4794" s="34" t="str">
        <f t="shared" si="90"/>
        <v/>
      </c>
      <c r="H4794" s="35"/>
      <c r="I4794" s="31"/>
      <c r="J4794" s="102">
        <v>0</v>
      </c>
    </row>
    <row r="4795" spans="1:10" hidden="1" x14ac:dyDescent="0.25">
      <c r="A4795" s="219"/>
      <c r="B4795" s="237"/>
      <c r="C4795" s="36" t="s">
        <v>68</v>
      </c>
      <c r="D4795" s="36" t="s">
        <v>12</v>
      </c>
      <c r="E4795" s="37">
        <v>0.15</v>
      </c>
      <c r="F4795" s="34">
        <v>19.9025</v>
      </c>
      <c r="G4795" s="34">
        <f t="shared" si="90"/>
        <v>2.9853749999999999</v>
      </c>
      <c r="H4795" s="39">
        <f>SUM(G4795:G4796)</f>
        <v>2.9853749999999999</v>
      </c>
      <c r="I4795" s="40"/>
      <c r="J4795" s="102">
        <v>0</v>
      </c>
    </row>
    <row r="4796" spans="1:10" hidden="1" x14ac:dyDescent="0.25">
      <c r="A4796" s="219"/>
      <c r="B4796" s="237"/>
      <c r="C4796" s="36" t="s">
        <v>1931</v>
      </c>
      <c r="D4796" s="36" t="s">
        <v>20</v>
      </c>
      <c r="E4796" s="37">
        <v>1</v>
      </c>
      <c r="F4796" s="31" t="s">
        <v>522</v>
      </c>
      <c r="G4796" s="34" t="str">
        <f t="shared" si="90"/>
        <v/>
      </c>
      <c r="H4796" s="35"/>
      <c r="I4796" s="31"/>
      <c r="J4796" s="102">
        <v>0</v>
      </c>
    </row>
    <row r="4797" spans="1:10" ht="15.75" hidden="1" thickBot="1" x14ac:dyDescent="0.3">
      <c r="A4797" s="220"/>
      <c r="B4797" s="223"/>
      <c r="C4797" s="36"/>
      <c r="D4797" s="36"/>
      <c r="E4797" s="37"/>
      <c r="F4797" s="31" t="s">
        <v>522</v>
      </c>
      <c r="G4797" s="34" t="str">
        <f t="shared" si="90"/>
        <v/>
      </c>
      <c r="H4797" s="35"/>
      <c r="I4797" s="31"/>
      <c r="J4797" s="102">
        <v>0</v>
      </c>
    </row>
    <row r="4798" spans="1:10" ht="15.75" hidden="1" thickBot="1" x14ac:dyDescent="0.3">
      <c r="A4798" s="218" t="s">
        <v>1843</v>
      </c>
      <c r="B4798" s="221" t="e">
        <f>INDEX(#REF!,MATCH(Composições!A4798,#REF!,0),2)</f>
        <v>#REF!</v>
      </c>
      <c r="C4798" s="41"/>
      <c r="D4798" s="26" t="s">
        <v>20</v>
      </c>
      <c r="E4798" s="27"/>
      <c r="F4798" s="42" t="s">
        <v>522</v>
      </c>
      <c r="G4798" s="28" t="str">
        <f t="shared" si="90"/>
        <v/>
      </c>
      <c r="H4798" s="29"/>
      <c r="I4798" s="30"/>
      <c r="J4798" s="102">
        <v>0</v>
      </c>
    </row>
    <row r="4799" spans="1:10" hidden="1" x14ac:dyDescent="0.25">
      <c r="A4799" s="219"/>
      <c r="B4799" s="237"/>
      <c r="C4799" s="32"/>
      <c r="D4799" s="32"/>
      <c r="E4799" s="33"/>
      <c r="F4799" s="43" t="s">
        <v>522</v>
      </c>
      <c r="G4799" s="34" t="str">
        <f t="shared" si="90"/>
        <v/>
      </c>
      <c r="H4799" s="35"/>
      <c r="I4799" s="31"/>
      <c r="J4799" s="102">
        <v>0</v>
      </c>
    </row>
    <row r="4800" spans="1:10" hidden="1" x14ac:dyDescent="0.25">
      <c r="A4800" s="219"/>
      <c r="B4800" s="237"/>
      <c r="C4800" s="36" t="s">
        <v>68</v>
      </c>
      <c r="D4800" s="36" t="s">
        <v>12</v>
      </c>
      <c r="E4800" s="37">
        <v>0.15</v>
      </c>
      <c r="F4800" s="34">
        <v>19.9025</v>
      </c>
      <c r="G4800" s="34">
        <f t="shared" si="90"/>
        <v>2.9853749999999999</v>
      </c>
      <c r="H4800" s="39">
        <f>SUM(G4800:G4801)</f>
        <v>2.9853749999999999</v>
      </c>
      <c r="I4800" s="40"/>
      <c r="J4800" s="102">
        <v>0</v>
      </c>
    </row>
    <row r="4801" spans="1:10" ht="25.5" hidden="1" x14ac:dyDescent="0.25">
      <c r="A4801" s="219"/>
      <c r="B4801" s="237"/>
      <c r="C4801" s="36" t="s">
        <v>1932</v>
      </c>
      <c r="D4801" s="36" t="s">
        <v>20</v>
      </c>
      <c r="E4801" s="37">
        <v>1</v>
      </c>
      <c r="F4801" s="31" t="s">
        <v>522</v>
      </c>
      <c r="G4801" s="34" t="str">
        <f t="shared" si="90"/>
        <v/>
      </c>
      <c r="H4801" s="35"/>
      <c r="I4801" s="31"/>
      <c r="J4801" s="102">
        <v>0</v>
      </c>
    </row>
    <row r="4802" spans="1:10" ht="15.75" hidden="1" thickBot="1" x14ac:dyDescent="0.3">
      <c r="A4802" s="220"/>
      <c r="B4802" s="223"/>
      <c r="C4802" s="36"/>
      <c r="D4802" s="36"/>
      <c r="E4802" s="37"/>
      <c r="F4802" s="31" t="s">
        <v>522</v>
      </c>
      <c r="G4802" s="34" t="str">
        <f t="shared" si="90"/>
        <v/>
      </c>
      <c r="H4802" s="35"/>
      <c r="I4802" s="31"/>
      <c r="J4802" s="102">
        <v>0</v>
      </c>
    </row>
    <row r="4803" spans="1:10" ht="15.75" hidden="1" customHeight="1" thickBot="1" x14ac:dyDescent="0.3">
      <c r="A4803" s="218" t="s">
        <v>1844</v>
      </c>
      <c r="B4803" s="221" t="e">
        <f>INDEX(#REF!,MATCH(Composições!A4803,#REF!,0),2)</f>
        <v>#REF!</v>
      </c>
      <c r="C4803" s="41"/>
      <c r="D4803" s="26" t="s">
        <v>93</v>
      </c>
      <c r="E4803" s="27"/>
      <c r="F4803" s="42" t="s">
        <v>522</v>
      </c>
      <c r="G4803" s="28" t="str">
        <f t="shared" si="90"/>
        <v/>
      </c>
      <c r="H4803" s="29"/>
      <c r="I4803" s="30"/>
      <c r="J4803" s="102">
        <v>0</v>
      </c>
    </row>
    <row r="4804" spans="1:10" hidden="1" x14ac:dyDescent="0.25">
      <c r="A4804" s="224"/>
      <c r="B4804" s="222"/>
      <c r="C4804" s="32"/>
      <c r="D4804" s="32"/>
      <c r="E4804" s="33"/>
      <c r="F4804" s="43" t="s">
        <v>522</v>
      </c>
      <c r="G4804" s="34" t="str">
        <f t="shared" si="90"/>
        <v/>
      </c>
      <c r="H4804" s="35"/>
      <c r="I4804" s="31"/>
      <c r="J4804" s="102">
        <v>0</v>
      </c>
    </row>
    <row r="4805" spans="1:10" hidden="1" x14ac:dyDescent="0.25">
      <c r="A4805" s="224"/>
      <c r="B4805" s="222"/>
      <c r="C4805" s="36" t="s">
        <v>68</v>
      </c>
      <c r="D4805" s="36" t="s">
        <v>12</v>
      </c>
      <c r="E4805" s="37">
        <v>0.2</v>
      </c>
      <c r="F4805" s="34">
        <v>19.9025</v>
      </c>
      <c r="G4805" s="34">
        <f t="shared" si="90"/>
        <v>3.9805000000000001</v>
      </c>
      <c r="H4805" s="39">
        <f>SUM(G4805:G4806)</f>
        <v>9.2652549999999998</v>
      </c>
      <c r="I4805" s="40"/>
      <c r="J4805" s="102">
        <v>0</v>
      </c>
    </row>
    <row r="4806" spans="1:10" hidden="1" x14ac:dyDescent="0.25">
      <c r="A4806" s="224"/>
      <c r="B4806" s="222"/>
      <c r="C4806" s="36" t="s">
        <v>835</v>
      </c>
      <c r="D4806" s="36" t="s">
        <v>42</v>
      </c>
      <c r="E4806" s="37">
        <v>0.126</v>
      </c>
      <c r="F4806" s="31">
        <v>41.942499999999995</v>
      </c>
      <c r="G4806" s="34">
        <f t="shared" si="90"/>
        <v>5.2847549999999996</v>
      </c>
      <c r="H4806" s="35"/>
      <c r="I4806" s="31"/>
      <c r="J4806" s="102">
        <v>0</v>
      </c>
    </row>
    <row r="4807" spans="1:10" hidden="1" x14ac:dyDescent="0.25">
      <c r="A4807" s="224"/>
      <c r="B4807" s="222"/>
      <c r="C4807" s="36"/>
      <c r="D4807" s="36"/>
      <c r="E4807" s="37"/>
      <c r="F4807" s="31" t="s">
        <v>522</v>
      </c>
      <c r="G4807" s="34"/>
      <c r="H4807" s="35"/>
      <c r="I4807" s="31"/>
      <c r="J4807" s="102">
        <v>0</v>
      </c>
    </row>
    <row r="4808" spans="1:10" hidden="1" x14ac:dyDescent="0.25">
      <c r="A4808" s="224"/>
      <c r="B4808" s="222"/>
      <c r="C4808" s="52" t="s">
        <v>1934</v>
      </c>
      <c r="D4808" s="36"/>
      <c r="E4808" s="37"/>
      <c r="F4808" s="31" t="s">
        <v>522</v>
      </c>
      <c r="G4808" s="34"/>
      <c r="H4808" s="35"/>
      <c r="I4808" s="31"/>
      <c r="J4808" s="102">
        <v>0</v>
      </c>
    </row>
    <row r="4809" spans="1:10" hidden="1" x14ac:dyDescent="0.25">
      <c r="A4809" s="224"/>
      <c r="B4809" s="222"/>
      <c r="C4809" s="52" t="s">
        <v>1933</v>
      </c>
      <c r="D4809" s="36"/>
      <c r="E4809" s="37"/>
      <c r="F4809" s="31" t="s">
        <v>522</v>
      </c>
      <c r="G4809" s="34" t="str">
        <f>IF(ISNUMBER(F4809),E4809*F4809,"")</f>
        <v/>
      </c>
      <c r="H4809" s="35"/>
      <c r="I4809" s="31"/>
      <c r="J4809" s="102">
        <v>0</v>
      </c>
    </row>
    <row r="4810" spans="1:10" ht="15.75" hidden="1" thickBot="1" x14ac:dyDescent="0.3">
      <c r="A4810" s="225"/>
      <c r="B4810" s="223"/>
      <c r="C4810" s="52"/>
      <c r="D4810" s="36"/>
      <c r="E4810" s="37"/>
      <c r="F4810" s="31" t="s">
        <v>522</v>
      </c>
      <c r="G4810" s="34"/>
      <c r="H4810" s="35"/>
      <c r="I4810" s="31"/>
      <c r="J4810" s="102">
        <v>0</v>
      </c>
    </row>
    <row r="4811" spans="1:10" ht="15.75" hidden="1" thickBot="1" x14ac:dyDescent="0.3">
      <c r="A4811" s="218" t="s">
        <v>1845</v>
      </c>
      <c r="B4811" s="221" t="e">
        <f>INDEX(#REF!,MATCH(Composições!A4811,#REF!,0),2)</f>
        <v>#REF!</v>
      </c>
      <c r="C4811" s="41"/>
      <c r="D4811" s="26" t="s">
        <v>93</v>
      </c>
      <c r="E4811" s="27"/>
      <c r="F4811" s="42" t="s">
        <v>522</v>
      </c>
      <c r="G4811" s="28" t="str">
        <f>IF(ISNUMBER(F4811),E4811*F4811,"")</f>
        <v/>
      </c>
      <c r="H4811" s="29"/>
      <c r="I4811" s="30"/>
      <c r="J4811" s="102">
        <v>0</v>
      </c>
    </row>
    <row r="4812" spans="1:10" hidden="1" x14ac:dyDescent="0.25">
      <c r="A4812" s="219"/>
      <c r="B4812" s="237"/>
      <c r="C4812" s="32"/>
      <c r="D4812" s="32"/>
      <c r="E4812" s="33"/>
      <c r="F4812" s="43" t="s">
        <v>522</v>
      </c>
      <c r="G4812" s="34" t="str">
        <f>IF(ISNUMBER(F4812),E4812*F4812,"")</f>
        <v/>
      </c>
      <c r="H4812" s="35"/>
      <c r="I4812" s="31"/>
      <c r="J4812" s="102">
        <v>0</v>
      </c>
    </row>
    <row r="4813" spans="1:10" hidden="1" x14ac:dyDescent="0.25">
      <c r="A4813" s="219"/>
      <c r="B4813" s="237"/>
      <c r="C4813" s="36" t="s">
        <v>68</v>
      </c>
      <c r="D4813" s="36" t="s">
        <v>12</v>
      </c>
      <c r="E4813" s="37">
        <v>0.2</v>
      </c>
      <c r="F4813" s="34">
        <v>19.9025</v>
      </c>
      <c r="G4813" s="34">
        <f>IF(ISNUMBER(F4813),E4813*F4813,"")</f>
        <v>3.9805000000000001</v>
      </c>
      <c r="H4813" s="39">
        <f>SUM(G4813:G4814)</f>
        <v>13.417562499999999</v>
      </c>
      <c r="I4813" s="40"/>
      <c r="J4813" s="102">
        <v>0</v>
      </c>
    </row>
    <row r="4814" spans="1:10" hidden="1" x14ac:dyDescent="0.25">
      <c r="A4814" s="219"/>
      <c r="B4814" s="237"/>
      <c r="C4814" s="36" t="s">
        <v>835</v>
      </c>
      <c r="D4814" s="36" t="s">
        <v>42</v>
      </c>
      <c r="E4814" s="37">
        <v>0.22500000000000001</v>
      </c>
      <c r="F4814" s="31">
        <v>41.942499999999995</v>
      </c>
      <c r="G4814" s="34">
        <f>IF(ISNUMBER(F4814),E4814*F4814,"")</f>
        <v>9.4370624999999997</v>
      </c>
      <c r="H4814" s="35"/>
      <c r="I4814" s="31"/>
      <c r="J4814" s="102">
        <v>0</v>
      </c>
    </row>
    <row r="4815" spans="1:10" hidden="1" x14ac:dyDescent="0.25">
      <c r="A4815" s="219"/>
      <c r="B4815" s="237"/>
      <c r="C4815" s="36"/>
      <c r="D4815" s="36"/>
      <c r="E4815" s="37"/>
      <c r="F4815" s="31" t="s">
        <v>522</v>
      </c>
      <c r="G4815" s="34"/>
      <c r="H4815" s="35"/>
      <c r="I4815" s="31"/>
      <c r="J4815" s="102">
        <v>0</v>
      </c>
    </row>
    <row r="4816" spans="1:10" hidden="1" x14ac:dyDescent="0.25">
      <c r="A4816" s="219"/>
      <c r="B4816" s="237"/>
      <c r="C4816" s="52" t="s">
        <v>1935</v>
      </c>
      <c r="D4816" s="36"/>
      <c r="E4816" s="37"/>
      <c r="F4816" s="31" t="s">
        <v>522</v>
      </c>
      <c r="G4816" s="34"/>
      <c r="H4816" s="35"/>
      <c r="I4816" s="31"/>
      <c r="J4816" s="102">
        <v>0</v>
      </c>
    </row>
    <row r="4817" spans="1:10" hidden="1" x14ac:dyDescent="0.25">
      <c r="A4817" s="219"/>
      <c r="B4817" s="237"/>
      <c r="C4817" s="52" t="s">
        <v>1933</v>
      </c>
      <c r="D4817" s="36"/>
      <c r="E4817" s="37"/>
      <c r="F4817" s="31" t="s">
        <v>522</v>
      </c>
      <c r="G4817" s="34"/>
      <c r="H4817" s="35"/>
      <c r="I4817" s="31"/>
      <c r="J4817" s="102">
        <v>0</v>
      </c>
    </row>
    <row r="4818" spans="1:10" ht="15.75" hidden="1" thickBot="1" x14ac:dyDescent="0.3">
      <c r="A4818" s="220"/>
      <c r="B4818" s="223"/>
      <c r="C4818" s="36"/>
      <c r="D4818" s="36"/>
      <c r="E4818" s="37"/>
      <c r="F4818" s="31" t="s">
        <v>522</v>
      </c>
      <c r="G4818" s="34" t="str">
        <f>IF(ISNUMBER(F4818),E4818*F4818,"")</f>
        <v/>
      </c>
      <c r="H4818" s="35"/>
      <c r="I4818" s="31"/>
      <c r="J4818" s="102">
        <v>0</v>
      </c>
    </row>
    <row r="4819" spans="1:10" ht="15.75" hidden="1" thickBot="1" x14ac:dyDescent="0.3">
      <c r="A4819" s="218" t="s">
        <v>1846</v>
      </c>
      <c r="B4819" s="221" t="e">
        <f>INDEX(#REF!,MATCH(Composições!A4819,#REF!,0),2)</f>
        <v>#REF!</v>
      </c>
      <c r="C4819" s="41"/>
      <c r="D4819" s="26" t="s">
        <v>93</v>
      </c>
      <c r="E4819" s="27"/>
      <c r="F4819" s="42" t="s">
        <v>522</v>
      </c>
      <c r="G4819" s="28" t="str">
        <f>IF(ISNUMBER(F4819),E4819*F4819,"")</f>
        <v/>
      </c>
      <c r="H4819" s="29"/>
      <c r="I4819" s="30"/>
      <c r="J4819" s="102">
        <v>0</v>
      </c>
    </row>
    <row r="4820" spans="1:10" hidden="1" x14ac:dyDescent="0.25">
      <c r="A4820" s="219"/>
      <c r="B4820" s="237"/>
      <c r="C4820" s="32"/>
      <c r="D4820" s="32"/>
      <c r="E4820" s="33"/>
      <c r="F4820" s="43" t="s">
        <v>522</v>
      </c>
      <c r="G4820" s="34" t="str">
        <f>IF(ISNUMBER(F4820),E4820*F4820,"")</f>
        <v/>
      </c>
      <c r="H4820" s="35"/>
      <c r="I4820" s="31"/>
      <c r="J4820" s="102">
        <v>0</v>
      </c>
    </row>
    <row r="4821" spans="1:10" hidden="1" x14ac:dyDescent="0.25">
      <c r="A4821" s="219"/>
      <c r="B4821" s="237"/>
      <c r="C4821" s="36" t="s">
        <v>68</v>
      </c>
      <c r="D4821" s="36" t="s">
        <v>12</v>
      </c>
      <c r="E4821" s="37">
        <v>0.15</v>
      </c>
      <c r="F4821" s="34">
        <v>19.9025</v>
      </c>
      <c r="G4821" s="34">
        <f>IF(ISNUMBER(F4821),E4821*F4821,"")</f>
        <v>2.9853749999999999</v>
      </c>
      <c r="H4821" s="39">
        <f>SUM(G4821:G4822)</f>
        <v>5.2922124999999998</v>
      </c>
      <c r="I4821" s="40"/>
      <c r="J4821" s="102">
        <v>0</v>
      </c>
    </row>
    <row r="4822" spans="1:10" hidden="1" x14ac:dyDescent="0.25">
      <c r="A4822" s="219"/>
      <c r="B4822" s="237"/>
      <c r="C4822" s="36" t="s">
        <v>835</v>
      </c>
      <c r="D4822" s="36" t="s">
        <v>42</v>
      </c>
      <c r="E4822" s="37">
        <v>5.5E-2</v>
      </c>
      <c r="F4822" s="31">
        <v>41.942499999999995</v>
      </c>
      <c r="G4822" s="34">
        <f>IF(ISNUMBER(F4822),E4822*F4822,"")</f>
        <v>2.3068374999999999</v>
      </c>
      <c r="H4822" s="35"/>
      <c r="I4822" s="31"/>
      <c r="J4822" s="102">
        <v>0</v>
      </c>
    </row>
    <row r="4823" spans="1:10" hidden="1" x14ac:dyDescent="0.25">
      <c r="A4823" s="219"/>
      <c r="B4823" s="237"/>
      <c r="C4823" s="36"/>
      <c r="D4823" s="36"/>
      <c r="E4823" s="37"/>
      <c r="F4823" s="31" t="s">
        <v>522</v>
      </c>
      <c r="G4823" s="34"/>
      <c r="H4823" s="35"/>
      <c r="I4823" s="31"/>
      <c r="J4823" s="102">
        <v>0</v>
      </c>
    </row>
    <row r="4824" spans="1:10" hidden="1" x14ac:dyDescent="0.25">
      <c r="A4824" s="219"/>
      <c r="B4824" s="237"/>
      <c r="C4824" s="52" t="s">
        <v>1936</v>
      </c>
      <c r="D4824" s="36"/>
      <c r="E4824" s="37"/>
      <c r="F4824" s="31" t="s">
        <v>522</v>
      </c>
      <c r="G4824" s="34"/>
      <c r="H4824" s="35"/>
      <c r="I4824" s="31"/>
      <c r="J4824" s="102">
        <v>0</v>
      </c>
    </row>
    <row r="4825" spans="1:10" hidden="1" x14ac:dyDescent="0.25">
      <c r="A4825" s="219"/>
      <c r="B4825" s="237"/>
      <c r="C4825" s="52" t="s">
        <v>1933</v>
      </c>
      <c r="D4825" s="36"/>
      <c r="E4825" s="37"/>
      <c r="F4825" s="31" t="s">
        <v>522</v>
      </c>
      <c r="G4825" s="34"/>
      <c r="H4825" s="35"/>
      <c r="I4825" s="31"/>
      <c r="J4825" s="102">
        <v>0</v>
      </c>
    </row>
    <row r="4826" spans="1:10" ht="15.75" hidden="1" thickBot="1" x14ac:dyDescent="0.3">
      <c r="A4826" s="220"/>
      <c r="B4826" s="223"/>
      <c r="C4826" s="36"/>
      <c r="D4826" s="36"/>
      <c r="E4826" s="37"/>
      <c r="F4826" s="31" t="s">
        <v>522</v>
      </c>
      <c r="G4826" s="34" t="str">
        <f>IF(ISNUMBER(F4826),E4826*F4826,"")</f>
        <v/>
      </c>
      <c r="H4826" s="35"/>
      <c r="I4826" s="31"/>
      <c r="J4826" s="102">
        <v>0</v>
      </c>
    </row>
    <row r="4827" spans="1:10" ht="15.75" hidden="1" thickBot="1" x14ac:dyDescent="0.3">
      <c r="A4827" s="218" t="s">
        <v>1847</v>
      </c>
      <c r="B4827" s="221" t="e">
        <f>INDEX(#REF!,MATCH(Composições!A4827,#REF!,0),2)</f>
        <v>#REF!</v>
      </c>
      <c r="C4827" s="41"/>
      <c r="D4827" s="26" t="s">
        <v>93</v>
      </c>
      <c r="E4827" s="27"/>
      <c r="F4827" s="42" t="s">
        <v>522</v>
      </c>
      <c r="G4827" s="28" t="str">
        <f>IF(ISNUMBER(F4827),E4827*F4827,"")</f>
        <v/>
      </c>
      <c r="H4827" s="29"/>
      <c r="I4827" s="30"/>
      <c r="J4827" s="102">
        <v>0</v>
      </c>
    </row>
    <row r="4828" spans="1:10" hidden="1" x14ac:dyDescent="0.25">
      <c r="A4828" s="219"/>
      <c r="B4828" s="237"/>
      <c r="C4828" s="32"/>
      <c r="D4828" s="32"/>
      <c r="E4828" s="33"/>
      <c r="F4828" s="43" t="s">
        <v>522</v>
      </c>
      <c r="G4828" s="34" t="str">
        <f>IF(ISNUMBER(F4828),E4828*F4828,"")</f>
        <v/>
      </c>
      <c r="H4828" s="35"/>
      <c r="I4828" s="31"/>
      <c r="J4828" s="102">
        <v>0</v>
      </c>
    </row>
    <row r="4829" spans="1:10" hidden="1" x14ac:dyDescent="0.25">
      <c r="A4829" s="219"/>
      <c r="B4829" s="237"/>
      <c r="C4829" s="36" t="s">
        <v>68</v>
      </c>
      <c r="D4829" s="36" t="s">
        <v>12</v>
      </c>
      <c r="E4829" s="37">
        <v>0.3</v>
      </c>
      <c r="F4829" s="34">
        <v>19.9025</v>
      </c>
      <c r="G4829" s="34">
        <f>IF(ISNUMBER(F4829),E4829*F4829,"")</f>
        <v>5.9707499999999998</v>
      </c>
      <c r="H4829" s="39">
        <f>SUM(G4829:G4830)</f>
        <v>14.694789999999998</v>
      </c>
      <c r="I4829" s="40"/>
      <c r="J4829" s="102">
        <v>0</v>
      </c>
    </row>
    <row r="4830" spans="1:10" hidden="1" x14ac:dyDescent="0.25">
      <c r="A4830" s="219"/>
      <c r="B4830" s="237"/>
      <c r="C4830" s="36" t="s">
        <v>835</v>
      </c>
      <c r="D4830" s="36" t="s">
        <v>42</v>
      </c>
      <c r="E4830" s="37">
        <v>0.20799999999999999</v>
      </c>
      <c r="F4830" s="31">
        <v>41.942499999999995</v>
      </c>
      <c r="G4830" s="34">
        <f>IF(ISNUMBER(F4830),E4830*F4830,"")</f>
        <v>8.7240399999999987</v>
      </c>
      <c r="H4830" s="35"/>
      <c r="I4830" s="31"/>
      <c r="J4830" s="102">
        <v>0</v>
      </c>
    </row>
    <row r="4831" spans="1:10" hidden="1" x14ac:dyDescent="0.25">
      <c r="A4831" s="219"/>
      <c r="B4831" s="237"/>
      <c r="C4831" s="36"/>
      <c r="D4831" s="36"/>
      <c r="E4831" s="37"/>
      <c r="F4831" s="31" t="s">
        <v>522</v>
      </c>
      <c r="G4831" s="34"/>
      <c r="H4831" s="35"/>
      <c r="I4831" s="31"/>
      <c r="J4831" s="102">
        <v>0</v>
      </c>
    </row>
    <row r="4832" spans="1:10" hidden="1" x14ac:dyDescent="0.25">
      <c r="A4832" s="219"/>
      <c r="B4832" s="237"/>
      <c r="C4832" s="52" t="s">
        <v>1937</v>
      </c>
      <c r="D4832" s="36"/>
      <c r="E4832" s="37"/>
      <c r="F4832" s="31" t="s">
        <v>522</v>
      </c>
      <c r="G4832" s="34"/>
      <c r="H4832" s="35"/>
      <c r="I4832" s="31"/>
      <c r="J4832" s="102">
        <v>0</v>
      </c>
    </row>
    <row r="4833" spans="1:10" hidden="1" x14ac:dyDescent="0.25">
      <c r="A4833" s="219"/>
      <c r="B4833" s="237"/>
      <c r="C4833" s="52" t="s">
        <v>1933</v>
      </c>
      <c r="D4833" s="36"/>
      <c r="E4833" s="37"/>
      <c r="F4833" s="31" t="s">
        <v>522</v>
      </c>
      <c r="G4833" s="34"/>
      <c r="H4833" s="35"/>
      <c r="I4833" s="31"/>
      <c r="J4833" s="102">
        <v>0</v>
      </c>
    </row>
    <row r="4834" spans="1:10" ht="15.75" hidden="1" thickBot="1" x14ac:dyDescent="0.3">
      <c r="A4834" s="220"/>
      <c r="B4834" s="223"/>
      <c r="C4834" s="36"/>
      <c r="D4834" s="36"/>
      <c r="E4834" s="37"/>
      <c r="F4834" s="31" t="s">
        <v>522</v>
      </c>
      <c r="G4834" s="34" t="str">
        <f>IF(ISNUMBER(F4834),E4834*F4834,"")</f>
        <v/>
      </c>
      <c r="H4834" s="35"/>
      <c r="I4834" s="31"/>
      <c r="J4834" s="102">
        <v>0</v>
      </c>
    </row>
    <row r="4835" spans="1:10" ht="15.75" hidden="1" thickBot="1" x14ac:dyDescent="0.3">
      <c r="A4835" s="218" t="s">
        <v>1848</v>
      </c>
      <c r="B4835" s="221" t="e">
        <f>INDEX(#REF!,MATCH(Composições!A4835,#REF!,0),2)</f>
        <v>#REF!</v>
      </c>
      <c r="C4835" s="41"/>
      <c r="D4835" s="26" t="s">
        <v>93</v>
      </c>
      <c r="E4835" s="27"/>
      <c r="F4835" s="42" t="s">
        <v>522</v>
      </c>
      <c r="G4835" s="28" t="str">
        <f>IF(ISNUMBER(F4835),E4835*F4835,"")</f>
        <v/>
      </c>
      <c r="H4835" s="29"/>
      <c r="I4835" s="30"/>
      <c r="J4835" s="102">
        <v>0</v>
      </c>
    </row>
    <row r="4836" spans="1:10" hidden="1" x14ac:dyDescent="0.25">
      <c r="A4836" s="219"/>
      <c r="B4836" s="237"/>
      <c r="C4836" s="32"/>
      <c r="D4836" s="32"/>
      <c r="E4836" s="33"/>
      <c r="F4836" s="43" t="s">
        <v>522</v>
      </c>
      <c r="G4836" s="34" t="str">
        <f>IF(ISNUMBER(F4836),E4836*F4836,"")</f>
        <v/>
      </c>
      <c r="H4836" s="35"/>
      <c r="I4836" s="31"/>
      <c r="J4836" s="102">
        <v>0</v>
      </c>
    </row>
    <row r="4837" spans="1:10" hidden="1" x14ac:dyDescent="0.25">
      <c r="A4837" s="219"/>
      <c r="B4837" s="237"/>
      <c r="C4837" s="36" t="s">
        <v>68</v>
      </c>
      <c r="D4837" s="36" t="s">
        <v>12</v>
      </c>
      <c r="E4837" s="37">
        <v>0.3</v>
      </c>
      <c r="F4837" s="34">
        <v>19.9025</v>
      </c>
      <c r="G4837" s="34">
        <f>IF(ISNUMBER(F4837),E4837*F4837,"")</f>
        <v>5.9707499999999998</v>
      </c>
      <c r="H4837" s="39">
        <f>SUM(G4837:G4838)</f>
        <v>16.833857500000001</v>
      </c>
      <c r="I4837" s="40"/>
      <c r="J4837" s="102">
        <v>0</v>
      </c>
    </row>
    <row r="4838" spans="1:10" hidden="1" x14ac:dyDescent="0.25">
      <c r="A4838" s="219"/>
      <c r="B4838" s="237"/>
      <c r="C4838" s="36" t="s">
        <v>835</v>
      </c>
      <c r="D4838" s="36" t="s">
        <v>42</v>
      </c>
      <c r="E4838" s="37">
        <v>0.25900000000000001</v>
      </c>
      <c r="F4838" s="31">
        <v>41.942499999999995</v>
      </c>
      <c r="G4838" s="34">
        <f>IF(ISNUMBER(F4838),E4838*F4838,"")</f>
        <v>10.8631075</v>
      </c>
      <c r="H4838" s="35"/>
      <c r="I4838" s="31"/>
      <c r="J4838" s="102">
        <v>0</v>
      </c>
    </row>
    <row r="4839" spans="1:10" hidden="1" x14ac:dyDescent="0.25">
      <c r="A4839" s="219"/>
      <c r="B4839" s="237"/>
      <c r="C4839" s="36"/>
      <c r="D4839" s="36"/>
      <c r="E4839" s="37"/>
      <c r="F4839" s="31" t="s">
        <v>522</v>
      </c>
      <c r="G4839" s="34"/>
      <c r="H4839" s="35"/>
      <c r="I4839" s="31"/>
      <c r="J4839" s="102">
        <v>0</v>
      </c>
    </row>
    <row r="4840" spans="1:10" hidden="1" x14ac:dyDescent="0.25">
      <c r="A4840" s="219"/>
      <c r="B4840" s="237"/>
      <c r="C4840" s="52" t="s">
        <v>1938</v>
      </c>
      <c r="D4840" s="36"/>
      <c r="E4840" s="37"/>
      <c r="F4840" s="31" t="s">
        <v>522</v>
      </c>
      <c r="G4840" s="34"/>
      <c r="H4840" s="35"/>
      <c r="I4840" s="31"/>
      <c r="J4840" s="102">
        <v>0</v>
      </c>
    </row>
    <row r="4841" spans="1:10" hidden="1" x14ac:dyDescent="0.25">
      <c r="A4841" s="219"/>
      <c r="B4841" s="237"/>
      <c r="C4841" s="52" t="s">
        <v>1933</v>
      </c>
      <c r="D4841" s="36"/>
      <c r="E4841" s="37"/>
      <c r="F4841" s="31" t="s">
        <v>522</v>
      </c>
      <c r="G4841" s="34"/>
      <c r="H4841" s="35"/>
      <c r="I4841" s="31"/>
      <c r="J4841" s="102">
        <v>0</v>
      </c>
    </row>
    <row r="4842" spans="1:10" ht="15.75" hidden="1" thickBot="1" x14ac:dyDescent="0.3">
      <c r="A4842" s="220"/>
      <c r="B4842" s="223"/>
      <c r="C4842" s="36"/>
      <c r="D4842" s="36"/>
      <c r="E4842" s="37"/>
      <c r="F4842" s="31" t="s">
        <v>522</v>
      </c>
      <c r="G4842" s="34" t="str">
        <f>IF(ISNUMBER(F4842),E4842*F4842,"")</f>
        <v/>
      </c>
      <c r="H4842" s="35"/>
      <c r="I4842" s="31"/>
      <c r="J4842" s="102">
        <v>0</v>
      </c>
    </row>
    <row r="4843" spans="1:10" ht="15.75" hidden="1" thickBot="1" x14ac:dyDescent="0.3">
      <c r="A4843" s="218" t="s">
        <v>1849</v>
      </c>
      <c r="B4843" s="221" t="e">
        <f>INDEX(#REF!,MATCH(Composições!A4843,#REF!,0),2)</f>
        <v>#REF!</v>
      </c>
      <c r="C4843" s="41"/>
      <c r="D4843" s="26" t="s">
        <v>93</v>
      </c>
      <c r="E4843" s="27"/>
      <c r="F4843" s="42" t="s">
        <v>522</v>
      </c>
      <c r="G4843" s="28" t="str">
        <f>IF(ISNUMBER(F4843),E4843*F4843,"")</f>
        <v/>
      </c>
      <c r="H4843" s="29"/>
      <c r="I4843" s="30"/>
      <c r="J4843" s="102">
        <v>0</v>
      </c>
    </row>
    <row r="4844" spans="1:10" hidden="1" x14ac:dyDescent="0.25">
      <c r="A4844" s="219"/>
      <c r="B4844" s="237"/>
      <c r="C4844" s="32"/>
      <c r="D4844" s="32"/>
      <c r="E4844" s="33"/>
      <c r="F4844" s="43" t="s">
        <v>522</v>
      </c>
      <c r="G4844" s="34" t="str">
        <f>IF(ISNUMBER(F4844),E4844*F4844,"")</f>
        <v/>
      </c>
      <c r="H4844" s="35"/>
      <c r="I4844" s="31"/>
      <c r="J4844" s="102">
        <v>0</v>
      </c>
    </row>
    <row r="4845" spans="1:10" hidden="1" x14ac:dyDescent="0.25">
      <c r="A4845" s="219"/>
      <c r="B4845" s="237"/>
      <c r="C4845" s="36" t="s">
        <v>68</v>
      </c>
      <c r="D4845" s="36" t="s">
        <v>12</v>
      </c>
      <c r="E4845" s="37">
        <v>0.3</v>
      </c>
      <c r="F4845" s="34">
        <v>19.9025</v>
      </c>
      <c r="G4845" s="34">
        <f>IF(ISNUMBER(F4845),E4845*F4845,"")</f>
        <v>5.9707499999999998</v>
      </c>
      <c r="H4845" s="39">
        <f>SUM(G4845:G4846)</f>
        <v>28.451929999999997</v>
      </c>
      <c r="I4845" s="40"/>
      <c r="J4845" s="102">
        <v>0</v>
      </c>
    </row>
    <row r="4846" spans="1:10" hidden="1" x14ac:dyDescent="0.25">
      <c r="A4846" s="219"/>
      <c r="B4846" s="237"/>
      <c r="C4846" s="36" t="s">
        <v>835</v>
      </c>
      <c r="D4846" s="36" t="s">
        <v>42</v>
      </c>
      <c r="E4846" s="37">
        <v>0.53600000000000003</v>
      </c>
      <c r="F4846" s="31">
        <v>41.942499999999995</v>
      </c>
      <c r="G4846" s="34">
        <f>IF(ISNUMBER(F4846),E4846*F4846,"")</f>
        <v>22.481179999999998</v>
      </c>
      <c r="H4846" s="35"/>
      <c r="I4846" s="31"/>
      <c r="J4846" s="102">
        <v>0</v>
      </c>
    </row>
    <row r="4847" spans="1:10" hidden="1" x14ac:dyDescent="0.25">
      <c r="A4847" s="219"/>
      <c r="B4847" s="237"/>
      <c r="C4847" s="36"/>
      <c r="D4847" s="36"/>
      <c r="E4847" s="37"/>
      <c r="F4847" s="31" t="s">
        <v>522</v>
      </c>
      <c r="G4847" s="34"/>
      <c r="H4847" s="35"/>
      <c r="I4847" s="31"/>
      <c r="J4847" s="102">
        <v>0</v>
      </c>
    </row>
    <row r="4848" spans="1:10" hidden="1" x14ac:dyDescent="0.25">
      <c r="A4848" s="219"/>
      <c r="B4848" s="237"/>
      <c r="C4848" s="52" t="s">
        <v>1939</v>
      </c>
      <c r="D4848" s="36"/>
      <c r="E4848" s="37"/>
      <c r="F4848" s="31" t="s">
        <v>522</v>
      </c>
      <c r="G4848" s="34"/>
      <c r="H4848" s="35"/>
      <c r="I4848" s="31"/>
      <c r="J4848" s="102">
        <v>0</v>
      </c>
    </row>
    <row r="4849" spans="1:10" hidden="1" x14ac:dyDescent="0.25">
      <c r="A4849" s="219"/>
      <c r="B4849" s="237"/>
      <c r="C4849" s="52" t="s">
        <v>1933</v>
      </c>
      <c r="D4849" s="36"/>
      <c r="E4849" s="37"/>
      <c r="F4849" s="31" t="s">
        <v>522</v>
      </c>
      <c r="G4849" s="34"/>
      <c r="H4849" s="35"/>
      <c r="I4849" s="31"/>
      <c r="J4849" s="102">
        <v>0</v>
      </c>
    </row>
    <row r="4850" spans="1:10" ht="15.75" hidden="1" thickBot="1" x14ac:dyDescent="0.3">
      <c r="A4850" s="220"/>
      <c r="B4850" s="223"/>
      <c r="C4850" s="36"/>
      <c r="D4850" s="36"/>
      <c r="E4850" s="37"/>
      <c r="F4850" s="31" t="s">
        <v>522</v>
      </c>
      <c r="G4850" s="34" t="str">
        <f>IF(ISNUMBER(F4850),E4850*F4850,"")</f>
        <v/>
      </c>
      <c r="H4850" s="35"/>
      <c r="I4850" s="31"/>
      <c r="J4850" s="102">
        <v>0</v>
      </c>
    </row>
    <row r="4851" spans="1:10" ht="15.75" hidden="1" thickBot="1" x14ac:dyDescent="0.3">
      <c r="A4851" s="218" t="s">
        <v>1850</v>
      </c>
      <c r="B4851" s="221" t="e">
        <f>INDEX(#REF!,MATCH(Composições!A4851,#REF!,0),2)</f>
        <v>#REF!</v>
      </c>
      <c r="C4851" s="41"/>
      <c r="D4851" s="26" t="s">
        <v>93</v>
      </c>
      <c r="E4851" s="27"/>
      <c r="F4851" s="42" t="s">
        <v>522</v>
      </c>
      <c r="G4851" s="28" t="str">
        <f>IF(ISNUMBER(F4851),E4851*F4851,"")</f>
        <v/>
      </c>
      <c r="H4851" s="29"/>
      <c r="I4851" s="30"/>
      <c r="J4851" s="102">
        <v>0</v>
      </c>
    </row>
    <row r="4852" spans="1:10" hidden="1" x14ac:dyDescent="0.25">
      <c r="A4852" s="219"/>
      <c r="B4852" s="237"/>
      <c r="C4852" s="32"/>
      <c r="D4852" s="32"/>
      <c r="E4852" s="33"/>
      <c r="F4852" s="43" t="s">
        <v>522</v>
      </c>
      <c r="G4852" s="34" t="str">
        <f>IF(ISNUMBER(F4852),E4852*F4852,"")</f>
        <v/>
      </c>
      <c r="H4852" s="35"/>
      <c r="I4852" s="31"/>
      <c r="J4852" s="102">
        <v>0</v>
      </c>
    </row>
    <row r="4853" spans="1:10" hidden="1" x14ac:dyDescent="0.25">
      <c r="A4853" s="219"/>
      <c r="B4853" s="237"/>
      <c r="C4853" s="36" t="s">
        <v>68</v>
      </c>
      <c r="D4853" s="36" t="s">
        <v>12</v>
      </c>
      <c r="E4853" s="37">
        <v>0.2</v>
      </c>
      <c r="F4853" s="34">
        <v>19.9025</v>
      </c>
      <c r="G4853" s="34">
        <f>IF(ISNUMBER(F4853),E4853*F4853,"")</f>
        <v>3.9805000000000001</v>
      </c>
      <c r="H4853" s="39">
        <f>SUM(G4853:G4854)</f>
        <v>8.3844624999999997</v>
      </c>
      <c r="I4853" s="40"/>
      <c r="J4853" s="102">
        <v>0</v>
      </c>
    </row>
    <row r="4854" spans="1:10" hidden="1" x14ac:dyDescent="0.25">
      <c r="A4854" s="219"/>
      <c r="B4854" s="237"/>
      <c r="C4854" s="36" t="s">
        <v>835</v>
      </c>
      <c r="D4854" s="36" t="s">
        <v>42</v>
      </c>
      <c r="E4854" s="37">
        <v>0.105</v>
      </c>
      <c r="F4854" s="31">
        <v>41.942499999999995</v>
      </c>
      <c r="G4854" s="34">
        <f>IF(ISNUMBER(F4854),E4854*F4854,"")</f>
        <v>4.4039624999999996</v>
      </c>
      <c r="H4854" s="35"/>
      <c r="I4854" s="31"/>
      <c r="J4854" s="102">
        <v>0</v>
      </c>
    </row>
    <row r="4855" spans="1:10" hidden="1" x14ac:dyDescent="0.25">
      <c r="A4855" s="219"/>
      <c r="B4855" s="237"/>
      <c r="C4855" s="36"/>
      <c r="D4855" s="36"/>
      <c r="E4855" s="37"/>
      <c r="F4855" s="31" t="s">
        <v>522</v>
      </c>
      <c r="G4855" s="34"/>
      <c r="H4855" s="35"/>
      <c r="I4855" s="31"/>
      <c r="J4855" s="102">
        <v>0</v>
      </c>
    </row>
    <row r="4856" spans="1:10" hidden="1" x14ac:dyDescent="0.25">
      <c r="A4856" s="219"/>
      <c r="B4856" s="237"/>
      <c r="C4856" s="52" t="s">
        <v>1940</v>
      </c>
      <c r="D4856" s="36"/>
      <c r="E4856" s="37"/>
      <c r="F4856" s="31" t="s">
        <v>522</v>
      </c>
      <c r="G4856" s="34"/>
      <c r="H4856" s="35"/>
      <c r="I4856" s="31"/>
      <c r="J4856" s="102">
        <v>0</v>
      </c>
    </row>
    <row r="4857" spans="1:10" hidden="1" x14ac:dyDescent="0.25">
      <c r="A4857" s="219"/>
      <c r="B4857" s="237"/>
      <c r="C4857" s="52" t="s">
        <v>1933</v>
      </c>
      <c r="D4857" s="36"/>
      <c r="E4857" s="37"/>
      <c r="F4857" s="31" t="s">
        <v>522</v>
      </c>
      <c r="G4857" s="34"/>
      <c r="H4857" s="35"/>
      <c r="I4857" s="31"/>
      <c r="J4857" s="102">
        <v>0</v>
      </c>
    </row>
    <row r="4858" spans="1:10" ht="15.75" hidden="1" thickBot="1" x14ac:dyDescent="0.3">
      <c r="A4858" s="220"/>
      <c r="B4858" s="223"/>
      <c r="C4858" s="36"/>
      <c r="D4858" s="36"/>
      <c r="E4858" s="37"/>
      <c r="F4858" s="31" t="s">
        <v>522</v>
      </c>
      <c r="G4858" s="34" t="str">
        <f>IF(ISNUMBER(F4858),E4858*F4858,"")</f>
        <v/>
      </c>
      <c r="H4858" s="35"/>
      <c r="I4858" s="31"/>
      <c r="J4858" s="102">
        <v>0</v>
      </c>
    </row>
    <row r="4859" spans="1:10" ht="15.75" hidden="1" thickBot="1" x14ac:dyDescent="0.3">
      <c r="A4859" s="218" t="s">
        <v>1851</v>
      </c>
      <c r="B4859" s="221" t="e">
        <f>INDEX(#REF!,MATCH(Composições!A4859,#REF!,0),2)</f>
        <v>#REF!</v>
      </c>
      <c r="C4859" s="41"/>
      <c r="D4859" s="26" t="s">
        <v>93</v>
      </c>
      <c r="E4859" s="27"/>
      <c r="F4859" s="42" t="s">
        <v>522</v>
      </c>
      <c r="G4859" s="28" t="str">
        <f>IF(ISNUMBER(F4859),E4859*F4859,"")</f>
        <v/>
      </c>
      <c r="H4859" s="29"/>
      <c r="I4859" s="30"/>
      <c r="J4859" s="102">
        <v>0</v>
      </c>
    </row>
    <row r="4860" spans="1:10" hidden="1" x14ac:dyDescent="0.25">
      <c r="A4860" s="219"/>
      <c r="B4860" s="237"/>
      <c r="C4860" s="32"/>
      <c r="D4860" s="32"/>
      <c r="E4860" s="33"/>
      <c r="F4860" s="43" t="s">
        <v>522</v>
      </c>
      <c r="G4860" s="34" t="str">
        <f>IF(ISNUMBER(F4860),E4860*F4860,"")</f>
        <v/>
      </c>
      <c r="H4860" s="35"/>
      <c r="I4860" s="31"/>
      <c r="J4860" s="102">
        <v>0</v>
      </c>
    </row>
    <row r="4861" spans="1:10" hidden="1" x14ac:dyDescent="0.25">
      <c r="A4861" s="219"/>
      <c r="B4861" s="237"/>
      <c r="C4861" s="36" t="s">
        <v>68</v>
      </c>
      <c r="D4861" s="36" t="s">
        <v>12</v>
      </c>
      <c r="E4861" s="37">
        <v>0.2</v>
      </c>
      <c r="F4861" s="34">
        <v>19.9025</v>
      </c>
      <c r="G4861" s="34">
        <f>IF(ISNUMBER(F4861),E4861*F4861,"")</f>
        <v>3.9805000000000001</v>
      </c>
      <c r="H4861" s="39">
        <f>SUM(G4861:G4862)</f>
        <v>8.9716574999999992</v>
      </c>
      <c r="I4861" s="40"/>
      <c r="J4861" s="102">
        <v>0</v>
      </c>
    </row>
    <row r="4862" spans="1:10" hidden="1" x14ac:dyDescent="0.25">
      <c r="A4862" s="219"/>
      <c r="B4862" s="237"/>
      <c r="C4862" s="36" t="s">
        <v>835</v>
      </c>
      <c r="D4862" s="36" t="s">
        <v>42</v>
      </c>
      <c r="E4862" s="37">
        <v>0.11899999999999999</v>
      </c>
      <c r="F4862" s="31">
        <v>41.942499999999995</v>
      </c>
      <c r="G4862" s="34">
        <f>IF(ISNUMBER(F4862),E4862*F4862,"")</f>
        <v>4.991157499999999</v>
      </c>
      <c r="H4862" s="35"/>
      <c r="I4862" s="31"/>
      <c r="J4862" s="102">
        <v>0</v>
      </c>
    </row>
    <row r="4863" spans="1:10" hidden="1" x14ac:dyDescent="0.25">
      <c r="A4863" s="219"/>
      <c r="B4863" s="237"/>
      <c r="C4863" s="36"/>
      <c r="D4863" s="36"/>
      <c r="E4863" s="37"/>
      <c r="F4863" s="31" t="s">
        <v>522</v>
      </c>
      <c r="G4863" s="34"/>
      <c r="H4863" s="35"/>
      <c r="I4863" s="31"/>
      <c r="J4863" s="102">
        <v>0</v>
      </c>
    </row>
    <row r="4864" spans="1:10" hidden="1" x14ac:dyDescent="0.25">
      <c r="A4864" s="219"/>
      <c r="B4864" s="237"/>
      <c r="C4864" s="52" t="s">
        <v>1941</v>
      </c>
      <c r="D4864" s="36"/>
      <c r="E4864" s="37"/>
      <c r="F4864" s="31" t="s">
        <v>522</v>
      </c>
      <c r="G4864" s="34"/>
      <c r="H4864" s="35"/>
      <c r="I4864" s="31"/>
      <c r="J4864" s="102">
        <v>0</v>
      </c>
    </row>
    <row r="4865" spans="1:10" hidden="1" x14ac:dyDescent="0.25">
      <c r="A4865" s="219"/>
      <c r="B4865" s="237"/>
      <c r="C4865" s="52" t="s">
        <v>1933</v>
      </c>
      <c r="D4865" s="36"/>
      <c r="E4865" s="37"/>
      <c r="F4865" s="31" t="s">
        <v>522</v>
      </c>
      <c r="G4865" s="34"/>
      <c r="H4865" s="35"/>
      <c r="I4865" s="31"/>
      <c r="J4865" s="102">
        <v>0</v>
      </c>
    </row>
    <row r="4866" spans="1:10" ht="15.75" hidden="1" thickBot="1" x14ac:dyDescent="0.3">
      <c r="A4866" s="220"/>
      <c r="B4866" s="223"/>
      <c r="C4866" s="36"/>
      <c r="D4866" s="36"/>
      <c r="E4866" s="37"/>
      <c r="F4866" s="31" t="s">
        <v>522</v>
      </c>
      <c r="G4866" s="34" t="str">
        <f t="shared" ref="G4866:G4929" si="91">IF(ISNUMBER(F4866),E4866*F4866,"")</f>
        <v/>
      </c>
      <c r="H4866" s="35"/>
      <c r="I4866" s="31"/>
      <c r="J4866" s="102">
        <v>0</v>
      </c>
    </row>
    <row r="4867" spans="1:10" ht="15.75" hidden="1" thickBot="1" x14ac:dyDescent="0.3">
      <c r="A4867" s="218" t="s">
        <v>1852</v>
      </c>
      <c r="B4867" s="221" t="e">
        <f>INDEX(#REF!,MATCH(Composições!A4867,#REF!,0),2)</f>
        <v>#REF!</v>
      </c>
      <c r="C4867" s="41"/>
      <c r="D4867" s="26" t="s">
        <v>20</v>
      </c>
      <c r="E4867" s="27"/>
      <c r="F4867" s="42" t="s">
        <v>522</v>
      </c>
      <c r="G4867" s="28" t="str">
        <f t="shared" si="91"/>
        <v/>
      </c>
      <c r="H4867" s="29"/>
      <c r="I4867" s="30"/>
      <c r="J4867" s="102">
        <v>0</v>
      </c>
    </row>
    <row r="4868" spans="1:10" hidden="1" x14ac:dyDescent="0.25">
      <c r="A4868" s="219"/>
      <c r="B4868" s="237"/>
      <c r="C4868" s="32"/>
      <c r="D4868" s="32"/>
      <c r="E4868" s="33"/>
      <c r="F4868" s="43" t="s">
        <v>522</v>
      </c>
      <c r="G4868" s="31" t="str">
        <f t="shared" si="91"/>
        <v/>
      </c>
      <c r="H4868" s="35"/>
      <c r="I4868" s="31"/>
      <c r="J4868" s="102">
        <v>0</v>
      </c>
    </row>
    <row r="4869" spans="1:10" ht="25.5" hidden="1" x14ac:dyDescent="0.25">
      <c r="A4869" s="219"/>
      <c r="B4869" s="237"/>
      <c r="C4869" s="36" t="s">
        <v>1946</v>
      </c>
      <c r="D4869" s="47" t="s">
        <v>279</v>
      </c>
      <c r="E4869" s="37">
        <v>1</v>
      </c>
      <c r="F4869" s="34" t="s">
        <v>522</v>
      </c>
      <c r="G4869" s="34" t="str">
        <f t="shared" si="91"/>
        <v/>
      </c>
      <c r="H4869" s="39">
        <f>SUM(G4869:G4875)</f>
        <v>76.274367600000005</v>
      </c>
      <c r="I4869" s="40"/>
      <c r="J4869" s="102">
        <v>0</v>
      </c>
    </row>
    <row r="4870" spans="1:10" ht="25.5" hidden="1" x14ac:dyDescent="0.25">
      <c r="A4870" s="219"/>
      <c r="B4870" s="237"/>
      <c r="C4870" s="36" t="s">
        <v>302</v>
      </c>
      <c r="D4870" s="36" t="s">
        <v>20</v>
      </c>
      <c r="E4870" s="37">
        <v>1</v>
      </c>
      <c r="F4870" s="34" t="s">
        <v>522</v>
      </c>
      <c r="G4870" s="34" t="str">
        <f t="shared" si="91"/>
        <v/>
      </c>
      <c r="H4870" s="35"/>
      <c r="I4870" s="31"/>
      <c r="J4870" s="102">
        <v>0</v>
      </c>
    </row>
    <row r="4871" spans="1:10" ht="25.5" hidden="1" x14ac:dyDescent="0.25">
      <c r="A4871" s="219"/>
      <c r="B4871" s="237"/>
      <c r="C4871" s="36" t="s">
        <v>329</v>
      </c>
      <c r="D4871" s="47" t="s">
        <v>279</v>
      </c>
      <c r="E4871" s="37">
        <v>2</v>
      </c>
      <c r="F4871" s="34">
        <v>22.106499999999997</v>
      </c>
      <c r="G4871" s="34">
        <f t="shared" si="91"/>
        <v>44.212999999999994</v>
      </c>
      <c r="H4871" s="35"/>
      <c r="I4871" s="31"/>
      <c r="J4871" s="102">
        <v>0</v>
      </c>
    </row>
    <row r="4872" spans="1:10" ht="25.5" hidden="1" x14ac:dyDescent="0.25">
      <c r="A4872" s="219"/>
      <c r="B4872" s="237"/>
      <c r="C4872" s="36" t="s">
        <v>2377</v>
      </c>
      <c r="D4872" s="47" t="s">
        <v>20</v>
      </c>
      <c r="E4872" s="37">
        <v>1</v>
      </c>
      <c r="F4872" s="34">
        <v>10.849</v>
      </c>
      <c r="G4872" s="54">
        <f t="shared" si="91"/>
        <v>10.849</v>
      </c>
      <c r="H4872" s="35"/>
      <c r="I4872" s="31"/>
      <c r="J4872" s="102">
        <v>0</v>
      </c>
    </row>
    <row r="4873" spans="1:10" hidden="1" x14ac:dyDescent="0.25">
      <c r="A4873" s="219"/>
      <c r="B4873" s="237"/>
      <c r="C4873" s="36" t="s">
        <v>1920</v>
      </c>
      <c r="D4873" s="47" t="s">
        <v>42</v>
      </c>
      <c r="E4873" s="37">
        <v>8.8099999999999998E-2</v>
      </c>
      <c r="F4873" s="34">
        <v>58.738499999999995</v>
      </c>
      <c r="G4873" s="34">
        <f t="shared" si="91"/>
        <v>5.1748618499999992</v>
      </c>
      <c r="H4873" s="35"/>
      <c r="I4873" s="31"/>
      <c r="J4873" s="102">
        <v>0</v>
      </c>
    </row>
    <row r="4874" spans="1:10" hidden="1" x14ac:dyDescent="0.25">
      <c r="A4874" s="219"/>
      <c r="B4874" s="237"/>
      <c r="C4874" s="36" t="s">
        <v>39</v>
      </c>
      <c r="D4874" s="47" t="s">
        <v>12</v>
      </c>
      <c r="E4874" s="37">
        <v>0.49680000000000002</v>
      </c>
      <c r="F4874" s="31">
        <v>20.9</v>
      </c>
      <c r="G4874" s="34">
        <f t="shared" si="91"/>
        <v>10.38312</v>
      </c>
      <c r="H4874" s="35"/>
      <c r="I4874" s="31"/>
      <c r="J4874" s="102">
        <v>0</v>
      </c>
    </row>
    <row r="4875" spans="1:10" hidden="1" x14ac:dyDescent="0.25">
      <c r="A4875" s="219"/>
      <c r="B4875" s="237"/>
      <c r="C4875" s="36" t="s">
        <v>23</v>
      </c>
      <c r="D4875" s="47" t="s">
        <v>12</v>
      </c>
      <c r="E4875" s="37">
        <v>0.34949999999999998</v>
      </c>
      <c r="F4875" s="31">
        <v>16.1785</v>
      </c>
      <c r="G4875" s="34">
        <f t="shared" si="91"/>
        <v>5.6543857499999994</v>
      </c>
      <c r="H4875" s="35"/>
      <c r="I4875" s="31"/>
      <c r="J4875" s="102">
        <v>0</v>
      </c>
    </row>
    <row r="4876" spans="1:10" ht="15.75" hidden="1" thickBot="1" x14ac:dyDescent="0.3">
      <c r="A4876" s="220"/>
      <c r="B4876" s="223"/>
      <c r="C4876" s="36"/>
      <c r="D4876" s="36"/>
      <c r="E4876" s="37"/>
      <c r="F4876" s="31" t="s">
        <v>522</v>
      </c>
      <c r="G4876" s="31" t="str">
        <f t="shared" si="91"/>
        <v/>
      </c>
      <c r="H4876" s="35"/>
      <c r="I4876" s="31"/>
      <c r="J4876" s="102">
        <v>0</v>
      </c>
    </row>
    <row r="4877" spans="1:10" ht="15.75" hidden="1" thickBot="1" x14ac:dyDescent="0.3">
      <c r="A4877" s="218" t="s">
        <v>1853</v>
      </c>
      <c r="B4877" s="221" t="e">
        <f>INDEX(#REF!,MATCH(Composições!A4877,#REF!,0),2)</f>
        <v>#REF!</v>
      </c>
      <c r="C4877" s="41"/>
      <c r="D4877" s="26" t="s">
        <v>20</v>
      </c>
      <c r="E4877" s="27"/>
      <c r="F4877" s="42" t="s">
        <v>522</v>
      </c>
      <c r="G4877" s="28" t="str">
        <f t="shared" si="91"/>
        <v/>
      </c>
      <c r="H4877" s="29"/>
      <c r="I4877" s="30"/>
      <c r="J4877" s="102">
        <v>0</v>
      </c>
    </row>
    <row r="4878" spans="1:10" hidden="1" x14ac:dyDescent="0.25">
      <c r="A4878" s="219"/>
      <c r="B4878" s="237"/>
      <c r="C4878" s="32"/>
      <c r="D4878" s="32"/>
      <c r="E4878" s="33"/>
      <c r="F4878" s="43" t="s">
        <v>522</v>
      </c>
      <c r="G4878" s="31" t="str">
        <f t="shared" si="91"/>
        <v/>
      </c>
      <c r="H4878" s="35"/>
      <c r="I4878" s="31"/>
      <c r="J4878" s="102">
        <v>0</v>
      </c>
    </row>
    <row r="4879" spans="1:10" hidden="1" x14ac:dyDescent="0.25">
      <c r="A4879" s="219"/>
      <c r="B4879" s="237"/>
      <c r="C4879" s="36" t="s">
        <v>1944</v>
      </c>
      <c r="D4879" s="47" t="s">
        <v>279</v>
      </c>
      <c r="E4879" s="37">
        <v>1</v>
      </c>
      <c r="F4879" s="34" t="s">
        <v>522</v>
      </c>
      <c r="G4879" s="34" t="str">
        <f t="shared" si="91"/>
        <v/>
      </c>
      <c r="H4879" s="39">
        <f>SUM(G4879:G4884)</f>
        <v>76.274367600000005</v>
      </c>
      <c r="I4879" s="40"/>
      <c r="J4879" s="102">
        <v>0</v>
      </c>
    </row>
    <row r="4880" spans="1:10" ht="25.5" hidden="1" x14ac:dyDescent="0.25">
      <c r="A4880" s="219"/>
      <c r="B4880" s="237"/>
      <c r="C4880" s="36" t="s">
        <v>2377</v>
      </c>
      <c r="D4880" s="47" t="s">
        <v>20</v>
      </c>
      <c r="E4880" s="37">
        <v>1</v>
      </c>
      <c r="F4880" s="34">
        <v>10.849</v>
      </c>
      <c r="G4880" s="54">
        <f t="shared" si="91"/>
        <v>10.849</v>
      </c>
      <c r="H4880" s="35"/>
      <c r="I4880" s="31"/>
      <c r="J4880" s="102">
        <v>0</v>
      </c>
    </row>
    <row r="4881" spans="1:10" ht="25.5" hidden="1" x14ac:dyDescent="0.25">
      <c r="A4881" s="219"/>
      <c r="B4881" s="237"/>
      <c r="C4881" s="36" t="s">
        <v>329</v>
      </c>
      <c r="D4881" s="47" t="s">
        <v>279</v>
      </c>
      <c r="E4881" s="37">
        <v>2</v>
      </c>
      <c r="F4881" s="34">
        <v>22.106499999999997</v>
      </c>
      <c r="G4881" s="34">
        <f t="shared" si="91"/>
        <v>44.212999999999994</v>
      </c>
      <c r="H4881" s="35"/>
      <c r="I4881" s="31"/>
      <c r="J4881" s="102">
        <v>0</v>
      </c>
    </row>
    <row r="4882" spans="1:10" hidden="1" x14ac:dyDescent="0.25">
      <c r="A4882" s="219"/>
      <c r="B4882" s="237"/>
      <c r="C4882" s="36" t="s">
        <v>1920</v>
      </c>
      <c r="D4882" s="47" t="s">
        <v>42</v>
      </c>
      <c r="E4882" s="37">
        <v>8.8099999999999998E-2</v>
      </c>
      <c r="F4882" s="34">
        <v>58.738499999999995</v>
      </c>
      <c r="G4882" s="34">
        <f t="shared" si="91"/>
        <v>5.1748618499999992</v>
      </c>
      <c r="H4882" s="35"/>
      <c r="I4882" s="31"/>
      <c r="J4882" s="102">
        <v>0</v>
      </c>
    </row>
    <row r="4883" spans="1:10" hidden="1" x14ac:dyDescent="0.25">
      <c r="A4883" s="219"/>
      <c r="B4883" s="237"/>
      <c r="C4883" s="36" t="s">
        <v>39</v>
      </c>
      <c r="D4883" s="47" t="s">
        <v>12</v>
      </c>
      <c r="E4883" s="37">
        <v>0.49680000000000002</v>
      </c>
      <c r="F4883" s="31">
        <v>20.9</v>
      </c>
      <c r="G4883" s="34">
        <f t="shared" si="91"/>
        <v>10.38312</v>
      </c>
      <c r="H4883" s="35"/>
      <c r="I4883" s="31"/>
      <c r="J4883" s="102">
        <v>0</v>
      </c>
    </row>
    <row r="4884" spans="1:10" hidden="1" x14ac:dyDescent="0.25">
      <c r="A4884" s="219"/>
      <c r="B4884" s="237"/>
      <c r="C4884" s="36" t="s">
        <v>23</v>
      </c>
      <c r="D4884" s="47" t="s">
        <v>12</v>
      </c>
      <c r="E4884" s="37">
        <v>0.34949999999999998</v>
      </c>
      <c r="F4884" s="31">
        <v>16.1785</v>
      </c>
      <c r="G4884" s="34">
        <f t="shared" si="91"/>
        <v>5.6543857499999994</v>
      </c>
      <c r="H4884" s="35"/>
      <c r="I4884" s="31"/>
      <c r="J4884" s="102">
        <v>0</v>
      </c>
    </row>
    <row r="4885" spans="1:10" ht="15.75" hidden="1" thickBot="1" x14ac:dyDescent="0.3">
      <c r="A4885" s="220"/>
      <c r="B4885" s="223"/>
      <c r="C4885" s="36"/>
      <c r="D4885" s="36"/>
      <c r="E4885" s="37"/>
      <c r="F4885" s="31" t="s">
        <v>522</v>
      </c>
      <c r="G4885" s="31" t="str">
        <f t="shared" si="91"/>
        <v/>
      </c>
      <c r="H4885" s="35"/>
      <c r="I4885" s="31"/>
      <c r="J4885" s="102">
        <v>0</v>
      </c>
    </row>
    <row r="4886" spans="1:10" ht="15.75" hidden="1" thickBot="1" x14ac:dyDescent="0.3">
      <c r="A4886" s="218" t="s">
        <v>1854</v>
      </c>
      <c r="B4886" s="221" t="e">
        <f>INDEX(#REF!,MATCH(Composições!A4886,#REF!,0),2)</f>
        <v>#REF!</v>
      </c>
      <c r="C4886" s="41"/>
      <c r="D4886" s="26" t="s">
        <v>20</v>
      </c>
      <c r="E4886" s="27"/>
      <c r="F4886" s="49" t="s">
        <v>522</v>
      </c>
      <c r="G4886" s="28" t="str">
        <f t="shared" si="91"/>
        <v/>
      </c>
      <c r="H4886" s="29"/>
      <c r="I4886" s="30"/>
      <c r="J4886" s="102">
        <v>0</v>
      </c>
    </row>
    <row r="4887" spans="1:10" hidden="1" x14ac:dyDescent="0.25">
      <c r="A4887" s="224"/>
      <c r="B4887" s="237"/>
      <c r="C4887" s="32"/>
      <c r="D4887" s="32"/>
      <c r="E4887" s="33"/>
      <c r="F4887" s="54" t="s">
        <v>522</v>
      </c>
      <c r="G4887" s="54" t="str">
        <f t="shared" si="91"/>
        <v/>
      </c>
      <c r="H4887" s="73"/>
      <c r="I4887" s="74"/>
      <c r="J4887" s="102">
        <v>0</v>
      </c>
    </row>
    <row r="4888" spans="1:10" ht="25.5" hidden="1" x14ac:dyDescent="0.25">
      <c r="A4888" s="224"/>
      <c r="B4888" s="237"/>
      <c r="C4888" s="36" t="s">
        <v>1945</v>
      </c>
      <c r="D4888" s="36" t="s">
        <v>279</v>
      </c>
      <c r="E4888" s="37">
        <v>1</v>
      </c>
      <c r="F4888" s="54" t="s">
        <v>522</v>
      </c>
      <c r="G4888" s="54" t="str">
        <f t="shared" si="91"/>
        <v/>
      </c>
      <c r="H4888" s="39">
        <f>SUM(G4888:G4891)</f>
        <v>11.686359449999999</v>
      </c>
      <c r="I4888" s="40"/>
      <c r="J4888" s="102">
        <v>0</v>
      </c>
    </row>
    <row r="4889" spans="1:10" hidden="1" x14ac:dyDescent="0.25">
      <c r="A4889" s="224"/>
      <c r="B4889" s="237"/>
      <c r="C4889" s="36" t="s">
        <v>1068</v>
      </c>
      <c r="D4889" s="36" t="s">
        <v>279</v>
      </c>
      <c r="E4889" s="37">
        <v>2.1000000000000001E-2</v>
      </c>
      <c r="F4889" s="54">
        <v>3.5244999999999997</v>
      </c>
      <c r="G4889" s="54">
        <f t="shared" si="91"/>
        <v>7.4014499999999997E-2</v>
      </c>
      <c r="H4889" s="73"/>
      <c r="I4889" s="74"/>
      <c r="J4889" s="102">
        <v>0</v>
      </c>
    </row>
    <row r="4890" spans="1:10" ht="25.5" hidden="1" x14ac:dyDescent="0.25">
      <c r="A4890" s="224"/>
      <c r="B4890" s="237"/>
      <c r="C4890" s="36" t="s">
        <v>954</v>
      </c>
      <c r="D4890" s="36" t="s">
        <v>703</v>
      </c>
      <c r="E4890" s="37">
        <v>0.44669999999999999</v>
      </c>
      <c r="F4890" s="54">
        <v>20.9</v>
      </c>
      <c r="G4890" s="54">
        <f t="shared" si="91"/>
        <v>9.3360299999999992</v>
      </c>
      <c r="H4890" s="73"/>
      <c r="I4890" s="74"/>
      <c r="J4890" s="102">
        <v>0</v>
      </c>
    </row>
    <row r="4891" spans="1:10" hidden="1" x14ac:dyDescent="0.25">
      <c r="A4891" s="224"/>
      <c r="B4891" s="237"/>
      <c r="C4891" s="36" t="s">
        <v>704</v>
      </c>
      <c r="D4891" s="36" t="s">
        <v>703</v>
      </c>
      <c r="E4891" s="37">
        <v>0.14069999999999999</v>
      </c>
      <c r="F4891" s="54">
        <v>16.1785</v>
      </c>
      <c r="G4891" s="54">
        <f t="shared" si="91"/>
        <v>2.2763149499999997</v>
      </c>
      <c r="H4891" s="73"/>
      <c r="I4891" s="74"/>
      <c r="J4891" s="102">
        <v>0</v>
      </c>
    </row>
    <row r="4892" spans="1:10" ht="15.75" hidden="1" thickBot="1" x14ac:dyDescent="0.3">
      <c r="A4892" s="225"/>
      <c r="B4892" s="223"/>
      <c r="C4892" s="36"/>
      <c r="D4892" s="36"/>
      <c r="E4892" s="37"/>
      <c r="F4892" s="54" t="s">
        <v>522</v>
      </c>
      <c r="G4892" s="54" t="str">
        <f t="shared" si="91"/>
        <v/>
      </c>
      <c r="H4892" s="73"/>
      <c r="I4892" s="74"/>
      <c r="J4892" s="102">
        <v>0</v>
      </c>
    </row>
    <row r="4893" spans="1:10" ht="15.75" hidden="1" thickBot="1" x14ac:dyDescent="0.3">
      <c r="A4893" s="218" t="s">
        <v>1855</v>
      </c>
      <c r="B4893" s="221" t="e">
        <f>INDEX(#REF!,MATCH(Composições!A4893,#REF!,0),2)</f>
        <v>#REF!</v>
      </c>
      <c r="C4893" s="41"/>
      <c r="D4893" s="26" t="s">
        <v>20</v>
      </c>
      <c r="E4893" s="27"/>
      <c r="F4893" s="49" t="s">
        <v>522</v>
      </c>
      <c r="G4893" s="28" t="str">
        <f t="shared" si="91"/>
        <v/>
      </c>
      <c r="H4893" s="29"/>
      <c r="I4893" s="30"/>
      <c r="J4893" s="102">
        <v>0</v>
      </c>
    </row>
    <row r="4894" spans="1:10" hidden="1" x14ac:dyDescent="0.25">
      <c r="A4894" s="224"/>
      <c r="B4894" s="237"/>
      <c r="C4894" s="32"/>
      <c r="D4894" s="32"/>
      <c r="E4894" s="33"/>
      <c r="F4894" s="54" t="s">
        <v>522</v>
      </c>
      <c r="G4894" s="54" t="str">
        <f t="shared" si="91"/>
        <v/>
      </c>
      <c r="H4894" s="73"/>
      <c r="I4894" s="74"/>
      <c r="J4894" s="102">
        <v>0</v>
      </c>
    </row>
    <row r="4895" spans="1:10" hidden="1" x14ac:dyDescent="0.25">
      <c r="A4895" s="224"/>
      <c r="B4895" s="237"/>
      <c r="C4895" s="36" t="s">
        <v>1068</v>
      </c>
      <c r="D4895" s="36" t="s">
        <v>279</v>
      </c>
      <c r="E4895" s="37">
        <v>4.2000000000000003E-2</v>
      </c>
      <c r="F4895" s="54">
        <v>3.5244999999999997</v>
      </c>
      <c r="G4895" s="54">
        <f t="shared" si="91"/>
        <v>0.14802899999999999</v>
      </c>
      <c r="H4895" s="39">
        <f>SUM(G4895:G4898)</f>
        <v>12.193059999999999</v>
      </c>
      <c r="I4895" s="40"/>
      <c r="J4895" s="102">
        <v>0</v>
      </c>
    </row>
    <row r="4896" spans="1:10" hidden="1" x14ac:dyDescent="0.25">
      <c r="A4896" s="224"/>
      <c r="B4896" s="237"/>
      <c r="C4896" s="36" t="s">
        <v>1943</v>
      </c>
      <c r="D4896" s="36" t="s">
        <v>279</v>
      </c>
      <c r="E4896" s="37">
        <v>1</v>
      </c>
      <c r="F4896" s="54" t="s">
        <v>522</v>
      </c>
      <c r="G4896" s="54" t="str">
        <f t="shared" si="91"/>
        <v/>
      </c>
      <c r="H4896" s="73"/>
      <c r="I4896" s="74"/>
      <c r="J4896" s="102">
        <v>0</v>
      </c>
    </row>
    <row r="4897" spans="1:10" ht="25.5" hidden="1" x14ac:dyDescent="0.25">
      <c r="A4897" s="224"/>
      <c r="B4897" s="237"/>
      <c r="C4897" s="36" t="s">
        <v>954</v>
      </c>
      <c r="D4897" s="36" t="s">
        <v>703</v>
      </c>
      <c r="E4897" s="37">
        <v>0.46329999999999999</v>
      </c>
      <c r="F4897" s="54">
        <v>20.9</v>
      </c>
      <c r="G4897" s="54">
        <f t="shared" si="91"/>
        <v>9.6829699999999992</v>
      </c>
      <c r="H4897" s="73"/>
      <c r="I4897" s="74"/>
      <c r="J4897" s="102">
        <v>0</v>
      </c>
    </row>
    <row r="4898" spans="1:10" hidden="1" x14ac:dyDescent="0.25">
      <c r="A4898" s="224"/>
      <c r="B4898" s="237"/>
      <c r="C4898" s="36" t="s">
        <v>704</v>
      </c>
      <c r="D4898" s="36" t="s">
        <v>703</v>
      </c>
      <c r="E4898" s="37">
        <v>0.14599999999999999</v>
      </c>
      <c r="F4898" s="54">
        <v>16.1785</v>
      </c>
      <c r="G4898" s="54">
        <f t="shared" si="91"/>
        <v>2.3620609999999997</v>
      </c>
      <c r="H4898" s="73"/>
      <c r="I4898" s="74"/>
      <c r="J4898" s="102">
        <v>0</v>
      </c>
    </row>
    <row r="4899" spans="1:10" ht="15.75" hidden="1" thickBot="1" x14ac:dyDescent="0.3">
      <c r="A4899" s="225"/>
      <c r="B4899" s="223"/>
      <c r="C4899" s="36"/>
      <c r="D4899" s="36"/>
      <c r="E4899" s="37"/>
      <c r="F4899" s="54" t="s">
        <v>522</v>
      </c>
      <c r="G4899" s="54" t="str">
        <f t="shared" si="91"/>
        <v/>
      </c>
      <c r="H4899" s="73"/>
      <c r="I4899" s="74"/>
      <c r="J4899" s="102">
        <v>0</v>
      </c>
    </row>
    <row r="4900" spans="1:10" ht="15.75" hidden="1" thickBot="1" x14ac:dyDescent="0.3">
      <c r="A4900" s="218" t="s">
        <v>1856</v>
      </c>
      <c r="B4900" s="221" t="e">
        <f>INDEX(#REF!,MATCH(Composições!A4900,#REF!,0),2)</f>
        <v>#REF!</v>
      </c>
      <c r="C4900" s="41"/>
      <c r="D4900" s="26" t="s">
        <v>20</v>
      </c>
      <c r="E4900" s="27"/>
      <c r="F4900" s="49" t="s">
        <v>522</v>
      </c>
      <c r="G4900" s="28" t="str">
        <f t="shared" si="91"/>
        <v/>
      </c>
      <c r="H4900" s="29"/>
      <c r="I4900" s="30"/>
      <c r="J4900" s="102">
        <v>0</v>
      </c>
    </row>
    <row r="4901" spans="1:10" hidden="1" x14ac:dyDescent="0.25">
      <c r="A4901" s="224"/>
      <c r="B4901" s="237"/>
      <c r="C4901" s="32"/>
      <c r="D4901" s="32"/>
      <c r="E4901" s="33"/>
      <c r="F4901" s="54" t="s">
        <v>522</v>
      </c>
      <c r="G4901" s="54" t="str">
        <f t="shared" si="91"/>
        <v/>
      </c>
      <c r="H4901" s="73"/>
      <c r="I4901" s="74"/>
      <c r="J4901" s="102">
        <v>0</v>
      </c>
    </row>
    <row r="4902" spans="1:10" hidden="1" x14ac:dyDescent="0.25">
      <c r="A4902" s="224"/>
      <c r="B4902" s="237"/>
      <c r="C4902" s="36" t="s">
        <v>1068</v>
      </c>
      <c r="D4902" s="36" t="s">
        <v>279</v>
      </c>
      <c r="E4902" s="37">
        <v>4.2000000000000003E-2</v>
      </c>
      <c r="F4902" s="54">
        <v>3.5244999999999997</v>
      </c>
      <c r="G4902" s="54">
        <f t="shared" si="91"/>
        <v>0.14802899999999999</v>
      </c>
      <c r="H4902" s="39">
        <f>SUM(G4902:G4905)</f>
        <v>6.0391138999999994</v>
      </c>
      <c r="I4902" s="40"/>
      <c r="J4902" s="102">
        <v>0</v>
      </c>
    </row>
    <row r="4903" spans="1:10" ht="25.5" hidden="1" x14ac:dyDescent="0.25">
      <c r="A4903" s="224"/>
      <c r="B4903" s="237"/>
      <c r="C4903" s="36" t="s">
        <v>1942</v>
      </c>
      <c r="D4903" s="36" t="s">
        <v>279</v>
      </c>
      <c r="E4903" s="37">
        <v>1</v>
      </c>
      <c r="F4903" s="54" t="s">
        <v>522</v>
      </c>
      <c r="G4903" s="54" t="str">
        <f t="shared" si="91"/>
        <v/>
      </c>
      <c r="H4903" s="73"/>
      <c r="I4903" s="74"/>
      <c r="J4903" s="102">
        <v>0</v>
      </c>
    </row>
    <row r="4904" spans="1:10" ht="25.5" hidden="1" x14ac:dyDescent="0.25">
      <c r="A4904" s="224"/>
      <c r="B4904" s="237"/>
      <c r="C4904" s="36" t="s">
        <v>954</v>
      </c>
      <c r="D4904" s="36" t="s">
        <v>703</v>
      </c>
      <c r="E4904" s="37">
        <v>0.2266</v>
      </c>
      <c r="F4904" s="54">
        <v>20.9</v>
      </c>
      <c r="G4904" s="54">
        <f t="shared" si="91"/>
        <v>4.7359399999999994</v>
      </c>
      <c r="H4904" s="73"/>
      <c r="I4904" s="74"/>
      <c r="J4904" s="102">
        <v>0</v>
      </c>
    </row>
    <row r="4905" spans="1:10" hidden="1" x14ac:dyDescent="0.25">
      <c r="A4905" s="224"/>
      <c r="B4905" s="237"/>
      <c r="C4905" s="36" t="s">
        <v>704</v>
      </c>
      <c r="D4905" s="36" t="s">
        <v>703</v>
      </c>
      <c r="E4905" s="37">
        <v>7.1400000000000005E-2</v>
      </c>
      <c r="F4905" s="54">
        <v>16.1785</v>
      </c>
      <c r="G4905" s="54">
        <f t="shared" si="91"/>
        <v>1.1551449</v>
      </c>
      <c r="H4905" s="73"/>
      <c r="I4905" s="74"/>
      <c r="J4905" s="102">
        <v>0</v>
      </c>
    </row>
    <row r="4906" spans="1:10" ht="15.75" hidden="1" thickBot="1" x14ac:dyDescent="0.3">
      <c r="A4906" s="225"/>
      <c r="B4906" s="223"/>
      <c r="C4906" s="36"/>
      <c r="D4906" s="36"/>
      <c r="E4906" s="37"/>
      <c r="F4906" s="54" t="s">
        <v>522</v>
      </c>
      <c r="G4906" s="54" t="str">
        <f t="shared" si="91"/>
        <v/>
      </c>
      <c r="H4906" s="73"/>
      <c r="I4906" s="74"/>
      <c r="J4906" s="102">
        <v>0</v>
      </c>
    </row>
    <row r="4907" spans="1:10" ht="15.75" hidden="1" thickBot="1" x14ac:dyDescent="0.3">
      <c r="A4907" s="218" t="s">
        <v>1857</v>
      </c>
      <c r="B4907" s="221" t="e">
        <f>INDEX(#REF!,MATCH(Composições!A4907,#REF!,0),2)</f>
        <v>#REF!</v>
      </c>
      <c r="C4907" s="41"/>
      <c r="D4907" s="26" t="s">
        <v>20</v>
      </c>
      <c r="E4907" s="27"/>
      <c r="F4907" s="49" t="s">
        <v>522</v>
      </c>
      <c r="G4907" s="28" t="str">
        <f t="shared" si="91"/>
        <v/>
      </c>
      <c r="H4907" s="29"/>
      <c r="I4907" s="30"/>
      <c r="J4907" s="102">
        <v>0</v>
      </c>
    </row>
    <row r="4908" spans="1:10" hidden="1" x14ac:dyDescent="0.25">
      <c r="A4908" s="224"/>
      <c r="B4908" s="237"/>
      <c r="C4908" s="32"/>
      <c r="D4908" s="32"/>
      <c r="E4908" s="33"/>
      <c r="F4908" s="54" t="s">
        <v>522</v>
      </c>
      <c r="G4908" s="54" t="str">
        <f t="shared" si="91"/>
        <v/>
      </c>
      <c r="H4908" s="73"/>
      <c r="I4908" s="74"/>
      <c r="J4908" s="102">
        <v>0</v>
      </c>
    </row>
    <row r="4909" spans="1:10" hidden="1" x14ac:dyDescent="0.25">
      <c r="A4909" s="224"/>
      <c r="B4909" s="237"/>
      <c r="C4909" s="36" t="s">
        <v>1068</v>
      </c>
      <c r="D4909" s="36" t="s">
        <v>279</v>
      </c>
      <c r="E4909" s="37">
        <v>4.2000000000000003E-2</v>
      </c>
      <c r="F4909" s="54">
        <v>3.5244999999999997</v>
      </c>
      <c r="G4909" s="54">
        <f t="shared" si="91"/>
        <v>0.14802899999999999</v>
      </c>
      <c r="H4909" s="39">
        <f>SUM(G4909:G4912)</f>
        <v>12.193059999999999</v>
      </c>
      <c r="I4909" s="40"/>
      <c r="J4909" s="102">
        <v>0</v>
      </c>
    </row>
    <row r="4910" spans="1:10" ht="25.5" hidden="1" x14ac:dyDescent="0.25">
      <c r="A4910" s="224"/>
      <c r="B4910" s="237"/>
      <c r="C4910" s="36" t="s">
        <v>1947</v>
      </c>
      <c r="D4910" s="36" t="s">
        <v>279</v>
      </c>
      <c r="E4910" s="37">
        <v>1</v>
      </c>
      <c r="F4910" s="54" t="s">
        <v>522</v>
      </c>
      <c r="G4910" s="54" t="str">
        <f t="shared" si="91"/>
        <v/>
      </c>
      <c r="H4910" s="73"/>
      <c r="I4910" s="74"/>
      <c r="J4910" s="102">
        <v>0</v>
      </c>
    </row>
    <row r="4911" spans="1:10" ht="25.5" hidden="1" x14ac:dyDescent="0.25">
      <c r="A4911" s="224"/>
      <c r="B4911" s="237"/>
      <c r="C4911" s="36" t="s">
        <v>954</v>
      </c>
      <c r="D4911" s="36" t="s">
        <v>703</v>
      </c>
      <c r="E4911" s="37">
        <v>0.46329999999999999</v>
      </c>
      <c r="F4911" s="54">
        <v>20.9</v>
      </c>
      <c r="G4911" s="54">
        <f t="shared" si="91"/>
        <v>9.6829699999999992</v>
      </c>
      <c r="H4911" s="73"/>
      <c r="I4911" s="74"/>
      <c r="J4911" s="102">
        <v>0</v>
      </c>
    </row>
    <row r="4912" spans="1:10" hidden="1" x14ac:dyDescent="0.25">
      <c r="A4912" s="224"/>
      <c r="B4912" s="237"/>
      <c r="C4912" s="36" t="s">
        <v>704</v>
      </c>
      <c r="D4912" s="36" t="s">
        <v>703</v>
      </c>
      <c r="E4912" s="37">
        <v>0.14599999999999999</v>
      </c>
      <c r="F4912" s="54">
        <v>16.1785</v>
      </c>
      <c r="G4912" s="54">
        <f t="shared" si="91"/>
        <v>2.3620609999999997</v>
      </c>
      <c r="H4912" s="73"/>
      <c r="I4912" s="74"/>
      <c r="J4912" s="102">
        <v>0</v>
      </c>
    </row>
    <row r="4913" spans="1:10" ht="15.75" hidden="1" thickBot="1" x14ac:dyDescent="0.3">
      <c r="A4913" s="225"/>
      <c r="B4913" s="223"/>
      <c r="C4913" s="36"/>
      <c r="D4913" s="36"/>
      <c r="E4913" s="37"/>
      <c r="F4913" s="54" t="s">
        <v>522</v>
      </c>
      <c r="G4913" s="54" t="str">
        <f t="shared" si="91"/>
        <v/>
      </c>
      <c r="H4913" s="73"/>
      <c r="I4913" s="74"/>
      <c r="J4913" s="102">
        <v>0</v>
      </c>
    </row>
    <row r="4914" spans="1:10" ht="15.75" hidden="1" thickBot="1" x14ac:dyDescent="0.3">
      <c r="A4914" s="218" t="s">
        <v>1858</v>
      </c>
      <c r="B4914" s="221" t="e">
        <f>INDEX(#REF!,MATCH(Composições!A4914,#REF!,0),2)</f>
        <v>#REF!</v>
      </c>
      <c r="C4914" s="41"/>
      <c r="D4914" s="26" t="s">
        <v>20</v>
      </c>
      <c r="E4914" s="27"/>
      <c r="F4914" s="49" t="s">
        <v>522</v>
      </c>
      <c r="G4914" s="28" t="str">
        <f t="shared" si="91"/>
        <v/>
      </c>
      <c r="H4914" s="29"/>
      <c r="I4914" s="30"/>
      <c r="J4914" s="102">
        <v>0</v>
      </c>
    </row>
    <row r="4915" spans="1:10" hidden="1" x14ac:dyDescent="0.25">
      <c r="A4915" s="224"/>
      <c r="B4915" s="237"/>
      <c r="C4915" s="32"/>
      <c r="D4915" s="32"/>
      <c r="E4915" s="33"/>
      <c r="F4915" s="54" t="s">
        <v>522</v>
      </c>
      <c r="G4915" s="54" t="str">
        <f t="shared" si="91"/>
        <v/>
      </c>
      <c r="H4915" s="73"/>
      <c r="I4915" s="74"/>
      <c r="J4915" s="102">
        <v>0</v>
      </c>
    </row>
    <row r="4916" spans="1:10" hidden="1" x14ac:dyDescent="0.25">
      <c r="A4916" s="224"/>
      <c r="B4916" s="237"/>
      <c r="C4916" s="36" t="s">
        <v>1068</v>
      </c>
      <c r="D4916" s="36" t="s">
        <v>279</v>
      </c>
      <c r="E4916" s="37">
        <v>4.2000000000000003E-2</v>
      </c>
      <c r="F4916" s="54">
        <v>3.5244999999999997</v>
      </c>
      <c r="G4916" s="54">
        <f t="shared" si="91"/>
        <v>0.14802899999999999</v>
      </c>
      <c r="H4916" s="39">
        <f>SUM(G4916:G4919)</f>
        <v>6.0391138999999994</v>
      </c>
      <c r="I4916" s="40"/>
      <c r="J4916" s="102">
        <v>0</v>
      </c>
    </row>
    <row r="4917" spans="1:10" ht="25.5" hidden="1" x14ac:dyDescent="0.25">
      <c r="A4917" s="224"/>
      <c r="B4917" s="237"/>
      <c r="C4917" s="36" t="s">
        <v>1948</v>
      </c>
      <c r="D4917" s="36" t="s">
        <v>279</v>
      </c>
      <c r="E4917" s="37">
        <v>1</v>
      </c>
      <c r="F4917" s="54" t="s">
        <v>522</v>
      </c>
      <c r="G4917" s="54" t="str">
        <f t="shared" si="91"/>
        <v/>
      </c>
      <c r="H4917" s="73"/>
      <c r="I4917" s="74"/>
      <c r="J4917" s="102">
        <v>0</v>
      </c>
    </row>
    <row r="4918" spans="1:10" ht="25.5" hidden="1" x14ac:dyDescent="0.25">
      <c r="A4918" s="224"/>
      <c r="B4918" s="237"/>
      <c r="C4918" s="36" t="s">
        <v>954</v>
      </c>
      <c r="D4918" s="36" t="s">
        <v>703</v>
      </c>
      <c r="E4918" s="37">
        <v>0.2266</v>
      </c>
      <c r="F4918" s="54">
        <v>20.9</v>
      </c>
      <c r="G4918" s="54">
        <f t="shared" si="91"/>
        <v>4.7359399999999994</v>
      </c>
      <c r="H4918" s="73"/>
      <c r="I4918" s="74"/>
      <c r="J4918" s="102">
        <v>0</v>
      </c>
    </row>
    <row r="4919" spans="1:10" hidden="1" x14ac:dyDescent="0.25">
      <c r="A4919" s="224"/>
      <c r="B4919" s="237"/>
      <c r="C4919" s="36" t="s">
        <v>704</v>
      </c>
      <c r="D4919" s="36" t="s">
        <v>703</v>
      </c>
      <c r="E4919" s="37">
        <v>7.1400000000000005E-2</v>
      </c>
      <c r="F4919" s="54">
        <v>16.1785</v>
      </c>
      <c r="G4919" s="54">
        <f t="shared" si="91"/>
        <v>1.1551449</v>
      </c>
      <c r="H4919" s="73"/>
      <c r="I4919" s="74"/>
      <c r="J4919" s="102">
        <v>0</v>
      </c>
    </row>
    <row r="4920" spans="1:10" ht="15.75" hidden="1" thickBot="1" x14ac:dyDescent="0.3">
      <c r="A4920" s="225"/>
      <c r="B4920" s="223"/>
      <c r="C4920" s="36"/>
      <c r="D4920" s="36"/>
      <c r="E4920" s="37"/>
      <c r="F4920" s="54" t="s">
        <v>522</v>
      </c>
      <c r="G4920" s="54" t="str">
        <f t="shared" si="91"/>
        <v/>
      </c>
      <c r="H4920" s="73"/>
      <c r="I4920" s="74"/>
      <c r="J4920" s="102">
        <v>0</v>
      </c>
    </row>
    <row r="4921" spans="1:10" ht="15.75" hidden="1" thickBot="1" x14ac:dyDescent="0.3">
      <c r="A4921" s="218" t="s">
        <v>1859</v>
      </c>
      <c r="B4921" s="221" t="e">
        <f>INDEX(#REF!,MATCH(Composições!A4921,#REF!,0),2)</f>
        <v>#REF!</v>
      </c>
      <c r="C4921" s="41"/>
      <c r="D4921" s="26" t="s">
        <v>20</v>
      </c>
      <c r="E4921" s="27"/>
      <c r="F4921" s="42" t="s">
        <v>522</v>
      </c>
      <c r="G4921" s="28" t="str">
        <f t="shared" si="91"/>
        <v/>
      </c>
      <c r="H4921" s="29"/>
      <c r="I4921" s="30"/>
      <c r="J4921" s="102">
        <v>0</v>
      </c>
    </row>
    <row r="4922" spans="1:10" hidden="1" x14ac:dyDescent="0.25">
      <c r="A4922" s="219"/>
      <c r="B4922" s="237"/>
      <c r="C4922" s="32"/>
      <c r="D4922" s="32"/>
      <c r="E4922" s="33"/>
      <c r="F4922" s="43" t="s">
        <v>522</v>
      </c>
      <c r="G4922" s="34" t="str">
        <f t="shared" si="91"/>
        <v/>
      </c>
      <c r="H4922" s="35"/>
      <c r="I4922" s="31"/>
      <c r="J4922" s="102">
        <v>0</v>
      </c>
    </row>
    <row r="4923" spans="1:10" hidden="1" x14ac:dyDescent="0.25">
      <c r="A4923" s="219"/>
      <c r="B4923" s="237"/>
      <c r="C4923" s="36" t="s">
        <v>68</v>
      </c>
      <c r="D4923" s="36" t="s">
        <v>12</v>
      </c>
      <c r="E4923" s="37">
        <v>0.3</v>
      </c>
      <c r="F4923" s="34">
        <v>19.9025</v>
      </c>
      <c r="G4923" s="34">
        <f t="shared" si="91"/>
        <v>5.9707499999999998</v>
      </c>
      <c r="H4923" s="39">
        <f>SUM(G4923:G4924)</f>
        <v>5.9707499999999998</v>
      </c>
      <c r="I4923" s="40"/>
      <c r="J4923" s="102">
        <v>0</v>
      </c>
    </row>
    <row r="4924" spans="1:10" ht="25.5" hidden="1" x14ac:dyDescent="0.25">
      <c r="A4924" s="219"/>
      <c r="B4924" s="237"/>
      <c r="C4924" s="36" t="s">
        <v>1949</v>
      </c>
      <c r="D4924" s="47" t="s">
        <v>20</v>
      </c>
      <c r="E4924" s="37">
        <v>1</v>
      </c>
      <c r="F4924" s="31" t="s">
        <v>522</v>
      </c>
      <c r="G4924" s="34" t="str">
        <f t="shared" si="91"/>
        <v/>
      </c>
      <c r="H4924" s="35"/>
      <c r="I4924" s="31"/>
      <c r="J4924" s="102">
        <v>0</v>
      </c>
    </row>
    <row r="4925" spans="1:10" ht="15.75" hidden="1" thickBot="1" x14ac:dyDescent="0.3">
      <c r="A4925" s="220"/>
      <c r="B4925" s="223"/>
      <c r="C4925" s="36"/>
      <c r="D4925" s="36"/>
      <c r="E4925" s="37"/>
      <c r="F4925" s="31" t="s">
        <v>522</v>
      </c>
      <c r="G4925" s="34" t="str">
        <f t="shared" si="91"/>
        <v/>
      </c>
      <c r="H4925" s="35"/>
      <c r="I4925" s="31"/>
      <c r="J4925" s="102">
        <v>0</v>
      </c>
    </row>
    <row r="4926" spans="1:10" ht="15.75" hidden="1" thickBot="1" x14ac:dyDescent="0.3">
      <c r="A4926" s="218" t="s">
        <v>1860</v>
      </c>
      <c r="B4926" s="221" t="e">
        <f>INDEX(#REF!,MATCH(Composições!A4926,#REF!,0),2)</f>
        <v>#REF!</v>
      </c>
      <c r="C4926" s="41"/>
      <c r="D4926" s="26" t="s">
        <v>20</v>
      </c>
      <c r="E4926" s="27"/>
      <c r="F4926" s="42" t="s">
        <v>522</v>
      </c>
      <c r="G4926" s="28" t="str">
        <f t="shared" si="91"/>
        <v/>
      </c>
      <c r="H4926" s="29"/>
      <c r="I4926" s="30"/>
      <c r="J4926" s="102">
        <v>0</v>
      </c>
    </row>
    <row r="4927" spans="1:10" hidden="1" x14ac:dyDescent="0.25">
      <c r="A4927" s="219"/>
      <c r="B4927" s="237"/>
      <c r="C4927" s="32"/>
      <c r="D4927" s="32"/>
      <c r="E4927" s="33"/>
      <c r="F4927" s="43" t="s">
        <v>522</v>
      </c>
      <c r="G4927" s="31" t="str">
        <f t="shared" si="91"/>
        <v/>
      </c>
      <c r="H4927" s="35"/>
      <c r="I4927" s="31"/>
      <c r="J4927" s="102">
        <v>0</v>
      </c>
    </row>
    <row r="4928" spans="1:10" ht="25.5" hidden="1" x14ac:dyDescent="0.25">
      <c r="A4928" s="219"/>
      <c r="B4928" s="237"/>
      <c r="C4928" s="36" t="s">
        <v>1951</v>
      </c>
      <c r="D4928" s="36" t="s">
        <v>144</v>
      </c>
      <c r="E4928" s="37">
        <v>1</v>
      </c>
      <c r="F4928" s="34" t="s">
        <v>522</v>
      </c>
      <c r="G4928" s="34" t="str">
        <f t="shared" si="91"/>
        <v/>
      </c>
      <c r="H4928" s="39">
        <f>SUM(G4928:G4931)</f>
        <v>13.620130999999999</v>
      </c>
      <c r="I4928" s="40"/>
      <c r="J4928" s="102">
        <v>0</v>
      </c>
    </row>
    <row r="4929" spans="1:10" ht="25.5" hidden="1" x14ac:dyDescent="0.25">
      <c r="A4929" s="219"/>
      <c r="B4929" s="237"/>
      <c r="C4929" s="36" t="s">
        <v>1950</v>
      </c>
      <c r="D4929" s="36" t="s">
        <v>144</v>
      </c>
      <c r="E4929" s="37">
        <v>1</v>
      </c>
      <c r="F4929" s="34" t="s">
        <v>522</v>
      </c>
      <c r="G4929" s="34" t="str">
        <f t="shared" si="91"/>
        <v/>
      </c>
      <c r="H4929" s="45"/>
      <c r="I4929" s="46"/>
      <c r="J4929" s="102">
        <v>0</v>
      </c>
    </row>
    <row r="4930" spans="1:10" hidden="1" x14ac:dyDescent="0.25">
      <c r="A4930" s="219"/>
      <c r="B4930" s="237"/>
      <c r="C4930" s="36" t="s">
        <v>74</v>
      </c>
      <c r="D4930" s="47" t="s">
        <v>12</v>
      </c>
      <c r="E4930" s="37">
        <v>0.19719999999999999</v>
      </c>
      <c r="F4930" s="31">
        <v>17.024000000000001</v>
      </c>
      <c r="G4930" s="31">
        <f t="shared" ref="G4930:G4993" si="92">IF(ISNUMBER(F4930),E4930*F4930,"")</f>
        <v>3.3571328</v>
      </c>
      <c r="H4930" s="35"/>
      <c r="I4930" s="31"/>
      <c r="J4930" s="102">
        <v>0</v>
      </c>
    </row>
    <row r="4931" spans="1:10" hidden="1" x14ac:dyDescent="0.25">
      <c r="A4931" s="219"/>
      <c r="B4931" s="237"/>
      <c r="C4931" s="36" t="s">
        <v>30</v>
      </c>
      <c r="D4931" s="36" t="s">
        <v>12</v>
      </c>
      <c r="E4931" s="37">
        <v>0.47320000000000001</v>
      </c>
      <c r="F4931" s="31">
        <v>21.688499999999998</v>
      </c>
      <c r="G4931" s="31">
        <f t="shared" si="92"/>
        <v>10.262998199999998</v>
      </c>
      <c r="H4931" s="35"/>
      <c r="I4931" s="31"/>
      <c r="J4931" s="102">
        <v>0</v>
      </c>
    </row>
    <row r="4932" spans="1:10" ht="15.75" hidden="1" thickBot="1" x14ac:dyDescent="0.3">
      <c r="A4932" s="220"/>
      <c r="B4932" s="223"/>
      <c r="C4932" s="36"/>
      <c r="D4932" s="36"/>
      <c r="E4932" s="37"/>
      <c r="F4932" s="31" t="s">
        <v>522</v>
      </c>
      <c r="G4932" s="31" t="str">
        <f t="shared" si="92"/>
        <v/>
      </c>
      <c r="H4932" s="35"/>
      <c r="I4932" s="31"/>
      <c r="J4932" s="102">
        <v>0</v>
      </c>
    </row>
    <row r="4933" spans="1:10" ht="15.75" hidden="1" thickBot="1" x14ac:dyDescent="0.3">
      <c r="A4933" s="218" t="s">
        <v>1861</v>
      </c>
      <c r="B4933" s="221" t="e">
        <f>INDEX(#REF!,MATCH(Composições!A4933,#REF!,0),2)</f>
        <v>#REF!</v>
      </c>
      <c r="C4933" s="41"/>
      <c r="D4933" s="26" t="s">
        <v>20</v>
      </c>
      <c r="E4933" s="27"/>
      <c r="F4933" s="42" t="s">
        <v>522</v>
      </c>
      <c r="G4933" s="28" t="str">
        <f t="shared" si="92"/>
        <v/>
      </c>
      <c r="H4933" s="29"/>
      <c r="I4933" s="30"/>
      <c r="J4933" s="102">
        <v>0</v>
      </c>
    </row>
    <row r="4934" spans="1:10" hidden="1" x14ac:dyDescent="0.25">
      <c r="A4934" s="219"/>
      <c r="B4934" s="237"/>
      <c r="C4934" s="32"/>
      <c r="D4934" s="32"/>
      <c r="E4934" s="33"/>
      <c r="F4934" s="43" t="s">
        <v>522</v>
      </c>
      <c r="G4934" s="31" t="str">
        <f t="shared" si="92"/>
        <v/>
      </c>
      <c r="H4934" s="35"/>
      <c r="I4934" s="31"/>
      <c r="J4934" s="102">
        <v>0</v>
      </c>
    </row>
    <row r="4935" spans="1:10" hidden="1" x14ac:dyDescent="0.25">
      <c r="A4935" s="219"/>
      <c r="B4935" s="237"/>
      <c r="C4935" s="36" t="s">
        <v>1695</v>
      </c>
      <c r="D4935" s="36" t="s">
        <v>279</v>
      </c>
      <c r="E4935" s="37">
        <v>1.2E-2</v>
      </c>
      <c r="F4935" s="34">
        <v>33.6965</v>
      </c>
      <c r="G4935" s="34">
        <f t="shared" si="92"/>
        <v>0.404358</v>
      </c>
      <c r="H4935" s="39">
        <f>SUM(G4935:G4938)</f>
        <v>38.924625500000005</v>
      </c>
      <c r="I4935" s="40"/>
      <c r="J4935" s="102">
        <v>0</v>
      </c>
    </row>
    <row r="4936" spans="1:10" ht="25.5" hidden="1" x14ac:dyDescent="0.25">
      <c r="A4936" s="219"/>
      <c r="B4936" s="237"/>
      <c r="C4936" s="36" t="s">
        <v>1813</v>
      </c>
      <c r="D4936" s="36" t="s">
        <v>279</v>
      </c>
      <c r="E4936" s="37">
        <v>1</v>
      </c>
      <c r="F4936" s="34">
        <v>31.644500000000001</v>
      </c>
      <c r="G4936" s="34">
        <f t="shared" si="92"/>
        <v>31.644500000000001</v>
      </c>
      <c r="H4936" s="45"/>
      <c r="I4936" s="46"/>
      <c r="J4936" s="102">
        <v>0</v>
      </c>
    </row>
    <row r="4937" spans="1:10" ht="25.5" hidden="1" x14ac:dyDescent="0.25">
      <c r="A4937" s="219"/>
      <c r="B4937" s="237"/>
      <c r="C4937" s="36" t="s">
        <v>953</v>
      </c>
      <c r="D4937" s="47" t="s">
        <v>703</v>
      </c>
      <c r="E4937" s="37">
        <v>0.183</v>
      </c>
      <c r="F4937" s="31">
        <v>16.672499999999999</v>
      </c>
      <c r="G4937" s="31">
        <f t="shared" si="92"/>
        <v>3.0510674999999998</v>
      </c>
      <c r="H4937" s="35"/>
      <c r="I4937" s="31"/>
      <c r="J4937" s="102">
        <v>0</v>
      </c>
    </row>
    <row r="4938" spans="1:10" ht="25.5" hidden="1" x14ac:dyDescent="0.25">
      <c r="A4938" s="219"/>
      <c r="B4938" s="237"/>
      <c r="C4938" s="36" t="s">
        <v>954</v>
      </c>
      <c r="D4938" s="36" t="s">
        <v>703</v>
      </c>
      <c r="E4938" s="37">
        <v>0.183</v>
      </c>
      <c r="F4938" s="31">
        <v>20.9</v>
      </c>
      <c r="G4938" s="31">
        <f t="shared" si="92"/>
        <v>3.8246999999999995</v>
      </c>
      <c r="H4938" s="35"/>
      <c r="I4938" s="31"/>
      <c r="J4938" s="102">
        <v>0</v>
      </c>
    </row>
    <row r="4939" spans="1:10" ht="15.75" hidden="1" thickBot="1" x14ac:dyDescent="0.3">
      <c r="A4939" s="220"/>
      <c r="B4939" s="223"/>
      <c r="C4939" s="36"/>
      <c r="D4939" s="36"/>
      <c r="E4939" s="37"/>
      <c r="F4939" s="31" t="s">
        <v>522</v>
      </c>
      <c r="G4939" s="31" t="str">
        <f t="shared" si="92"/>
        <v/>
      </c>
      <c r="H4939" s="35"/>
      <c r="I4939" s="31"/>
      <c r="J4939" s="102">
        <v>0</v>
      </c>
    </row>
    <row r="4940" spans="1:10" ht="15.75" hidden="1" thickBot="1" x14ac:dyDescent="0.3">
      <c r="A4940" s="218" t="s">
        <v>1862</v>
      </c>
      <c r="B4940" s="221" t="e">
        <f>INDEX(#REF!,MATCH(Composições!A4940,#REF!,0),2)</f>
        <v>#REF!</v>
      </c>
      <c r="C4940" s="41"/>
      <c r="D4940" s="26" t="s">
        <v>20</v>
      </c>
      <c r="E4940" s="27"/>
      <c r="F4940" s="42" t="s">
        <v>522</v>
      </c>
      <c r="G4940" s="28" t="str">
        <f t="shared" si="92"/>
        <v/>
      </c>
      <c r="H4940" s="29"/>
      <c r="I4940" s="30"/>
      <c r="J4940" s="102">
        <v>0</v>
      </c>
    </row>
    <row r="4941" spans="1:10" hidden="1" x14ac:dyDescent="0.25">
      <c r="A4941" s="219"/>
      <c r="B4941" s="237"/>
      <c r="C4941" s="32"/>
      <c r="D4941" s="32"/>
      <c r="E4941" s="33"/>
      <c r="F4941" s="43" t="s">
        <v>522</v>
      </c>
      <c r="G4941" s="31" t="str">
        <f t="shared" si="92"/>
        <v/>
      </c>
      <c r="H4941" s="35"/>
      <c r="I4941" s="31"/>
      <c r="J4941" s="102">
        <v>0</v>
      </c>
    </row>
    <row r="4942" spans="1:10" hidden="1" x14ac:dyDescent="0.25">
      <c r="A4942" s="219"/>
      <c r="B4942" s="237"/>
      <c r="C4942" s="36" t="s">
        <v>318</v>
      </c>
      <c r="D4942" s="36" t="s">
        <v>279</v>
      </c>
      <c r="E4942" s="37">
        <v>1.9199999999999998E-2</v>
      </c>
      <c r="F4942" s="34">
        <v>12.995999999999999</v>
      </c>
      <c r="G4942" s="34">
        <f t="shared" si="92"/>
        <v>0.24952319999999995</v>
      </c>
      <c r="H4942" s="39">
        <f>SUM(G4942:G4945)</f>
        <v>28.049415949999997</v>
      </c>
      <c r="I4942" s="40"/>
      <c r="J4942" s="102">
        <v>0</v>
      </c>
    </row>
    <row r="4943" spans="1:10" hidden="1" x14ac:dyDescent="0.25">
      <c r="A4943" s="219"/>
      <c r="B4943" s="237"/>
      <c r="C4943" s="36" t="s">
        <v>1952</v>
      </c>
      <c r="D4943" s="36" t="s">
        <v>279</v>
      </c>
      <c r="E4943" s="37">
        <v>1</v>
      </c>
      <c r="F4943" s="34" t="s">
        <v>522</v>
      </c>
      <c r="G4943" s="34" t="str">
        <f t="shared" si="92"/>
        <v/>
      </c>
      <c r="H4943" s="45"/>
      <c r="I4943" s="46"/>
      <c r="J4943" s="102">
        <v>0</v>
      </c>
    </row>
    <row r="4944" spans="1:10" ht="25.5" hidden="1" x14ac:dyDescent="0.25">
      <c r="A4944" s="219"/>
      <c r="B4944" s="237"/>
      <c r="C4944" s="36" t="s">
        <v>953</v>
      </c>
      <c r="D4944" s="47" t="s">
        <v>703</v>
      </c>
      <c r="E4944" s="37">
        <f>ROUND(0.9249*0.8,4)</f>
        <v>0.7399</v>
      </c>
      <c r="F4944" s="31">
        <v>16.672499999999999</v>
      </c>
      <c r="G4944" s="31">
        <f t="shared" si="92"/>
        <v>12.335982749999999</v>
      </c>
      <c r="H4944" s="35"/>
      <c r="I4944" s="31"/>
      <c r="J4944" s="102">
        <v>0</v>
      </c>
    </row>
    <row r="4945" spans="1:10" ht="25.5" hidden="1" x14ac:dyDescent="0.25">
      <c r="A4945" s="219"/>
      <c r="B4945" s="237"/>
      <c r="C4945" s="36" t="s">
        <v>954</v>
      </c>
      <c r="D4945" s="36" t="s">
        <v>703</v>
      </c>
      <c r="E4945" s="37">
        <f>ROUND(0.9249*0.8,4)</f>
        <v>0.7399</v>
      </c>
      <c r="F4945" s="31">
        <v>20.9</v>
      </c>
      <c r="G4945" s="31">
        <f t="shared" si="92"/>
        <v>15.463909999999998</v>
      </c>
      <c r="H4945" s="35"/>
      <c r="I4945" s="31"/>
      <c r="J4945" s="102">
        <v>0</v>
      </c>
    </row>
    <row r="4946" spans="1:10" ht="15.75" hidden="1" thickBot="1" x14ac:dyDescent="0.3">
      <c r="A4946" s="220"/>
      <c r="B4946" s="223"/>
      <c r="C4946" s="36"/>
      <c r="D4946" s="36"/>
      <c r="E4946" s="37"/>
      <c r="F4946" s="31" t="s">
        <v>522</v>
      </c>
      <c r="G4946" s="31" t="str">
        <f t="shared" si="92"/>
        <v/>
      </c>
      <c r="H4946" s="35"/>
      <c r="I4946" s="31"/>
      <c r="J4946" s="102">
        <v>0</v>
      </c>
    </row>
    <row r="4947" spans="1:10" ht="15.75" hidden="1" thickBot="1" x14ac:dyDescent="0.3">
      <c r="A4947" s="218" t="s">
        <v>1863</v>
      </c>
      <c r="B4947" s="221" t="e">
        <f>INDEX(#REF!,MATCH(Composições!A4947,#REF!,0),2)</f>
        <v>#REF!</v>
      </c>
      <c r="C4947" s="41"/>
      <c r="D4947" s="26" t="s">
        <v>20</v>
      </c>
      <c r="E4947" s="27"/>
      <c r="F4947" s="42" t="s">
        <v>522</v>
      </c>
      <c r="G4947" s="28" t="str">
        <f t="shared" si="92"/>
        <v/>
      </c>
      <c r="H4947" s="29"/>
      <c r="I4947" s="30"/>
      <c r="J4947" s="102">
        <v>0</v>
      </c>
    </row>
    <row r="4948" spans="1:10" hidden="1" x14ac:dyDescent="0.25">
      <c r="A4948" s="219"/>
      <c r="B4948" s="237"/>
      <c r="C4948" s="32"/>
      <c r="D4948" s="32"/>
      <c r="E4948" s="33"/>
      <c r="F4948" s="43" t="s">
        <v>522</v>
      </c>
      <c r="G4948" s="31" t="str">
        <f t="shared" si="92"/>
        <v/>
      </c>
      <c r="H4948" s="35"/>
      <c r="I4948" s="31"/>
      <c r="J4948" s="102">
        <v>0</v>
      </c>
    </row>
    <row r="4949" spans="1:10" hidden="1" x14ac:dyDescent="0.25">
      <c r="A4949" s="219"/>
      <c r="B4949" s="237"/>
      <c r="C4949" s="36" t="s">
        <v>318</v>
      </c>
      <c r="D4949" s="36" t="s">
        <v>279</v>
      </c>
      <c r="E4949" s="37">
        <v>1.9199999999999998E-2</v>
      </c>
      <c r="F4949" s="34">
        <v>12.995999999999999</v>
      </c>
      <c r="G4949" s="34">
        <f t="shared" si="92"/>
        <v>0.24952319999999995</v>
      </c>
      <c r="H4949" s="39">
        <f>SUM(G4949:G4952)</f>
        <v>28.049415949999997</v>
      </c>
      <c r="I4949" s="40"/>
      <c r="J4949" s="102">
        <v>0</v>
      </c>
    </row>
    <row r="4950" spans="1:10" hidden="1" x14ac:dyDescent="0.25">
      <c r="A4950" s="219"/>
      <c r="B4950" s="237"/>
      <c r="C4950" s="36" t="s">
        <v>1953</v>
      </c>
      <c r="D4950" s="36" t="s">
        <v>279</v>
      </c>
      <c r="E4950" s="37">
        <v>1</v>
      </c>
      <c r="F4950" s="34" t="s">
        <v>522</v>
      </c>
      <c r="G4950" s="34" t="str">
        <f t="shared" si="92"/>
        <v/>
      </c>
      <c r="H4950" s="45"/>
      <c r="I4950" s="46"/>
      <c r="J4950" s="102">
        <v>0</v>
      </c>
    </row>
    <row r="4951" spans="1:10" ht="25.5" hidden="1" x14ac:dyDescent="0.25">
      <c r="A4951" s="219"/>
      <c r="B4951" s="237"/>
      <c r="C4951" s="36" t="s">
        <v>953</v>
      </c>
      <c r="D4951" s="47" t="s">
        <v>703</v>
      </c>
      <c r="E4951" s="37">
        <f t="shared" ref="E4951:E4952" si="93">ROUND(0.9249*0.8,4)</f>
        <v>0.7399</v>
      </c>
      <c r="F4951" s="31">
        <v>16.672499999999999</v>
      </c>
      <c r="G4951" s="31">
        <f t="shared" si="92"/>
        <v>12.335982749999999</v>
      </c>
      <c r="H4951" s="35"/>
      <c r="I4951" s="31"/>
      <c r="J4951" s="102">
        <v>0</v>
      </c>
    </row>
    <row r="4952" spans="1:10" ht="25.5" hidden="1" x14ac:dyDescent="0.25">
      <c r="A4952" s="219"/>
      <c r="B4952" s="237"/>
      <c r="C4952" s="36" t="s">
        <v>954</v>
      </c>
      <c r="D4952" s="36" t="s">
        <v>703</v>
      </c>
      <c r="E4952" s="37">
        <f t="shared" si="93"/>
        <v>0.7399</v>
      </c>
      <c r="F4952" s="31">
        <v>20.9</v>
      </c>
      <c r="G4952" s="31">
        <f t="shared" si="92"/>
        <v>15.463909999999998</v>
      </c>
      <c r="H4952" s="35"/>
      <c r="I4952" s="31"/>
      <c r="J4952" s="102">
        <v>0</v>
      </c>
    </row>
    <row r="4953" spans="1:10" ht="15.75" hidden="1" thickBot="1" x14ac:dyDescent="0.3">
      <c r="A4953" s="220"/>
      <c r="B4953" s="223"/>
      <c r="C4953" s="36"/>
      <c r="D4953" s="36"/>
      <c r="E4953" s="37"/>
      <c r="F4953" s="31" t="s">
        <v>522</v>
      </c>
      <c r="G4953" s="31" t="str">
        <f t="shared" si="92"/>
        <v/>
      </c>
      <c r="H4953" s="35"/>
      <c r="I4953" s="31"/>
      <c r="J4953" s="102">
        <v>0</v>
      </c>
    </row>
    <row r="4954" spans="1:10" ht="15.75" hidden="1" thickBot="1" x14ac:dyDescent="0.3">
      <c r="A4954" s="218" t="s">
        <v>1864</v>
      </c>
      <c r="B4954" s="221" t="e">
        <f>INDEX(#REF!,MATCH(Composições!A4954,#REF!,0),2)</f>
        <v>#REF!</v>
      </c>
      <c r="C4954" s="41"/>
      <c r="D4954" s="26" t="s">
        <v>20</v>
      </c>
      <c r="E4954" s="27"/>
      <c r="F4954" s="42" t="s">
        <v>522</v>
      </c>
      <c r="G4954" s="28" t="str">
        <f t="shared" si="92"/>
        <v/>
      </c>
      <c r="H4954" s="29"/>
      <c r="I4954" s="30"/>
      <c r="J4954" s="102">
        <v>0</v>
      </c>
    </row>
    <row r="4955" spans="1:10" hidden="1" x14ac:dyDescent="0.25">
      <c r="A4955" s="219"/>
      <c r="B4955" s="237"/>
      <c r="C4955" s="32"/>
      <c r="D4955" s="32"/>
      <c r="E4955" s="33"/>
      <c r="F4955" s="43" t="s">
        <v>522</v>
      </c>
      <c r="G4955" s="34" t="str">
        <f t="shared" si="92"/>
        <v/>
      </c>
      <c r="H4955" s="35"/>
      <c r="I4955" s="31"/>
      <c r="J4955" s="102">
        <v>0</v>
      </c>
    </row>
    <row r="4956" spans="1:10" ht="25.5" hidden="1" x14ac:dyDescent="0.25">
      <c r="A4956" s="219"/>
      <c r="B4956" s="237"/>
      <c r="C4956" s="36" t="s">
        <v>2377</v>
      </c>
      <c r="D4956" s="47" t="s">
        <v>20</v>
      </c>
      <c r="E4956" s="37">
        <v>1</v>
      </c>
      <c r="F4956" s="34">
        <v>10.849</v>
      </c>
      <c r="G4956" s="54">
        <f t="shared" si="92"/>
        <v>10.849</v>
      </c>
      <c r="H4956" s="39">
        <f>SUM(G4956:G4957)</f>
        <v>12.939</v>
      </c>
      <c r="I4956" s="31"/>
      <c r="J4956" s="102">
        <v>0</v>
      </c>
    </row>
    <row r="4957" spans="1:10" ht="25.5" hidden="1" x14ac:dyDescent="0.25">
      <c r="A4957" s="219"/>
      <c r="B4957" s="237"/>
      <c r="C4957" s="36" t="s">
        <v>954</v>
      </c>
      <c r="D4957" s="36" t="s">
        <v>703</v>
      </c>
      <c r="E4957" s="37">
        <v>0.1</v>
      </c>
      <c r="F4957" s="31">
        <v>20.9</v>
      </c>
      <c r="G4957" s="31">
        <f t="shared" si="92"/>
        <v>2.09</v>
      </c>
      <c r="H4957" s="35"/>
      <c r="I4957" s="31"/>
      <c r="J4957" s="102">
        <v>0</v>
      </c>
    </row>
    <row r="4958" spans="1:10" ht="15.75" hidden="1" thickBot="1" x14ac:dyDescent="0.3">
      <c r="A4958" s="220"/>
      <c r="B4958" s="223"/>
      <c r="C4958" s="36"/>
      <c r="D4958" s="36"/>
      <c r="E4958" s="37"/>
      <c r="F4958" s="31" t="s">
        <v>522</v>
      </c>
      <c r="G4958" s="34" t="str">
        <f t="shared" si="92"/>
        <v/>
      </c>
      <c r="H4958" s="35"/>
      <c r="I4958" s="31"/>
      <c r="J4958" s="102">
        <v>0</v>
      </c>
    </row>
    <row r="4959" spans="1:10" ht="15.75" hidden="1" thickBot="1" x14ac:dyDescent="0.3">
      <c r="A4959" s="232" t="s">
        <v>1865</v>
      </c>
      <c r="B4959" s="229" t="e">
        <f>INDEX(#REF!,MATCH(Composições!A4959,#REF!,0),2)</f>
        <v>#REF!</v>
      </c>
      <c r="C4959" s="41"/>
      <c r="D4959" s="26" t="s">
        <v>20</v>
      </c>
      <c r="E4959" s="27"/>
      <c r="F4959" s="42" t="s">
        <v>522</v>
      </c>
      <c r="G4959" s="28" t="str">
        <f t="shared" si="92"/>
        <v/>
      </c>
      <c r="H4959" s="29"/>
      <c r="I4959" s="30"/>
      <c r="J4959" s="102">
        <v>0</v>
      </c>
    </row>
    <row r="4960" spans="1:10" hidden="1" x14ac:dyDescent="0.25">
      <c r="A4960" s="233"/>
      <c r="B4960" s="238"/>
      <c r="C4960" s="32"/>
      <c r="D4960" s="32"/>
      <c r="E4960" s="33"/>
      <c r="F4960" s="43" t="s">
        <v>522</v>
      </c>
      <c r="G4960" s="31" t="str">
        <f t="shared" si="92"/>
        <v/>
      </c>
      <c r="H4960" s="35"/>
      <c r="I4960" s="31"/>
      <c r="J4960" s="102">
        <v>0</v>
      </c>
    </row>
    <row r="4961" spans="1:10" ht="51" hidden="1" x14ac:dyDescent="0.25">
      <c r="A4961" s="233"/>
      <c r="B4961" s="238"/>
      <c r="C4961" s="36" t="s">
        <v>2033</v>
      </c>
      <c r="D4961" s="47" t="s">
        <v>279</v>
      </c>
      <c r="E4961" s="37">
        <v>1</v>
      </c>
      <c r="F4961" s="34">
        <v>237.23399999999998</v>
      </c>
      <c r="G4961" s="34">
        <f t="shared" si="92"/>
        <v>237.23399999999998</v>
      </c>
      <c r="H4961" s="39">
        <f>SUM(G4961:G4963)</f>
        <v>266.47821479999999</v>
      </c>
      <c r="I4961" s="40"/>
      <c r="J4961" s="102">
        <v>0</v>
      </c>
    </row>
    <row r="4962" spans="1:10" hidden="1" x14ac:dyDescent="0.25">
      <c r="A4962" s="233"/>
      <c r="B4962" s="238"/>
      <c r="C4962" s="36" t="s">
        <v>702</v>
      </c>
      <c r="D4962" s="47" t="s">
        <v>703</v>
      </c>
      <c r="E4962" s="37">
        <f>ROUND(1.282*0.8,4)</f>
        <v>1.0256000000000001</v>
      </c>
      <c r="F4962" s="31">
        <v>20.425000000000001</v>
      </c>
      <c r="G4962" s="34">
        <f t="shared" si="92"/>
        <v>20.947880000000001</v>
      </c>
      <c r="H4962" s="35"/>
      <c r="I4962" s="31"/>
      <c r="J4962" s="102">
        <v>0</v>
      </c>
    </row>
    <row r="4963" spans="1:10" hidden="1" x14ac:dyDescent="0.25">
      <c r="A4963" s="233"/>
      <c r="B4963" s="238"/>
      <c r="C4963" s="36" t="s">
        <v>704</v>
      </c>
      <c r="D4963" s="47" t="s">
        <v>703</v>
      </c>
      <c r="E4963" s="37">
        <f>ROUND(0.641*0.8,4)</f>
        <v>0.51280000000000003</v>
      </c>
      <c r="F4963" s="31">
        <v>16.1785</v>
      </c>
      <c r="G4963" s="34">
        <f t="shared" si="92"/>
        <v>8.2963348000000003</v>
      </c>
      <c r="H4963" s="35"/>
      <c r="I4963" s="31"/>
      <c r="J4963" s="102">
        <v>0</v>
      </c>
    </row>
    <row r="4964" spans="1:10" hidden="1" x14ac:dyDescent="0.25">
      <c r="A4964" s="233"/>
      <c r="B4964" s="238"/>
      <c r="C4964" s="36"/>
      <c r="D4964" s="47"/>
      <c r="E4964" s="37"/>
      <c r="F4964" s="34" t="s">
        <v>522</v>
      </c>
      <c r="G4964" s="34" t="str">
        <f t="shared" si="92"/>
        <v/>
      </c>
      <c r="H4964" s="35"/>
      <c r="I4964" s="31"/>
      <c r="J4964" s="102">
        <v>0</v>
      </c>
    </row>
    <row r="4965" spans="1:10" ht="15.75" hidden="1" thickBot="1" x14ac:dyDescent="0.3">
      <c r="A4965" s="232" t="s">
        <v>1866</v>
      </c>
      <c r="B4965" s="229" t="e">
        <f>INDEX(#REF!,MATCH(Composições!A4965,#REF!,0),2)</f>
        <v>#REF!</v>
      </c>
      <c r="C4965" s="41"/>
      <c r="D4965" s="26" t="s">
        <v>20</v>
      </c>
      <c r="E4965" s="27"/>
      <c r="F4965" s="42" t="s">
        <v>522</v>
      </c>
      <c r="G4965" s="28" t="str">
        <f t="shared" si="92"/>
        <v/>
      </c>
      <c r="H4965" s="29"/>
      <c r="I4965" s="30"/>
      <c r="J4965" s="102">
        <v>0</v>
      </c>
    </row>
    <row r="4966" spans="1:10" hidden="1" x14ac:dyDescent="0.25">
      <c r="A4966" s="233"/>
      <c r="B4966" s="238"/>
      <c r="C4966" s="32"/>
      <c r="D4966" s="32"/>
      <c r="E4966" s="33"/>
      <c r="F4966" s="43" t="s">
        <v>522</v>
      </c>
      <c r="G4966" s="31" t="str">
        <f t="shared" si="92"/>
        <v/>
      </c>
      <c r="H4966" s="35"/>
      <c r="I4966" s="31"/>
      <c r="J4966" s="102">
        <v>0</v>
      </c>
    </row>
    <row r="4967" spans="1:10" ht="51" hidden="1" x14ac:dyDescent="0.25">
      <c r="A4967" s="233"/>
      <c r="B4967" s="238"/>
      <c r="C4967" s="36" t="s">
        <v>2028</v>
      </c>
      <c r="D4967" s="47" t="s">
        <v>279</v>
      </c>
      <c r="E4967" s="37">
        <v>1</v>
      </c>
      <c r="F4967" s="34">
        <v>257.86799999999999</v>
      </c>
      <c r="G4967" s="34">
        <f t="shared" si="92"/>
        <v>257.86799999999999</v>
      </c>
      <c r="H4967" s="39">
        <f>SUM(G4967:G4969)</f>
        <v>290.1233196</v>
      </c>
      <c r="I4967" s="40"/>
      <c r="J4967" s="102">
        <v>0</v>
      </c>
    </row>
    <row r="4968" spans="1:10" hidden="1" x14ac:dyDescent="0.25">
      <c r="A4968" s="233"/>
      <c r="B4968" s="238"/>
      <c r="C4968" s="36" t="s">
        <v>702</v>
      </c>
      <c r="D4968" s="47" t="s">
        <v>703</v>
      </c>
      <c r="E4968" s="37">
        <f>ROUND(1.414*0.8,4)</f>
        <v>1.1312</v>
      </c>
      <c r="F4968" s="31">
        <v>20.425000000000001</v>
      </c>
      <c r="G4968" s="34">
        <f t="shared" si="92"/>
        <v>23.104759999999999</v>
      </c>
      <c r="H4968" s="35"/>
      <c r="I4968" s="31"/>
      <c r="J4968" s="102">
        <v>0</v>
      </c>
    </row>
    <row r="4969" spans="1:10" hidden="1" x14ac:dyDescent="0.25">
      <c r="A4969" s="233"/>
      <c r="B4969" s="238"/>
      <c r="C4969" s="36" t="s">
        <v>704</v>
      </c>
      <c r="D4969" s="47" t="s">
        <v>703</v>
      </c>
      <c r="E4969" s="37">
        <f>ROUND(0.707*0.8,4)</f>
        <v>0.56559999999999999</v>
      </c>
      <c r="F4969" s="31">
        <v>16.1785</v>
      </c>
      <c r="G4969" s="34">
        <f t="shared" si="92"/>
        <v>9.1505595999999993</v>
      </c>
      <c r="H4969" s="35"/>
      <c r="I4969" s="31"/>
      <c r="J4969" s="102">
        <v>0</v>
      </c>
    </row>
    <row r="4970" spans="1:10" hidden="1" x14ac:dyDescent="0.25">
      <c r="A4970" s="233"/>
      <c r="B4970" s="238"/>
      <c r="C4970" s="36"/>
      <c r="D4970" s="47"/>
      <c r="E4970" s="37"/>
      <c r="F4970" s="34" t="s">
        <v>522</v>
      </c>
      <c r="G4970" s="34" t="str">
        <f t="shared" si="92"/>
        <v/>
      </c>
      <c r="H4970" s="35"/>
      <c r="I4970" s="31"/>
      <c r="J4970" s="102">
        <v>0</v>
      </c>
    </row>
    <row r="4971" spans="1:10" ht="15.75" hidden="1" thickBot="1" x14ac:dyDescent="0.3">
      <c r="A4971" s="232" t="s">
        <v>1867</v>
      </c>
      <c r="B4971" s="229" t="e">
        <f>INDEX(#REF!,MATCH(Composições!A4971,#REF!,0),2)</f>
        <v>#REF!</v>
      </c>
      <c r="C4971" s="41"/>
      <c r="D4971" s="26" t="s">
        <v>20</v>
      </c>
      <c r="E4971" s="27"/>
      <c r="F4971" s="42" t="s">
        <v>522</v>
      </c>
      <c r="G4971" s="28" t="str">
        <f t="shared" si="92"/>
        <v/>
      </c>
      <c r="H4971" s="29"/>
      <c r="I4971" s="30"/>
      <c r="J4971" s="102">
        <v>0</v>
      </c>
    </row>
    <row r="4972" spans="1:10" hidden="1" x14ac:dyDescent="0.25">
      <c r="A4972" s="233"/>
      <c r="B4972" s="238"/>
      <c r="C4972" s="32"/>
      <c r="D4972" s="32"/>
      <c r="E4972" s="33"/>
      <c r="F4972" s="43" t="s">
        <v>522</v>
      </c>
      <c r="G4972" s="31" t="str">
        <f t="shared" si="92"/>
        <v/>
      </c>
      <c r="H4972" s="35"/>
      <c r="I4972" s="31"/>
      <c r="J4972" s="102">
        <v>0</v>
      </c>
    </row>
    <row r="4973" spans="1:10" ht="51" hidden="1" x14ac:dyDescent="0.25">
      <c r="A4973" s="233"/>
      <c r="B4973" s="238"/>
      <c r="C4973" s="36" t="s">
        <v>2030</v>
      </c>
      <c r="D4973" s="47" t="s">
        <v>279</v>
      </c>
      <c r="E4973" s="37">
        <v>1</v>
      </c>
      <c r="F4973" s="34">
        <v>291.23199999999997</v>
      </c>
      <c r="G4973" s="34">
        <f t="shared" si="92"/>
        <v>291.23199999999997</v>
      </c>
      <c r="H4973" s="39">
        <f>SUM(G4973:G4975)</f>
        <v>326.49842439999998</v>
      </c>
      <c r="I4973" s="40"/>
      <c r="J4973" s="102">
        <v>0</v>
      </c>
    </row>
    <row r="4974" spans="1:10" hidden="1" x14ac:dyDescent="0.25">
      <c r="A4974" s="233"/>
      <c r="B4974" s="238"/>
      <c r="C4974" s="36" t="s">
        <v>702</v>
      </c>
      <c r="D4974" s="47" t="s">
        <v>703</v>
      </c>
      <c r="E4974" s="37">
        <f>ROUND(1.546*0.8,4)</f>
        <v>1.2367999999999999</v>
      </c>
      <c r="F4974" s="31">
        <v>20.425000000000001</v>
      </c>
      <c r="G4974" s="34">
        <f t="shared" si="92"/>
        <v>25.26164</v>
      </c>
      <c r="H4974" s="35"/>
      <c r="I4974" s="31"/>
      <c r="J4974" s="102">
        <v>0</v>
      </c>
    </row>
    <row r="4975" spans="1:10" hidden="1" x14ac:dyDescent="0.25">
      <c r="A4975" s="233"/>
      <c r="B4975" s="238"/>
      <c r="C4975" s="36" t="s">
        <v>704</v>
      </c>
      <c r="D4975" s="47" t="s">
        <v>703</v>
      </c>
      <c r="E4975" s="37">
        <f>ROUND(0.773*0.8,4)</f>
        <v>0.61839999999999995</v>
      </c>
      <c r="F4975" s="31">
        <v>16.1785</v>
      </c>
      <c r="G4975" s="34">
        <f t="shared" si="92"/>
        <v>10.004784399999998</v>
      </c>
      <c r="H4975" s="35"/>
      <c r="I4975" s="31"/>
      <c r="J4975" s="102">
        <v>0</v>
      </c>
    </row>
    <row r="4976" spans="1:10" hidden="1" x14ac:dyDescent="0.25">
      <c r="A4976" s="233"/>
      <c r="B4976" s="238"/>
      <c r="C4976" s="36"/>
      <c r="D4976" s="47"/>
      <c r="E4976" s="37"/>
      <c r="F4976" s="34" t="s">
        <v>522</v>
      </c>
      <c r="G4976" s="34" t="str">
        <f t="shared" si="92"/>
        <v/>
      </c>
      <c r="H4976" s="35"/>
      <c r="I4976" s="31"/>
      <c r="J4976" s="102">
        <v>0</v>
      </c>
    </row>
    <row r="4977" spans="1:10" ht="15.75" hidden="1" thickBot="1" x14ac:dyDescent="0.3">
      <c r="A4977" s="232" t="s">
        <v>1868</v>
      </c>
      <c r="B4977" s="229" t="e">
        <f>INDEX(#REF!,MATCH(Composições!A4977,#REF!,0),2)</f>
        <v>#REF!</v>
      </c>
      <c r="C4977" s="41"/>
      <c r="D4977" s="26" t="s">
        <v>20</v>
      </c>
      <c r="E4977" s="27"/>
      <c r="F4977" s="42" t="s">
        <v>522</v>
      </c>
      <c r="G4977" s="28" t="str">
        <f t="shared" si="92"/>
        <v/>
      </c>
      <c r="H4977" s="29"/>
      <c r="I4977" s="30"/>
      <c r="J4977" s="102">
        <v>0</v>
      </c>
    </row>
    <row r="4978" spans="1:10" hidden="1" x14ac:dyDescent="0.25">
      <c r="A4978" s="233"/>
      <c r="B4978" s="238"/>
      <c r="C4978" s="32"/>
      <c r="D4978" s="32"/>
      <c r="E4978" s="33"/>
      <c r="F4978" s="43" t="s">
        <v>522</v>
      </c>
      <c r="G4978" s="31" t="str">
        <f t="shared" si="92"/>
        <v/>
      </c>
      <c r="H4978" s="35"/>
      <c r="I4978" s="31"/>
      <c r="J4978" s="102">
        <v>0</v>
      </c>
    </row>
    <row r="4979" spans="1:10" ht="51" hidden="1" x14ac:dyDescent="0.25">
      <c r="A4979" s="233"/>
      <c r="B4979" s="238"/>
      <c r="C4979" s="36" t="s">
        <v>2032</v>
      </c>
      <c r="D4979" s="47" t="s">
        <v>279</v>
      </c>
      <c r="E4979" s="37">
        <v>1</v>
      </c>
      <c r="F4979" s="34">
        <v>325.47000000000003</v>
      </c>
      <c r="G4979" s="34">
        <f t="shared" si="92"/>
        <v>325.47000000000003</v>
      </c>
      <c r="H4979" s="39">
        <f>SUM(G4979:G4981)</f>
        <v>363.74752920000003</v>
      </c>
      <c r="I4979" s="40"/>
      <c r="J4979" s="102">
        <v>0</v>
      </c>
    </row>
    <row r="4980" spans="1:10" hidden="1" x14ac:dyDescent="0.25">
      <c r="A4980" s="233"/>
      <c r="B4980" s="238"/>
      <c r="C4980" s="36" t="s">
        <v>702</v>
      </c>
      <c r="D4980" s="47" t="s">
        <v>703</v>
      </c>
      <c r="E4980" s="37">
        <f>ROUND(1.678*0.8,4)</f>
        <v>1.3424</v>
      </c>
      <c r="F4980" s="31">
        <v>20.425000000000001</v>
      </c>
      <c r="G4980" s="34">
        <f t="shared" si="92"/>
        <v>27.418520000000001</v>
      </c>
      <c r="H4980" s="35"/>
      <c r="I4980" s="31"/>
      <c r="J4980" s="102">
        <v>0</v>
      </c>
    </row>
    <row r="4981" spans="1:10" hidden="1" x14ac:dyDescent="0.25">
      <c r="A4981" s="233"/>
      <c r="B4981" s="238"/>
      <c r="C4981" s="36" t="s">
        <v>704</v>
      </c>
      <c r="D4981" s="47" t="s">
        <v>703</v>
      </c>
      <c r="E4981" s="37">
        <f>ROUND(0.839*0.8,4)</f>
        <v>0.67120000000000002</v>
      </c>
      <c r="F4981" s="31">
        <v>16.1785</v>
      </c>
      <c r="G4981" s="34">
        <f t="shared" si="92"/>
        <v>10.859009200000001</v>
      </c>
      <c r="H4981" s="35"/>
      <c r="I4981" s="31"/>
      <c r="J4981" s="102">
        <v>0</v>
      </c>
    </row>
    <row r="4982" spans="1:10" hidden="1" x14ac:dyDescent="0.25">
      <c r="A4982" s="233"/>
      <c r="B4982" s="238"/>
      <c r="C4982" s="36"/>
      <c r="D4982" s="47"/>
      <c r="E4982" s="37"/>
      <c r="F4982" s="34" t="s">
        <v>522</v>
      </c>
      <c r="G4982" s="34" t="str">
        <f t="shared" si="92"/>
        <v/>
      </c>
      <c r="H4982" s="35"/>
      <c r="I4982" s="31"/>
      <c r="J4982" s="102">
        <v>0</v>
      </c>
    </row>
    <row r="4983" spans="1:10" ht="15.75" hidden="1" thickBot="1" x14ac:dyDescent="0.3">
      <c r="A4983" s="232" t="s">
        <v>1869</v>
      </c>
      <c r="B4983" s="229" t="e">
        <f>INDEX(#REF!,MATCH(Composições!A4983,#REF!,0),2)</f>
        <v>#REF!</v>
      </c>
      <c r="C4983" s="41"/>
      <c r="D4983" s="26" t="s">
        <v>20</v>
      </c>
      <c r="E4983" s="27"/>
      <c r="F4983" s="42" t="s">
        <v>522</v>
      </c>
      <c r="G4983" s="28" t="str">
        <f t="shared" si="92"/>
        <v/>
      </c>
      <c r="H4983" s="29"/>
      <c r="I4983" s="30"/>
      <c r="J4983" s="102">
        <v>0</v>
      </c>
    </row>
    <row r="4984" spans="1:10" hidden="1" x14ac:dyDescent="0.25">
      <c r="A4984" s="233"/>
      <c r="B4984" s="238"/>
      <c r="C4984" s="32"/>
      <c r="D4984" s="32"/>
      <c r="E4984" s="33"/>
      <c r="F4984" s="43" t="s">
        <v>522</v>
      </c>
      <c r="G4984" s="31" t="str">
        <f t="shared" si="92"/>
        <v/>
      </c>
      <c r="H4984" s="35"/>
      <c r="I4984" s="31"/>
      <c r="J4984" s="102">
        <v>0</v>
      </c>
    </row>
    <row r="4985" spans="1:10" ht="25.5" hidden="1" x14ac:dyDescent="0.25">
      <c r="A4985" s="233"/>
      <c r="B4985" s="238"/>
      <c r="C4985" s="36" t="s">
        <v>953</v>
      </c>
      <c r="D4985" s="47" t="s">
        <v>703</v>
      </c>
      <c r="E4985" s="37">
        <f>4*0.3</f>
        <v>1.2</v>
      </c>
      <c r="F4985" s="31">
        <v>16.672499999999999</v>
      </c>
      <c r="G4985" s="31">
        <f t="shared" si="92"/>
        <v>20.006999999999998</v>
      </c>
      <c r="H4985" s="39">
        <f>SUM(G4985:G4988)</f>
        <v>68.314499999999995</v>
      </c>
      <c r="I4985" s="40"/>
      <c r="J4985" s="102">
        <v>0</v>
      </c>
    </row>
    <row r="4986" spans="1:10" ht="25.5" hidden="1" x14ac:dyDescent="0.25">
      <c r="A4986" s="233"/>
      <c r="B4986" s="238"/>
      <c r="C4986" s="36" t="s">
        <v>954</v>
      </c>
      <c r="D4986" s="36" t="s">
        <v>703</v>
      </c>
      <c r="E4986" s="37">
        <f>4*0.3</f>
        <v>1.2</v>
      </c>
      <c r="F4986" s="31">
        <v>20.9</v>
      </c>
      <c r="G4986" s="31">
        <f t="shared" si="92"/>
        <v>25.08</v>
      </c>
      <c r="H4986" s="45"/>
      <c r="I4986" s="46"/>
      <c r="J4986" s="102">
        <v>0</v>
      </c>
    </row>
    <row r="4987" spans="1:10" hidden="1" x14ac:dyDescent="0.25">
      <c r="A4987" s="233"/>
      <c r="B4987" s="238"/>
      <c r="C4987" s="36" t="s">
        <v>74</v>
      </c>
      <c r="D4987" s="47" t="s">
        <v>703</v>
      </c>
      <c r="E4987" s="37">
        <f>2*0.3</f>
        <v>0.6</v>
      </c>
      <c r="F4987" s="31">
        <v>17.024000000000001</v>
      </c>
      <c r="G4987" s="31">
        <f t="shared" si="92"/>
        <v>10.214399999999999</v>
      </c>
      <c r="H4987" s="35"/>
      <c r="I4987" s="31"/>
      <c r="J4987" s="102">
        <v>0</v>
      </c>
    </row>
    <row r="4988" spans="1:10" hidden="1" x14ac:dyDescent="0.25">
      <c r="A4988" s="233"/>
      <c r="B4988" s="238"/>
      <c r="C4988" s="36" t="s">
        <v>30</v>
      </c>
      <c r="D4988" s="36" t="s">
        <v>703</v>
      </c>
      <c r="E4988" s="37">
        <f>2*0.3</f>
        <v>0.6</v>
      </c>
      <c r="F4988" s="31">
        <v>21.688499999999998</v>
      </c>
      <c r="G4988" s="31">
        <f t="shared" si="92"/>
        <v>13.013099999999998</v>
      </c>
      <c r="H4988" s="35"/>
      <c r="I4988" s="31"/>
      <c r="J4988" s="102">
        <v>0</v>
      </c>
    </row>
    <row r="4989" spans="1:10" ht="15.75" hidden="1" thickBot="1" x14ac:dyDescent="0.3">
      <c r="A4989" s="234"/>
      <c r="B4989" s="231"/>
      <c r="C4989" s="36"/>
      <c r="D4989" s="36"/>
      <c r="E4989" s="37"/>
      <c r="F4989" s="31" t="s">
        <v>522</v>
      </c>
      <c r="G4989" s="31" t="str">
        <f t="shared" si="92"/>
        <v/>
      </c>
      <c r="H4989" s="35"/>
      <c r="I4989" s="31"/>
      <c r="J4989" s="102">
        <v>0</v>
      </c>
    </row>
    <row r="4990" spans="1:10" ht="15.75" hidden="1" thickBot="1" x14ac:dyDescent="0.3">
      <c r="A4990" s="218" t="s">
        <v>1870</v>
      </c>
      <c r="B4990" s="221" t="e">
        <f>INDEX(#REF!,MATCH(Composições!A4990,#REF!,0),2)</f>
        <v>#REF!</v>
      </c>
      <c r="C4990" s="41"/>
      <c r="D4990" s="26" t="s">
        <v>95</v>
      </c>
      <c r="E4990" s="27"/>
      <c r="F4990" s="42" t="s">
        <v>522</v>
      </c>
      <c r="G4990" s="28" t="str">
        <f t="shared" si="92"/>
        <v/>
      </c>
      <c r="H4990" s="29"/>
      <c r="I4990" s="30"/>
      <c r="J4990" s="102">
        <v>0</v>
      </c>
    </row>
    <row r="4991" spans="1:10" hidden="1" x14ac:dyDescent="0.25">
      <c r="A4991" s="219"/>
      <c r="B4991" s="237"/>
      <c r="C4991" s="32"/>
      <c r="D4991" s="32"/>
      <c r="E4991" s="33"/>
      <c r="F4991" s="43" t="s">
        <v>522</v>
      </c>
      <c r="G4991" s="31" t="str">
        <f t="shared" si="92"/>
        <v/>
      </c>
      <c r="H4991" s="35"/>
      <c r="I4991" s="31"/>
      <c r="J4991" s="102">
        <v>0</v>
      </c>
    </row>
    <row r="4992" spans="1:10" hidden="1" x14ac:dyDescent="0.25">
      <c r="A4992" s="219"/>
      <c r="B4992" s="237"/>
      <c r="C4992" s="36" t="s">
        <v>702</v>
      </c>
      <c r="D4992" s="36" t="s">
        <v>703</v>
      </c>
      <c r="E4992" s="37">
        <v>0.12</v>
      </c>
      <c r="F4992" s="34">
        <v>20.425000000000001</v>
      </c>
      <c r="G4992" s="34">
        <f t="shared" si="92"/>
        <v>2.4510000000000001</v>
      </c>
      <c r="H4992" s="39">
        <f>SUM(G4992:G4993)</f>
        <v>22.936799999999995</v>
      </c>
      <c r="I4992" s="40"/>
      <c r="J4992" s="102">
        <v>0</v>
      </c>
    </row>
    <row r="4993" spans="1:10" hidden="1" x14ac:dyDescent="0.25">
      <c r="A4993" s="219"/>
      <c r="B4993" s="237"/>
      <c r="C4993" s="36" t="s">
        <v>786</v>
      </c>
      <c r="D4993" s="36" t="s">
        <v>703</v>
      </c>
      <c r="E4993" s="37">
        <v>1.2</v>
      </c>
      <c r="F4993" s="34">
        <v>17.071499999999997</v>
      </c>
      <c r="G4993" s="34">
        <f t="shared" si="92"/>
        <v>20.485799999999994</v>
      </c>
      <c r="H4993" s="45"/>
      <c r="I4993" s="46"/>
      <c r="J4993" s="102">
        <v>0</v>
      </c>
    </row>
    <row r="4994" spans="1:10" ht="15.75" hidden="1" thickBot="1" x14ac:dyDescent="0.3">
      <c r="A4994" s="220"/>
      <c r="B4994" s="223"/>
      <c r="C4994" s="36"/>
      <c r="D4994" s="36"/>
      <c r="E4994" s="37"/>
      <c r="F4994" s="31" t="s">
        <v>522</v>
      </c>
      <c r="G4994" s="31" t="str">
        <f t="shared" ref="G4994:G5057" si="94">IF(ISNUMBER(F4994),E4994*F4994,"")</f>
        <v/>
      </c>
      <c r="H4994" s="35"/>
      <c r="I4994" s="31"/>
      <c r="J4994" s="102">
        <v>0</v>
      </c>
    </row>
    <row r="4995" spans="1:10" ht="15.75" hidden="1" thickBot="1" x14ac:dyDescent="0.3">
      <c r="A4995" s="218" t="s">
        <v>1871</v>
      </c>
      <c r="B4995" s="221" t="e">
        <f>INDEX(#REF!,MATCH(Composições!A4995,#REF!,0),2)</f>
        <v>#REF!</v>
      </c>
      <c r="C4995" s="41"/>
      <c r="D4995" s="26" t="s">
        <v>95</v>
      </c>
      <c r="E4995" s="27"/>
      <c r="F4995" s="49" t="s">
        <v>522</v>
      </c>
      <c r="G4995" s="28" t="str">
        <f t="shared" si="94"/>
        <v/>
      </c>
      <c r="H4995" s="29"/>
      <c r="I4995" s="30"/>
      <c r="J4995" s="102">
        <v>0</v>
      </c>
    </row>
    <row r="4996" spans="1:10" hidden="1" x14ac:dyDescent="0.25">
      <c r="A4996" s="224"/>
      <c r="B4996" s="237"/>
      <c r="C4996" s="32"/>
      <c r="D4996" s="32"/>
      <c r="E4996" s="33"/>
      <c r="F4996" s="54" t="s">
        <v>522</v>
      </c>
      <c r="G4996" s="54" t="str">
        <f t="shared" si="94"/>
        <v/>
      </c>
      <c r="H4996" s="73"/>
      <c r="I4996" s="74"/>
      <c r="J4996" s="102">
        <v>0</v>
      </c>
    </row>
    <row r="4997" spans="1:10" ht="25.5" hidden="1" x14ac:dyDescent="0.25">
      <c r="A4997" s="224"/>
      <c r="B4997" s="237"/>
      <c r="C4997" s="36" t="s">
        <v>1954</v>
      </c>
      <c r="D4997" s="36" t="s">
        <v>95</v>
      </c>
      <c r="E4997" s="37">
        <v>1.08</v>
      </c>
      <c r="F4997" s="54" t="s">
        <v>522</v>
      </c>
      <c r="G4997" s="54" t="str">
        <f t="shared" si="94"/>
        <v/>
      </c>
      <c r="H4997" s="39">
        <f>SUM(G4997:G5001)</f>
        <v>25.987629999999999</v>
      </c>
      <c r="I4997" s="40"/>
      <c r="J4997" s="102">
        <v>0</v>
      </c>
    </row>
    <row r="4998" spans="1:10" hidden="1" x14ac:dyDescent="0.25">
      <c r="A4998" s="224"/>
      <c r="B4998" s="237"/>
      <c r="C4998" s="36" t="s">
        <v>1919</v>
      </c>
      <c r="D4998" s="36" t="s">
        <v>42</v>
      </c>
      <c r="E4998" s="37">
        <v>6.14</v>
      </c>
      <c r="F4998" s="54">
        <v>0.88349999999999995</v>
      </c>
      <c r="G4998" s="54">
        <f t="shared" si="94"/>
        <v>5.4246899999999991</v>
      </c>
      <c r="H4998" s="73"/>
      <c r="I4998" s="74"/>
      <c r="J4998" s="102">
        <v>0</v>
      </c>
    </row>
    <row r="4999" spans="1:10" hidden="1" x14ac:dyDescent="0.25">
      <c r="A4999" s="224"/>
      <c r="B4999" s="237"/>
      <c r="C4999" s="36" t="s">
        <v>1917</v>
      </c>
      <c r="D4999" s="36" t="s">
        <v>42</v>
      </c>
      <c r="E4999" s="37">
        <v>0.22</v>
      </c>
      <c r="F4999" s="54">
        <v>2.7835000000000001</v>
      </c>
      <c r="G4999" s="54">
        <f t="shared" si="94"/>
        <v>0.61236999999999997</v>
      </c>
      <c r="H4999" s="73"/>
      <c r="I4999" s="74"/>
      <c r="J4999" s="102">
        <v>0</v>
      </c>
    </row>
    <row r="5000" spans="1:10" hidden="1" x14ac:dyDescent="0.25">
      <c r="A5000" s="224"/>
      <c r="B5000" s="237"/>
      <c r="C5000" s="36" t="s">
        <v>36</v>
      </c>
      <c r="D5000" s="36" t="s">
        <v>12</v>
      </c>
      <c r="E5000" s="37">
        <v>0.66</v>
      </c>
      <c r="F5000" s="54">
        <v>21.403500000000001</v>
      </c>
      <c r="G5000" s="54">
        <f t="shared" si="94"/>
        <v>14.126310000000002</v>
      </c>
      <c r="H5000" s="73"/>
      <c r="I5000" s="74"/>
      <c r="J5000" s="102">
        <v>0</v>
      </c>
    </row>
    <row r="5001" spans="1:10" hidden="1" x14ac:dyDescent="0.25">
      <c r="A5001" s="224"/>
      <c r="B5001" s="237"/>
      <c r="C5001" s="36" t="s">
        <v>23</v>
      </c>
      <c r="D5001" s="36" t="s">
        <v>12</v>
      </c>
      <c r="E5001" s="37">
        <v>0.36</v>
      </c>
      <c r="F5001" s="54">
        <v>16.1785</v>
      </c>
      <c r="G5001" s="54">
        <f t="shared" si="94"/>
        <v>5.8242599999999998</v>
      </c>
      <c r="H5001" s="73"/>
      <c r="I5001" s="74"/>
      <c r="J5001" s="102">
        <v>0</v>
      </c>
    </row>
    <row r="5002" spans="1:10" hidden="1" x14ac:dyDescent="0.25">
      <c r="A5002" s="224"/>
      <c r="B5002" s="237"/>
      <c r="C5002" s="36"/>
      <c r="D5002" s="47"/>
      <c r="E5002" s="37"/>
      <c r="F5002" s="54" t="s">
        <v>522</v>
      </c>
      <c r="G5002" s="54" t="str">
        <f t="shared" si="94"/>
        <v/>
      </c>
      <c r="H5002" s="73"/>
      <c r="I5002" s="74"/>
      <c r="J5002" s="102">
        <v>0</v>
      </c>
    </row>
    <row r="5003" spans="1:10" ht="15.75" hidden="1" thickBot="1" x14ac:dyDescent="0.3">
      <c r="A5003" s="232" t="s">
        <v>1872</v>
      </c>
      <c r="B5003" s="229" t="e">
        <f>INDEX(#REF!,MATCH(Composições!A5003,#REF!,0),2)</f>
        <v>#REF!</v>
      </c>
      <c r="C5003" s="41"/>
      <c r="D5003" s="26" t="s">
        <v>95</v>
      </c>
      <c r="E5003" s="27"/>
      <c r="F5003" s="42" t="s">
        <v>522</v>
      </c>
      <c r="G5003" s="28" t="str">
        <f t="shared" si="94"/>
        <v/>
      </c>
      <c r="H5003" s="29"/>
      <c r="I5003" s="30"/>
      <c r="J5003" s="102">
        <v>0</v>
      </c>
    </row>
    <row r="5004" spans="1:10" hidden="1" x14ac:dyDescent="0.25">
      <c r="A5004" s="233"/>
      <c r="B5004" s="238"/>
      <c r="C5004" s="32"/>
      <c r="D5004" s="32"/>
      <c r="E5004" s="33"/>
      <c r="F5004" s="43" t="s">
        <v>522</v>
      </c>
      <c r="G5004" s="31" t="str">
        <f t="shared" si="94"/>
        <v/>
      </c>
      <c r="H5004" s="35"/>
      <c r="I5004" s="31"/>
      <c r="J5004" s="102">
        <v>0</v>
      </c>
    </row>
    <row r="5005" spans="1:10" hidden="1" x14ac:dyDescent="0.25">
      <c r="A5005" s="233"/>
      <c r="B5005" s="238"/>
      <c r="C5005" s="36" t="s">
        <v>1237</v>
      </c>
      <c r="D5005" s="105" t="s">
        <v>42</v>
      </c>
      <c r="E5005" s="37">
        <v>0.57499999999999996</v>
      </c>
      <c r="F5005" s="34">
        <v>41.353499999999997</v>
      </c>
      <c r="G5005" s="34">
        <f t="shared" si="94"/>
        <v>23.778262499999997</v>
      </c>
      <c r="H5005" s="39">
        <f>SUM(G5005:G5007)</f>
        <v>39.898223499999993</v>
      </c>
      <c r="I5005" s="40"/>
      <c r="J5005" s="102">
        <v>0</v>
      </c>
    </row>
    <row r="5006" spans="1:10" hidden="1" x14ac:dyDescent="0.25">
      <c r="A5006" s="233"/>
      <c r="B5006" s="238"/>
      <c r="C5006" s="36" t="s">
        <v>704</v>
      </c>
      <c r="D5006" s="36" t="s">
        <v>703</v>
      </c>
      <c r="E5006" s="37">
        <v>0.2399</v>
      </c>
      <c r="F5006" s="34">
        <v>16.1785</v>
      </c>
      <c r="G5006" s="34">
        <f t="shared" si="94"/>
        <v>3.8812221500000001</v>
      </c>
      <c r="H5006" s="45"/>
      <c r="I5006" s="46"/>
      <c r="J5006" s="102">
        <v>0</v>
      </c>
    </row>
    <row r="5007" spans="1:10" hidden="1" x14ac:dyDescent="0.25">
      <c r="A5007" s="233"/>
      <c r="B5007" s="238"/>
      <c r="C5007" s="36" t="s">
        <v>1216</v>
      </c>
      <c r="D5007" s="47" t="s">
        <v>703</v>
      </c>
      <c r="E5007" s="37">
        <v>0.57589999999999997</v>
      </c>
      <c r="F5007" s="31">
        <v>21.2515</v>
      </c>
      <c r="G5007" s="31">
        <f t="shared" si="94"/>
        <v>12.238738849999999</v>
      </c>
      <c r="H5007" s="35"/>
      <c r="I5007" s="31"/>
      <c r="J5007" s="102">
        <v>0</v>
      </c>
    </row>
    <row r="5008" spans="1:10" ht="15.75" hidden="1" thickBot="1" x14ac:dyDescent="0.3">
      <c r="A5008" s="234"/>
      <c r="B5008" s="231"/>
      <c r="C5008" s="36"/>
      <c r="D5008" s="36"/>
      <c r="E5008" s="37"/>
      <c r="F5008" s="31" t="s">
        <v>522</v>
      </c>
      <c r="G5008" s="31" t="str">
        <f t="shared" si="94"/>
        <v/>
      </c>
      <c r="H5008" s="35"/>
      <c r="I5008" s="31"/>
      <c r="J5008" s="102">
        <v>0</v>
      </c>
    </row>
    <row r="5009" spans="1:10" ht="15.75" hidden="1" thickBot="1" x14ac:dyDescent="0.3">
      <c r="A5009" s="232" t="s">
        <v>1873</v>
      </c>
      <c r="B5009" s="229" t="e">
        <f>INDEX(#REF!,MATCH(Composições!A5009,#REF!,0),2)</f>
        <v>#REF!</v>
      </c>
      <c r="C5009" s="41"/>
      <c r="D5009" s="26" t="s">
        <v>93</v>
      </c>
      <c r="E5009" s="27"/>
      <c r="F5009" s="42" t="s">
        <v>522</v>
      </c>
      <c r="G5009" s="28" t="str">
        <f t="shared" si="94"/>
        <v/>
      </c>
      <c r="H5009" s="29"/>
      <c r="I5009" s="30"/>
      <c r="J5009" s="102">
        <v>0</v>
      </c>
    </row>
    <row r="5010" spans="1:10" hidden="1" x14ac:dyDescent="0.25">
      <c r="A5010" s="233"/>
      <c r="B5010" s="238"/>
      <c r="C5010" s="32"/>
      <c r="D5010" s="32"/>
      <c r="E5010" s="33"/>
      <c r="F5010" s="43" t="s">
        <v>522</v>
      </c>
      <c r="G5010" s="31" t="str">
        <f t="shared" si="94"/>
        <v/>
      </c>
      <c r="H5010" s="35"/>
      <c r="I5010" s="31"/>
      <c r="J5010" s="102">
        <v>0</v>
      </c>
    </row>
    <row r="5011" spans="1:10" hidden="1" x14ac:dyDescent="0.25">
      <c r="A5011" s="233"/>
      <c r="B5011" s="238"/>
      <c r="C5011" s="36" t="s">
        <v>1379</v>
      </c>
      <c r="D5011" s="36" t="s">
        <v>703</v>
      </c>
      <c r="E5011" s="37">
        <v>0.5</v>
      </c>
      <c r="F5011" s="34">
        <v>17.042999999999999</v>
      </c>
      <c r="G5011" s="34">
        <f t="shared" si="94"/>
        <v>8.5214999999999996</v>
      </c>
      <c r="H5011" s="39">
        <f>SUM(G5011:G5011)</f>
        <v>8.5214999999999996</v>
      </c>
      <c r="I5011" s="40"/>
      <c r="J5011" s="102">
        <v>0</v>
      </c>
    </row>
    <row r="5012" spans="1:10" ht="15.75" hidden="1" thickBot="1" x14ac:dyDescent="0.3">
      <c r="A5012" s="234"/>
      <c r="B5012" s="231"/>
      <c r="C5012" s="36"/>
      <c r="D5012" s="36"/>
      <c r="E5012" s="37"/>
      <c r="F5012" s="31" t="s">
        <v>522</v>
      </c>
      <c r="G5012" s="31" t="str">
        <f t="shared" si="94"/>
        <v/>
      </c>
      <c r="H5012" s="35"/>
      <c r="I5012" s="31"/>
      <c r="J5012" s="102">
        <v>0</v>
      </c>
    </row>
    <row r="5013" spans="1:10" ht="15.75" hidden="1" thickBot="1" x14ac:dyDescent="0.3">
      <c r="A5013" s="232" t="s">
        <v>1874</v>
      </c>
      <c r="B5013" s="229" t="e">
        <f>INDEX(#REF!,MATCH(Composições!A5013,#REF!,0),2)</f>
        <v>#REF!</v>
      </c>
      <c r="C5013" s="41"/>
      <c r="D5013" s="26" t="s">
        <v>93</v>
      </c>
      <c r="E5013" s="27"/>
      <c r="F5013" s="42" t="s">
        <v>522</v>
      </c>
      <c r="G5013" s="28" t="str">
        <f t="shared" si="94"/>
        <v/>
      </c>
      <c r="H5013" s="29"/>
      <c r="I5013" s="30"/>
      <c r="J5013" s="102">
        <v>0</v>
      </c>
    </row>
    <row r="5014" spans="1:10" hidden="1" x14ac:dyDescent="0.25">
      <c r="A5014" s="233"/>
      <c r="B5014" s="238"/>
      <c r="C5014" s="32"/>
      <c r="D5014" s="32"/>
      <c r="E5014" s="33"/>
      <c r="F5014" s="43" t="s">
        <v>522</v>
      </c>
      <c r="G5014" s="31" t="str">
        <f t="shared" si="94"/>
        <v/>
      </c>
      <c r="H5014" s="35"/>
      <c r="I5014" s="31"/>
      <c r="J5014" s="102">
        <v>0</v>
      </c>
    </row>
    <row r="5015" spans="1:10" hidden="1" x14ac:dyDescent="0.25">
      <c r="A5015" s="233"/>
      <c r="B5015" s="238"/>
      <c r="C5015" s="36" t="s">
        <v>1832</v>
      </c>
      <c r="D5015" s="36" t="s">
        <v>479</v>
      </c>
      <c r="E5015" s="37">
        <v>1.0609999999999999</v>
      </c>
      <c r="F5015" s="34">
        <v>16.795999999999999</v>
      </c>
      <c r="G5015" s="34">
        <f t="shared" si="94"/>
        <v>17.820556</v>
      </c>
      <c r="H5015" s="39">
        <f>SUM(G5015:G5017)</f>
        <v>30.557633500000001</v>
      </c>
      <c r="I5015" s="40"/>
      <c r="J5015" s="102">
        <v>0</v>
      </c>
    </row>
    <row r="5016" spans="1:10" ht="25.5" hidden="1" x14ac:dyDescent="0.25">
      <c r="A5016" s="233"/>
      <c r="B5016" s="238"/>
      <c r="C5016" s="36" t="s">
        <v>953</v>
      </c>
      <c r="D5016" s="36" t="s">
        <v>703</v>
      </c>
      <c r="E5016" s="37">
        <v>0.33900000000000002</v>
      </c>
      <c r="F5016" s="34">
        <v>16.672499999999999</v>
      </c>
      <c r="G5016" s="34">
        <f t="shared" si="94"/>
        <v>5.6519775000000001</v>
      </c>
      <c r="H5016" s="45"/>
      <c r="I5016" s="46"/>
      <c r="J5016" s="102">
        <v>0</v>
      </c>
    </row>
    <row r="5017" spans="1:10" ht="25.5" hidden="1" x14ac:dyDescent="0.25">
      <c r="A5017" s="233"/>
      <c r="B5017" s="238"/>
      <c r="C5017" s="36" t="s">
        <v>954</v>
      </c>
      <c r="D5017" s="47" t="s">
        <v>703</v>
      </c>
      <c r="E5017" s="37">
        <v>0.33900000000000002</v>
      </c>
      <c r="F5017" s="31">
        <v>20.9</v>
      </c>
      <c r="G5017" s="31">
        <f t="shared" si="94"/>
        <v>7.0850999999999997</v>
      </c>
      <c r="H5017" s="35"/>
      <c r="I5017" s="31"/>
      <c r="J5017" s="102">
        <v>0</v>
      </c>
    </row>
    <row r="5018" spans="1:10" ht="15.75" hidden="1" thickBot="1" x14ac:dyDescent="0.3">
      <c r="A5018" s="234"/>
      <c r="B5018" s="231"/>
      <c r="C5018" s="36"/>
      <c r="D5018" s="36"/>
      <c r="E5018" s="37"/>
      <c r="F5018" s="31" t="s">
        <v>522</v>
      </c>
      <c r="G5018" s="31" t="str">
        <f t="shared" si="94"/>
        <v/>
      </c>
      <c r="H5018" s="35"/>
      <c r="I5018" s="31"/>
      <c r="J5018" s="102">
        <v>0</v>
      </c>
    </row>
    <row r="5019" spans="1:10" ht="15.75" hidden="1" thickBot="1" x14ac:dyDescent="0.3">
      <c r="A5019" s="232" t="s">
        <v>1875</v>
      </c>
      <c r="B5019" s="229" t="e">
        <f>INDEX(#REF!,MATCH(Composições!A5019,#REF!,0),2)</f>
        <v>#REF!</v>
      </c>
      <c r="C5019" s="41"/>
      <c r="D5019" s="26" t="s">
        <v>93</v>
      </c>
      <c r="E5019" s="27"/>
      <c r="F5019" s="42" t="s">
        <v>522</v>
      </c>
      <c r="G5019" s="28" t="str">
        <f t="shared" si="94"/>
        <v/>
      </c>
      <c r="H5019" s="29"/>
      <c r="I5019" s="30"/>
      <c r="J5019" s="102">
        <v>0</v>
      </c>
    </row>
    <row r="5020" spans="1:10" hidden="1" x14ac:dyDescent="0.25">
      <c r="A5020" s="233"/>
      <c r="B5020" s="238"/>
      <c r="C5020" s="32"/>
      <c r="D5020" s="32"/>
      <c r="E5020" s="33"/>
      <c r="F5020" s="43" t="s">
        <v>522</v>
      </c>
      <c r="G5020" s="31" t="str">
        <f t="shared" si="94"/>
        <v/>
      </c>
      <c r="H5020" s="35"/>
      <c r="I5020" s="31"/>
      <c r="J5020" s="102">
        <v>0</v>
      </c>
    </row>
    <row r="5021" spans="1:10" hidden="1" x14ac:dyDescent="0.25">
      <c r="A5021" s="233"/>
      <c r="B5021" s="238"/>
      <c r="C5021" s="36" t="s">
        <v>1833</v>
      </c>
      <c r="D5021" s="36" t="s">
        <v>479</v>
      </c>
      <c r="E5021" s="37">
        <v>1.0609999999999999</v>
      </c>
      <c r="F5021" s="34">
        <v>26.951499999999999</v>
      </c>
      <c r="G5021" s="34">
        <f t="shared" si="94"/>
        <v>28.5955415</v>
      </c>
      <c r="H5021" s="39">
        <f>SUM(G5021:G5023)</f>
        <v>43.624541499999999</v>
      </c>
      <c r="I5021" s="40"/>
      <c r="J5021" s="102">
        <v>0</v>
      </c>
    </row>
    <row r="5022" spans="1:10" ht="25.5" hidden="1" x14ac:dyDescent="0.25">
      <c r="A5022" s="233"/>
      <c r="B5022" s="238"/>
      <c r="C5022" s="36" t="s">
        <v>953</v>
      </c>
      <c r="D5022" s="36" t="s">
        <v>703</v>
      </c>
      <c r="E5022" s="37">
        <v>0.4</v>
      </c>
      <c r="F5022" s="34">
        <v>16.672499999999999</v>
      </c>
      <c r="G5022" s="34">
        <f t="shared" si="94"/>
        <v>6.6690000000000005</v>
      </c>
      <c r="H5022" s="45"/>
      <c r="I5022" s="46"/>
      <c r="J5022" s="102">
        <v>0</v>
      </c>
    </row>
    <row r="5023" spans="1:10" ht="25.5" hidden="1" x14ac:dyDescent="0.25">
      <c r="A5023" s="233"/>
      <c r="B5023" s="238"/>
      <c r="C5023" s="36" t="s">
        <v>954</v>
      </c>
      <c r="D5023" s="47" t="s">
        <v>703</v>
      </c>
      <c r="E5023" s="37">
        <v>0.4</v>
      </c>
      <c r="F5023" s="31">
        <v>20.9</v>
      </c>
      <c r="G5023" s="31">
        <f t="shared" si="94"/>
        <v>8.36</v>
      </c>
      <c r="H5023" s="35"/>
      <c r="I5023" s="31"/>
      <c r="J5023" s="102">
        <v>0</v>
      </c>
    </row>
    <row r="5024" spans="1:10" ht="15.75" hidden="1" thickBot="1" x14ac:dyDescent="0.3">
      <c r="A5024" s="234"/>
      <c r="B5024" s="231"/>
      <c r="C5024" s="36"/>
      <c r="D5024" s="36"/>
      <c r="E5024" s="37"/>
      <c r="F5024" s="31" t="s">
        <v>522</v>
      </c>
      <c r="G5024" s="31" t="str">
        <f t="shared" si="94"/>
        <v/>
      </c>
      <c r="H5024" s="35"/>
      <c r="I5024" s="31"/>
      <c r="J5024" s="102">
        <v>0</v>
      </c>
    </row>
    <row r="5025" spans="1:10" ht="15.75" hidden="1" thickBot="1" x14ac:dyDescent="0.3">
      <c r="A5025" s="218" t="s">
        <v>1876</v>
      </c>
      <c r="B5025" s="221" t="e">
        <f>INDEX(#REF!,MATCH(Composições!A5025,#REF!,0),2)</f>
        <v>#REF!</v>
      </c>
      <c r="C5025" s="41"/>
      <c r="D5025" s="26" t="s">
        <v>20</v>
      </c>
      <c r="E5025" s="27"/>
      <c r="F5025" s="42" t="s">
        <v>522</v>
      </c>
      <c r="G5025" s="28" t="str">
        <f t="shared" si="94"/>
        <v/>
      </c>
      <c r="H5025" s="29"/>
      <c r="I5025" s="30"/>
      <c r="J5025" s="102">
        <v>0</v>
      </c>
    </row>
    <row r="5026" spans="1:10" hidden="1" x14ac:dyDescent="0.25">
      <c r="A5026" s="219"/>
      <c r="B5026" s="237"/>
      <c r="C5026" s="32"/>
      <c r="D5026" s="32"/>
      <c r="E5026" s="33"/>
      <c r="F5026" s="43" t="s">
        <v>522</v>
      </c>
      <c r="G5026" s="31" t="str">
        <f t="shared" si="94"/>
        <v/>
      </c>
      <c r="H5026" s="35"/>
      <c r="I5026" s="31"/>
      <c r="J5026" s="102">
        <v>0</v>
      </c>
    </row>
    <row r="5027" spans="1:10" ht="25.5" hidden="1" x14ac:dyDescent="0.25">
      <c r="A5027" s="219"/>
      <c r="B5027" s="237"/>
      <c r="C5027" s="36" t="s">
        <v>329</v>
      </c>
      <c r="D5027" s="47" t="s">
        <v>279</v>
      </c>
      <c r="E5027" s="37">
        <v>2</v>
      </c>
      <c r="F5027" s="34">
        <v>22.106499999999997</v>
      </c>
      <c r="G5027" s="34">
        <f t="shared" si="94"/>
        <v>44.212999999999994</v>
      </c>
      <c r="H5027" s="39">
        <f>SUM(G5027:G5031)</f>
        <v>76.274367600000005</v>
      </c>
      <c r="I5027" s="40"/>
      <c r="J5027" s="102">
        <v>0</v>
      </c>
    </row>
    <row r="5028" spans="1:10" ht="25.5" hidden="1" x14ac:dyDescent="0.25">
      <c r="A5028" s="219"/>
      <c r="B5028" s="237"/>
      <c r="C5028" s="36" t="s">
        <v>2377</v>
      </c>
      <c r="D5028" s="47" t="s">
        <v>279</v>
      </c>
      <c r="E5028" s="37">
        <v>1</v>
      </c>
      <c r="F5028" s="34">
        <v>10.849</v>
      </c>
      <c r="G5028" s="34">
        <f t="shared" si="94"/>
        <v>10.849</v>
      </c>
      <c r="H5028" s="35"/>
      <c r="I5028" s="40"/>
      <c r="J5028" s="102">
        <v>0</v>
      </c>
    </row>
    <row r="5029" spans="1:10" hidden="1" x14ac:dyDescent="0.25">
      <c r="A5029" s="219"/>
      <c r="B5029" s="237"/>
      <c r="C5029" s="36" t="s">
        <v>1920</v>
      </c>
      <c r="D5029" s="47" t="s">
        <v>42</v>
      </c>
      <c r="E5029" s="37">
        <v>8.8099999999999998E-2</v>
      </c>
      <c r="F5029" s="34">
        <v>58.738499999999995</v>
      </c>
      <c r="G5029" s="34">
        <f t="shared" si="94"/>
        <v>5.1748618499999992</v>
      </c>
      <c r="H5029" s="35"/>
      <c r="I5029" s="31"/>
      <c r="J5029" s="102">
        <v>0</v>
      </c>
    </row>
    <row r="5030" spans="1:10" hidden="1" x14ac:dyDescent="0.25">
      <c r="A5030" s="219"/>
      <c r="B5030" s="237"/>
      <c r="C5030" s="36" t="s">
        <v>39</v>
      </c>
      <c r="D5030" s="47" t="s">
        <v>12</v>
      </c>
      <c r="E5030" s="37">
        <v>0.49680000000000002</v>
      </c>
      <c r="F5030" s="31">
        <v>20.9</v>
      </c>
      <c r="G5030" s="34">
        <f t="shared" si="94"/>
        <v>10.38312</v>
      </c>
      <c r="H5030" s="35"/>
      <c r="I5030" s="31"/>
      <c r="J5030" s="102">
        <v>0</v>
      </c>
    </row>
    <row r="5031" spans="1:10" hidden="1" x14ac:dyDescent="0.25">
      <c r="A5031" s="219"/>
      <c r="B5031" s="237"/>
      <c r="C5031" s="36" t="s">
        <v>23</v>
      </c>
      <c r="D5031" s="47" t="s">
        <v>12</v>
      </c>
      <c r="E5031" s="37">
        <v>0.34949999999999998</v>
      </c>
      <c r="F5031" s="31">
        <v>16.1785</v>
      </c>
      <c r="G5031" s="34">
        <f t="shared" si="94"/>
        <v>5.6543857499999994</v>
      </c>
      <c r="H5031" s="35"/>
      <c r="I5031" s="31"/>
      <c r="J5031" s="102">
        <v>0</v>
      </c>
    </row>
    <row r="5032" spans="1:10" ht="15.75" hidden="1" thickBot="1" x14ac:dyDescent="0.3">
      <c r="A5032" s="220"/>
      <c r="B5032" s="223"/>
      <c r="C5032" s="36"/>
      <c r="D5032" s="36"/>
      <c r="E5032" s="37"/>
      <c r="F5032" s="31" t="s">
        <v>522</v>
      </c>
      <c r="G5032" s="31" t="str">
        <f t="shared" si="94"/>
        <v/>
      </c>
      <c r="H5032" s="35"/>
      <c r="I5032" s="31"/>
      <c r="J5032" s="102">
        <v>0</v>
      </c>
    </row>
    <row r="5033" spans="1:10" ht="15.75" hidden="1" thickBot="1" x14ac:dyDescent="0.3">
      <c r="A5033" s="218" t="s">
        <v>1877</v>
      </c>
      <c r="B5033" s="221" t="e">
        <f>INDEX(#REF!,MATCH(Composições!A5033,#REF!,0),2)</f>
        <v>#REF!</v>
      </c>
      <c r="C5033" s="41"/>
      <c r="D5033" s="26" t="s">
        <v>20</v>
      </c>
      <c r="E5033" s="27"/>
      <c r="F5033" s="42" t="s">
        <v>522</v>
      </c>
      <c r="G5033" s="28" t="str">
        <f t="shared" si="94"/>
        <v/>
      </c>
      <c r="H5033" s="29"/>
      <c r="I5033" s="30"/>
      <c r="J5033" s="102">
        <v>0</v>
      </c>
    </row>
    <row r="5034" spans="1:10" hidden="1" x14ac:dyDescent="0.25">
      <c r="A5034" s="219"/>
      <c r="B5034" s="237"/>
      <c r="C5034" s="32"/>
      <c r="D5034" s="32"/>
      <c r="E5034" s="33"/>
      <c r="F5034" s="43" t="s">
        <v>522</v>
      </c>
      <c r="G5034" s="31" t="str">
        <f t="shared" si="94"/>
        <v/>
      </c>
      <c r="H5034" s="35"/>
      <c r="I5034" s="31"/>
      <c r="J5034" s="102">
        <v>0</v>
      </c>
    </row>
    <row r="5035" spans="1:10" ht="25.5" hidden="1" x14ac:dyDescent="0.25">
      <c r="A5035" s="219"/>
      <c r="B5035" s="237"/>
      <c r="C5035" s="36" t="s">
        <v>954</v>
      </c>
      <c r="D5035" s="47" t="s">
        <v>703</v>
      </c>
      <c r="E5035" s="37">
        <v>0.5</v>
      </c>
      <c r="F5035" s="31">
        <v>20.9</v>
      </c>
      <c r="G5035" s="31">
        <f t="shared" si="94"/>
        <v>10.45</v>
      </c>
      <c r="H5035" s="39">
        <f>SUM(G5035:G5038)</f>
        <v>18.9084124</v>
      </c>
      <c r="I5035" s="40"/>
      <c r="J5035" s="102">
        <v>0</v>
      </c>
    </row>
    <row r="5036" spans="1:10" ht="25.5" hidden="1" x14ac:dyDescent="0.25">
      <c r="A5036" s="219"/>
      <c r="B5036" s="237"/>
      <c r="C5036" s="36" t="s">
        <v>953</v>
      </c>
      <c r="D5036" s="36" t="s">
        <v>703</v>
      </c>
      <c r="E5036" s="37">
        <v>0.5</v>
      </c>
      <c r="F5036" s="34">
        <v>16.672499999999999</v>
      </c>
      <c r="G5036" s="34">
        <f t="shared" si="94"/>
        <v>8.3362499999999997</v>
      </c>
      <c r="H5036" s="35"/>
      <c r="I5036" s="31"/>
      <c r="J5036" s="102">
        <v>0</v>
      </c>
    </row>
    <row r="5037" spans="1:10" hidden="1" x14ac:dyDescent="0.25">
      <c r="A5037" s="219"/>
      <c r="B5037" s="237"/>
      <c r="C5037" s="36" t="s">
        <v>318</v>
      </c>
      <c r="D5037" s="36" t="s">
        <v>279</v>
      </c>
      <c r="E5037" s="37">
        <f>0.47/50</f>
        <v>9.3999999999999986E-3</v>
      </c>
      <c r="F5037" s="34">
        <v>12.995999999999999</v>
      </c>
      <c r="G5037" s="34">
        <f t="shared" si="94"/>
        <v>0.12216239999999998</v>
      </c>
      <c r="H5037" s="35"/>
      <c r="I5037" s="31"/>
      <c r="J5037" s="102">
        <v>0</v>
      </c>
    </row>
    <row r="5038" spans="1:10" hidden="1" x14ac:dyDescent="0.25">
      <c r="A5038" s="219"/>
      <c r="B5038" s="237"/>
      <c r="C5038" s="36" t="s">
        <v>1955</v>
      </c>
      <c r="D5038" s="36" t="s">
        <v>279</v>
      </c>
      <c r="E5038" s="37">
        <v>1</v>
      </c>
      <c r="F5038" s="31" t="s">
        <v>522</v>
      </c>
      <c r="G5038" s="34" t="str">
        <f t="shared" si="94"/>
        <v/>
      </c>
      <c r="H5038" s="35"/>
      <c r="I5038" s="31"/>
      <c r="J5038" s="102">
        <v>0</v>
      </c>
    </row>
    <row r="5039" spans="1:10" ht="15.75" hidden="1" thickBot="1" x14ac:dyDescent="0.3">
      <c r="A5039" s="220"/>
      <c r="B5039" s="223"/>
      <c r="C5039" s="36"/>
      <c r="D5039" s="36"/>
      <c r="E5039" s="37"/>
      <c r="F5039" s="31" t="s">
        <v>522</v>
      </c>
      <c r="G5039" s="31" t="str">
        <f t="shared" si="94"/>
        <v/>
      </c>
      <c r="H5039" s="35"/>
      <c r="I5039" s="31"/>
      <c r="J5039" s="102">
        <v>0</v>
      </c>
    </row>
    <row r="5040" spans="1:10" ht="15.75" hidden="1" thickBot="1" x14ac:dyDescent="0.3">
      <c r="A5040" s="218" t="s">
        <v>1878</v>
      </c>
      <c r="B5040" s="221" t="e">
        <f>INDEX(#REF!,MATCH(Composições!A5040,#REF!,0),2)</f>
        <v>#REF!</v>
      </c>
      <c r="C5040" s="41"/>
      <c r="D5040" s="26" t="s">
        <v>20</v>
      </c>
      <c r="E5040" s="27"/>
      <c r="F5040" s="49" t="s">
        <v>522</v>
      </c>
      <c r="G5040" s="28" t="str">
        <f t="shared" si="94"/>
        <v/>
      </c>
      <c r="H5040" s="29"/>
      <c r="I5040" s="30"/>
      <c r="J5040" s="102">
        <v>0</v>
      </c>
    </row>
    <row r="5041" spans="1:10" hidden="1" x14ac:dyDescent="0.25">
      <c r="A5041" s="224"/>
      <c r="B5041" s="237"/>
      <c r="C5041" s="32"/>
      <c r="D5041" s="32"/>
      <c r="E5041" s="33"/>
      <c r="F5041" s="54" t="s">
        <v>522</v>
      </c>
      <c r="G5041" s="54" t="str">
        <f t="shared" si="94"/>
        <v/>
      </c>
      <c r="H5041" s="73"/>
      <c r="I5041" s="74"/>
      <c r="J5041" s="102">
        <v>0</v>
      </c>
    </row>
    <row r="5042" spans="1:10" hidden="1" x14ac:dyDescent="0.25">
      <c r="A5042" s="224"/>
      <c r="B5042" s="237"/>
      <c r="C5042" s="36" t="s">
        <v>1999</v>
      </c>
      <c r="D5042" s="36" t="s">
        <v>279</v>
      </c>
      <c r="E5042" s="37">
        <v>1</v>
      </c>
      <c r="F5042" s="54" t="s">
        <v>522</v>
      </c>
      <c r="G5042" s="54" t="str">
        <f t="shared" si="94"/>
        <v/>
      </c>
      <c r="H5042" s="39">
        <f>SUM(G5042:G5045)</f>
        <v>11.686359449999999</v>
      </c>
      <c r="I5042" s="40"/>
      <c r="J5042" s="102">
        <v>0</v>
      </c>
    </row>
    <row r="5043" spans="1:10" hidden="1" x14ac:dyDescent="0.25">
      <c r="A5043" s="224"/>
      <c r="B5043" s="237"/>
      <c r="C5043" s="36" t="s">
        <v>1068</v>
      </c>
      <c r="D5043" s="36" t="s">
        <v>279</v>
      </c>
      <c r="E5043" s="37">
        <v>2.1000000000000001E-2</v>
      </c>
      <c r="F5043" s="54">
        <v>3.5244999999999997</v>
      </c>
      <c r="G5043" s="54">
        <f t="shared" si="94"/>
        <v>7.4014499999999997E-2</v>
      </c>
      <c r="H5043" s="73"/>
      <c r="I5043" s="74"/>
      <c r="J5043" s="102">
        <v>0</v>
      </c>
    </row>
    <row r="5044" spans="1:10" ht="25.5" hidden="1" x14ac:dyDescent="0.25">
      <c r="A5044" s="224"/>
      <c r="B5044" s="237"/>
      <c r="C5044" s="36" t="s">
        <v>954</v>
      </c>
      <c r="D5044" s="36" t="s">
        <v>703</v>
      </c>
      <c r="E5044" s="37">
        <v>0.44669999999999999</v>
      </c>
      <c r="F5044" s="54">
        <v>20.9</v>
      </c>
      <c r="G5044" s="54">
        <f t="shared" si="94"/>
        <v>9.3360299999999992</v>
      </c>
      <c r="H5044" s="73"/>
      <c r="I5044" s="74"/>
      <c r="J5044" s="102">
        <v>0</v>
      </c>
    </row>
    <row r="5045" spans="1:10" hidden="1" x14ac:dyDescent="0.25">
      <c r="A5045" s="224"/>
      <c r="B5045" s="237"/>
      <c r="C5045" s="36" t="s">
        <v>704</v>
      </c>
      <c r="D5045" s="36" t="s">
        <v>703</v>
      </c>
      <c r="E5045" s="37">
        <v>0.14069999999999999</v>
      </c>
      <c r="F5045" s="54">
        <v>16.1785</v>
      </c>
      <c r="G5045" s="54">
        <f t="shared" si="94"/>
        <v>2.2763149499999997</v>
      </c>
      <c r="H5045" s="73"/>
      <c r="I5045" s="74"/>
      <c r="J5045" s="102">
        <v>0</v>
      </c>
    </row>
    <row r="5046" spans="1:10" ht="15.75" hidden="1" thickBot="1" x14ac:dyDescent="0.3">
      <c r="A5046" s="225"/>
      <c r="B5046" s="223"/>
      <c r="C5046" s="36"/>
      <c r="D5046" s="36"/>
      <c r="E5046" s="37"/>
      <c r="F5046" s="54" t="s">
        <v>522</v>
      </c>
      <c r="G5046" s="54" t="str">
        <f t="shared" si="94"/>
        <v/>
      </c>
      <c r="H5046" s="73"/>
      <c r="I5046" s="74"/>
      <c r="J5046" s="102">
        <v>0</v>
      </c>
    </row>
    <row r="5047" spans="1:10" ht="15.75" hidden="1" thickBot="1" x14ac:dyDescent="0.3">
      <c r="A5047" s="218" t="s">
        <v>1879</v>
      </c>
      <c r="B5047" s="221" t="e">
        <f>INDEX(#REF!,MATCH(Composições!A5047,#REF!,0),2)</f>
        <v>#REF!</v>
      </c>
      <c r="C5047" s="41"/>
      <c r="D5047" s="26" t="s">
        <v>20</v>
      </c>
      <c r="E5047" s="27"/>
      <c r="F5047" s="49" t="s">
        <v>522</v>
      </c>
      <c r="G5047" s="28" t="str">
        <f t="shared" si="94"/>
        <v/>
      </c>
      <c r="H5047" s="29"/>
      <c r="I5047" s="30"/>
      <c r="J5047" s="102">
        <v>0</v>
      </c>
    </row>
    <row r="5048" spans="1:10" hidden="1" x14ac:dyDescent="0.25">
      <c r="A5048" s="224"/>
      <c r="B5048" s="237"/>
      <c r="C5048" s="32"/>
      <c r="D5048" s="32"/>
      <c r="E5048" s="33"/>
      <c r="F5048" s="54" t="s">
        <v>522</v>
      </c>
      <c r="G5048" s="54" t="str">
        <f t="shared" si="94"/>
        <v/>
      </c>
      <c r="H5048" s="73"/>
      <c r="I5048" s="74"/>
      <c r="J5048" s="102">
        <v>0</v>
      </c>
    </row>
    <row r="5049" spans="1:10" ht="25.5" hidden="1" x14ac:dyDescent="0.25">
      <c r="A5049" s="224"/>
      <c r="B5049" s="237"/>
      <c r="C5049" s="36" t="s">
        <v>953</v>
      </c>
      <c r="D5049" s="47" t="s">
        <v>703</v>
      </c>
      <c r="E5049" s="37">
        <v>4</v>
      </c>
      <c r="F5049" s="31">
        <v>16.672499999999999</v>
      </c>
      <c r="G5049" s="54">
        <f t="shared" si="94"/>
        <v>66.69</v>
      </c>
      <c r="H5049" s="39">
        <f>SUM(G5049:G5053)</f>
        <v>228.13793999999999</v>
      </c>
      <c r="I5049" s="40"/>
      <c r="J5049" s="102">
        <v>0</v>
      </c>
    </row>
    <row r="5050" spans="1:10" ht="25.5" hidden="1" x14ac:dyDescent="0.25">
      <c r="A5050" s="224"/>
      <c r="B5050" s="237"/>
      <c r="C5050" s="36" t="s">
        <v>954</v>
      </c>
      <c r="D5050" s="36" t="s">
        <v>703</v>
      </c>
      <c r="E5050" s="37">
        <v>4</v>
      </c>
      <c r="F5050" s="31">
        <v>20.9</v>
      </c>
      <c r="G5050" s="54">
        <f t="shared" si="94"/>
        <v>83.6</v>
      </c>
      <c r="H5050" s="73"/>
      <c r="I5050" s="74"/>
      <c r="J5050" s="102">
        <v>0</v>
      </c>
    </row>
    <row r="5051" spans="1:10" hidden="1" x14ac:dyDescent="0.25">
      <c r="A5051" s="224"/>
      <c r="B5051" s="237"/>
      <c r="C5051" s="36" t="s">
        <v>74</v>
      </c>
      <c r="D5051" s="47" t="s">
        <v>703</v>
      </c>
      <c r="E5051" s="37">
        <v>2</v>
      </c>
      <c r="F5051" s="31">
        <v>17.024000000000001</v>
      </c>
      <c r="G5051" s="54">
        <f t="shared" si="94"/>
        <v>34.048000000000002</v>
      </c>
      <c r="H5051" s="73"/>
      <c r="I5051" s="74"/>
      <c r="J5051" s="102">
        <v>0</v>
      </c>
    </row>
    <row r="5052" spans="1:10" hidden="1" x14ac:dyDescent="0.25">
      <c r="A5052" s="224"/>
      <c r="B5052" s="237"/>
      <c r="C5052" s="36" t="s">
        <v>30</v>
      </c>
      <c r="D5052" s="36" t="s">
        <v>703</v>
      </c>
      <c r="E5052" s="37">
        <v>2</v>
      </c>
      <c r="F5052" s="31">
        <v>21.688499999999998</v>
      </c>
      <c r="G5052" s="54">
        <f t="shared" si="94"/>
        <v>43.376999999999995</v>
      </c>
      <c r="H5052" s="73"/>
      <c r="I5052" s="74"/>
      <c r="J5052" s="102">
        <v>0</v>
      </c>
    </row>
    <row r="5053" spans="1:10" hidden="1" x14ac:dyDescent="0.25">
      <c r="A5053" s="224"/>
      <c r="B5053" s="237"/>
      <c r="C5053" s="36" t="s">
        <v>1068</v>
      </c>
      <c r="D5053" s="36" t="s">
        <v>279</v>
      </c>
      <c r="E5053" s="37">
        <f>1.2/10</f>
        <v>0.12</v>
      </c>
      <c r="F5053" s="54">
        <v>3.5244999999999997</v>
      </c>
      <c r="G5053" s="54">
        <f t="shared" si="94"/>
        <v>0.42293999999999993</v>
      </c>
      <c r="H5053" s="73"/>
      <c r="I5053" s="74"/>
      <c r="J5053" s="102">
        <v>0</v>
      </c>
    </row>
    <row r="5054" spans="1:10" hidden="1" x14ac:dyDescent="0.25">
      <c r="A5054" s="224"/>
      <c r="B5054" s="237"/>
      <c r="C5054" s="36"/>
      <c r="D5054" s="47"/>
      <c r="E5054" s="37"/>
      <c r="F5054" s="54" t="s">
        <v>522</v>
      </c>
      <c r="G5054" s="54" t="str">
        <f t="shared" si="94"/>
        <v/>
      </c>
      <c r="H5054" s="73"/>
      <c r="I5054" s="74"/>
      <c r="J5054" s="102">
        <v>0</v>
      </c>
    </row>
    <row r="5055" spans="1:10" ht="15.75" hidden="1" thickBot="1" x14ac:dyDescent="0.3">
      <c r="A5055" s="218" t="s">
        <v>1880</v>
      </c>
      <c r="B5055" s="221" t="e">
        <f>INDEX(#REF!,MATCH(Composições!A5055,#REF!,0),2)</f>
        <v>#REF!</v>
      </c>
      <c r="C5055" s="41"/>
      <c r="D5055" s="26" t="s">
        <v>20</v>
      </c>
      <c r="E5055" s="27"/>
      <c r="F5055" s="42" t="s">
        <v>522</v>
      </c>
      <c r="G5055" s="28" t="str">
        <f t="shared" si="94"/>
        <v/>
      </c>
      <c r="H5055" s="29"/>
      <c r="I5055" s="30"/>
      <c r="J5055" s="102">
        <v>0</v>
      </c>
    </row>
    <row r="5056" spans="1:10" hidden="1" x14ac:dyDescent="0.25">
      <c r="A5056" s="219"/>
      <c r="B5056" s="237"/>
      <c r="C5056" s="32"/>
      <c r="D5056" s="32"/>
      <c r="E5056" s="33"/>
      <c r="F5056" s="43" t="s">
        <v>522</v>
      </c>
      <c r="G5056" s="31" t="str">
        <f t="shared" si="94"/>
        <v/>
      </c>
      <c r="H5056" s="35"/>
      <c r="I5056" s="31"/>
      <c r="J5056" s="102">
        <v>0</v>
      </c>
    </row>
    <row r="5057" spans="1:10" ht="25.5" hidden="1" x14ac:dyDescent="0.25">
      <c r="A5057" s="219"/>
      <c r="B5057" s="237"/>
      <c r="C5057" s="36" t="s">
        <v>1956</v>
      </c>
      <c r="D5057" s="47" t="s">
        <v>144</v>
      </c>
      <c r="E5057" s="37">
        <v>1</v>
      </c>
      <c r="F5057" s="34" t="s">
        <v>522</v>
      </c>
      <c r="G5057" s="34" t="str">
        <f t="shared" si="94"/>
        <v/>
      </c>
      <c r="H5057" s="39">
        <f>SUM(G5057:G5059)</f>
        <v>16.437827199999997</v>
      </c>
      <c r="I5057" s="40"/>
      <c r="J5057" s="102">
        <v>0</v>
      </c>
    </row>
    <row r="5058" spans="1:10" hidden="1" x14ac:dyDescent="0.25">
      <c r="A5058" s="219"/>
      <c r="B5058" s="237"/>
      <c r="C5058" s="36" t="s">
        <v>39</v>
      </c>
      <c r="D5058" s="47" t="s">
        <v>12</v>
      </c>
      <c r="E5058" s="37">
        <v>0.63229999999999997</v>
      </c>
      <c r="F5058" s="31">
        <v>20.9</v>
      </c>
      <c r="G5058" s="34">
        <f t="shared" ref="G5058:G5100" si="95">IF(ISNUMBER(F5058),E5058*F5058,"")</f>
        <v>13.215069999999999</v>
      </c>
      <c r="H5058" s="35"/>
      <c r="I5058" s="31"/>
      <c r="J5058" s="102">
        <v>0</v>
      </c>
    </row>
    <row r="5059" spans="1:10" hidden="1" x14ac:dyDescent="0.25">
      <c r="A5059" s="219"/>
      <c r="B5059" s="237"/>
      <c r="C5059" s="36" t="s">
        <v>23</v>
      </c>
      <c r="D5059" s="47" t="s">
        <v>12</v>
      </c>
      <c r="E5059" s="37">
        <v>0.19919999999999999</v>
      </c>
      <c r="F5059" s="31">
        <v>16.1785</v>
      </c>
      <c r="G5059" s="34">
        <f t="shared" si="95"/>
        <v>3.2227571999999998</v>
      </c>
      <c r="H5059" s="35"/>
      <c r="I5059" s="31"/>
      <c r="J5059" s="102">
        <v>0</v>
      </c>
    </row>
    <row r="5060" spans="1:10" ht="15.75" hidden="1" thickBot="1" x14ac:dyDescent="0.3">
      <c r="A5060" s="220"/>
      <c r="B5060" s="223"/>
      <c r="C5060" s="36"/>
      <c r="D5060" s="36"/>
      <c r="E5060" s="37"/>
      <c r="F5060" s="31" t="s">
        <v>522</v>
      </c>
      <c r="G5060" s="31" t="str">
        <f t="shared" si="95"/>
        <v/>
      </c>
      <c r="H5060" s="35"/>
      <c r="I5060" s="31"/>
      <c r="J5060" s="102">
        <v>0</v>
      </c>
    </row>
    <row r="5061" spans="1:10" ht="15.75" hidden="1" thickBot="1" x14ac:dyDescent="0.3">
      <c r="A5061" s="218" t="s">
        <v>1881</v>
      </c>
      <c r="B5061" s="221" t="e">
        <f>INDEX(#REF!,MATCH(Composições!A5061,#REF!,0),2)</f>
        <v>#REF!</v>
      </c>
      <c r="C5061" s="41"/>
      <c r="D5061" s="26" t="s">
        <v>20</v>
      </c>
      <c r="E5061" s="27"/>
      <c r="F5061" s="42" t="s">
        <v>522</v>
      </c>
      <c r="G5061" s="28" t="str">
        <f t="shared" si="95"/>
        <v/>
      </c>
      <c r="H5061" s="29"/>
      <c r="I5061" s="30"/>
      <c r="J5061" s="102">
        <v>0</v>
      </c>
    </row>
    <row r="5062" spans="1:10" hidden="1" x14ac:dyDescent="0.25">
      <c r="A5062" s="219"/>
      <c r="B5062" s="237"/>
      <c r="C5062" s="32"/>
      <c r="D5062" s="32"/>
      <c r="E5062" s="33"/>
      <c r="F5062" s="43" t="s">
        <v>522</v>
      </c>
      <c r="G5062" s="31" t="str">
        <f t="shared" si="95"/>
        <v/>
      </c>
      <c r="H5062" s="35"/>
      <c r="I5062" s="31"/>
      <c r="J5062" s="102">
        <v>0</v>
      </c>
    </row>
    <row r="5063" spans="1:10" ht="25.5" hidden="1" x14ac:dyDescent="0.25">
      <c r="A5063" s="219"/>
      <c r="B5063" s="237"/>
      <c r="C5063" s="36" t="s">
        <v>1957</v>
      </c>
      <c r="D5063" s="47" t="s">
        <v>144</v>
      </c>
      <c r="E5063" s="37">
        <v>1</v>
      </c>
      <c r="F5063" s="34" t="s">
        <v>522</v>
      </c>
      <c r="G5063" s="34" t="str">
        <f t="shared" si="95"/>
        <v/>
      </c>
      <c r="H5063" s="39">
        <f>SUM(G5063:G5065)</f>
        <v>8.2199585999999982</v>
      </c>
      <c r="I5063" s="40"/>
      <c r="J5063" s="102">
        <v>0</v>
      </c>
    </row>
    <row r="5064" spans="1:10" hidden="1" x14ac:dyDescent="0.25">
      <c r="A5064" s="219"/>
      <c r="B5064" s="237"/>
      <c r="C5064" s="36" t="s">
        <v>39</v>
      </c>
      <c r="D5064" s="47" t="s">
        <v>12</v>
      </c>
      <c r="E5064" s="37">
        <v>0.31619999999999998</v>
      </c>
      <c r="F5064" s="31">
        <v>20.9</v>
      </c>
      <c r="G5064" s="34">
        <f t="shared" si="95"/>
        <v>6.608579999999999</v>
      </c>
      <c r="H5064" s="35"/>
      <c r="I5064" s="31"/>
      <c r="J5064" s="102">
        <v>0</v>
      </c>
    </row>
    <row r="5065" spans="1:10" hidden="1" x14ac:dyDescent="0.25">
      <c r="A5065" s="219"/>
      <c r="B5065" s="237"/>
      <c r="C5065" s="36" t="s">
        <v>23</v>
      </c>
      <c r="D5065" s="47" t="s">
        <v>12</v>
      </c>
      <c r="E5065" s="37">
        <v>9.9599999999999994E-2</v>
      </c>
      <c r="F5065" s="31">
        <v>16.1785</v>
      </c>
      <c r="G5065" s="34">
        <f t="shared" si="95"/>
        <v>1.6113785999999999</v>
      </c>
      <c r="H5065" s="35"/>
      <c r="I5065" s="31"/>
      <c r="J5065" s="102">
        <v>0</v>
      </c>
    </row>
    <row r="5066" spans="1:10" ht="15.75" hidden="1" thickBot="1" x14ac:dyDescent="0.3">
      <c r="A5066" s="220"/>
      <c r="B5066" s="223"/>
      <c r="C5066" s="36"/>
      <c r="D5066" s="36"/>
      <c r="E5066" s="37"/>
      <c r="F5066" s="31" t="s">
        <v>522</v>
      </c>
      <c r="G5066" s="31" t="str">
        <f t="shared" si="95"/>
        <v/>
      </c>
      <c r="H5066" s="35"/>
      <c r="I5066" s="31"/>
      <c r="J5066" s="102">
        <v>0</v>
      </c>
    </row>
    <row r="5067" spans="1:10" ht="15.75" hidden="1" thickBot="1" x14ac:dyDescent="0.3">
      <c r="A5067" s="218" t="s">
        <v>1882</v>
      </c>
      <c r="B5067" s="221" t="e">
        <f>INDEX(#REF!,MATCH(Composições!A5067,#REF!,0),2)</f>
        <v>#REF!</v>
      </c>
      <c r="C5067" s="41"/>
      <c r="D5067" s="26" t="s">
        <v>20</v>
      </c>
      <c r="E5067" s="27"/>
      <c r="F5067" s="42" t="s">
        <v>522</v>
      </c>
      <c r="G5067" s="28" t="str">
        <f t="shared" si="95"/>
        <v/>
      </c>
      <c r="H5067" s="29"/>
      <c r="I5067" s="30"/>
      <c r="J5067" s="102">
        <v>0</v>
      </c>
    </row>
    <row r="5068" spans="1:10" hidden="1" x14ac:dyDescent="0.25">
      <c r="A5068" s="219"/>
      <c r="B5068" s="237"/>
      <c r="C5068" s="32"/>
      <c r="D5068" s="32"/>
      <c r="E5068" s="33"/>
      <c r="F5068" s="43" t="s">
        <v>522</v>
      </c>
      <c r="G5068" s="31" t="str">
        <f t="shared" si="95"/>
        <v/>
      </c>
      <c r="H5068" s="35"/>
      <c r="I5068" s="31"/>
      <c r="J5068" s="102">
        <v>0</v>
      </c>
    </row>
    <row r="5069" spans="1:10" hidden="1" x14ac:dyDescent="0.25">
      <c r="A5069" s="219"/>
      <c r="B5069" s="237"/>
      <c r="C5069" s="36" t="s">
        <v>1958</v>
      </c>
      <c r="D5069" s="36" t="s">
        <v>20</v>
      </c>
      <c r="E5069" s="37">
        <v>1</v>
      </c>
      <c r="F5069" s="34" t="s">
        <v>522</v>
      </c>
      <c r="G5069" s="31" t="str">
        <f t="shared" si="95"/>
        <v/>
      </c>
      <c r="H5069" s="39">
        <f>SUM(G5069:G5071)</f>
        <v>13.5880875</v>
      </c>
      <c r="I5069" s="40"/>
      <c r="J5069" s="102">
        <v>0</v>
      </c>
    </row>
    <row r="5070" spans="1:10" hidden="1" x14ac:dyDescent="0.25">
      <c r="A5070" s="219"/>
      <c r="B5070" s="237"/>
      <c r="C5070" s="36" t="s">
        <v>74</v>
      </c>
      <c r="D5070" s="36" t="s">
        <v>12</v>
      </c>
      <c r="E5070" s="37">
        <v>0.35099999999999998</v>
      </c>
      <c r="F5070" s="31">
        <v>17.024000000000001</v>
      </c>
      <c r="G5070" s="34">
        <f t="shared" si="95"/>
        <v>5.9754240000000003</v>
      </c>
      <c r="H5070" s="35"/>
      <c r="I5070" s="31"/>
      <c r="J5070" s="102">
        <v>0</v>
      </c>
    </row>
    <row r="5071" spans="1:10" hidden="1" x14ac:dyDescent="0.25">
      <c r="A5071" s="219"/>
      <c r="B5071" s="237"/>
      <c r="C5071" s="36" t="s">
        <v>30</v>
      </c>
      <c r="D5071" s="36" t="s">
        <v>12</v>
      </c>
      <c r="E5071" s="37">
        <v>0.35099999999999998</v>
      </c>
      <c r="F5071" s="31">
        <v>21.688499999999998</v>
      </c>
      <c r="G5071" s="34">
        <f t="shared" si="95"/>
        <v>7.6126634999999991</v>
      </c>
      <c r="H5071" s="35"/>
      <c r="I5071" s="31"/>
      <c r="J5071" s="102">
        <v>0</v>
      </c>
    </row>
    <row r="5072" spans="1:10" ht="15.75" hidden="1" thickBot="1" x14ac:dyDescent="0.3">
      <c r="A5072" s="220"/>
      <c r="B5072" s="223"/>
      <c r="C5072" s="36"/>
      <c r="D5072" s="36"/>
      <c r="E5072" s="37"/>
      <c r="F5072" s="31" t="s">
        <v>522</v>
      </c>
      <c r="G5072" s="31" t="str">
        <f t="shared" si="95"/>
        <v/>
      </c>
      <c r="H5072" s="35"/>
      <c r="I5072" s="31"/>
      <c r="J5072" s="102">
        <v>0</v>
      </c>
    </row>
    <row r="5073" spans="1:10" ht="15.75" hidden="1" thickBot="1" x14ac:dyDescent="0.3">
      <c r="A5073" s="218" t="s">
        <v>1883</v>
      </c>
      <c r="B5073" s="221" t="e">
        <f>INDEX(#REF!,MATCH(Composições!A5073,#REF!,0),2)</f>
        <v>#REF!</v>
      </c>
      <c r="C5073" s="41"/>
      <c r="D5073" s="26" t="s">
        <v>20</v>
      </c>
      <c r="E5073" s="27"/>
      <c r="F5073" s="42" t="s">
        <v>522</v>
      </c>
      <c r="G5073" s="28" t="str">
        <f t="shared" si="95"/>
        <v/>
      </c>
      <c r="H5073" s="29"/>
      <c r="I5073" s="30"/>
      <c r="J5073" s="102">
        <v>0</v>
      </c>
    </row>
    <row r="5074" spans="1:10" hidden="1" x14ac:dyDescent="0.25">
      <c r="A5074" s="219"/>
      <c r="B5074" s="237"/>
      <c r="C5074" s="32"/>
      <c r="D5074" s="32"/>
      <c r="E5074" s="33"/>
      <c r="F5074" s="43" t="s">
        <v>522</v>
      </c>
      <c r="G5074" s="31" t="str">
        <f t="shared" si="95"/>
        <v/>
      </c>
      <c r="H5074" s="35"/>
      <c r="I5074" s="31"/>
      <c r="J5074" s="102">
        <v>0</v>
      </c>
    </row>
    <row r="5075" spans="1:10" hidden="1" x14ac:dyDescent="0.25">
      <c r="A5075" s="219"/>
      <c r="B5075" s="237"/>
      <c r="C5075" s="36" t="s">
        <v>1800</v>
      </c>
      <c r="D5075" s="36" t="s">
        <v>279</v>
      </c>
      <c r="E5075" s="37">
        <v>1</v>
      </c>
      <c r="F5075" s="34">
        <v>7.4384999999999994</v>
      </c>
      <c r="G5075" s="31">
        <f t="shared" si="95"/>
        <v>7.4384999999999994</v>
      </c>
      <c r="H5075" s="39">
        <f>SUM(G5075:G5077)</f>
        <v>16.148812499999998</v>
      </c>
      <c r="I5075" s="40"/>
      <c r="J5075" s="102">
        <v>0</v>
      </c>
    </row>
    <row r="5076" spans="1:10" hidden="1" x14ac:dyDescent="0.25">
      <c r="A5076" s="219"/>
      <c r="B5076" s="237"/>
      <c r="C5076" s="36" t="s">
        <v>74</v>
      </c>
      <c r="D5076" s="36" t="s">
        <v>12</v>
      </c>
      <c r="E5076" s="37">
        <v>0.22500000000000001</v>
      </c>
      <c r="F5076" s="31">
        <v>17.024000000000001</v>
      </c>
      <c r="G5076" s="34">
        <f t="shared" si="95"/>
        <v>3.8304000000000005</v>
      </c>
      <c r="H5076" s="35"/>
      <c r="I5076" s="31"/>
      <c r="J5076" s="102">
        <v>0</v>
      </c>
    </row>
    <row r="5077" spans="1:10" hidden="1" x14ac:dyDescent="0.25">
      <c r="A5077" s="219"/>
      <c r="B5077" s="237"/>
      <c r="C5077" s="36" t="s">
        <v>30</v>
      </c>
      <c r="D5077" s="36" t="s">
        <v>12</v>
      </c>
      <c r="E5077" s="37">
        <v>0.22500000000000001</v>
      </c>
      <c r="F5077" s="31">
        <v>21.688499999999998</v>
      </c>
      <c r="G5077" s="34">
        <f t="shared" si="95"/>
        <v>4.8799124999999997</v>
      </c>
      <c r="H5077" s="35"/>
      <c r="I5077" s="31"/>
      <c r="J5077" s="102">
        <v>0</v>
      </c>
    </row>
    <row r="5078" spans="1:10" ht="15.75" hidden="1" thickBot="1" x14ac:dyDescent="0.3">
      <c r="A5078" s="220"/>
      <c r="B5078" s="223"/>
      <c r="C5078" s="36"/>
      <c r="D5078" s="36"/>
      <c r="E5078" s="37"/>
      <c r="F5078" s="31" t="s">
        <v>522</v>
      </c>
      <c r="G5078" s="31" t="str">
        <f t="shared" si="95"/>
        <v/>
      </c>
      <c r="H5078" s="35"/>
      <c r="I5078" s="31"/>
      <c r="J5078" s="102">
        <v>0</v>
      </c>
    </row>
    <row r="5079" spans="1:10" ht="15.75" hidden="1" thickBot="1" x14ac:dyDescent="0.3">
      <c r="A5079" s="218" t="s">
        <v>1884</v>
      </c>
      <c r="B5079" s="221" t="e">
        <f>INDEX(#REF!,MATCH(Composições!A5079,#REF!,0),2)</f>
        <v>#REF!</v>
      </c>
      <c r="C5079" s="41"/>
      <c r="D5079" s="26" t="s">
        <v>20</v>
      </c>
      <c r="E5079" s="27"/>
      <c r="F5079" s="42" t="s">
        <v>522</v>
      </c>
      <c r="G5079" s="28" t="str">
        <f t="shared" si="95"/>
        <v/>
      </c>
      <c r="H5079" s="29"/>
      <c r="I5079" s="30"/>
      <c r="J5079" s="102">
        <v>0</v>
      </c>
    </row>
    <row r="5080" spans="1:10" hidden="1" x14ac:dyDescent="0.25">
      <c r="A5080" s="219"/>
      <c r="B5080" s="237"/>
      <c r="C5080" s="32"/>
      <c r="D5080" s="32"/>
      <c r="E5080" s="33"/>
      <c r="F5080" s="43" t="s">
        <v>522</v>
      </c>
      <c r="G5080" s="31" t="str">
        <f t="shared" si="95"/>
        <v/>
      </c>
      <c r="H5080" s="35"/>
      <c r="I5080" s="31"/>
      <c r="J5080" s="102">
        <v>0</v>
      </c>
    </row>
    <row r="5081" spans="1:10" ht="38.25" hidden="1" x14ac:dyDescent="0.25">
      <c r="A5081" s="219"/>
      <c r="B5081" s="237"/>
      <c r="C5081" s="36" t="s">
        <v>1775</v>
      </c>
      <c r="D5081" s="36" t="s">
        <v>279</v>
      </c>
      <c r="E5081" s="37">
        <v>1</v>
      </c>
      <c r="F5081" s="34">
        <v>39.624499999999998</v>
      </c>
      <c r="G5081" s="34">
        <f t="shared" si="95"/>
        <v>39.624499999999998</v>
      </c>
      <c r="H5081" s="39">
        <f>SUM(G5081:G5084)</f>
        <v>87.508961200000002</v>
      </c>
      <c r="I5081" s="40"/>
      <c r="J5081" s="102">
        <v>0</v>
      </c>
    </row>
    <row r="5082" spans="1:10" ht="25.5" hidden="1" x14ac:dyDescent="0.25">
      <c r="A5082" s="219"/>
      <c r="B5082" s="237"/>
      <c r="C5082" s="36" t="s">
        <v>1772</v>
      </c>
      <c r="D5082" s="36" t="s">
        <v>279</v>
      </c>
      <c r="E5082" s="37">
        <v>2</v>
      </c>
      <c r="F5082" s="34">
        <v>13.984</v>
      </c>
      <c r="G5082" s="34">
        <f t="shared" si="95"/>
        <v>27.968</v>
      </c>
      <c r="H5082" s="45"/>
      <c r="I5082" s="46"/>
      <c r="J5082" s="102">
        <v>0</v>
      </c>
    </row>
    <row r="5083" spans="1:10" hidden="1" x14ac:dyDescent="0.25">
      <c r="A5083" s="219"/>
      <c r="B5083" s="237"/>
      <c r="C5083" s="36" t="s">
        <v>74</v>
      </c>
      <c r="D5083" s="47" t="s">
        <v>12</v>
      </c>
      <c r="E5083" s="37">
        <v>0.2883</v>
      </c>
      <c r="F5083" s="31">
        <v>17.024000000000001</v>
      </c>
      <c r="G5083" s="31">
        <f t="shared" si="95"/>
        <v>4.9080192</v>
      </c>
      <c r="H5083" s="35"/>
      <c r="I5083" s="31"/>
      <c r="J5083" s="102">
        <v>0</v>
      </c>
    </row>
    <row r="5084" spans="1:10" hidden="1" x14ac:dyDescent="0.25">
      <c r="A5084" s="219"/>
      <c r="B5084" s="237"/>
      <c r="C5084" s="36" t="s">
        <v>30</v>
      </c>
      <c r="D5084" s="36" t="s">
        <v>12</v>
      </c>
      <c r="E5084" s="37">
        <v>0.69199999999999995</v>
      </c>
      <c r="F5084" s="31">
        <v>21.688499999999998</v>
      </c>
      <c r="G5084" s="31">
        <f t="shared" si="95"/>
        <v>15.008441999999997</v>
      </c>
      <c r="H5084" s="35"/>
      <c r="I5084" s="31"/>
      <c r="J5084" s="102">
        <v>0</v>
      </c>
    </row>
    <row r="5085" spans="1:10" ht="15.75" hidden="1" thickBot="1" x14ac:dyDescent="0.3">
      <c r="A5085" s="220"/>
      <c r="B5085" s="223"/>
      <c r="C5085" s="36"/>
      <c r="D5085" s="36"/>
      <c r="E5085" s="37"/>
      <c r="F5085" s="31" t="s">
        <v>522</v>
      </c>
      <c r="G5085" s="31" t="str">
        <f t="shared" si="95"/>
        <v/>
      </c>
      <c r="H5085" s="35"/>
      <c r="I5085" s="31"/>
      <c r="J5085" s="102">
        <v>0</v>
      </c>
    </row>
    <row r="5086" spans="1:10" ht="15.75" hidden="1" thickBot="1" x14ac:dyDescent="0.3">
      <c r="A5086" s="232" t="s">
        <v>1959</v>
      </c>
      <c r="B5086" s="229" t="e">
        <f>INDEX(#REF!,MATCH(Composições!A5086,#REF!,0),2)</f>
        <v>#REF!</v>
      </c>
      <c r="C5086" s="41"/>
      <c r="D5086" s="26" t="s">
        <v>95</v>
      </c>
      <c r="E5086" s="27"/>
      <c r="F5086" s="42" t="s">
        <v>522</v>
      </c>
      <c r="G5086" s="28" t="str">
        <f t="shared" si="95"/>
        <v/>
      </c>
      <c r="H5086" s="29"/>
      <c r="I5086" s="30"/>
      <c r="J5086" s="102">
        <v>0</v>
      </c>
    </row>
    <row r="5087" spans="1:10" hidden="1" x14ac:dyDescent="0.25">
      <c r="A5087" s="233"/>
      <c r="B5087" s="238"/>
      <c r="C5087" s="32"/>
      <c r="D5087" s="32"/>
      <c r="E5087" s="33"/>
      <c r="F5087" s="43" t="s">
        <v>522</v>
      </c>
      <c r="G5087" s="31" t="str">
        <f t="shared" si="95"/>
        <v/>
      </c>
      <c r="H5087" s="35"/>
      <c r="I5087" s="31"/>
      <c r="J5087" s="102">
        <v>0</v>
      </c>
    </row>
    <row r="5088" spans="1:10" ht="51" hidden="1" x14ac:dyDescent="0.25">
      <c r="A5088" s="233"/>
      <c r="B5088" s="238"/>
      <c r="C5088" s="36" t="s">
        <v>2030</v>
      </c>
      <c r="D5088" s="47" t="s">
        <v>279</v>
      </c>
      <c r="E5088" s="37">
        <f>1/(0.8*2.1)</f>
        <v>0.59523809523809523</v>
      </c>
      <c r="F5088" s="34">
        <v>291.23199999999997</v>
      </c>
      <c r="G5088" s="34">
        <f t="shared" si="95"/>
        <v>173.35238095238094</v>
      </c>
      <c r="H5088" s="39">
        <f>SUM(G5088:G5091)</f>
        <v>220.76644680238095</v>
      </c>
      <c r="I5088" s="40"/>
      <c r="J5088" s="102">
        <v>0</v>
      </c>
    </row>
    <row r="5089" spans="1:10" hidden="1" x14ac:dyDescent="0.25">
      <c r="A5089" s="233"/>
      <c r="B5089" s="238"/>
      <c r="C5089" s="36" t="s">
        <v>1707</v>
      </c>
      <c r="D5089" s="47" t="s">
        <v>479</v>
      </c>
      <c r="E5089" s="37">
        <f>1/0.8</f>
        <v>1.25</v>
      </c>
      <c r="F5089" s="31">
        <v>21.137499999999999</v>
      </c>
      <c r="G5089" s="34">
        <f t="shared" si="95"/>
        <v>26.421875</v>
      </c>
      <c r="H5089" s="35"/>
      <c r="I5089" s="31"/>
      <c r="J5089" s="102">
        <v>0</v>
      </c>
    </row>
    <row r="5090" spans="1:10" hidden="1" x14ac:dyDescent="0.25">
      <c r="A5090" s="233"/>
      <c r="B5090" s="238"/>
      <c r="C5090" s="36" t="s">
        <v>702</v>
      </c>
      <c r="D5090" s="47" t="s">
        <v>703</v>
      </c>
      <c r="E5090" s="37">
        <f>ROUND(1.546*0.8/(2.1*0.8),4)</f>
        <v>0.73619999999999997</v>
      </c>
      <c r="F5090" s="31">
        <v>20.425000000000001</v>
      </c>
      <c r="G5090" s="34">
        <f t="shared" si="95"/>
        <v>15.036885</v>
      </c>
      <c r="H5090" s="35"/>
      <c r="I5090" s="31"/>
      <c r="J5090" s="102">
        <v>0</v>
      </c>
    </row>
    <row r="5091" spans="1:10" hidden="1" x14ac:dyDescent="0.25">
      <c r="A5091" s="233"/>
      <c r="B5091" s="238"/>
      <c r="C5091" s="36" t="s">
        <v>704</v>
      </c>
      <c r="D5091" s="47" t="s">
        <v>703</v>
      </c>
      <c r="E5091" s="37">
        <f>ROUND(0.773*0.8/(2.1*0.8),4)</f>
        <v>0.36809999999999998</v>
      </c>
      <c r="F5091" s="31">
        <v>16.1785</v>
      </c>
      <c r="G5091" s="34">
        <f t="shared" si="95"/>
        <v>5.9553058499999993</v>
      </c>
      <c r="H5091" s="35"/>
      <c r="I5091" s="31"/>
      <c r="J5091" s="102">
        <v>0</v>
      </c>
    </row>
    <row r="5092" spans="1:10" hidden="1" x14ac:dyDescent="0.25">
      <c r="A5092" s="233"/>
      <c r="B5092" s="238"/>
      <c r="C5092" s="36"/>
      <c r="D5092" s="47"/>
      <c r="E5092" s="37"/>
      <c r="F5092" s="34" t="s">
        <v>522</v>
      </c>
      <c r="G5092" s="34" t="str">
        <f t="shared" si="95"/>
        <v/>
      </c>
      <c r="H5092" s="35"/>
      <c r="I5092" s="31"/>
      <c r="J5092" s="102">
        <v>0</v>
      </c>
    </row>
    <row r="5093" spans="1:10" ht="15.75" hidden="1" thickBot="1" x14ac:dyDescent="0.3">
      <c r="A5093" s="232" t="s">
        <v>1960</v>
      </c>
      <c r="B5093" s="229" t="e">
        <f>INDEX(#REF!,MATCH(Composições!A5093,#REF!,0),2)</f>
        <v>#REF!</v>
      </c>
      <c r="C5093" s="41"/>
      <c r="D5093" s="26" t="s">
        <v>95</v>
      </c>
      <c r="E5093" s="27"/>
      <c r="F5093" s="42" t="s">
        <v>522</v>
      </c>
      <c r="G5093" s="28" t="str">
        <f t="shared" si="95"/>
        <v/>
      </c>
      <c r="H5093" s="29"/>
      <c r="I5093" s="30"/>
      <c r="J5093" s="102">
        <v>0</v>
      </c>
    </row>
    <row r="5094" spans="1:10" hidden="1" x14ac:dyDescent="0.25">
      <c r="A5094" s="233"/>
      <c r="B5094" s="238"/>
      <c r="C5094" s="32"/>
      <c r="D5094" s="32"/>
      <c r="E5094" s="33"/>
      <c r="F5094" s="43" t="s">
        <v>522</v>
      </c>
      <c r="G5094" s="31" t="str">
        <f t="shared" si="95"/>
        <v/>
      </c>
      <c r="H5094" s="35"/>
      <c r="I5094" s="31"/>
      <c r="J5094" s="102">
        <v>0</v>
      </c>
    </row>
    <row r="5095" spans="1:10" ht="51" hidden="1" x14ac:dyDescent="0.25">
      <c r="A5095" s="233"/>
      <c r="B5095" s="238"/>
      <c r="C5095" s="36" t="s">
        <v>2031</v>
      </c>
      <c r="D5095" s="47" t="s">
        <v>279</v>
      </c>
      <c r="E5095" s="37">
        <f>1/(0.8*2.1)</f>
        <v>0.59523809523809523</v>
      </c>
      <c r="F5095" s="34">
        <v>284.48699999999997</v>
      </c>
      <c r="G5095" s="34">
        <f t="shared" si="95"/>
        <v>169.33749999999998</v>
      </c>
      <c r="H5095" s="39">
        <f>SUM(G5095:G5100)</f>
        <v>232.66973544999999</v>
      </c>
      <c r="I5095" s="40"/>
      <c r="J5095" s="102">
        <v>0</v>
      </c>
    </row>
    <row r="5096" spans="1:10" hidden="1" x14ac:dyDescent="0.25">
      <c r="A5096" s="233"/>
      <c r="B5096" s="238"/>
      <c r="C5096" s="36" t="s">
        <v>1707</v>
      </c>
      <c r="D5096" s="47" t="s">
        <v>479</v>
      </c>
      <c r="E5096" s="37">
        <f>1/0.8</f>
        <v>1.25</v>
      </c>
      <c r="F5096" s="31">
        <v>21.137499999999999</v>
      </c>
      <c r="G5096" s="34">
        <f t="shared" si="95"/>
        <v>26.421875</v>
      </c>
      <c r="H5096" s="35"/>
      <c r="I5096" s="31"/>
      <c r="J5096" s="102">
        <v>0</v>
      </c>
    </row>
    <row r="5097" spans="1:10" hidden="1" x14ac:dyDescent="0.25">
      <c r="A5097" s="233"/>
      <c r="B5097" s="238"/>
      <c r="C5097" s="36" t="s">
        <v>702</v>
      </c>
      <c r="D5097" s="47" t="s">
        <v>703</v>
      </c>
      <c r="E5097" s="37">
        <f>ROUND(1.546*0.8/(0.8*2.1),4)</f>
        <v>0.73619999999999997</v>
      </c>
      <c r="F5097" s="31">
        <v>20.425000000000001</v>
      </c>
      <c r="G5097" s="34">
        <f t="shared" si="95"/>
        <v>15.036885</v>
      </c>
      <c r="H5097" s="35"/>
      <c r="I5097" s="31"/>
      <c r="J5097" s="102">
        <v>0</v>
      </c>
    </row>
    <row r="5098" spans="1:10" hidden="1" x14ac:dyDescent="0.25">
      <c r="A5098" s="233"/>
      <c r="B5098" s="238"/>
      <c r="C5098" s="36" t="s">
        <v>704</v>
      </c>
      <c r="D5098" s="47" t="s">
        <v>703</v>
      </c>
      <c r="E5098" s="37">
        <f>ROUND(0.773*0.8/(0.8*2.1),4)</f>
        <v>0.36809999999999998</v>
      </c>
      <c r="F5098" s="31">
        <v>16.1785</v>
      </c>
      <c r="G5098" s="34">
        <f t="shared" si="95"/>
        <v>5.9553058499999993</v>
      </c>
      <c r="H5098" s="35"/>
      <c r="I5098" s="31"/>
      <c r="J5098" s="102">
        <v>0</v>
      </c>
    </row>
    <row r="5099" spans="1:10" hidden="1" x14ac:dyDescent="0.25">
      <c r="A5099" s="233"/>
      <c r="B5099" s="238"/>
      <c r="C5099" s="36" t="s">
        <v>203</v>
      </c>
      <c r="D5099" s="50" t="s">
        <v>102</v>
      </c>
      <c r="E5099" s="37">
        <v>0.108</v>
      </c>
      <c r="F5099" s="34" t="s">
        <v>522</v>
      </c>
      <c r="G5099" s="31" t="str">
        <f t="shared" si="95"/>
        <v/>
      </c>
      <c r="H5099" s="35"/>
      <c r="I5099" s="31"/>
      <c r="J5099" s="102">
        <v>0</v>
      </c>
    </row>
    <row r="5100" spans="1:10" hidden="1" x14ac:dyDescent="0.25">
      <c r="A5100" s="233"/>
      <c r="B5100" s="238"/>
      <c r="C5100" s="36" t="s">
        <v>100</v>
      </c>
      <c r="D5100" s="36" t="s">
        <v>12</v>
      </c>
      <c r="E5100" s="37">
        <v>0.70760000000000001</v>
      </c>
      <c r="F5100" s="31">
        <v>22.495999999999999</v>
      </c>
      <c r="G5100" s="31">
        <f t="shared" si="95"/>
        <v>15.918169599999999</v>
      </c>
      <c r="H5100" s="35"/>
      <c r="I5100" s="31"/>
      <c r="J5100" s="102">
        <v>0</v>
      </c>
    </row>
    <row r="5101" spans="1:10" hidden="1" x14ac:dyDescent="0.25">
      <c r="A5101" s="233"/>
      <c r="B5101" s="238"/>
      <c r="C5101" s="36"/>
      <c r="D5101" s="36"/>
      <c r="E5101" s="37"/>
      <c r="F5101" s="31" t="s">
        <v>522</v>
      </c>
      <c r="G5101" s="31"/>
      <c r="H5101" s="35"/>
      <c r="I5101" s="31"/>
      <c r="J5101" s="102">
        <v>0</v>
      </c>
    </row>
    <row r="5102" spans="1:10" ht="38.25" hidden="1" x14ac:dyDescent="0.25">
      <c r="A5102" s="233"/>
      <c r="B5102" s="238"/>
      <c r="C5102" s="52" t="s">
        <v>1838</v>
      </c>
      <c r="D5102" s="36"/>
      <c r="E5102" s="37"/>
      <c r="F5102" s="31" t="s">
        <v>522</v>
      </c>
      <c r="G5102" s="31"/>
      <c r="H5102" s="35"/>
      <c r="I5102" s="31"/>
      <c r="J5102" s="102">
        <v>0</v>
      </c>
    </row>
    <row r="5103" spans="1:10" hidden="1" x14ac:dyDescent="0.25">
      <c r="A5103" s="233"/>
      <c r="B5103" s="238"/>
      <c r="C5103" s="36"/>
      <c r="D5103" s="47"/>
      <c r="E5103" s="37"/>
      <c r="F5103" s="34" t="s">
        <v>522</v>
      </c>
      <c r="G5103" s="34" t="str">
        <f t="shared" ref="G5103:G5134" si="96">IF(ISNUMBER(F5103),E5103*F5103,"")</f>
        <v/>
      </c>
      <c r="H5103" s="35"/>
      <c r="I5103" s="31"/>
      <c r="J5103" s="102">
        <v>0</v>
      </c>
    </row>
    <row r="5104" spans="1:10" ht="15.75" hidden="1" thickBot="1" x14ac:dyDescent="0.3">
      <c r="A5104" s="218" t="s">
        <v>1961</v>
      </c>
      <c r="B5104" s="221" t="e">
        <f>INDEX(#REF!,MATCH(Composições!A5104,#REF!,0),2)</f>
        <v>#REF!</v>
      </c>
      <c r="C5104" s="41"/>
      <c r="D5104" s="26" t="s">
        <v>20</v>
      </c>
      <c r="E5104" s="27"/>
      <c r="F5104" s="49" t="s">
        <v>522</v>
      </c>
      <c r="G5104" s="28" t="str">
        <f t="shared" si="96"/>
        <v/>
      </c>
      <c r="H5104" s="29"/>
      <c r="I5104" s="30"/>
      <c r="J5104" s="102">
        <v>0</v>
      </c>
    </row>
    <row r="5105" spans="1:10" hidden="1" x14ac:dyDescent="0.25">
      <c r="A5105" s="224"/>
      <c r="B5105" s="237"/>
      <c r="C5105" s="32"/>
      <c r="D5105" s="32"/>
      <c r="E5105" s="33"/>
      <c r="F5105" s="54" t="s">
        <v>522</v>
      </c>
      <c r="G5105" s="54" t="str">
        <f t="shared" si="96"/>
        <v/>
      </c>
      <c r="H5105" s="73"/>
      <c r="I5105" s="74"/>
      <c r="J5105" s="102">
        <v>0</v>
      </c>
    </row>
    <row r="5106" spans="1:10" ht="25.5" hidden="1" x14ac:dyDescent="0.25">
      <c r="A5106" s="224"/>
      <c r="B5106" s="237"/>
      <c r="C5106" s="36" t="s">
        <v>953</v>
      </c>
      <c r="D5106" s="47" t="s">
        <v>703</v>
      </c>
      <c r="E5106" s="37">
        <v>0.93</v>
      </c>
      <c r="F5106" s="31">
        <v>16.672499999999999</v>
      </c>
      <c r="G5106" s="54">
        <f t="shared" si="96"/>
        <v>15.505425000000001</v>
      </c>
      <c r="H5106" s="39">
        <f>SUM(G5106:G5108)</f>
        <v>34.942425</v>
      </c>
      <c r="I5106" s="40"/>
      <c r="J5106" s="102">
        <v>0</v>
      </c>
    </row>
    <row r="5107" spans="1:10" ht="25.5" hidden="1" x14ac:dyDescent="0.25">
      <c r="A5107" s="224"/>
      <c r="B5107" s="237"/>
      <c r="C5107" s="36" t="s">
        <v>954</v>
      </c>
      <c r="D5107" s="36" t="s">
        <v>703</v>
      </c>
      <c r="E5107" s="37">
        <v>0.93</v>
      </c>
      <c r="F5107" s="31">
        <v>20.9</v>
      </c>
      <c r="G5107" s="54">
        <f t="shared" si="96"/>
        <v>19.437000000000001</v>
      </c>
      <c r="H5107" s="73"/>
      <c r="I5107" s="74"/>
      <c r="J5107" s="102">
        <v>0</v>
      </c>
    </row>
    <row r="5108" spans="1:10" hidden="1" x14ac:dyDescent="0.25">
      <c r="A5108" s="224"/>
      <c r="B5108" s="237"/>
      <c r="C5108" s="36" t="s">
        <v>1986</v>
      </c>
      <c r="D5108" s="36" t="s">
        <v>279</v>
      </c>
      <c r="E5108" s="37">
        <v>1</v>
      </c>
      <c r="F5108" s="31" t="s">
        <v>522</v>
      </c>
      <c r="G5108" s="54" t="str">
        <f t="shared" si="96"/>
        <v/>
      </c>
      <c r="H5108" s="73"/>
      <c r="I5108" s="74"/>
      <c r="J5108" s="102">
        <v>0</v>
      </c>
    </row>
    <row r="5109" spans="1:10" hidden="1" x14ac:dyDescent="0.25">
      <c r="A5109" s="224"/>
      <c r="B5109" s="237"/>
      <c r="C5109" s="36"/>
      <c r="D5109" s="47"/>
      <c r="E5109" s="37"/>
      <c r="F5109" s="54" t="s">
        <v>522</v>
      </c>
      <c r="G5109" s="54" t="str">
        <f t="shared" si="96"/>
        <v/>
      </c>
      <c r="H5109" s="73"/>
      <c r="I5109" s="74"/>
      <c r="J5109" s="102">
        <v>0</v>
      </c>
    </row>
    <row r="5110" spans="1:10" ht="15.75" hidden="1" thickBot="1" x14ac:dyDescent="0.3">
      <c r="A5110" s="218" t="s">
        <v>1962</v>
      </c>
      <c r="B5110" s="221" t="e">
        <f>INDEX(#REF!,MATCH(Composições!A5110,#REF!,0),2)</f>
        <v>#REF!</v>
      </c>
      <c r="C5110" s="41"/>
      <c r="D5110" s="26" t="s">
        <v>20</v>
      </c>
      <c r="E5110" s="27"/>
      <c r="F5110" s="49" t="s">
        <v>522</v>
      </c>
      <c r="G5110" s="28" t="str">
        <f t="shared" si="96"/>
        <v/>
      </c>
      <c r="H5110" s="29"/>
      <c r="I5110" s="30"/>
      <c r="J5110" s="102">
        <v>0</v>
      </c>
    </row>
    <row r="5111" spans="1:10" hidden="1" x14ac:dyDescent="0.25">
      <c r="A5111" s="224"/>
      <c r="B5111" s="237"/>
      <c r="C5111" s="32"/>
      <c r="D5111" s="32"/>
      <c r="E5111" s="33"/>
      <c r="F5111" s="54" t="s">
        <v>522</v>
      </c>
      <c r="G5111" s="54" t="str">
        <f t="shared" si="96"/>
        <v/>
      </c>
      <c r="H5111" s="73"/>
      <c r="I5111" s="74"/>
      <c r="J5111" s="102">
        <v>0</v>
      </c>
    </row>
    <row r="5112" spans="1:10" hidden="1" x14ac:dyDescent="0.25">
      <c r="A5112" s="224"/>
      <c r="B5112" s="237"/>
      <c r="C5112" s="36" t="s">
        <v>1179</v>
      </c>
      <c r="D5112" s="47" t="s">
        <v>898</v>
      </c>
      <c r="E5112" s="37">
        <f>ROUND(0.089*1.3,4)</f>
        <v>0.1157</v>
      </c>
      <c r="F5112" s="31">
        <v>30.105499999999999</v>
      </c>
      <c r="G5112" s="54">
        <f t="shared" si="96"/>
        <v>3.4832063499999997</v>
      </c>
      <c r="H5112" s="39">
        <f>SUM(G5112:G5116)</f>
        <v>75.669573850000006</v>
      </c>
      <c r="I5112" s="40"/>
      <c r="J5112" s="102">
        <v>0</v>
      </c>
    </row>
    <row r="5113" spans="1:10" ht="25.5" hidden="1" x14ac:dyDescent="0.25">
      <c r="A5113" s="224"/>
      <c r="B5113" s="237"/>
      <c r="C5113" s="36" t="s">
        <v>1987</v>
      </c>
      <c r="D5113" s="36" t="s">
        <v>279</v>
      </c>
      <c r="E5113" s="37">
        <v>1</v>
      </c>
      <c r="F5113" s="31" t="s">
        <v>522</v>
      </c>
      <c r="G5113" s="54" t="str">
        <f t="shared" si="96"/>
        <v/>
      </c>
      <c r="H5113" s="73"/>
      <c r="I5113" s="74"/>
      <c r="J5113" s="102">
        <v>0</v>
      </c>
    </row>
    <row r="5114" spans="1:10" ht="25.5" hidden="1" x14ac:dyDescent="0.25">
      <c r="A5114" s="224"/>
      <c r="B5114" s="237"/>
      <c r="C5114" s="36" t="s">
        <v>953</v>
      </c>
      <c r="D5114" s="47" t="s">
        <v>703</v>
      </c>
      <c r="E5114" s="37">
        <f>ROUND(0.93*1.3,4)</f>
        <v>1.2090000000000001</v>
      </c>
      <c r="F5114" s="31">
        <v>16.672499999999999</v>
      </c>
      <c r="G5114" s="54">
        <f t="shared" si="96"/>
        <v>20.157052499999999</v>
      </c>
      <c r="H5114" s="73"/>
      <c r="I5114" s="74"/>
      <c r="J5114" s="102">
        <v>0</v>
      </c>
    </row>
    <row r="5115" spans="1:10" ht="25.5" hidden="1" x14ac:dyDescent="0.25">
      <c r="A5115" s="224"/>
      <c r="B5115" s="237"/>
      <c r="C5115" s="36" t="s">
        <v>954</v>
      </c>
      <c r="D5115" s="36" t="s">
        <v>703</v>
      </c>
      <c r="E5115" s="37">
        <f>ROUND(0.93*1.3,4)</f>
        <v>1.2090000000000001</v>
      </c>
      <c r="F5115" s="31">
        <v>20.9</v>
      </c>
      <c r="G5115" s="54">
        <f t="shared" si="96"/>
        <v>25.2681</v>
      </c>
      <c r="H5115" s="73"/>
      <c r="I5115" s="74"/>
      <c r="J5115" s="102">
        <v>0</v>
      </c>
    </row>
    <row r="5116" spans="1:10" hidden="1" x14ac:dyDescent="0.25">
      <c r="A5116" s="224"/>
      <c r="B5116" s="237"/>
      <c r="C5116" s="36" t="s">
        <v>1686</v>
      </c>
      <c r="D5116" s="36" t="s">
        <v>703</v>
      </c>
      <c r="E5116" s="37">
        <f>ROUND(0.93*1.3,4)</f>
        <v>1.2090000000000001</v>
      </c>
      <c r="F5116" s="54">
        <v>22.134999999999998</v>
      </c>
      <c r="G5116" s="54">
        <f t="shared" si="96"/>
        <v>26.761215</v>
      </c>
      <c r="H5116" s="73"/>
      <c r="I5116" s="74"/>
      <c r="J5116" s="102">
        <v>0</v>
      </c>
    </row>
    <row r="5117" spans="1:10" hidden="1" x14ac:dyDescent="0.25">
      <c r="A5117" s="224"/>
      <c r="B5117" s="237"/>
      <c r="C5117" s="36"/>
      <c r="D5117" s="47"/>
      <c r="E5117" s="37"/>
      <c r="F5117" s="54" t="s">
        <v>522</v>
      </c>
      <c r="G5117" s="54" t="str">
        <f t="shared" si="96"/>
        <v/>
      </c>
      <c r="H5117" s="73"/>
      <c r="I5117" s="74"/>
      <c r="J5117" s="102">
        <v>0</v>
      </c>
    </row>
    <row r="5118" spans="1:10" ht="15.75" hidden="1" thickBot="1" x14ac:dyDescent="0.3">
      <c r="A5118" s="218" t="s">
        <v>1963</v>
      </c>
      <c r="B5118" s="221" t="e">
        <f>INDEX(#REF!,MATCH(Composições!A5118,#REF!,0),2)</f>
        <v>#REF!</v>
      </c>
      <c r="C5118" s="41"/>
      <c r="D5118" s="26" t="s">
        <v>20</v>
      </c>
      <c r="E5118" s="27"/>
      <c r="F5118" s="49" t="s">
        <v>522</v>
      </c>
      <c r="G5118" s="28" t="str">
        <f t="shared" si="96"/>
        <v/>
      </c>
      <c r="H5118" s="29"/>
      <c r="I5118" s="30"/>
      <c r="J5118" s="102">
        <v>0</v>
      </c>
    </row>
    <row r="5119" spans="1:10" hidden="1" x14ac:dyDescent="0.25">
      <c r="A5119" s="224"/>
      <c r="B5119" s="237"/>
      <c r="C5119" s="32"/>
      <c r="D5119" s="32"/>
      <c r="E5119" s="33"/>
      <c r="F5119" s="54" t="s">
        <v>522</v>
      </c>
      <c r="G5119" s="54" t="str">
        <f t="shared" si="96"/>
        <v/>
      </c>
      <c r="H5119" s="73"/>
      <c r="I5119" s="74"/>
      <c r="J5119" s="102">
        <v>0</v>
      </c>
    </row>
    <row r="5120" spans="1:10" hidden="1" x14ac:dyDescent="0.25">
      <c r="A5120" s="224"/>
      <c r="B5120" s="237"/>
      <c r="C5120" s="36" t="s">
        <v>1179</v>
      </c>
      <c r="D5120" s="47" t="s">
        <v>898</v>
      </c>
      <c r="E5120" s="37">
        <f>ROUND(0.089*1.3,4)</f>
        <v>0.1157</v>
      </c>
      <c r="F5120" s="31">
        <v>30.105499999999999</v>
      </c>
      <c r="G5120" s="54">
        <f t="shared" si="96"/>
        <v>3.4832063499999997</v>
      </c>
      <c r="H5120" s="39">
        <f>SUM(G5120:G5124)</f>
        <v>75.669573850000006</v>
      </c>
      <c r="I5120" s="40"/>
      <c r="J5120" s="102">
        <v>0</v>
      </c>
    </row>
    <row r="5121" spans="1:10" ht="25.5" hidden="1" x14ac:dyDescent="0.25">
      <c r="A5121" s="224"/>
      <c r="B5121" s="237"/>
      <c r="C5121" s="36" t="s">
        <v>1988</v>
      </c>
      <c r="D5121" s="36" t="s">
        <v>279</v>
      </c>
      <c r="E5121" s="37">
        <v>1</v>
      </c>
      <c r="F5121" s="31" t="s">
        <v>522</v>
      </c>
      <c r="G5121" s="54" t="str">
        <f t="shared" si="96"/>
        <v/>
      </c>
      <c r="H5121" s="73"/>
      <c r="I5121" s="74"/>
      <c r="J5121" s="102">
        <v>0</v>
      </c>
    </row>
    <row r="5122" spans="1:10" ht="25.5" hidden="1" x14ac:dyDescent="0.25">
      <c r="A5122" s="224"/>
      <c r="B5122" s="237"/>
      <c r="C5122" s="36" t="s">
        <v>953</v>
      </c>
      <c r="D5122" s="47" t="s">
        <v>703</v>
      </c>
      <c r="E5122" s="37">
        <f>ROUND(0.93*1.3,4)</f>
        <v>1.2090000000000001</v>
      </c>
      <c r="F5122" s="31">
        <v>16.672499999999999</v>
      </c>
      <c r="G5122" s="54">
        <f t="shared" si="96"/>
        <v>20.157052499999999</v>
      </c>
      <c r="H5122" s="73"/>
      <c r="I5122" s="74"/>
      <c r="J5122" s="102">
        <v>0</v>
      </c>
    </row>
    <row r="5123" spans="1:10" ht="25.5" hidden="1" x14ac:dyDescent="0.25">
      <c r="A5123" s="224"/>
      <c r="B5123" s="237"/>
      <c r="C5123" s="36" t="s">
        <v>954</v>
      </c>
      <c r="D5123" s="36" t="s">
        <v>703</v>
      </c>
      <c r="E5123" s="37">
        <f>ROUND(0.93*1.3,4)</f>
        <v>1.2090000000000001</v>
      </c>
      <c r="F5123" s="31">
        <v>20.9</v>
      </c>
      <c r="G5123" s="54">
        <f t="shared" si="96"/>
        <v>25.2681</v>
      </c>
      <c r="H5123" s="73"/>
      <c r="I5123" s="74"/>
      <c r="J5123" s="102">
        <v>0</v>
      </c>
    </row>
    <row r="5124" spans="1:10" hidden="1" x14ac:dyDescent="0.25">
      <c r="A5124" s="224"/>
      <c r="B5124" s="237"/>
      <c r="C5124" s="36" t="s">
        <v>1686</v>
      </c>
      <c r="D5124" s="36" t="s">
        <v>703</v>
      </c>
      <c r="E5124" s="37">
        <f>ROUND(0.93*1.3,4)</f>
        <v>1.2090000000000001</v>
      </c>
      <c r="F5124" s="54">
        <v>22.134999999999998</v>
      </c>
      <c r="G5124" s="54">
        <f t="shared" si="96"/>
        <v>26.761215</v>
      </c>
      <c r="H5124" s="73"/>
      <c r="I5124" s="74"/>
      <c r="J5124" s="102">
        <v>0</v>
      </c>
    </row>
    <row r="5125" spans="1:10" hidden="1" x14ac:dyDescent="0.25">
      <c r="A5125" s="224"/>
      <c r="B5125" s="237"/>
      <c r="C5125" s="36"/>
      <c r="D5125" s="47"/>
      <c r="E5125" s="37"/>
      <c r="F5125" s="54" t="s">
        <v>522</v>
      </c>
      <c r="G5125" s="54" t="str">
        <f t="shared" si="96"/>
        <v/>
      </c>
      <c r="H5125" s="73"/>
      <c r="I5125" s="74"/>
      <c r="J5125" s="102">
        <v>0</v>
      </c>
    </row>
    <row r="5126" spans="1:10" ht="15.75" hidden="1" thickBot="1" x14ac:dyDescent="0.3">
      <c r="A5126" s="218" t="s">
        <v>1964</v>
      </c>
      <c r="B5126" s="221" t="e">
        <f>INDEX(#REF!,MATCH(Composições!A5126,#REF!,0),2)</f>
        <v>#REF!</v>
      </c>
      <c r="C5126" s="41"/>
      <c r="D5126" s="26" t="s">
        <v>20</v>
      </c>
      <c r="E5126" s="27"/>
      <c r="F5126" s="49" t="s">
        <v>522</v>
      </c>
      <c r="G5126" s="28" t="str">
        <f t="shared" si="96"/>
        <v/>
      </c>
      <c r="H5126" s="29"/>
      <c r="I5126" s="30"/>
      <c r="J5126" s="102">
        <v>0</v>
      </c>
    </row>
    <row r="5127" spans="1:10" hidden="1" x14ac:dyDescent="0.25">
      <c r="A5127" s="224"/>
      <c r="B5127" s="237"/>
      <c r="C5127" s="32"/>
      <c r="D5127" s="32"/>
      <c r="E5127" s="33"/>
      <c r="F5127" s="54" t="s">
        <v>522</v>
      </c>
      <c r="G5127" s="54" t="str">
        <f t="shared" si="96"/>
        <v/>
      </c>
      <c r="H5127" s="73"/>
      <c r="I5127" s="74"/>
      <c r="J5127" s="102">
        <v>0</v>
      </c>
    </row>
    <row r="5128" spans="1:10" hidden="1" x14ac:dyDescent="0.25">
      <c r="A5128" s="224"/>
      <c r="B5128" s="237"/>
      <c r="C5128" s="36" t="s">
        <v>1179</v>
      </c>
      <c r="D5128" s="47" t="s">
        <v>898</v>
      </c>
      <c r="E5128" s="37">
        <f>ROUND(0.089*1.3,4)</f>
        <v>0.1157</v>
      </c>
      <c r="F5128" s="31">
        <v>30.105499999999999</v>
      </c>
      <c r="G5128" s="54">
        <f t="shared" si="96"/>
        <v>3.4832063499999997</v>
      </c>
      <c r="H5128" s="39">
        <f>SUM(G5128:G5132)</f>
        <v>75.669573850000006</v>
      </c>
      <c r="I5128" s="40"/>
      <c r="J5128" s="102">
        <v>0</v>
      </c>
    </row>
    <row r="5129" spans="1:10" ht="25.5" hidden="1" x14ac:dyDescent="0.25">
      <c r="A5129" s="224"/>
      <c r="B5129" s="237"/>
      <c r="C5129" s="36" t="s">
        <v>1989</v>
      </c>
      <c r="D5129" s="36" t="s">
        <v>279</v>
      </c>
      <c r="E5129" s="37">
        <v>1</v>
      </c>
      <c r="F5129" s="31" t="s">
        <v>522</v>
      </c>
      <c r="G5129" s="54" t="str">
        <f t="shared" si="96"/>
        <v/>
      </c>
      <c r="H5129" s="73"/>
      <c r="I5129" s="74"/>
      <c r="J5129" s="102">
        <v>0</v>
      </c>
    </row>
    <row r="5130" spans="1:10" ht="25.5" hidden="1" x14ac:dyDescent="0.25">
      <c r="A5130" s="224"/>
      <c r="B5130" s="237"/>
      <c r="C5130" s="36" t="s">
        <v>953</v>
      </c>
      <c r="D5130" s="47" t="s">
        <v>703</v>
      </c>
      <c r="E5130" s="37">
        <f>ROUND(0.93*1.3,4)</f>
        <v>1.2090000000000001</v>
      </c>
      <c r="F5130" s="31">
        <v>16.672499999999999</v>
      </c>
      <c r="G5130" s="54">
        <f t="shared" si="96"/>
        <v>20.157052499999999</v>
      </c>
      <c r="H5130" s="73"/>
      <c r="I5130" s="74"/>
      <c r="J5130" s="102">
        <v>0</v>
      </c>
    </row>
    <row r="5131" spans="1:10" ht="25.5" hidden="1" x14ac:dyDescent="0.25">
      <c r="A5131" s="224"/>
      <c r="B5131" s="237"/>
      <c r="C5131" s="36" t="s">
        <v>954</v>
      </c>
      <c r="D5131" s="36" t="s">
        <v>703</v>
      </c>
      <c r="E5131" s="37">
        <f>ROUND(0.93*1.3,4)</f>
        <v>1.2090000000000001</v>
      </c>
      <c r="F5131" s="31">
        <v>20.9</v>
      </c>
      <c r="G5131" s="54">
        <f t="shared" si="96"/>
        <v>25.2681</v>
      </c>
      <c r="H5131" s="73"/>
      <c r="I5131" s="74"/>
      <c r="J5131" s="102">
        <v>0</v>
      </c>
    </row>
    <row r="5132" spans="1:10" hidden="1" x14ac:dyDescent="0.25">
      <c r="A5132" s="224"/>
      <c r="B5132" s="237"/>
      <c r="C5132" s="36" t="s">
        <v>1686</v>
      </c>
      <c r="D5132" s="36" t="s">
        <v>703</v>
      </c>
      <c r="E5132" s="37">
        <f>ROUND(0.93*1.3,4)</f>
        <v>1.2090000000000001</v>
      </c>
      <c r="F5132" s="54">
        <v>22.134999999999998</v>
      </c>
      <c r="G5132" s="54">
        <f t="shared" si="96"/>
        <v>26.761215</v>
      </c>
      <c r="H5132" s="73"/>
      <c r="I5132" s="74"/>
      <c r="J5132" s="102">
        <v>0</v>
      </c>
    </row>
    <row r="5133" spans="1:10" hidden="1" x14ac:dyDescent="0.25">
      <c r="A5133" s="224"/>
      <c r="B5133" s="237"/>
      <c r="C5133" s="36"/>
      <c r="D5133" s="47"/>
      <c r="E5133" s="37"/>
      <c r="F5133" s="54" t="s">
        <v>522</v>
      </c>
      <c r="G5133" s="54" t="str">
        <f t="shared" si="96"/>
        <v/>
      </c>
      <c r="H5133" s="73"/>
      <c r="I5133" s="74"/>
      <c r="J5133" s="102">
        <v>0</v>
      </c>
    </row>
    <row r="5134" spans="1:10" ht="15.75" hidden="1" thickBot="1" x14ac:dyDescent="0.3">
      <c r="A5134" s="218" t="s">
        <v>1965</v>
      </c>
      <c r="B5134" s="221" t="e">
        <f>INDEX(#REF!,MATCH(Composições!A5134,#REF!,0),2)</f>
        <v>#REF!</v>
      </c>
      <c r="C5134" s="41"/>
      <c r="D5134" s="26" t="s">
        <v>20</v>
      </c>
      <c r="E5134" s="27"/>
      <c r="F5134" s="49" t="s">
        <v>522</v>
      </c>
      <c r="G5134" s="28" t="str">
        <f t="shared" si="96"/>
        <v/>
      </c>
      <c r="H5134" s="29"/>
      <c r="I5134" s="30"/>
      <c r="J5134" s="102">
        <v>0</v>
      </c>
    </row>
    <row r="5135" spans="1:10" hidden="1" x14ac:dyDescent="0.25">
      <c r="A5135" s="224"/>
      <c r="B5135" s="237"/>
      <c r="C5135" s="32"/>
      <c r="D5135" s="32"/>
      <c r="E5135" s="33"/>
      <c r="F5135" s="54" t="s">
        <v>522</v>
      </c>
      <c r="G5135" s="54" t="str">
        <f t="shared" ref="G5135:G5166" si="97">IF(ISNUMBER(F5135),E5135*F5135,"")</f>
        <v/>
      </c>
      <c r="H5135" s="73"/>
      <c r="I5135" s="74"/>
      <c r="J5135" s="102">
        <v>0</v>
      </c>
    </row>
    <row r="5136" spans="1:10" hidden="1" x14ac:dyDescent="0.25">
      <c r="A5136" s="224"/>
      <c r="B5136" s="237"/>
      <c r="C5136" s="36" t="s">
        <v>1179</v>
      </c>
      <c r="D5136" s="47" t="s">
        <v>898</v>
      </c>
      <c r="E5136" s="37">
        <f>ROUND(0.089*1.5,4)</f>
        <v>0.13350000000000001</v>
      </c>
      <c r="F5136" s="31">
        <v>30.105499999999999</v>
      </c>
      <c r="G5136" s="54">
        <f t="shared" si="97"/>
        <v>4.0190842499999997</v>
      </c>
      <c r="H5136" s="39">
        <f>SUM(G5136:G5140)</f>
        <v>87.311046750000003</v>
      </c>
      <c r="I5136" s="40"/>
      <c r="J5136" s="102">
        <v>0</v>
      </c>
    </row>
    <row r="5137" spans="1:10" ht="25.5" hidden="1" x14ac:dyDescent="0.25">
      <c r="A5137" s="224"/>
      <c r="B5137" s="237"/>
      <c r="C5137" s="36" t="s">
        <v>1990</v>
      </c>
      <c r="D5137" s="36" t="s">
        <v>279</v>
      </c>
      <c r="E5137" s="37">
        <v>1</v>
      </c>
      <c r="F5137" s="31" t="s">
        <v>522</v>
      </c>
      <c r="G5137" s="54" t="str">
        <f t="shared" si="97"/>
        <v/>
      </c>
      <c r="H5137" s="73"/>
      <c r="I5137" s="74"/>
      <c r="J5137" s="102">
        <v>0</v>
      </c>
    </row>
    <row r="5138" spans="1:10" ht="25.5" hidden="1" x14ac:dyDescent="0.25">
      <c r="A5138" s="224"/>
      <c r="B5138" s="237"/>
      <c r="C5138" s="36" t="s">
        <v>953</v>
      </c>
      <c r="D5138" s="47" t="s">
        <v>703</v>
      </c>
      <c r="E5138" s="37">
        <f>ROUND(0.93*1.5,4)</f>
        <v>1.395</v>
      </c>
      <c r="F5138" s="31">
        <v>16.672499999999999</v>
      </c>
      <c r="G5138" s="54">
        <f t="shared" si="97"/>
        <v>23.2581375</v>
      </c>
      <c r="H5138" s="73"/>
      <c r="I5138" s="74"/>
      <c r="J5138" s="102">
        <v>0</v>
      </c>
    </row>
    <row r="5139" spans="1:10" ht="25.5" hidden="1" x14ac:dyDescent="0.25">
      <c r="A5139" s="224"/>
      <c r="B5139" s="237"/>
      <c r="C5139" s="36" t="s">
        <v>954</v>
      </c>
      <c r="D5139" s="36" t="s">
        <v>703</v>
      </c>
      <c r="E5139" s="37">
        <f>ROUND(0.93*1.5,4)</f>
        <v>1.395</v>
      </c>
      <c r="F5139" s="31">
        <v>20.9</v>
      </c>
      <c r="G5139" s="54">
        <f t="shared" si="97"/>
        <v>29.1555</v>
      </c>
      <c r="H5139" s="73"/>
      <c r="I5139" s="74"/>
      <c r="J5139" s="102">
        <v>0</v>
      </c>
    </row>
    <row r="5140" spans="1:10" hidden="1" x14ac:dyDescent="0.25">
      <c r="A5140" s="224"/>
      <c r="B5140" s="237"/>
      <c r="C5140" s="36" t="s">
        <v>1686</v>
      </c>
      <c r="D5140" s="36" t="s">
        <v>703</v>
      </c>
      <c r="E5140" s="37">
        <f>ROUND(0.93*1.5,4)</f>
        <v>1.395</v>
      </c>
      <c r="F5140" s="54">
        <v>22.134999999999998</v>
      </c>
      <c r="G5140" s="54">
        <f t="shared" si="97"/>
        <v>30.878324999999997</v>
      </c>
      <c r="H5140" s="73"/>
      <c r="I5140" s="74"/>
      <c r="J5140" s="102">
        <v>0</v>
      </c>
    </row>
    <row r="5141" spans="1:10" hidden="1" x14ac:dyDescent="0.25">
      <c r="A5141" s="224"/>
      <c r="B5141" s="237"/>
      <c r="C5141" s="36"/>
      <c r="D5141" s="47"/>
      <c r="E5141" s="37"/>
      <c r="F5141" s="54" t="s">
        <v>522</v>
      </c>
      <c r="G5141" s="54" t="str">
        <f t="shared" si="97"/>
        <v/>
      </c>
      <c r="H5141" s="73"/>
      <c r="I5141" s="74"/>
      <c r="J5141" s="102">
        <v>0</v>
      </c>
    </row>
    <row r="5142" spans="1:10" ht="15.75" hidden="1" thickBot="1" x14ac:dyDescent="0.3">
      <c r="A5142" s="218" t="s">
        <v>1966</v>
      </c>
      <c r="B5142" s="221" t="e">
        <f>INDEX(#REF!,MATCH(Composições!A5142,#REF!,0),2)</f>
        <v>#REF!</v>
      </c>
      <c r="C5142" s="41"/>
      <c r="D5142" s="26" t="s">
        <v>20</v>
      </c>
      <c r="E5142" s="27"/>
      <c r="F5142" s="49" t="s">
        <v>522</v>
      </c>
      <c r="G5142" s="28" t="str">
        <f t="shared" si="97"/>
        <v/>
      </c>
      <c r="H5142" s="29"/>
      <c r="I5142" s="30"/>
      <c r="J5142" s="102">
        <v>0</v>
      </c>
    </row>
    <row r="5143" spans="1:10" hidden="1" x14ac:dyDescent="0.25">
      <c r="A5143" s="224"/>
      <c r="B5143" s="237"/>
      <c r="C5143" s="32"/>
      <c r="D5143" s="32"/>
      <c r="E5143" s="33"/>
      <c r="F5143" s="54" t="s">
        <v>522</v>
      </c>
      <c r="G5143" s="54" t="str">
        <f t="shared" si="97"/>
        <v/>
      </c>
      <c r="H5143" s="73"/>
      <c r="I5143" s="74"/>
      <c r="J5143" s="102">
        <v>0</v>
      </c>
    </row>
    <row r="5144" spans="1:10" ht="25.5" hidden="1" x14ac:dyDescent="0.25">
      <c r="A5144" s="224"/>
      <c r="B5144" s="237"/>
      <c r="C5144" s="36" t="s">
        <v>1991</v>
      </c>
      <c r="D5144" s="36" t="s">
        <v>279</v>
      </c>
      <c r="E5144" s="37">
        <v>1</v>
      </c>
      <c r="F5144" s="31" t="s">
        <v>522</v>
      </c>
      <c r="G5144" s="54" t="str">
        <f t="shared" si="97"/>
        <v/>
      </c>
      <c r="H5144" s="39">
        <f>SUM(G5144:G5146)</f>
        <v>14.72842</v>
      </c>
      <c r="I5144" s="40"/>
      <c r="J5144" s="102">
        <v>0</v>
      </c>
    </row>
    <row r="5145" spans="1:10" ht="25.5" hidden="1" x14ac:dyDescent="0.25">
      <c r="A5145" s="224"/>
      <c r="B5145" s="237"/>
      <c r="C5145" s="36" t="s">
        <v>953</v>
      </c>
      <c r="D5145" s="47" t="s">
        <v>703</v>
      </c>
      <c r="E5145" s="37">
        <v>0.39200000000000002</v>
      </c>
      <c r="F5145" s="31">
        <v>16.672499999999999</v>
      </c>
      <c r="G5145" s="54">
        <f t="shared" si="97"/>
        <v>6.5356199999999998</v>
      </c>
      <c r="H5145" s="73"/>
      <c r="I5145" s="74"/>
      <c r="J5145" s="102">
        <v>0</v>
      </c>
    </row>
    <row r="5146" spans="1:10" ht="25.5" hidden="1" x14ac:dyDescent="0.25">
      <c r="A5146" s="224"/>
      <c r="B5146" s="237"/>
      <c r="C5146" s="36" t="s">
        <v>954</v>
      </c>
      <c r="D5146" s="36" t="s">
        <v>703</v>
      </c>
      <c r="E5146" s="37">
        <v>0.39200000000000002</v>
      </c>
      <c r="F5146" s="31">
        <v>20.9</v>
      </c>
      <c r="G5146" s="54">
        <f t="shared" si="97"/>
        <v>8.1928000000000001</v>
      </c>
      <c r="H5146" s="73"/>
      <c r="I5146" s="74"/>
      <c r="J5146" s="102">
        <v>0</v>
      </c>
    </row>
    <row r="5147" spans="1:10" hidden="1" x14ac:dyDescent="0.25">
      <c r="A5147" s="224"/>
      <c r="B5147" s="237"/>
      <c r="C5147" s="36"/>
      <c r="D5147" s="47"/>
      <c r="E5147" s="37"/>
      <c r="F5147" s="54" t="s">
        <v>522</v>
      </c>
      <c r="G5147" s="54" t="str">
        <f t="shared" si="97"/>
        <v/>
      </c>
      <c r="H5147" s="73"/>
      <c r="I5147" s="74"/>
      <c r="J5147" s="102">
        <v>0</v>
      </c>
    </row>
    <row r="5148" spans="1:10" ht="15.75" hidden="1" thickBot="1" x14ac:dyDescent="0.3">
      <c r="A5148" s="218" t="s">
        <v>1967</v>
      </c>
      <c r="B5148" s="221" t="e">
        <f>INDEX(#REF!,MATCH(Composições!A5148,#REF!,0),2)</f>
        <v>#REF!</v>
      </c>
      <c r="C5148" s="41"/>
      <c r="D5148" s="26" t="s">
        <v>20</v>
      </c>
      <c r="E5148" s="27"/>
      <c r="F5148" s="49" t="s">
        <v>522</v>
      </c>
      <c r="G5148" s="28" t="str">
        <f t="shared" si="97"/>
        <v/>
      </c>
      <c r="H5148" s="29"/>
      <c r="I5148" s="30"/>
      <c r="J5148" s="102">
        <v>0</v>
      </c>
    </row>
    <row r="5149" spans="1:10" hidden="1" x14ac:dyDescent="0.25">
      <c r="A5149" s="224"/>
      <c r="B5149" s="237"/>
      <c r="C5149" s="32"/>
      <c r="D5149" s="32"/>
      <c r="E5149" s="33"/>
      <c r="F5149" s="54" t="s">
        <v>522</v>
      </c>
      <c r="G5149" s="54" t="str">
        <f t="shared" si="97"/>
        <v/>
      </c>
      <c r="H5149" s="73"/>
      <c r="I5149" s="74"/>
      <c r="J5149" s="102">
        <v>0</v>
      </c>
    </row>
    <row r="5150" spans="1:10" hidden="1" x14ac:dyDescent="0.25">
      <c r="A5150" s="224"/>
      <c r="B5150" s="237"/>
      <c r="C5150" s="36" t="s">
        <v>1179</v>
      </c>
      <c r="D5150" s="47" t="s">
        <v>898</v>
      </c>
      <c r="E5150" s="37">
        <f>ROUND(0.089*1.3,4)</f>
        <v>0.1157</v>
      </c>
      <c r="F5150" s="31">
        <v>30.105499999999999</v>
      </c>
      <c r="G5150" s="54">
        <f t="shared" si="97"/>
        <v>3.4832063499999997</v>
      </c>
      <c r="H5150" s="39">
        <f>SUM(G5150:G5154)</f>
        <v>75.669573850000006</v>
      </c>
      <c r="I5150" s="40"/>
      <c r="J5150" s="102">
        <v>0</v>
      </c>
    </row>
    <row r="5151" spans="1:10" hidden="1" x14ac:dyDescent="0.25">
      <c r="A5151" s="224"/>
      <c r="B5151" s="237"/>
      <c r="C5151" s="36" t="s">
        <v>1992</v>
      </c>
      <c r="D5151" s="36" t="s">
        <v>279</v>
      </c>
      <c r="E5151" s="37">
        <v>1</v>
      </c>
      <c r="F5151" s="31" t="s">
        <v>522</v>
      </c>
      <c r="G5151" s="54" t="str">
        <f t="shared" si="97"/>
        <v/>
      </c>
      <c r="H5151" s="73"/>
      <c r="I5151" s="74"/>
      <c r="J5151" s="102">
        <v>0</v>
      </c>
    </row>
    <row r="5152" spans="1:10" ht="25.5" hidden="1" x14ac:dyDescent="0.25">
      <c r="A5152" s="224"/>
      <c r="B5152" s="237"/>
      <c r="C5152" s="36" t="s">
        <v>953</v>
      </c>
      <c r="D5152" s="47" t="s">
        <v>703</v>
      </c>
      <c r="E5152" s="37">
        <f>ROUND(0.93*1.3,4)</f>
        <v>1.2090000000000001</v>
      </c>
      <c r="F5152" s="31">
        <v>16.672499999999999</v>
      </c>
      <c r="G5152" s="54">
        <f t="shared" si="97"/>
        <v>20.157052499999999</v>
      </c>
      <c r="H5152" s="73"/>
      <c r="I5152" s="74"/>
      <c r="J5152" s="102">
        <v>0</v>
      </c>
    </row>
    <row r="5153" spans="1:10" ht="25.5" hidden="1" x14ac:dyDescent="0.25">
      <c r="A5153" s="224"/>
      <c r="B5153" s="237"/>
      <c r="C5153" s="36" t="s">
        <v>954</v>
      </c>
      <c r="D5153" s="36" t="s">
        <v>703</v>
      </c>
      <c r="E5153" s="37">
        <f>ROUND(0.93*1.3,4)</f>
        <v>1.2090000000000001</v>
      </c>
      <c r="F5153" s="31">
        <v>20.9</v>
      </c>
      <c r="G5153" s="54">
        <f t="shared" si="97"/>
        <v>25.2681</v>
      </c>
      <c r="H5153" s="73"/>
      <c r="I5153" s="74"/>
      <c r="J5153" s="102">
        <v>0</v>
      </c>
    </row>
    <row r="5154" spans="1:10" hidden="1" x14ac:dyDescent="0.25">
      <c r="A5154" s="224"/>
      <c r="B5154" s="237"/>
      <c r="C5154" s="36" t="s">
        <v>1686</v>
      </c>
      <c r="D5154" s="36" t="s">
        <v>703</v>
      </c>
      <c r="E5154" s="37">
        <f>ROUND(0.93*1.3,4)</f>
        <v>1.2090000000000001</v>
      </c>
      <c r="F5154" s="54">
        <v>22.134999999999998</v>
      </c>
      <c r="G5154" s="54">
        <f t="shared" si="97"/>
        <v>26.761215</v>
      </c>
      <c r="H5154" s="73"/>
      <c r="I5154" s="74"/>
      <c r="J5154" s="102">
        <v>0</v>
      </c>
    </row>
    <row r="5155" spans="1:10" hidden="1" x14ac:dyDescent="0.25">
      <c r="A5155" s="224"/>
      <c r="B5155" s="237"/>
      <c r="C5155" s="36"/>
      <c r="D5155" s="47"/>
      <c r="E5155" s="37"/>
      <c r="F5155" s="54" t="s">
        <v>522</v>
      </c>
      <c r="G5155" s="54" t="str">
        <f t="shared" si="97"/>
        <v/>
      </c>
      <c r="H5155" s="73"/>
      <c r="I5155" s="74"/>
      <c r="J5155" s="102">
        <v>0</v>
      </c>
    </row>
    <row r="5156" spans="1:10" ht="15.75" hidden="1" thickBot="1" x14ac:dyDescent="0.3">
      <c r="A5156" s="218" t="s">
        <v>1968</v>
      </c>
      <c r="B5156" s="221" t="e">
        <f>INDEX(#REF!,MATCH(Composições!A5156,#REF!,0),2)</f>
        <v>#REF!</v>
      </c>
      <c r="C5156" s="41"/>
      <c r="D5156" s="26" t="s">
        <v>93</v>
      </c>
      <c r="E5156" s="27"/>
      <c r="F5156" s="49" t="s">
        <v>522</v>
      </c>
      <c r="G5156" s="28" t="str">
        <f t="shared" si="97"/>
        <v/>
      </c>
      <c r="H5156" s="29"/>
      <c r="I5156" s="30"/>
      <c r="J5156" s="102">
        <v>0</v>
      </c>
    </row>
    <row r="5157" spans="1:10" hidden="1" x14ac:dyDescent="0.25">
      <c r="A5157" s="224"/>
      <c r="B5157" s="237"/>
      <c r="C5157" s="32"/>
      <c r="D5157" s="32"/>
      <c r="E5157" s="33"/>
      <c r="F5157" s="54" t="s">
        <v>522</v>
      </c>
      <c r="G5157" s="54" t="str">
        <f t="shared" si="97"/>
        <v/>
      </c>
      <c r="H5157" s="73"/>
      <c r="I5157" s="74"/>
      <c r="J5157" s="102">
        <v>0</v>
      </c>
    </row>
    <row r="5158" spans="1:10" ht="38.25" hidden="1" x14ac:dyDescent="0.25">
      <c r="A5158" s="224"/>
      <c r="B5158" s="237"/>
      <c r="C5158" s="36" t="s">
        <v>1993</v>
      </c>
      <c r="D5158" s="36" t="s">
        <v>93</v>
      </c>
      <c r="E5158" s="37">
        <v>1.0210999999999999</v>
      </c>
      <c r="F5158" s="31" t="s">
        <v>522</v>
      </c>
      <c r="G5158" s="54" t="str">
        <f t="shared" si="97"/>
        <v/>
      </c>
      <c r="H5158" s="39">
        <f>SUM(G5158:G5160)</f>
        <v>3.6069599999999999</v>
      </c>
      <c r="I5158" s="40"/>
      <c r="J5158" s="102">
        <v>0</v>
      </c>
    </row>
    <row r="5159" spans="1:10" ht="25.5" hidden="1" x14ac:dyDescent="0.25">
      <c r="A5159" s="224"/>
      <c r="B5159" s="237"/>
      <c r="C5159" s="36" t="s">
        <v>953</v>
      </c>
      <c r="D5159" s="47" t="s">
        <v>703</v>
      </c>
      <c r="E5159" s="37">
        <f>5*0.064*0.3</f>
        <v>9.6000000000000002E-2</v>
      </c>
      <c r="F5159" s="31">
        <v>16.672499999999999</v>
      </c>
      <c r="G5159" s="54">
        <f t="shared" si="97"/>
        <v>1.60056</v>
      </c>
      <c r="H5159" s="73"/>
      <c r="I5159" s="74"/>
      <c r="J5159" s="102">
        <v>0</v>
      </c>
    </row>
    <row r="5160" spans="1:10" ht="25.5" hidden="1" x14ac:dyDescent="0.25">
      <c r="A5160" s="224"/>
      <c r="B5160" s="237"/>
      <c r="C5160" s="36" t="s">
        <v>954</v>
      </c>
      <c r="D5160" s="36" t="s">
        <v>703</v>
      </c>
      <c r="E5160" s="37">
        <f>5*0.064*0.3</f>
        <v>9.6000000000000002E-2</v>
      </c>
      <c r="F5160" s="31">
        <v>20.9</v>
      </c>
      <c r="G5160" s="54">
        <f t="shared" si="97"/>
        <v>2.0063999999999997</v>
      </c>
      <c r="H5160" s="73"/>
      <c r="I5160" s="74"/>
      <c r="J5160" s="102">
        <v>0</v>
      </c>
    </row>
    <row r="5161" spans="1:10" hidden="1" x14ac:dyDescent="0.25">
      <c r="A5161" s="224"/>
      <c r="B5161" s="237"/>
      <c r="C5161" s="36"/>
      <c r="D5161" s="47"/>
      <c r="E5161" s="37"/>
      <c r="F5161" s="54" t="s">
        <v>522</v>
      </c>
      <c r="G5161" s="54" t="str">
        <f t="shared" si="97"/>
        <v/>
      </c>
      <c r="H5161" s="73"/>
      <c r="I5161" s="74"/>
      <c r="J5161" s="102">
        <v>0</v>
      </c>
    </row>
    <row r="5162" spans="1:10" ht="15.75" hidden="1" thickBot="1" x14ac:dyDescent="0.3">
      <c r="A5162" s="218" t="s">
        <v>1969</v>
      </c>
      <c r="B5162" s="221" t="e">
        <f>INDEX(#REF!,MATCH(Composições!A5162,#REF!,0),2)</f>
        <v>#REF!</v>
      </c>
      <c r="C5162" s="41"/>
      <c r="D5162" s="26" t="s">
        <v>20</v>
      </c>
      <c r="E5162" s="27"/>
      <c r="F5162" s="49" t="s">
        <v>522</v>
      </c>
      <c r="G5162" s="28" t="str">
        <f t="shared" si="97"/>
        <v/>
      </c>
      <c r="H5162" s="29"/>
      <c r="I5162" s="30"/>
      <c r="J5162" s="102">
        <v>0</v>
      </c>
    </row>
    <row r="5163" spans="1:10" hidden="1" x14ac:dyDescent="0.25">
      <c r="A5163" s="224"/>
      <c r="B5163" s="237"/>
      <c r="C5163" s="32"/>
      <c r="D5163" s="32"/>
      <c r="E5163" s="33"/>
      <c r="F5163" s="54" t="s">
        <v>522</v>
      </c>
      <c r="G5163" s="54" t="str">
        <f t="shared" si="97"/>
        <v/>
      </c>
      <c r="H5163" s="73"/>
      <c r="I5163" s="74"/>
      <c r="J5163" s="102">
        <v>0</v>
      </c>
    </row>
    <row r="5164" spans="1:10" hidden="1" x14ac:dyDescent="0.25">
      <c r="A5164" s="224"/>
      <c r="B5164" s="237"/>
      <c r="C5164" s="36" t="s">
        <v>1179</v>
      </c>
      <c r="D5164" s="47" t="s">
        <v>898</v>
      </c>
      <c r="E5164" s="37">
        <v>8.9999999999999993E-3</v>
      </c>
      <c r="F5164" s="31">
        <v>30.105499999999999</v>
      </c>
      <c r="G5164" s="54">
        <f t="shared" si="97"/>
        <v>0.27094949999999995</v>
      </c>
      <c r="H5164" s="39">
        <f>SUM(G5164:G5168)</f>
        <v>7.0776045000000005</v>
      </c>
      <c r="I5164" s="40"/>
      <c r="J5164" s="102">
        <v>0</v>
      </c>
    </row>
    <row r="5165" spans="1:10" ht="25.5" hidden="1" x14ac:dyDescent="0.25">
      <c r="A5165" s="224"/>
      <c r="B5165" s="237"/>
      <c r="C5165" s="36" t="s">
        <v>1994</v>
      </c>
      <c r="D5165" s="36" t="s">
        <v>279</v>
      </c>
      <c r="E5165" s="37">
        <v>1</v>
      </c>
      <c r="F5165" s="31" t="s">
        <v>522</v>
      </c>
      <c r="G5165" s="54" t="str">
        <f t="shared" si="97"/>
        <v/>
      </c>
      <c r="H5165" s="73"/>
      <c r="I5165" s="74"/>
      <c r="J5165" s="102">
        <v>0</v>
      </c>
    </row>
    <row r="5166" spans="1:10" ht="25.5" hidden="1" x14ac:dyDescent="0.25">
      <c r="A5166" s="224"/>
      <c r="B5166" s="237"/>
      <c r="C5166" s="36" t="s">
        <v>953</v>
      </c>
      <c r="D5166" s="47" t="s">
        <v>703</v>
      </c>
      <c r="E5166" s="37">
        <v>0.114</v>
      </c>
      <c r="F5166" s="31">
        <v>16.672499999999999</v>
      </c>
      <c r="G5166" s="54">
        <f t="shared" si="97"/>
        <v>1.900665</v>
      </c>
      <c r="H5166" s="73"/>
      <c r="I5166" s="74"/>
      <c r="J5166" s="102">
        <v>0</v>
      </c>
    </row>
    <row r="5167" spans="1:10" ht="25.5" hidden="1" x14ac:dyDescent="0.25">
      <c r="A5167" s="224"/>
      <c r="B5167" s="237"/>
      <c r="C5167" s="36" t="s">
        <v>954</v>
      </c>
      <c r="D5167" s="36" t="s">
        <v>703</v>
      </c>
      <c r="E5167" s="37">
        <v>0.114</v>
      </c>
      <c r="F5167" s="31">
        <v>20.9</v>
      </c>
      <c r="G5167" s="54">
        <f t="shared" ref="G5167:G5198" si="98">IF(ISNUMBER(F5167),E5167*F5167,"")</f>
        <v>2.3826000000000001</v>
      </c>
      <c r="H5167" s="73"/>
      <c r="I5167" s="74"/>
      <c r="J5167" s="102">
        <v>0</v>
      </c>
    </row>
    <row r="5168" spans="1:10" hidden="1" x14ac:dyDescent="0.25">
      <c r="A5168" s="224"/>
      <c r="B5168" s="237"/>
      <c r="C5168" s="36" t="s">
        <v>1686</v>
      </c>
      <c r="D5168" s="36" t="s">
        <v>703</v>
      </c>
      <c r="E5168" s="37">
        <v>0.114</v>
      </c>
      <c r="F5168" s="54">
        <v>22.134999999999998</v>
      </c>
      <c r="G5168" s="54">
        <f t="shared" si="98"/>
        <v>2.52339</v>
      </c>
      <c r="H5168" s="73"/>
      <c r="I5168" s="74"/>
      <c r="J5168" s="102">
        <v>0</v>
      </c>
    </row>
    <row r="5169" spans="1:10" hidden="1" x14ac:dyDescent="0.25">
      <c r="A5169" s="224"/>
      <c r="B5169" s="237"/>
      <c r="C5169" s="36"/>
      <c r="D5169" s="47"/>
      <c r="E5169" s="37"/>
      <c r="F5169" s="54" t="s">
        <v>522</v>
      </c>
      <c r="G5169" s="54" t="str">
        <f t="shared" si="98"/>
        <v/>
      </c>
      <c r="H5169" s="73"/>
      <c r="I5169" s="74"/>
      <c r="J5169" s="102">
        <v>0</v>
      </c>
    </row>
    <row r="5170" spans="1:10" ht="15.75" hidden="1" thickBot="1" x14ac:dyDescent="0.3">
      <c r="A5170" s="218" t="s">
        <v>1970</v>
      </c>
      <c r="B5170" s="221" t="e">
        <f>INDEX(#REF!,MATCH(Composições!A5170,#REF!,0),2)</f>
        <v>#REF!</v>
      </c>
      <c r="C5170" s="41"/>
      <c r="D5170" s="26" t="s">
        <v>20</v>
      </c>
      <c r="E5170" s="27"/>
      <c r="F5170" s="49" t="s">
        <v>522</v>
      </c>
      <c r="G5170" s="28" t="str">
        <f t="shared" si="98"/>
        <v/>
      </c>
      <c r="H5170" s="29"/>
      <c r="I5170" s="30"/>
      <c r="J5170" s="102">
        <v>0</v>
      </c>
    </row>
    <row r="5171" spans="1:10" hidden="1" x14ac:dyDescent="0.25">
      <c r="A5171" s="224"/>
      <c r="B5171" s="237"/>
      <c r="C5171" s="32"/>
      <c r="D5171" s="32"/>
      <c r="E5171" s="33"/>
      <c r="F5171" s="54" t="s">
        <v>522</v>
      </c>
      <c r="G5171" s="54" t="str">
        <f t="shared" si="98"/>
        <v/>
      </c>
      <c r="H5171" s="73"/>
      <c r="I5171" s="74"/>
      <c r="J5171" s="102">
        <v>0</v>
      </c>
    </row>
    <row r="5172" spans="1:10" hidden="1" x14ac:dyDescent="0.25">
      <c r="A5172" s="224"/>
      <c r="B5172" s="237"/>
      <c r="C5172" s="36" t="s">
        <v>1179</v>
      </c>
      <c r="D5172" s="47" t="s">
        <v>898</v>
      </c>
      <c r="E5172" s="37">
        <f>ROUND(0.089*1.3,4)</f>
        <v>0.1157</v>
      </c>
      <c r="F5172" s="31">
        <v>30.105499999999999</v>
      </c>
      <c r="G5172" s="54">
        <f t="shared" si="98"/>
        <v>3.4832063499999997</v>
      </c>
      <c r="H5172" s="39">
        <f>SUM(G5172:G5176)</f>
        <v>51.607451350000005</v>
      </c>
      <c r="I5172" s="40"/>
      <c r="J5172" s="102">
        <v>0</v>
      </c>
    </row>
    <row r="5173" spans="1:10" ht="25.5" hidden="1" x14ac:dyDescent="0.25">
      <c r="A5173" s="224"/>
      <c r="B5173" s="237"/>
      <c r="C5173" s="36" t="s">
        <v>1995</v>
      </c>
      <c r="D5173" s="36" t="s">
        <v>279</v>
      </c>
      <c r="E5173" s="37">
        <v>1</v>
      </c>
      <c r="F5173" s="31" t="s">
        <v>522</v>
      </c>
      <c r="G5173" s="54" t="str">
        <f t="shared" si="98"/>
        <v/>
      </c>
      <c r="H5173" s="73"/>
      <c r="I5173" s="74"/>
      <c r="J5173" s="102">
        <v>0</v>
      </c>
    </row>
    <row r="5174" spans="1:10" ht="25.5" hidden="1" x14ac:dyDescent="0.25">
      <c r="A5174" s="224"/>
      <c r="B5174" s="237"/>
      <c r="C5174" s="36" t="s">
        <v>953</v>
      </c>
      <c r="D5174" s="47" t="s">
        <v>703</v>
      </c>
      <c r="E5174" s="37">
        <f>ROUND(0.62*1.3,4)</f>
        <v>0.80600000000000005</v>
      </c>
      <c r="F5174" s="31">
        <v>16.672499999999999</v>
      </c>
      <c r="G5174" s="54">
        <f t="shared" si="98"/>
        <v>13.438035000000001</v>
      </c>
      <c r="H5174" s="73"/>
      <c r="I5174" s="74"/>
      <c r="J5174" s="102">
        <v>0</v>
      </c>
    </row>
    <row r="5175" spans="1:10" ht="25.5" hidden="1" x14ac:dyDescent="0.25">
      <c r="A5175" s="224"/>
      <c r="B5175" s="237"/>
      <c r="C5175" s="36" t="s">
        <v>954</v>
      </c>
      <c r="D5175" s="36" t="s">
        <v>703</v>
      </c>
      <c r="E5175" s="37">
        <f>ROUND(0.62*1.3,4)</f>
        <v>0.80600000000000005</v>
      </c>
      <c r="F5175" s="31">
        <v>20.9</v>
      </c>
      <c r="G5175" s="54">
        <f t="shared" si="98"/>
        <v>16.845400000000001</v>
      </c>
      <c r="H5175" s="73"/>
      <c r="I5175" s="74"/>
      <c r="J5175" s="102">
        <v>0</v>
      </c>
    </row>
    <row r="5176" spans="1:10" hidden="1" x14ac:dyDescent="0.25">
      <c r="A5176" s="224"/>
      <c r="B5176" s="237"/>
      <c r="C5176" s="36" t="s">
        <v>1686</v>
      </c>
      <c r="D5176" s="36" t="s">
        <v>703</v>
      </c>
      <c r="E5176" s="37">
        <f>ROUND(0.62*1.3,4)</f>
        <v>0.80600000000000005</v>
      </c>
      <c r="F5176" s="54">
        <v>22.134999999999998</v>
      </c>
      <c r="G5176" s="54">
        <f t="shared" si="98"/>
        <v>17.840810000000001</v>
      </c>
      <c r="H5176" s="73"/>
      <c r="I5176" s="74"/>
      <c r="J5176" s="102">
        <v>0</v>
      </c>
    </row>
    <row r="5177" spans="1:10" hidden="1" x14ac:dyDescent="0.25">
      <c r="A5177" s="224"/>
      <c r="B5177" s="237"/>
      <c r="C5177" s="36"/>
      <c r="D5177" s="47"/>
      <c r="E5177" s="37"/>
      <c r="F5177" s="54" t="s">
        <v>522</v>
      </c>
      <c r="G5177" s="54" t="str">
        <f t="shared" si="98"/>
        <v/>
      </c>
      <c r="H5177" s="73"/>
      <c r="I5177" s="74"/>
      <c r="J5177" s="102">
        <v>0</v>
      </c>
    </row>
    <row r="5178" spans="1:10" ht="15.75" hidden="1" thickBot="1" x14ac:dyDescent="0.3">
      <c r="A5178" s="218" t="s">
        <v>1971</v>
      </c>
      <c r="B5178" s="221" t="e">
        <f>INDEX(#REF!,MATCH(Composições!A5178,#REF!,0),2)</f>
        <v>#REF!</v>
      </c>
      <c r="C5178" s="41"/>
      <c r="D5178" s="26" t="s">
        <v>20</v>
      </c>
      <c r="E5178" s="27"/>
      <c r="F5178" s="49" t="s">
        <v>522</v>
      </c>
      <c r="G5178" s="28" t="str">
        <f t="shared" si="98"/>
        <v/>
      </c>
      <c r="H5178" s="29"/>
      <c r="I5178" s="30"/>
      <c r="J5178" s="102">
        <v>0</v>
      </c>
    </row>
    <row r="5179" spans="1:10" hidden="1" x14ac:dyDescent="0.25">
      <c r="A5179" s="224"/>
      <c r="B5179" s="237"/>
      <c r="C5179" s="32"/>
      <c r="D5179" s="32"/>
      <c r="E5179" s="33"/>
      <c r="F5179" s="54" t="s">
        <v>522</v>
      </c>
      <c r="G5179" s="54" t="str">
        <f t="shared" si="98"/>
        <v/>
      </c>
      <c r="H5179" s="73"/>
      <c r="I5179" s="74"/>
      <c r="J5179" s="102">
        <v>0</v>
      </c>
    </row>
    <row r="5180" spans="1:10" hidden="1" x14ac:dyDescent="0.25">
      <c r="A5180" s="224"/>
      <c r="B5180" s="237"/>
      <c r="C5180" s="36" t="s">
        <v>1179</v>
      </c>
      <c r="D5180" s="47" t="s">
        <v>898</v>
      </c>
      <c r="E5180" s="37">
        <f>ROUND(0.133*1.3,4)</f>
        <v>0.1729</v>
      </c>
      <c r="F5180" s="31">
        <v>30.105499999999999</v>
      </c>
      <c r="G5180" s="54">
        <f t="shared" si="98"/>
        <v>5.2052409499999994</v>
      </c>
      <c r="H5180" s="39">
        <f>SUM(G5180:G5184)</f>
        <v>79.875440449999985</v>
      </c>
      <c r="I5180" s="40"/>
      <c r="J5180" s="102">
        <v>0</v>
      </c>
    </row>
    <row r="5181" spans="1:10" hidden="1" x14ac:dyDescent="0.25">
      <c r="A5181" s="224"/>
      <c r="B5181" s="237"/>
      <c r="C5181" s="36" t="s">
        <v>1996</v>
      </c>
      <c r="D5181" s="36" t="s">
        <v>279</v>
      </c>
      <c r="E5181" s="37">
        <v>1</v>
      </c>
      <c r="F5181" s="31" t="s">
        <v>522</v>
      </c>
      <c r="G5181" s="54" t="str">
        <f t="shared" si="98"/>
        <v/>
      </c>
      <c r="H5181" s="73"/>
      <c r="I5181" s="74"/>
      <c r="J5181" s="102">
        <v>0</v>
      </c>
    </row>
    <row r="5182" spans="1:10" ht="25.5" hidden="1" x14ac:dyDescent="0.25">
      <c r="A5182" s="224"/>
      <c r="B5182" s="237"/>
      <c r="C5182" s="36" t="s">
        <v>953</v>
      </c>
      <c r="D5182" s="47" t="s">
        <v>703</v>
      </c>
      <c r="E5182" s="37">
        <f>ROUND(0.962*1.3,4)</f>
        <v>1.2505999999999999</v>
      </c>
      <c r="F5182" s="31">
        <v>16.672499999999999</v>
      </c>
      <c r="G5182" s="54">
        <f t="shared" si="98"/>
        <v>20.850628499999999</v>
      </c>
      <c r="H5182" s="73"/>
      <c r="I5182" s="74"/>
      <c r="J5182" s="102">
        <v>0</v>
      </c>
    </row>
    <row r="5183" spans="1:10" ht="25.5" hidden="1" x14ac:dyDescent="0.25">
      <c r="A5183" s="224"/>
      <c r="B5183" s="237"/>
      <c r="C5183" s="36" t="s">
        <v>954</v>
      </c>
      <c r="D5183" s="36" t="s">
        <v>703</v>
      </c>
      <c r="E5183" s="37">
        <f>ROUND(0.962*1.3,4)</f>
        <v>1.2505999999999999</v>
      </c>
      <c r="F5183" s="31">
        <v>20.9</v>
      </c>
      <c r="G5183" s="54">
        <f t="shared" si="98"/>
        <v>26.137539999999998</v>
      </c>
      <c r="H5183" s="73"/>
      <c r="I5183" s="74"/>
      <c r="J5183" s="102">
        <v>0</v>
      </c>
    </row>
    <row r="5184" spans="1:10" hidden="1" x14ac:dyDescent="0.25">
      <c r="A5184" s="224"/>
      <c r="B5184" s="237"/>
      <c r="C5184" s="36" t="s">
        <v>1686</v>
      </c>
      <c r="D5184" s="36" t="s">
        <v>703</v>
      </c>
      <c r="E5184" s="37">
        <f>ROUND(0.962*1.3,4)</f>
        <v>1.2505999999999999</v>
      </c>
      <c r="F5184" s="54">
        <v>22.134999999999998</v>
      </c>
      <c r="G5184" s="54">
        <f t="shared" si="98"/>
        <v>27.682030999999995</v>
      </c>
      <c r="H5184" s="73"/>
      <c r="I5184" s="74"/>
      <c r="J5184" s="102">
        <v>0</v>
      </c>
    </row>
    <row r="5185" spans="1:10" hidden="1" x14ac:dyDescent="0.25">
      <c r="A5185" s="224"/>
      <c r="B5185" s="237"/>
      <c r="C5185" s="36"/>
      <c r="D5185" s="47"/>
      <c r="E5185" s="37"/>
      <c r="F5185" s="54" t="s">
        <v>522</v>
      </c>
      <c r="G5185" s="54" t="str">
        <f t="shared" si="98"/>
        <v/>
      </c>
      <c r="H5185" s="73"/>
      <c r="I5185" s="74"/>
      <c r="J5185" s="102">
        <v>0</v>
      </c>
    </row>
    <row r="5186" spans="1:10" ht="15.75" hidden="1" thickBot="1" x14ac:dyDescent="0.3">
      <c r="A5186" s="218" t="s">
        <v>1972</v>
      </c>
      <c r="B5186" s="221" t="e">
        <f>INDEX(#REF!,MATCH(Composições!A5186,#REF!,0),2)</f>
        <v>#REF!</v>
      </c>
      <c r="C5186" s="41"/>
      <c r="D5186" s="26" t="s">
        <v>93</v>
      </c>
      <c r="E5186" s="27"/>
      <c r="F5186" s="49" t="s">
        <v>522</v>
      </c>
      <c r="G5186" s="28" t="str">
        <f t="shared" si="98"/>
        <v/>
      </c>
      <c r="H5186" s="29"/>
      <c r="I5186" s="30"/>
      <c r="J5186" s="102">
        <v>0</v>
      </c>
    </row>
    <row r="5187" spans="1:10" hidden="1" x14ac:dyDescent="0.25">
      <c r="A5187" s="224"/>
      <c r="B5187" s="237"/>
      <c r="C5187" s="32"/>
      <c r="D5187" s="32"/>
      <c r="E5187" s="33"/>
      <c r="F5187" s="54" t="s">
        <v>522</v>
      </c>
      <c r="G5187" s="54" t="str">
        <f t="shared" si="98"/>
        <v/>
      </c>
      <c r="H5187" s="73"/>
      <c r="I5187" s="74"/>
      <c r="J5187" s="102">
        <v>0</v>
      </c>
    </row>
    <row r="5188" spans="1:10" ht="38.25" hidden="1" x14ac:dyDescent="0.25">
      <c r="A5188" s="224"/>
      <c r="B5188" s="237"/>
      <c r="C5188" s="36" t="s">
        <v>1660</v>
      </c>
      <c r="D5188" s="47" t="s">
        <v>942</v>
      </c>
      <c r="E5188" s="37">
        <v>2.1100000000000001E-2</v>
      </c>
      <c r="F5188" s="31">
        <v>192.02349999999998</v>
      </c>
      <c r="G5188" s="54">
        <f t="shared" si="98"/>
        <v>4.0516958499999998</v>
      </c>
      <c r="H5188" s="39">
        <f>SUM(G5188:G5197)</f>
        <v>439.385793036336</v>
      </c>
      <c r="I5188" s="40"/>
      <c r="J5188" s="102">
        <v>0</v>
      </c>
    </row>
    <row r="5189" spans="1:10" ht="38.25" hidden="1" x14ac:dyDescent="0.25">
      <c r="A5189" s="224"/>
      <c r="B5189" s="237"/>
      <c r="C5189" s="36" t="s">
        <v>1665</v>
      </c>
      <c r="D5189" s="36" t="s">
        <v>944</v>
      </c>
      <c r="E5189" s="37">
        <v>4.0300000000000002E-2</v>
      </c>
      <c r="F5189" s="31">
        <v>71.097999999999999</v>
      </c>
      <c r="G5189" s="54">
        <f t="shared" si="98"/>
        <v>2.8652494000000002</v>
      </c>
      <c r="H5189" s="73"/>
      <c r="I5189" s="74"/>
      <c r="J5189" s="102">
        <v>0</v>
      </c>
    </row>
    <row r="5190" spans="1:10" hidden="1" x14ac:dyDescent="0.25">
      <c r="A5190" s="224"/>
      <c r="B5190" s="237"/>
      <c r="C5190" s="36" t="s">
        <v>132</v>
      </c>
      <c r="D5190" s="47" t="s">
        <v>898</v>
      </c>
      <c r="E5190" s="37">
        <v>0.1125</v>
      </c>
      <c r="F5190" s="31">
        <v>31.349999999999998</v>
      </c>
      <c r="G5190" s="54">
        <f t="shared" si="98"/>
        <v>3.526875</v>
      </c>
      <c r="H5190" s="73"/>
      <c r="I5190" s="74"/>
      <c r="J5190" s="102">
        <v>0</v>
      </c>
    </row>
    <row r="5191" spans="1:10" hidden="1" x14ac:dyDescent="0.25">
      <c r="A5191" s="224"/>
      <c r="B5191" s="237"/>
      <c r="C5191" s="36" t="s">
        <v>1682</v>
      </c>
      <c r="D5191" s="36" t="s">
        <v>703</v>
      </c>
      <c r="E5191" s="37">
        <v>6.5600000000000006E-2</v>
      </c>
      <c r="F5191" s="31">
        <v>16.805500000000002</v>
      </c>
      <c r="G5191" s="54">
        <f t="shared" si="98"/>
        <v>1.1024408000000003</v>
      </c>
      <c r="H5191" s="73"/>
      <c r="I5191" s="74"/>
      <c r="J5191" s="102">
        <v>0</v>
      </c>
    </row>
    <row r="5192" spans="1:10" hidden="1" x14ac:dyDescent="0.25">
      <c r="A5192" s="224"/>
      <c r="B5192" s="237"/>
      <c r="C5192" s="36" t="s">
        <v>704</v>
      </c>
      <c r="D5192" s="36" t="s">
        <v>703</v>
      </c>
      <c r="E5192" s="37">
        <v>6.5600000000000006E-2</v>
      </c>
      <c r="F5192" s="54">
        <v>16.1785</v>
      </c>
      <c r="G5192" s="54">
        <f t="shared" si="98"/>
        <v>1.0613096</v>
      </c>
      <c r="H5192" s="73"/>
      <c r="I5192" s="74"/>
      <c r="J5192" s="102">
        <v>0</v>
      </c>
    </row>
    <row r="5193" spans="1:10" hidden="1" x14ac:dyDescent="0.25">
      <c r="A5193" s="224"/>
      <c r="B5193" s="237"/>
      <c r="C5193" s="36" t="s">
        <v>1686</v>
      </c>
      <c r="D5193" s="36" t="s">
        <v>703</v>
      </c>
      <c r="E5193" s="37">
        <v>0.28749999999999998</v>
      </c>
      <c r="F5193" s="54">
        <v>22.134999999999998</v>
      </c>
      <c r="G5193" s="54">
        <f t="shared" si="98"/>
        <v>6.363812499999999</v>
      </c>
      <c r="H5193" s="73"/>
      <c r="I5193" s="74"/>
      <c r="J5193" s="102">
        <v>0</v>
      </c>
    </row>
    <row r="5194" spans="1:10" ht="25.5" hidden="1" x14ac:dyDescent="0.25">
      <c r="A5194" s="224"/>
      <c r="B5194" s="237"/>
      <c r="C5194" s="36" t="s">
        <v>1910</v>
      </c>
      <c r="D5194" s="36" t="s">
        <v>479</v>
      </c>
      <c r="E5194" s="37">
        <v>1</v>
      </c>
      <c r="F5194" s="54">
        <v>398.411</v>
      </c>
      <c r="G5194" s="54">
        <f t="shared" si="98"/>
        <v>398.411</v>
      </c>
      <c r="H5194" s="73"/>
      <c r="I5194" s="74"/>
      <c r="J5194" s="102">
        <v>0</v>
      </c>
    </row>
    <row r="5195" spans="1:10" ht="38.25" hidden="1" x14ac:dyDescent="0.25">
      <c r="A5195" s="224"/>
      <c r="B5195" s="237"/>
      <c r="C5195" s="36" t="s">
        <v>1915</v>
      </c>
      <c r="D5195" s="36" t="s">
        <v>1287</v>
      </c>
      <c r="E5195" s="37">
        <v>2.1760000000000002E-2</v>
      </c>
      <c r="F5195" s="54">
        <v>31.307789600000003</v>
      </c>
      <c r="G5195" s="54">
        <f t="shared" si="98"/>
        <v>0.68125750169600008</v>
      </c>
      <c r="H5195" s="73"/>
      <c r="I5195" s="74"/>
      <c r="J5195" s="102">
        <v>0</v>
      </c>
    </row>
    <row r="5196" spans="1:10" ht="38.25" hidden="1" x14ac:dyDescent="0.25">
      <c r="A5196" s="224"/>
      <c r="B5196" s="237"/>
      <c r="C5196" s="36" t="s">
        <v>1912</v>
      </c>
      <c r="D5196" s="36" t="s">
        <v>1414</v>
      </c>
      <c r="E5196" s="37">
        <v>0.65280000000000005</v>
      </c>
      <c r="F5196" s="54">
        <v>2.2894325499999999</v>
      </c>
      <c r="G5196" s="54">
        <f t="shared" si="98"/>
        <v>1.4945415686400001</v>
      </c>
      <c r="H5196" s="73"/>
      <c r="I5196" s="74"/>
      <c r="J5196" s="102">
        <v>0</v>
      </c>
    </row>
    <row r="5197" spans="1:10" ht="51" hidden="1" x14ac:dyDescent="0.25">
      <c r="A5197" s="224"/>
      <c r="B5197" s="237"/>
      <c r="C5197" s="36" t="s">
        <v>1913</v>
      </c>
      <c r="D5197" s="36" t="s">
        <v>1414</v>
      </c>
      <c r="E5197" s="37">
        <v>21.76</v>
      </c>
      <c r="F5197" s="54">
        <v>0.91119534999999996</v>
      </c>
      <c r="G5197" s="54">
        <f t="shared" si="98"/>
        <v>19.827610816</v>
      </c>
      <c r="H5197" s="73"/>
      <c r="I5197" s="74"/>
      <c r="J5197" s="102">
        <v>0</v>
      </c>
    </row>
    <row r="5198" spans="1:10" hidden="1" x14ac:dyDescent="0.25">
      <c r="A5198" s="224"/>
      <c r="B5198" s="237"/>
      <c r="C5198" s="36"/>
      <c r="D5198" s="36"/>
      <c r="E5198" s="37"/>
      <c r="F5198" s="54" t="s">
        <v>522</v>
      </c>
      <c r="G5198" s="54" t="str">
        <f t="shared" si="98"/>
        <v/>
      </c>
      <c r="H5198" s="73"/>
      <c r="I5198" s="74"/>
      <c r="J5198" s="102">
        <v>0</v>
      </c>
    </row>
    <row r="5199" spans="1:10" hidden="1" x14ac:dyDescent="0.25">
      <c r="A5199" s="224"/>
      <c r="B5199" s="237"/>
      <c r="C5199" s="48" t="s">
        <v>2508</v>
      </c>
      <c r="D5199" s="36"/>
      <c r="E5199" s="37"/>
      <c r="F5199" s="54" t="s">
        <v>522</v>
      </c>
      <c r="G5199" s="54" t="str">
        <f t="shared" ref="G5199:G5212" si="99">IF(ISNUMBER(F5199),E5199*F5199,"")</f>
        <v/>
      </c>
      <c r="H5199" s="73"/>
      <c r="I5199" s="74"/>
      <c r="J5199" s="102">
        <v>0</v>
      </c>
    </row>
    <row r="5200" spans="1:10" hidden="1" x14ac:dyDescent="0.25">
      <c r="A5200" s="224"/>
      <c r="B5200" s="237"/>
      <c r="C5200" s="36"/>
      <c r="D5200" s="47"/>
      <c r="E5200" s="37"/>
      <c r="F5200" s="54" t="s">
        <v>522</v>
      </c>
      <c r="G5200" s="54" t="str">
        <f t="shared" si="99"/>
        <v/>
      </c>
      <c r="H5200" s="73"/>
      <c r="I5200" s="74"/>
      <c r="J5200" s="102">
        <v>0</v>
      </c>
    </row>
    <row r="5201" spans="1:10" ht="15.75" hidden="1" thickBot="1" x14ac:dyDescent="0.3">
      <c r="A5201" s="218" t="s">
        <v>1973</v>
      </c>
      <c r="B5201" s="221" t="e">
        <f>INDEX(#REF!,MATCH(Composições!A5201,#REF!,0),2)</f>
        <v>#REF!</v>
      </c>
      <c r="C5201" s="41"/>
      <c r="D5201" s="26" t="s">
        <v>93</v>
      </c>
      <c r="E5201" s="27"/>
      <c r="F5201" s="49" t="s">
        <v>522</v>
      </c>
      <c r="G5201" s="28" t="str">
        <f t="shared" si="99"/>
        <v/>
      </c>
      <c r="H5201" s="29"/>
      <c r="I5201" s="30"/>
      <c r="J5201" s="102">
        <v>0</v>
      </c>
    </row>
    <row r="5202" spans="1:10" hidden="1" x14ac:dyDescent="0.25">
      <c r="A5202" s="224"/>
      <c r="B5202" s="237"/>
      <c r="C5202" s="32"/>
      <c r="D5202" s="32"/>
      <c r="E5202" s="33"/>
      <c r="F5202" s="54" t="s">
        <v>522</v>
      </c>
      <c r="G5202" s="54" t="str">
        <f t="shared" si="99"/>
        <v/>
      </c>
      <c r="H5202" s="73"/>
      <c r="I5202" s="74"/>
      <c r="J5202" s="102">
        <v>0</v>
      </c>
    </row>
    <row r="5203" spans="1:10" ht="38.25" hidden="1" x14ac:dyDescent="0.25">
      <c r="A5203" s="224"/>
      <c r="B5203" s="237"/>
      <c r="C5203" s="36" t="s">
        <v>1660</v>
      </c>
      <c r="D5203" s="47" t="s">
        <v>942</v>
      </c>
      <c r="E5203" s="37">
        <v>2.1100000000000001E-2</v>
      </c>
      <c r="F5203" s="31">
        <v>192.02349999999998</v>
      </c>
      <c r="G5203" s="54">
        <f t="shared" si="99"/>
        <v>4.0516958499999998</v>
      </c>
      <c r="H5203" s="39">
        <f>SUM(G5203:G5214)</f>
        <v>740.24319185916238</v>
      </c>
      <c r="I5203" s="40"/>
      <c r="J5203" s="102">
        <v>0</v>
      </c>
    </row>
    <row r="5204" spans="1:10" ht="38.25" hidden="1" x14ac:dyDescent="0.25">
      <c r="A5204" s="224"/>
      <c r="B5204" s="237"/>
      <c r="C5204" s="36" t="s">
        <v>1665</v>
      </c>
      <c r="D5204" s="36" t="s">
        <v>944</v>
      </c>
      <c r="E5204" s="37">
        <v>4.0300000000000002E-2</v>
      </c>
      <c r="F5204" s="31">
        <v>71.097999999999999</v>
      </c>
      <c r="G5204" s="54">
        <f t="shared" si="99"/>
        <v>2.8652494000000002</v>
      </c>
      <c r="H5204" s="73"/>
      <c r="I5204" s="74"/>
      <c r="J5204" s="102">
        <v>0</v>
      </c>
    </row>
    <row r="5205" spans="1:10" hidden="1" x14ac:dyDescent="0.25">
      <c r="A5205" s="224"/>
      <c r="B5205" s="237"/>
      <c r="C5205" s="36" t="s">
        <v>132</v>
      </c>
      <c r="D5205" s="47" t="s">
        <v>898</v>
      </c>
      <c r="E5205" s="37">
        <v>0.15</v>
      </c>
      <c r="F5205" s="31">
        <v>31.349999999999998</v>
      </c>
      <c r="G5205" s="54">
        <f t="shared" si="99"/>
        <v>4.7024999999999997</v>
      </c>
      <c r="H5205" s="73"/>
      <c r="I5205" s="74"/>
      <c r="J5205" s="102">
        <v>0</v>
      </c>
    </row>
    <row r="5206" spans="1:10" hidden="1" x14ac:dyDescent="0.25">
      <c r="A5206" s="224"/>
      <c r="B5206" s="237"/>
      <c r="C5206" s="36" t="s">
        <v>1682</v>
      </c>
      <c r="D5206" s="36" t="s">
        <v>703</v>
      </c>
      <c r="E5206" s="37">
        <v>6.5600000000000006E-2</v>
      </c>
      <c r="F5206" s="31">
        <v>16.805500000000002</v>
      </c>
      <c r="G5206" s="54">
        <f t="shared" si="99"/>
        <v>1.1024408000000003</v>
      </c>
      <c r="H5206" s="73"/>
      <c r="I5206" s="74"/>
      <c r="J5206" s="102">
        <v>0</v>
      </c>
    </row>
    <row r="5207" spans="1:10" hidden="1" x14ac:dyDescent="0.25">
      <c r="A5207" s="224"/>
      <c r="B5207" s="237"/>
      <c r="C5207" s="36" t="s">
        <v>704</v>
      </c>
      <c r="D5207" s="36" t="s">
        <v>703</v>
      </c>
      <c r="E5207" s="37">
        <v>6.5600000000000006E-2</v>
      </c>
      <c r="F5207" s="54">
        <v>16.1785</v>
      </c>
      <c r="G5207" s="54">
        <f t="shared" si="99"/>
        <v>1.0613096</v>
      </c>
      <c r="H5207" s="73"/>
      <c r="I5207" s="74"/>
      <c r="J5207" s="102">
        <v>0</v>
      </c>
    </row>
    <row r="5208" spans="1:10" hidden="1" x14ac:dyDescent="0.25">
      <c r="A5208" s="224"/>
      <c r="B5208" s="237"/>
      <c r="C5208" s="36" t="s">
        <v>1686</v>
      </c>
      <c r="D5208" s="36" t="s">
        <v>703</v>
      </c>
      <c r="E5208" s="37">
        <v>0.38340000000000002</v>
      </c>
      <c r="F5208" s="54">
        <v>22.134999999999998</v>
      </c>
      <c r="G5208" s="54">
        <f t="shared" si="99"/>
        <v>8.4865589999999997</v>
      </c>
      <c r="H5208" s="73"/>
      <c r="I5208" s="74"/>
      <c r="J5208" s="102">
        <v>0</v>
      </c>
    </row>
    <row r="5209" spans="1:10" ht="25.5" hidden="1" x14ac:dyDescent="0.25">
      <c r="A5209" s="224"/>
      <c r="B5209" s="237"/>
      <c r="C5209" s="36" t="s">
        <v>1831</v>
      </c>
      <c r="D5209" s="36" t="s">
        <v>479</v>
      </c>
      <c r="E5209" s="37">
        <v>1</v>
      </c>
      <c r="F5209" s="54">
        <v>675.26949999999988</v>
      </c>
      <c r="G5209" s="54">
        <f t="shared" si="99"/>
        <v>675.26949999999988</v>
      </c>
      <c r="H5209" s="73"/>
      <c r="I5209" s="74"/>
      <c r="J5209" s="102">
        <v>0</v>
      </c>
    </row>
    <row r="5210" spans="1:10" ht="38.25" hidden="1" x14ac:dyDescent="0.25">
      <c r="A5210" s="224"/>
      <c r="B5210" s="237"/>
      <c r="C5210" s="36" t="s">
        <v>1916</v>
      </c>
      <c r="D5210" s="36" t="s">
        <v>1287</v>
      </c>
      <c r="E5210" s="37">
        <v>4.2549999999999998E-2</v>
      </c>
      <c r="F5210" s="54">
        <v>23.739469250000003</v>
      </c>
      <c r="G5210" s="54">
        <f t="shared" si="99"/>
        <v>1.0101144165875</v>
      </c>
      <c r="H5210" s="73"/>
      <c r="I5210" s="74"/>
      <c r="J5210" s="102">
        <v>0</v>
      </c>
    </row>
    <row r="5211" spans="1:10" ht="38.25" hidden="1" x14ac:dyDescent="0.25">
      <c r="A5211" s="224"/>
      <c r="B5211" s="237"/>
      <c r="C5211" s="36" t="s">
        <v>1912</v>
      </c>
      <c r="D5211" s="36" t="s">
        <v>1414</v>
      </c>
      <c r="E5211" s="37">
        <v>1.2765</v>
      </c>
      <c r="F5211" s="54">
        <v>2.2894325499999999</v>
      </c>
      <c r="G5211" s="54">
        <f t="shared" si="99"/>
        <v>2.9224606500749997</v>
      </c>
      <c r="H5211" s="73"/>
      <c r="I5211" s="74"/>
      <c r="J5211" s="102">
        <v>0</v>
      </c>
    </row>
    <row r="5212" spans="1:10" ht="51" hidden="1" x14ac:dyDescent="0.25">
      <c r="A5212" s="224"/>
      <c r="B5212" s="237"/>
      <c r="C5212" s="36" t="s">
        <v>1913</v>
      </c>
      <c r="D5212" s="36" t="s">
        <v>1414</v>
      </c>
      <c r="E5212" s="37">
        <v>42.55</v>
      </c>
      <c r="F5212" s="54">
        <v>0.91119534999999996</v>
      </c>
      <c r="G5212" s="54">
        <f t="shared" si="99"/>
        <v>38.771362142499996</v>
      </c>
      <c r="H5212" s="73"/>
      <c r="I5212" s="74"/>
      <c r="J5212" s="102">
        <v>0</v>
      </c>
    </row>
    <row r="5213" spans="1:10" hidden="1" x14ac:dyDescent="0.25">
      <c r="A5213" s="224"/>
      <c r="B5213" s="237"/>
      <c r="C5213" s="36"/>
      <c r="D5213" s="36"/>
      <c r="E5213" s="37"/>
      <c r="F5213" s="54"/>
      <c r="G5213" s="54"/>
      <c r="H5213" s="73"/>
      <c r="I5213" s="74"/>
      <c r="J5213" s="102">
        <v>0</v>
      </c>
    </row>
    <row r="5214" spans="1:10" hidden="1" x14ac:dyDescent="0.25">
      <c r="A5214" s="224"/>
      <c r="B5214" s="237"/>
      <c r="C5214" s="48" t="s">
        <v>2508</v>
      </c>
      <c r="D5214" s="36"/>
      <c r="E5214" s="37"/>
      <c r="F5214" s="54" t="s">
        <v>522</v>
      </c>
      <c r="G5214" s="54" t="str">
        <f t="shared" ref="G5214:G5277" si="100">IF(ISNUMBER(F5214),E5214*F5214,"")</f>
        <v/>
      </c>
      <c r="H5214" s="73"/>
      <c r="I5214" s="74"/>
      <c r="J5214" s="102">
        <v>0</v>
      </c>
    </row>
    <row r="5215" spans="1:10" hidden="1" x14ac:dyDescent="0.25">
      <c r="A5215" s="224"/>
      <c r="B5215" s="237"/>
      <c r="C5215" s="36"/>
      <c r="D5215" s="47"/>
      <c r="E5215" s="37"/>
      <c r="F5215" s="54" t="s">
        <v>522</v>
      </c>
      <c r="G5215" s="54" t="str">
        <f t="shared" si="100"/>
        <v/>
      </c>
      <c r="H5215" s="73"/>
      <c r="I5215" s="74"/>
      <c r="J5215" s="102">
        <v>0</v>
      </c>
    </row>
    <row r="5216" spans="1:10" ht="15.75" hidden="1" thickBot="1" x14ac:dyDescent="0.3">
      <c r="A5216" s="218" t="s">
        <v>1974</v>
      </c>
      <c r="B5216" s="221" t="e">
        <f>INDEX(#REF!,MATCH(Composições!A5216,#REF!,0),2)</f>
        <v>#REF!</v>
      </c>
      <c r="C5216" s="41"/>
      <c r="D5216" s="26" t="s">
        <v>20</v>
      </c>
      <c r="E5216" s="27"/>
      <c r="F5216" s="49" t="s">
        <v>522</v>
      </c>
      <c r="G5216" s="28" t="str">
        <f t="shared" si="100"/>
        <v/>
      </c>
      <c r="H5216" s="29"/>
      <c r="I5216" s="30"/>
      <c r="J5216" s="102">
        <v>0</v>
      </c>
    </row>
    <row r="5217" spans="1:10" hidden="1" x14ac:dyDescent="0.25">
      <c r="A5217" s="224"/>
      <c r="B5217" s="237"/>
      <c r="C5217" s="32"/>
      <c r="D5217" s="32"/>
      <c r="E5217" s="33"/>
      <c r="F5217" s="54" t="s">
        <v>522</v>
      </c>
      <c r="G5217" s="54" t="str">
        <f t="shared" si="100"/>
        <v/>
      </c>
      <c r="H5217" s="73"/>
      <c r="I5217" s="74"/>
      <c r="J5217" s="102">
        <v>0</v>
      </c>
    </row>
    <row r="5218" spans="1:10" hidden="1" x14ac:dyDescent="0.25">
      <c r="A5218" s="224"/>
      <c r="B5218" s="237"/>
      <c r="C5218" s="36" t="s">
        <v>318</v>
      </c>
      <c r="D5218" s="36" t="s">
        <v>279</v>
      </c>
      <c r="E5218" s="37">
        <v>8.3999999999999995E-3</v>
      </c>
      <c r="F5218" s="31">
        <v>12.995999999999999</v>
      </c>
      <c r="G5218" s="54">
        <f t="shared" si="100"/>
        <v>0.10916639999999998</v>
      </c>
      <c r="H5218" s="39">
        <f>SUM(G5218:G5221)</f>
        <v>41.494629149999994</v>
      </c>
      <c r="I5218" s="40"/>
      <c r="J5218" s="102">
        <v>0</v>
      </c>
    </row>
    <row r="5219" spans="1:10" hidden="1" x14ac:dyDescent="0.25">
      <c r="A5219" s="224"/>
      <c r="B5219" s="237"/>
      <c r="C5219" s="36" t="s">
        <v>1145</v>
      </c>
      <c r="D5219" s="36" t="s">
        <v>279</v>
      </c>
      <c r="E5219" s="37">
        <v>1</v>
      </c>
      <c r="F5219" s="31">
        <v>38.683999999999997</v>
      </c>
      <c r="G5219" s="54">
        <f t="shared" si="100"/>
        <v>38.683999999999997</v>
      </c>
      <c r="H5219" s="73"/>
      <c r="I5219" s="74"/>
      <c r="J5219" s="102">
        <v>0</v>
      </c>
    </row>
    <row r="5220" spans="1:10" ht="25.5" hidden="1" x14ac:dyDescent="0.25">
      <c r="A5220" s="224"/>
      <c r="B5220" s="237"/>
      <c r="C5220" s="36" t="s">
        <v>953</v>
      </c>
      <c r="D5220" s="47" t="s">
        <v>703</v>
      </c>
      <c r="E5220" s="37">
        <v>7.1900000000000006E-2</v>
      </c>
      <c r="F5220" s="31">
        <v>16.672499999999999</v>
      </c>
      <c r="G5220" s="54">
        <f t="shared" si="100"/>
        <v>1.1987527500000001</v>
      </c>
      <c r="H5220" s="73"/>
      <c r="I5220" s="74"/>
      <c r="J5220" s="102">
        <v>0</v>
      </c>
    </row>
    <row r="5221" spans="1:10" ht="25.5" hidden="1" x14ac:dyDescent="0.25">
      <c r="A5221" s="224"/>
      <c r="B5221" s="237"/>
      <c r="C5221" s="36" t="s">
        <v>954</v>
      </c>
      <c r="D5221" s="36" t="s">
        <v>703</v>
      </c>
      <c r="E5221" s="37">
        <v>7.1900000000000006E-2</v>
      </c>
      <c r="F5221" s="31">
        <v>20.9</v>
      </c>
      <c r="G5221" s="54">
        <f t="shared" si="100"/>
        <v>1.50271</v>
      </c>
      <c r="H5221" s="73"/>
      <c r="I5221" s="74"/>
      <c r="J5221" s="102">
        <v>0</v>
      </c>
    </row>
    <row r="5222" spans="1:10" hidden="1" x14ac:dyDescent="0.25">
      <c r="A5222" s="224"/>
      <c r="B5222" s="237"/>
      <c r="C5222" s="36"/>
      <c r="D5222" s="47"/>
      <c r="E5222" s="37"/>
      <c r="F5222" s="54" t="s">
        <v>522</v>
      </c>
      <c r="G5222" s="54" t="str">
        <f t="shared" si="100"/>
        <v/>
      </c>
      <c r="H5222" s="73"/>
      <c r="I5222" s="74"/>
      <c r="J5222" s="102">
        <v>0</v>
      </c>
    </row>
    <row r="5223" spans="1:10" ht="15.75" hidden="1" thickBot="1" x14ac:dyDescent="0.3">
      <c r="A5223" s="218" t="s">
        <v>1976</v>
      </c>
      <c r="B5223" s="221" t="e">
        <f>INDEX(#REF!,MATCH(Composições!A5223,#REF!,0),2)</f>
        <v>#REF!</v>
      </c>
      <c r="C5223" s="41"/>
      <c r="D5223" s="26" t="s">
        <v>20</v>
      </c>
      <c r="E5223" s="27"/>
      <c r="F5223" s="49" t="s">
        <v>522</v>
      </c>
      <c r="G5223" s="28" t="str">
        <f t="shared" si="100"/>
        <v/>
      </c>
      <c r="H5223" s="29"/>
      <c r="I5223" s="30"/>
      <c r="J5223" s="102">
        <v>0</v>
      </c>
    </row>
    <row r="5224" spans="1:10" hidden="1" x14ac:dyDescent="0.25">
      <c r="A5224" s="224"/>
      <c r="B5224" s="237"/>
      <c r="C5224" s="32"/>
      <c r="D5224" s="32"/>
      <c r="E5224" s="33"/>
      <c r="F5224" s="54" t="s">
        <v>522</v>
      </c>
      <c r="G5224" s="54" t="str">
        <f t="shared" si="100"/>
        <v/>
      </c>
      <c r="H5224" s="73"/>
      <c r="I5224" s="74"/>
      <c r="J5224" s="102">
        <v>0</v>
      </c>
    </row>
    <row r="5225" spans="1:10" hidden="1" x14ac:dyDescent="0.25">
      <c r="A5225" s="224"/>
      <c r="B5225" s="237"/>
      <c r="C5225" s="36" t="s">
        <v>318</v>
      </c>
      <c r="D5225" s="36" t="s">
        <v>279</v>
      </c>
      <c r="E5225" s="37">
        <v>4.5199999999999997E-2</v>
      </c>
      <c r="F5225" s="31">
        <v>12.995999999999999</v>
      </c>
      <c r="G5225" s="54">
        <f t="shared" si="100"/>
        <v>0.58741919999999992</v>
      </c>
      <c r="H5225" s="39">
        <f>SUM(G5225:G5228)</f>
        <v>27.733550449999999</v>
      </c>
      <c r="I5225" s="40"/>
      <c r="J5225" s="102">
        <v>0</v>
      </c>
    </row>
    <row r="5226" spans="1:10" hidden="1" x14ac:dyDescent="0.25">
      <c r="A5226" s="224"/>
      <c r="B5226" s="237"/>
      <c r="C5226" s="36" t="s">
        <v>1977</v>
      </c>
      <c r="D5226" s="36" t="s">
        <v>279</v>
      </c>
      <c r="E5226" s="37">
        <v>1</v>
      </c>
      <c r="F5226" s="31" t="s">
        <v>522</v>
      </c>
      <c r="G5226" s="54" t="str">
        <f t="shared" si="100"/>
        <v/>
      </c>
      <c r="H5226" s="73"/>
      <c r="I5226" s="74"/>
      <c r="J5226" s="102">
        <v>0</v>
      </c>
    </row>
    <row r="5227" spans="1:10" ht="25.5" hidden="1" x14ac:dyDescent="0.25">
      <c r="A5227" s="224"/>
      <c r="B5227" s="237"/>
      <c r="C5227" s="36" t="s">
        <v>953</v>
      </c>
      <c r="D5227" s="47" t="s">
        <v>703</v>
      </c>
      <c r="E5227" s="37">
        <v>0.72250000000000003</v>
      </c>
      <c r="F5227" s="31">
        <v>16.672499999999999</v>
      </c>
      <c r="G5227" s="54">
        <f t="shared" si="100"/>
        <v>12.045881250000001</v>
      </c>
      <c r="H5227" s="73"/>
      <c r="I5227" s="74"/>
      <c r="J5227" s="102">
        <v>0</v>
      </c>
    </row>
    <row r="5228" spans="1:10" ht="25.5" hidden="1" x14ac:dyDescent="0.25">
      <c r="A5228" s="224"/>
      <c r="B5228" s="237"/>
      <c r="C5228" s="36" t="s">
        <v>954</v>
      </c>
      <c r="D5228" s="36" t="s">
        <v>703</v>
      </c>
      <c r="E5228" s="37">
        <v>0.72250000000000003</v>
      </c>
      <c r="F5228" s="31">
        <v>20.9</v>
      </c>
      <c r="G5228" s="54">
        <f t="shared" si="100"/>
        <v>15.100249999999999</v>
      </c>
      <c r="H5228" s="73"/>
      <c r="I5228" s="74"/>
      <c r="J5228" s="102">
        <v>0</v>
      </c>
    </row>
    <row r="5229" spans="1:10" hidden="1" x14ac:dyDescent="0.25">
      <c r="A5229" s="224"/>
      <c r="B5229" s="237"/>
      <c r="C5229" s="36"/>
      <c r="D5229" s="47"/>
      <c r="E5229" s="37"/>
      <c r="F5229" s="54" t="s">
        <v>522</v>
      </c>
      <c r="G5229" s="54" t="str">
        <f t="shared" si="100"/>
        <v/>
      </c>
      <c r="H5229" s="73"/>
      <c r="I5229" s="74"/>
      <c r="J5229" s="102">
        <v>0</v>
      </c>
    </row>
    <row r="5230" spans="1:10" ht="15.75" hidden="1" thickBot="1" x14ac:dyDescent="0.3">
      <c r="A5230" s="218" t="s">
        <v>1978</v>
      </c>
      <c r="B5230" s="221" t="e">
        <f>INDEX(#REF!,MATCH(Composições!A5230,#REF!,0),2)</f>
        <v>#REF!</v>
      </c>
      <c r="C5230" s="41"/>
      <c r="D5230" s="26" t="s">
        <v>93</v>
      </c>
      <c r="E5230" s="27"/>
      <c r="F5230" s="49" t="s">
        <v>522</v>
      </c>
      <c r="G5230" s="28" t="str">
        <f t="shared" si="100"/>
        <v/>
      </c>
      <c r="H5230" s="29"/>
      <c r="I5230" s="30"/>
      <c r="J5230" s="102">
        <v>0</v>
      </c>
    </row>
    <row r="5231" spans="1:10" hidden="1" x14ac:dyDescent="0.25">
      <c r="A5231" s="224"/>
      <c r="B5231" s="237"/>
      <c r="C5231" s="32"/>
      <c r="D5231" s="32"/>
      <c r="E5231" s="33"/>
      <c r="F5231" s="54" t="s">
        <v>522</v>
      </c>
      <c r="G5231" s="54" t="str">
        <f t="shared" si="100"/>
        <v/>
      </c>
      <c r="H5231" s="73"/>
      <c r="I5231" s="74"/>
      <c r="J5231" s="102">
        <v>0</v>
      </c>
    </row>
    <row r="5232" spans="1:10" hidden="1" x14ac:dyDescent="0.25">
      <c r="A5232" s="224"/>
      <c r="B5232" s="237"/>
      <c r="C5232" s="36" t="s">
        <v>1997</v>
      </c>
      <c r="D5232" s="36" t="s">
        <v>93</v>
      </c>
      <c r="E5232" s="37">
        <v>1.05</v>
      </c>
      <c r="F5232" s="31" t="s">
        <v>522</v>
      </c>
      <c r="G5232" s="54" t="str">
        <f t="shared" si="100"/>
        <v/>
      </c>
      <c r="H5232" s="39">
        <f>SUM(G5232:G5234)</f>
        <v>2.7524587499999997</v>
      </c>
      <c r="I5232" s="40"/>
      <c r="J5232" s="102">
        <v>0</v>
      </c>
    </row>
    <row r="5233" spans="1:10" hidden="1" x14ac:dyDescent="0.25">
      <c r="A5233" s="224"/>
      <c r="B5233" s="237"/>
      <c r="C5233" s="36" t="s">
        <v>1159</v>
      </c>
      <c r="D5233" s="47" t="s">
        <v>703</v>
      </c>
      <c r="E5233" s="37">
        <v>7.1099999999999997E-2</v>
      </c>
      <c r="F5233" s="31">
        <v>17.024000000000001</v>
      </c>
      <c r="G5233" s="54">
        <f t="shared" si="100"/>
        <v>1.2104064000000001</v>
      </c>
      <c r="H5233" s="73"/>
      <c r="I5233" s="74"/>
      <c r="J5233" s="102">
        <v>0</v>
      </c>
    </row>
    <row r="5234" spans="1:10" hidden="1" x14ac:dyDescent="0.25">
      <c r="A5234" s="224"/>
      <c r="B5234" s="237"/>
      <c r="C5234" s="36" t="s">
        <v>1160</v>
      </c>
      <c r="D5234" s="36" t="s">
        <v>703</v>
      </c>
      <c r="E5234" s="37">
        <v>7.1099999999999997E-2</v>
      </c>
      <c r="F5234" s="31">
        <v>21.688499999999998</v>
      </c>
      <c r="G5234" s="54">
        <f t="shared" si="100"/>
        <v>1.5420523499999998</v>
      </c>
      <c r="H5234" s="73"/>
      <c r="I5234" s="74"/>
      <c r="J5234" s="102">
        <v>0</v>
      </c>
    </row>
    <row r="5235" spans="1:10" hidden="1" x14ac:dyDescent="0.25">
      <c r="A5235" s="224"/>
      <c r="B5235" s="237"/>
      <c r="C5235" s="36"/>
      <c r="D5235" s="47"/>
      <c r="E5235" s="37"/>
      <c r="F5235" s="54" t="s">
        <v>522</v>
      </c>
      <c r="G5235" s="54" t="str">
        <f t="shared" si="100"/>
        <v/>
      </c>
      <c r="H5235" s="73"/>
      <c r="I5235" s="74"/>
      <c r="J5235" s="102">
        <v>0</v>
      </c>
    </row>
    <row r="5236" spans="1:10" ht="15.75" hidden="1" thickBot="1" x14ac:dyDescent="0.3">
      <c r="A5236" s="218" t="s">
        <v>1979</v>
      </c>
      <c r="B5236" s="221" t="e">
        <f>INDEX(#REF!,MATCH(Composições!A5236,#REF!,0),2)</f>
        <v>#REF!</v>
      </c>
      <c r="C5236" s="41"/>
      <c r="D5236" s="26" t="s">
        <v>93</v>
      </c>
      <c r="E5236" s="27"/>
      <c r="F5236" s="49" t="s">
        <v>522</v>
      </c>
      <c r="G5236" s="28" t="str">
        <f t="shared" si="100"/>
        <v/>
      </c>
      <c r="H5236" s="29"/>
      <c r="I5236" s="30"/>
      <c r="J5236" s="102">
        <v>0</v>
      </c>
    </row>
    <row r="5237" spans="1:10" hidden="1" x14ac:dyDescent="0.25">
      <c r="A5237" s="224"/>
      <c r="B5237" s="237"/>
      <c r="C5237" s="32"/>
      <c r="D5237" s="32"/>
      <c r="E5237" s="33"/>
      <c r="F5237" s="54" t="s">
        <v>522</v>
      </c>
      <c r="G5237" s="54" t="str">
        <f t="shared" si="100"/>
        <v/>
      </c>
      <c r="H5237" s="73"/>
      <c r="I5237" s="74"/>
      <c r="J5237" s="102">
        <v>0</v>
      </c>
    </row>
    <row r="5238" spans="1:10" hidden="1" x14ac:dyDescent="0.25">
      <c r="A5238" s="224"/>
      <c r="B5238" s="237"/>
      <c r="C5238" s="36" t="s">
        <v>1998</v>
      </c>
      <c r="D5238" s="36" t="s">
        <v>93</v>
      </c>
      <c r="E5238" s="37">
        <v>1.05</v>
      </c>
      <c r="F5238" s="31" t="s">
        <v>522</v>
      </c>
      <c r="G5238" s="54" t="str">
        <f t="shared" si="100"/>
        <v/>
      </c>
      <c r="H5238" s="39">
        <f>SUM(G5238:G5240)</f>
        <v>5.3732950000000006</v>
      </c>
      <c r="I5238" s="40"/>
      <c r="J5238" s="102">
        <v>0</v>
      </c>
    </row>
    <row r="5239" spans="1:10" hidden="1" x14ac:dyDescent="0.25">
      <c r="A5239" s="224"/>
      <c r="B5239" s="237"/>
      <c r="C5239" s="36" t="s">
        <v>1159</v>
      </c>
      <c r="D5239" s="47" t="s">
        <v>703</v>
      </c>
      <c r="E5239" s="37">
        <v>0.13880000000000001</v>
      </c>
      <c r="F5239" s="31">
        <v>17.024000000000001</v>
      </c>
      <c r="G5239" s="54">
        <f t="shared" si="100"/>
        <v>2.3629312000000002</v>
      </c>
      <c r="H5239" s="73"/>
      <c r="I5239" s="74"/>
      <c r="J5239" s="102">
        <v>0</v>
      </c>
    </row>
    <row r="5240" spans="1:10" hidden="1" x14ac:dyDescent="0.25">
      <c r="A5240" s="224"/>
      <c r="B5240" s="237"/>
      <c r="C5240" s="36" t="s">
        <v>1160</v>
      </c>
      <c r="D5240" s="36" t="s">
        <v>703</v>
      </c>
      <c r="E5240" s="37">
        <v>0.13880000000000001</v>
      </c>
      <c r="F5240" s="31">
        <v>21.688499999999998</v>
      </c>
      <c r="G5240" s="54">
        <f t="shared" si="100"/>
        <v>3.0103637999999999</v>
      </c>
      <c r="H5240" s="73"/>
      <c r="I5240" s="74"/>
      <c r="J5240" s="102">
        <v>0</v>
      </c>
    </row>
    <row r="5241" spans="1:10" hidden="1" x14ac:dyDescent="0.25">
      <c r="A5241" s="224"/>
      <c r="B5241" s="237"/>
      <c r="C5241" s="36"/>
      <c r="D5241" s="47"/>
      <c r="E5241" s="37"/>
      <c r="F5241" s="54" t="s">
        <v>522</v>
      </c>
      <c r="G5241" s="54" t="str">
        <f t="shared" si="100"/>
        <v/>
      </c>
      <c r="H5241" s="73"/>
      <c r="I5241" s="74"/>
      <c r="J5241" s="102">
        <v>0</v>
      </c>
    </row>
    <row r="5242" spans="1:10" ht="15.75" hidden="1" thickBot="1" x14ac:dyDescent="0.3">
      <c r="A5242" s="218" t="s">
        <v>1980</v>
      </c>
      <c r="B5242" s="221" t="e">
        <f>INDEX(#REF!,MATCH(Composições!A5242,#REF!,0),2)</f>
        <v>#REF!</v>
      </c>
      <c r="C5242" s="41"/>
      <c r="D5242" s="26" t="s">
        <v>93</v>
      </c>
      <c r="E5242" s="27"/>
      <c r="F5242" s="42" t="s">
        <v>522</v>
      </c>
      <c r="G5242" s="28" t="str">
        <f t="shared" si="100"/>
        <v/>
      </c>
      <c r="H5242" s="29"/>
      <c r="I5242" s="30"/>
      <c r="J5242" s="102">
        <v>0</v>
      </c>
    </row>
    <row r="5243" spans="1:10" hidden="1" x14ac:dyDescent="0.25">
      <c r="A5243" s="219"/>
      <c r="B5243" s="237"/>
      <c r="C5243" s="32"/>
      <c r="D5243" s="32"/>
      <c r="E5243" s="33"/>
      <c r="F5243" s="43" t="s">
        <v>522</v>
      </c>
      <c r="G5243" s="31" t="str">
        <f t="shared" si="100"/>
        <v/>
      </c>
      <c r="H5243" s="35"/>
      <c r="I5243" s="31"/>
      <c r="J5243" s="102">
        <v>0</v>
      </c>
    </row>
    <row r="5244" spans="1:10" ht="38.25" hidden="1" x14ac:dyDescent="0.25">
      <c r="A5244" s="219"/>
      <c r="B5244" s="237"/>
      <c r="C5244" s="36" t="s">
        <v>2500</v>
      </c>
      <c r="D5244" s="36" t="s">
        <v>479</v>
      </c>
      <c r="E5244" s="37">
        <v>1.1000000000000001</v>
      </c>
      <c r="F5244" s="31">
        <v>3.4390000000000001</v>
      </c>
      <c r="G5244" s="34">
        <f t="shared" si="100"/>
        <v>3.7829000000000002</v>
      </c>
      <c r="H5244" s="39">
        <f>SUM(G5244:G5247)</f>
        <v>10.877737499999999</v>
      </c>
      <c r="I5244" s="40"/>
      <c r="J5244" s="102">
        <v>0</v>
      </c>
    </row>
    <row r="5245" spans="1:10" hidden="1" x14ac:dyDescent="0.25">
      <c r="A5245" s="219"/>
      <c r="B5245" s="237"/>
      <c r="C5245" s="36" t="s">
        <v>1159</v>
      </c>
      <c r="D5245" s="36" t="s">
        <v>703</v>
      </c>
      <c r="E5245" s="37">
        <v>0.113</v>
      </c>
      <c r="F5245" s="31">
        <v>17.024000000000001</v>
      </c>
      <c r="G5245" s="34">
        <f t="shared" si="100"/>
        <v>1.9237120000000001</v>
      </c>
      <c r="H5245" s="35"/>
      <c r="I5245" s="31"/>
      <c r="J5245" s="102">
        <v>0</v>
      </c>
    </row>
    <row r="5246" spans="1:10" hidden="1" x14ac:dyDescent="0.25">
      <c r="A5246" s="219"/>
      <c r="B5246" s="237"/>
      <c r="C5246" s="36" t="s">
        <v>1160</v>
      </c>
      <c r="D5246" s="36" t="s">
        <v>703</v>
      </c>
      <c r="E5246" s="37">
        <v>0.113</v>
      </c>
      <c r="F5246" s="31">
        <v>21.688499999999998</v>
      </c>
      <c r="G5246" s="34">
        <f t="shared" si="100"/>
        <v>2.4508004999999997</v>
      </c>
      <c r="H5246" s="35"/>
      <c r="I5246" s="31"/>
      <c r="J5246" s="102">
        <v>0</v>
      </c>
    </row>
    <row r="5247" spans="1:10" ht="51" hidden="1" x14ac:dyDescent="0.25">
      <c r="A5247" s="219"/>
      <c r="B5247" s="237"/>
      <c r="C5247" s="36" t="s">
        <v>1677</v>
      </c>
      <c r="D5247" s="36" t="s">
        <v>479</v>
      </c>
      <c r="E5247" s="37">
        <v>1</v>
      </c>
      <c r="F5247" s="34">
        <v>2.7203249999999999</v>
      </c>
      <c r="G5247" s="31">
        <f t="shared" si="100"/>
        <v>2.7203249999999999</v>
      </c>
      <c r="H5247" s="35"/>
      <c r="I5247" s="31"/>
      <c r="J5247" s="102">
        <v>0</v>
      </c>
    </row>
    <row r="5248" spans="1:10" ht="15.75" hidden="1" thickBot="1" x14ac:dyDescent="0.3">
      <c r="A5248" s="220"/>
      <c r="B5248" s="223"/>
      <c r="C5248" s="36"/>
      <c r="D5248" s="36"/>
      <c r="E5248" s="37"/>
      <c r="F5248" s="31" t="s">
        <v>522</v>
      </c>
      <c r="G5248" s="31" t="str">
        <f t="shared" si="100"/>
        <v/>
      </c>
      <c r="H5248" s="35"/>
      <c r="I5248" s="31"/>
      <c r="J5248" s="102">
        <v>0</v>
      </c>
    </row>
    <row r="5249" spans="1:10" ht="15.75" hidden="1" thickBot="1" x14ac:dyDescent="0.3">
      <c r="A5249" s="232" t="s">
        <v>1981</v>
      </c>
      <c r="B5249" s="229" t="e">
        <f>INDEX(#REF!,MATCH(Composições!A5249,#REF!,0),2)</f>
        <v>#REF!</v>
      </c>
      <c r="C5249" s="41"/>
      <c r="D5249" s="26" t="s">
        <v>20</v>
      </c>
      <c r="E5249" s="27"/>
      <c r="F5249" s="42" t="s">
        <v>522</v>
      </c>
      <c r="G5249" s="28" t="str">
        <f t="shared" si="100"/>
        <v/>
      </c>
      <c r="H5249" s="29"/>
      <c r="I5249" s="30"/>
      <c r="J5249" s="102">
        <v>0</v>
      </c>
    </row>
    <row r="5250" spans="1:10" hidden="1" x14ac:dyDescent="0.25">
      <c r="A5250" s="233"/>
      <c r="B5250" s="238"/>
      <c r="C5250" s="32"/>
      <c r="D5250" s="32"/>
      <c r="E5250" s="33"/>
      <c r="F5250" s="43" t="s">
        <v>522</v>
      </c>
      <c r="G5250" s="31" t="str">
        <f t="shared" si="100"/>
        <v/>
      </c>
      <c r="H5250" s="35"/>
      <c r="I5250" s="31"/>
      <c r="J5250" s="102">
        <v>0</v>
      </c>
    </row>
    <row r="5251" spans="1:10" ht="63.75" hidden="1" x14ac:dyDescent="0.25">
      <c r="A5251" s="233"/>
      <c r="B5251" s="238"/>
      <c r="C5251" s="36" t="s">
        <v>1661</v>
      </c>
      <c r="D5251" s="36" t="s">
        <v>942</v>
      </c>
      <c r="E5251" s="37">
        <f>ROUND(0.0087*3.33,4)</f>
        <v>2.9000000000000001E-2</v>
      </c>
      <c r="F5251" s="31">
        <v>121.581</v>
      </c>
      <c r="G5251" s="34">
        <f t="shared" si="100"/>
        <v>3.5258490000000005</v>
      </c>
      <c r="H5251" s="39">
        <f>SUM(G5251:G5259)</f>
        <v>1664.3689800613097</v>
      </c>
      <c r="I5251" s="40"/>
      <c r="J5251" s="102">
        <v>0</v>
      </c>
    </row>
    <row r="5252" spans="1:10" ht="63.75" hidden="1" x14ac:dyDescent="0.25">
      <c r="A5252" s="233"/>
      <c r="B5252" s="238"/>
      <c r="C5252" s="36" t="s">
        <v>1666</v>
      </c>
      <c r="D5252" s="36" t="s">
        <v>944</v>
      </c>
      <c r="E5252" s="37">
        <f>ROUND(0.0294*3.33,4)</f>
        <v>9.7900000000000001E-2</v>
      </c>
      <c r="F5252" s="31">
        <v>44.003999999999998</v>
      </c>
      <c r="G5252" s="34">
        <f t="shared" si="100"/>
        <v>4.3079916000000003</v>
      </c>
      <c r="H5252" s="35"/>
      <c r="I5252" s="31"/>
      <c r="J5252" s="102">
        <v>0</v>
      </c>
    </row>
    <row r="5253" spans="1:10" hidden="1" x14ac:dyDescent="0.25">
      <c r="A5253" s="233"/>
      <c r="B5253" s="238"/>
      <c r="C5253" s="36" t="s">
        <v>1907</v>
      </c>
      <c r="D5253" s="36" t="s">
        <v>279</v>
      </c>
      <c r="E5253" s="37">
        <f>ROUND(169.8027*3.33,4)</f>
        <v>565.44299999999998</v>
      </c>
      <c r="F5253" s="34">
        <v>0.63649999999999995</v>
      </c>
      <c r="G5253" s="31">
        <f t="shared" si="100"/>
        <v>359.90446949999995</v>
      </c>
      <c r="H5253" s="35"/>
      <c r="I5253" s="31"/>
      <c r="J5253" s="102">
        <v>0</v>
      </c>
    </row>
    <row r="5254" spans="1:10" ht="38.25" hidden="1" x14ac:dyDescent="0.25">
      <c r="A5254" s="233"/>
      <c r="B5254" s="238"/>
      <c r="C5254" s="36" t="s">
        <v>1002</v>
      </c>
      <c r="D5254" s="36" t="s">
        <v>120</v>
      </c>
      <c r="E5254" s="37">
        <f>ROUND(0.0014*3.33,4)</f>
        <v>4.7000000000000002E-3</v>
      </c>
      <c r="F5254" s="31">
        <v>482.96383126599994</v>
      </c>
      <c r="G5254" s="34">
        <f t="shared" si="100"/>
        <v>2.2699300069502</v>
      </c>
      <c r="H5254" s="35"/>
      <c r="I5254" s="40"/>
      <c r="J5254" s="102">
        <v>0</v>
      </c>
    </row>
    <row r="5255" spans="1:10" hidden="1" x14ac:dyDescent="0.25">
      <c r="A5255" s="233"/>
      <c r="B5255" s="238"/>
      <c r="C5255" s="36" t="s">
        <v>711</v>
      </c>
      <c r="D5255" s="36" t="s">
        <v>703</v>
      </c>
      <c r="E5255" s="37">
        <f>ROUND(5.4392*3.33,4)</f>
        <v>18.112500000000001</v>
      </c>
      <c r="F5255" s="31">
        <v>21.479499999999998</v>
      </c>
      <c r="G5255" s="34">
        <f t="shared" si="100"/>
        <v>389.04744374999996</v>
      </c>
      <c r="H5255" s="35"/>
      <c r="I5255" s="31"/>
      <c r="J5255" s="102">
        <v>0</v>
      </c>
    </row>
    <row r="5256" spans="1:10" hidden="1" x14ac:dyDescent="0.25">
      <c r="A5256" s="233"/>
      <c r="B5256" s="238"/>
      <c r="C5256" s="36" t="s">
        <v>704</v>
      </c>
      <c r="D5256" s="36" t="s">
        <v>703</v>
      </c>
      <c r="E5256" s="37">
        <f>ROUND(5.4392*3.33,4)</f>
        <v>18.112500000000001</v>
      </c>
      <c r="F5256" s="34">
        <v>16.1785</v>
      </c>
      <c r="G5256" s="31">
        <f t="shared" si="100"/>
        <v>293.03308125000001</v>
      </c>
      <c r="H5256" s="35"/>
      <c r="I5256" s="31"/>
      <c r="J5256" s="102">
        <v>0</v>
      </c>
    </row>
    <row r="5257" spans="1:10" ht="25.5" hidden="1" x14ac:dyDescent="0.25">
      <c r="A5257" s="233"/>
      <c r="B5257" s="238"/>
      <c r="C5257" s="36" t="s">
        <v>1679</v>
      </c>
      <c r="D5257" s="36" t="s">
        <v>120</v>
      </c>
      <c r="E5257" s="37">
        <f>ROUND(0.1012*3.33,4)</f>
        <v>0.33700000000000002</v>
      </c>
      <c r="F5257" s="31">
        <v>553.03047868099998</v>
      </c>
      <c r="G5257" s="34">
        <f t="shared" si="100"/>
        <v>186.37127131549701</v>
      </c>
      <c r="H5257" s="35"/>
      <c r="I5257" s="40"/>
      <c r="J5257" s="102">
        <v>0</v>
      </c>
    </row>
    <row r="5258" spans="1:10" ht="25.5" hidden="1" x14ac:dyDescent="0.25">
      <c r="A5258" s="233"/>
      <c r="B5258" s="238"/>
      <c r="C5258" s="36" t="s">
        <v>1676</v>
      </c>
      <c r="D5258" s="36" t="s">
        <v>120</v>
      </c>
      <c r="E5258" s="37">
        <f>ROUND(0.0448*3.33,4)</f>
        <v>0.1492</v>
      </c>
      <c r="F5258" s="31">
        <v>2260.1914770881458</v>
      </c>
      <c r="G5258" s="34">
        <f t="shared" si="100"/>
        <v>337.22056838155135</v>
      </c>
      <c r="H5258" s="35"/>
      <c r="I5258" s="31"/>
      <c r="J5258" s="102">
        <v>0</v>
      </c>
    </row>
    <row r="5259" spans="1:10" ht="25.5" hidden="1" x14ac:dyDescent="0.25">
      <c r="A5259" s="233"/>
      <c r="B5259" s="238"/>
      <c r="C5259" s="36" t="s">
        <v>2004</v>
      </c>
      <c r="D5259" s="36" t="s">
        <v>120</v>
      </c>
      <c r="E5259" s="37">
        <f>ROUND(0.081*3.33,4)</f>
        <v>0.2697</v>
      </c>
      <c r="F5259" s="34">
        <v>328.84084263</v>
      </c>
      <c r="G5259" s="31">
        <f t="shared" si="100"/>
        <v>88.688375257310994</v>
      </c>
      <c r="H5259" s="35"/>
      <c r="I5259" s="31"/>
      <c r="J5259" s="102">
        <v>0</v>
      </c>
    </row>
    <row r="5260" spans="1:10" ht="15.75" hidden="1" thickBot="1" x14ac:dyDescent="0.3">
      <c r="A5260" s="234"/>
      <c r="B5260" s="231"/>
      <c r="C5260" s="36"/>
      <c r="D5260" s="36"/>
      <c r="E5260" s="37"/>
      <c r="F5260" s="31" t="s">
        <v>522</v>
      </c>
      <c r="G5260" s="31" t="str">
        <f t="shared" si="100"/>
        <v/>
      </c>
      <c r="H5260" s="35"/>
      <c r="I5260" s="31"/>
      <c r="J5260" s="102">
        <v>0</v>
      </c>
    </row>
    <row r="5261" spans="1:10" ht="15.75" hidden="1" thickBot="1" x14ac:dyDescent="0.3">
      <c r="A5261" s="218" t="s">
        <v>1982</v>
      </c>
      <c r="B5261" s="221" t="e">
        <f>INDEX(#REF!,MATCH(Composições!A5261,#REF!,0),2)</f>
        <v>#REF!</v>
      </c>
      <c r="C5261" s="41"/>
      <c r="D5261" s="26" t="s">
        <v>20</v>
      </c>
      <c r="E5261" s="27"/>
      <c r="F5261" s="42" t="s">
        <v>522</v>
      </c>
      <c r="G5261" s="28" t="str">
        <f t="shared" si="100"/>
        <v/>
      </c>
      <c r="H5261" s="29"/>
      <c r="I5261" s="30"/>
      <c r="J5261" s="102">
        <v>0</v>
      </c>
    </row>
    <row r="5262" spans="1:10" hidden="1" x14ac:dyDescent="0.25">
      <c r="A5262" s="219"/>
      <c r="B5262" s="237"/>
      <c r="C5262" s="32"/>
      <c r="D5262" s="32"/>
      <c r="E5262" s="33"/>
      <c r="F5262" s="43" t="s">
        <v>522</v>
      </c>
      <c r="G5262" s="31" t="str">
        <f t="shared" si="100"/>
        <v/>
      </c>
      <c r="H5262" s="35"/>
      <c r="I5262" s="31"/>
      <c r="J5262" s="102">
        <v>0</v>
      </c>
    </row>
    <row r="5263" spans="1:10" hidden="1" x14ac:dyDescent="0.25">
      <c r="A5263" s="219"/>
      <c r="B5263" s="237"/>
      <c r="C5263" s="36" t="s">
        <v>18</v>
      </c>
      <c r="D5263" s="36" t="s">
        <v>703</v>
      </c>
      <c r="E5263" s="37">
        <v>40</v>
      </c>
      <c r="F5263" s="31">
        <v>86.117500000000007</v>
      </c>
      <c r="G5263" s="34">
        <f t="shared" si="100"/>
        <v>3444.7000000000003</v>
      </c>
      <c r="H5263" s="39">
        <f>SUM(G5263:G5267)</f>
        <v>4366.96</v>
      </c>
      <c r="I5263" s="40"/>
      <c r="J5263" s="102">
        <v>0</v>
      </c>
    </row>
    <row r="5264" spans="1:10" hidden="1" x14ac:dyDescent="0.25">
      <c r="A5264" s="219"/>
      <c r="B5264" s="237"/>
      <c r="C5264" s="36" t="s">
        <v>1689</v>
      </c>
      <c r="D5264" s="36" t="s">
        <v>12</v>
      </c>
      <c r="E5264" s="37">
        <v>20</v>
      </c>
      <c r="F5264" s="31">
        <v>22.381999999999998</v>
      </c>
      <c r="G5264" s="34">
        <f t="shared" si="100"/>
        <v>447.64</v>
      </c>
      <c r="H5264" s="35"/>
      <c r="I5264" s="31"/>
      <c r="J5264" s="102">
        <v>0</v>
      </c>
    </row>
    <row r="5265" spans="1:10" hidden="1" x14ac:dyDescent="0.25">
      <c r="A5265" s="219"/>
      <c r="B5265" s="237"/>
      <c r="C5265" s="36" t="s">
        <v>1691</v>
      </c>
      <c r="D5265" s="36" t="s">
        <v>12</v>
      </c>
      <c r="E5265" s="37">
        <v>20</v>
      </c>
      <c r="F5265" s="31">
        <v>16.235499999999998</v>
      </c>
      <c r="G5265" s="34">
        <f t="shared" si="100"/>
        <v>324.70999999999998</v>
      </c>
      <c r="H5265" s="35"/>
      <c r="I5265" s="31"/>
      <c r="J5265" s="102">
        <v>0</v>
      </c>
    </row>
    <row r="5266" spans="1:10" hidden="1" x14ac:dyDescent="0.25">
      <c r="A5266" s="219"/>
      <c r="B5266" s="237"/>
      <c r="C5266" s="36" t="s">
        <v>1683</v>
      </c>
      <c r="D5266" s="36" t="s">
        <v>12</v>
      </c>
      <c r="E5266" s="37">
        <v>20</v>
      </c>
      <c r="F5266" s="31">
        <v>7.4954999999999989</v>
      </c>
      <c r="G5266" s="34">
        <f t="shared" si="100"/>
        <v>149.90999999999997</v>
      </c>
      <c r="H5266" s="35"/>
      <c r="I5266" s="31"/>
      <c r="J5266" s="102">
        <v>0</v>
      </c>
    </row>
    <row r="5267" spans="1:10" hidden="1" x14ac:dyDescent="0.25">
      <c r="A5267" s="219"/>
      <c r="B5267" s="237"/>
      <c r="C5267" s="36" t="s">
        <v>19</v>
      </c>
      <c r="D5267" s="36" t="s">
        <v>20</v>
      </c>
      <c r="E5267" s="37">
        <v>1</v>
      </c>
      <c r="F5267" s="34" t="s">
        <v>522</v>
      </c>
      <c r="G5267" s="31" t="str">
        <f t="shared" si="100"/>
        <v/>
      </c>
      <c r="H5267" s="35"/>
      <c r="I5267" s="31"/>
      <c r="J5267" s="102">
        <v>0</v>
      </c>
    </row>
    <row r="5268" spans="1:10" ht="15.75" hidden="1" thickBot="1" x14ac:dyDescent="0.3">
      <c r="A5268" s="220"/>
      <c r="B5268" s="223"/>
      <c r="C5268" s="36"/>
      <c r="D5268" s="36"/>
      <c r="E5268" s="37"/>
      <c r="F5268" s="31" t="s">
        <v>522</v>
      </c>
      <c r="G5268" s="31" t="str">
        <f t="shared" si="100"/>
        <v/>
      </c>
      <c r="H5268" s="35"/>
      <c r="I5268" s="31"/>
      <c r="J5268" s="102">
        <v>0</v>
      </c>
    </row>
    <row r="5269" spans="1:10" ht="15.75" hidden="1" thickBot="1" x14ac:dyDescent="0.3">
      <c r="A5269" s="218" t="s">
        <v>1983</v>
      </c>
      <c r="B5269" s="221" t="e">
        <f>INDEX(#REF!,MATCH(Composições!A5269,#REF!,0),2)</f>
        <v>#REF!</v>
      </c>
      <c r="C5269" s="41"/>
      <c r="D5269" s="26" t="s">
        <v>93</v>
      </c>
      <c r="E5269" s="27"/>
      <c r="F5269" s="42" t="s">
        <v>522</v>
      </c>
      <c r="G5269" s="28" t="str">
        <f t="shared" si="100"/>
        <v/>
      </c>
      <c r="H5269" s="29"/>
      <c r="I5269" s="30"/>
      <c r="J5269" s="102">
        <v>0</v>
      </c>
    </row>
    <row r="5270" spans="1:10" hidden="1" x14ac:dyDescent="0.25">
      <c r="A5270" s="219"/>
      <c r="B5270" s="237"/>
      <c r="C5270" s="32"/>
      <c r="D5270" s="32"/>
      <c r="E5270" s="33"/>
      <c r="F5270" s="43" t="s">
        <v>522</v>
      </c>
      <c r="G5270" s="31" t="str">
        <f t="shared" si="100"/>
        <v/>
      </c>
      <c r="H5270" s="35"/>
      <c r="I5270" s="31"/>
      <c r="J5270" s="102">
        <v>0</v>
      </c>
    </row>
    <row r="5271" spans="1:10" ht="38.25" hidden="1" x14ac:dyDescent="0.25">
      <c r="A5271" s="219"/>
      <c r="B5271" s="237"/>
      <c r="C5271" s="36" t="s">
        <v>2397</v>
      </c>
      <c r="D5271" s="36" t="s">
        <v>479</v>
      </c>
      <c r="E5271" s="37">
        <v>1.1000000000000001</v>
      </c>
      <c r="F5271" s="31">
        <v>5.6714999999999991</v>
      </c>
      <c r="G5271" s="34">
        <f t="shared" si="100"/>
        <v>6.2386499999999998</v>
      </c>
      <c r="H5271" s="39">
        <f>SUM(G5271:G5273)</f>
        <v>9.8969812499999996</v>
      </c>
      <c r="I5271" s="40"/>
      <c r="J5271" s="102">
        <v>0</v>
      </c>
    </row>
    <row r="5272" spans="1:10" hidden="1" x14ac:dyDescent="0.25">
      <c r="A5272" s="219"/>
      <c r="B5272" s="237"/>
      <c r="C5272" s="36" t="s">
        <v>1159</v>
      </c>
      <c r="D5272" s="36" t="s">
        <v>703</v>
      </c>
      <c r="E5272" s="37">
        <v>9.4500000000000001E-2</v>
      </c>
      <c r="F5272" s="31">
        <v>17.024000000000001</v>
      </c>
      <c r="G5272" s="34">
        <f t="shared" si="100"/>
        <v>1.6087680000000002</v>
      </c>
      <c r="H5272" s="35"/>
      <c r="I5272" s="31"/>
      <c r="J5272" s="102">
        <v>0</v>
      </c>
    </row>
    <row r="5273" spans="1:10" hidden="1" x14ac:dyDescent="0.25">
      <c r="A5273" s="219"/>
      <c r="B5273" s="237"/>
      <c r="C5273" s="36" t="s">
        <v>1160</v>
      </c>
      <c r="D5273" s="36" t="s">
        <v>703</v>
      </c>
      <c r="E5273" s="37">
        <v>9.4500000000000001E-2</v>
      </c>
      <c r="F5273" s="34">
        <v>21.688499999999998</v>
      </c>
      <c r="G5273" s="31">
        <f t="shared" si="100"/>
        <v>2.0495632499999998</v>
      </c>
      <c r="H5273" s="35"/>
      <c r="I5273" s="31"/>
      <c r="J5273" s="102">
        <v>0</v>
      </c>
    </row>
    <row r="5274" spans="1:10" ht="15.75" hidden="1" thickBot="1" x14ac:dyDescent="0.3">
      <c r="A5274" s="220"/>
      <c r="B5274" s="223"/>
      <c r="C5274" s="36"/>
      <c r="D5274" s="36"/>
      <c r="E5274" s="37"/>
      <c r="F5274" s="31" t="s">
        <v>522</v>
      </c>
      <c r="G5274" s="31" t="str">
        <f t="shared" si="100"/>
        <v/>
      </c>
      <c r="H5274" s="35"/>
      <c r="I5274" s="31"/>
      <c r="J5274" s="102">
        <v>0</v>
      </c>
    </row>
    <row r="5275" spans="1:10" ht="15.75" hidden="1" thickBot="1" x14ac:dyDescent="0.3">
      <c r="A5275" s="218" t="s">
        <v>1984</v>
      </c>
      <c r="B5275" s="221" t="e">
        <f>INDEX(#REF!,MATCH(Composições!A5275,#REF!,0),2)</f>
        <v>#REF!</v>
      </c>
      <c r="C5275" s="41"/>
      <c r="D5275" s="26" t="s">
        <v>20</v>
      </c>
      <c r="E5275" s="27"/>
      <c r="F5275" s="49" t="s">
        <v>522</v>
      </c>
      <c r="G5275" s="28" t="str">
        <f t="shared" si="100"/>
        <v/>
      </c>
      <c r="H5275" s="29"/>
      <c r="I5275" s="30"/>
      <c r="J5275" s="102">
        <v>0</v>
      </c>
    </row>
    <row r="5276" spans="1:10" hidden="1" x14ac:dyDescent="0.25">
      <c r="A5276" s="224"/>
      <c r="B5276" s="222"/>
      <c r="C5276" s="103"/>
      <c r="D5276" s="103"/>
      <c r="E5276" s="104"/>
      <c r="F5276" s="54" t="s">
        <v>522</v>
      </c>
      <c r="G5276" s="54" t="str">
        <f t="shared" si="100"/>
        <v/>
      </c>
      <c r="H5276" s="73"/>
      <c r="I5276" s="74"/>
      <c r="J5276" s="102">
        <v>0</v>
      </c>
    </row>
    <row r="5277" spans="1:10" ht="38.25" hidden="1" x14ac:dyDescent="0.25">
      <c r="A5277" s="224"/>
      <c r="B5277" s="222"/>
      <c r="C5277" s="105" t="s">
        <v>3358</v>
      </c>
      <c r="D5277" s="105" t="s">
        <v>279</v>
      </c>
      <c r="E5277" s="106">
        <v>1</v>
      </c>
      <c r="F5277" s="31">
        <v>640.68949999999995</v>
      </c>
      <c r="G5277" s="54">
        <f t="shared" si="100"/>
        <v>640.68949999999995</v>
      </c>
      <c r="H5277" s="39">
        <f>SUM(G5277:G5280)</f>
        <v>677.6181986061963</v>
      </c>
      <c r="I5277" s="40"/>
      <c r="J5277" s="102">
        <v>0</v>
      </c>
    </row>
    <row r="5278" spans="1:10" hidden="1" x14ac:dyDescent="0.25">
      <c r="A5278" s="224"/>
      <c r="B5278" s="222"/>
      <c r="C5278" s="105" t="s">
        <v>711</v>
      </c>
      <c r="D5278" s="105" t="s">
        <v>703</v>
      </c>
      <c r="E5278" s="106">
        <v>1.0088999999999999</v>
      </c>
      <c r="F5278" s="31">
        <v>21.479499999999998</v>
      </c>
      <c r="G5278" s="54">
        <f t="shared" ref="G5278:G5341" si="101">IF(ISNUMBER(F5278),E5278*F5278,"")</f>
        <v>21.670667549999997</v>
      </c>
      <c r="H5278" s="73"/>
      <c r="I5278" s="74"/>
      <c r="J5278" s="102">
        <v>0</v>
      </c>
    </row>
    <row r="5279" spans="1:10" hidden="1" x14ac:dyDescent="0.25">
      <c r="A5279" s="224"/>
      <c r="B5279" s="222"/>
      <c r="C5279" s="105" t="s">
        <v>704</v>
      </c>
      <c r="D5279" s="107" t="s">
        <v>703</v>
      </c>
      <c r="E5279" s="106">
        <v>0.79269999999999996</v>
      </c>
      <c r="F5279" s="31">
        <v>16.1785</v>
      </c>
      <c r="G5279" s="54">
        <f t="shared" si="101"/>
        <v>12.82469695</v>
      </c>
      <c r="H5279" s="73"/>
      <c r="I5279" s="74"/>
      <c r="J5279" s="102">
        <v>0</v>
      </c>
    </row>
    <row r="5280" spans="1:10" ht="25.5" hidden="1" x14ac:dyDescent="0.25">
      <c r="A5280" s="224"/>
      <c r="B5280" s="222"/>
      <c r="C5280" s="105" t="s">
        <v>1679</v>
      </c>
      <c r="D5280" s="105" t="s">
        <v>120</v>
      </c>
      <c r="E5280" s="106">
        <v>4.4000000000000003E-3</v>
      </c>
      <c r="F5280" s="31">
        <v>553.03047868099998</v>
      </c>
      <c r="G5280" s="54">
        <f t="shared" si="101"/>
        <v>2.4333341061964</v>
      </c>
      <c r="H5280" s="73"/>
      <c r="I5280" s="74"/>
      <c r="J5280" s="102">
        <v>0</v>
      </c>
    </row>
    <row r="5281" spans="1:10" ht="15.75" hidden="1" thickBot="1" x14ac:dyDescent="0.3">
      <c r="A5281" s="225"/>
      <c r="B5281" s="223"/>
      <c r="C5281" s="55"/>
      <c r="D5281" s="108"/>
      <c r="E5281" s="66"/>
      <c r="F5281" s="76" t="s">
        <v>522</v>
      </c>
      <c r="G5281" s="76" t="str">
        <f t="shared" si="101"/>
        <v/>
      </c>
      <c r="H5281" s="77"/>
      <c r="I5281" s="74"/>
      <c r="J5281" s="102">
        <v>0</v>
      </c>
    </row>
    <row r="5282" spans="1:10" ht="15.75" hidden="1" thickBot="1" x14ac:dyDescent="0.3">
      <c r="A5282" s="218" t="s">
        <v>2018</v>
      </c>
      <c r="B5282" s="221" t="e">
        <f>INDEX(#REF!,MATCH(Composições!A5282,#REF!,0),2)</f>
        <v>#REF!</v>
      </c>
      <c r="C5282" s="41"/>
      <c r="D5282" s="26" t="s">
        <v>93</v>
      </c>
      <c r="E5282" s="27"/>
      <c r="F5282" s="49" t="s">
        <v>522</v>
      </c>
      <c r="G5282" s="28" t="str">
        <f t="shared" si="101"/>
        <v/>
      </c>
      <c r="H5282" s="29"/>
      <c r="I5282" s="30"/>
      <c r="J5282" s="102">
        <v>0</v>
      </c>
    </row>
    <row r="5283" spans="1:10" hidden="1" x14ac:dyDescent="0.25">
      <c r="A5283" s="224"/>
      <c r="B5283" s="237"/>
      <c r="C5283" s="109"/>
      <c r="D5283" s="109"/>
      <c r="E5283" s="110"/>
      <c r="F5283" s="54" t="s">
        <v>522</v>
      </c>
      <c r="G5283" s="54" t="str">
        <f t="shared" si="101"/>
        <v/>
      </c>
      <c r="H5283" s="73"/>
      <c r="I5283" s="74"/>
      <c r="J5283" s="102">
        <v>0</v>
      </c>
    </row>
    <row r="5284" spans="1:10" ht="25.5" hidden="1" x14ac:dyDescent="0.25">
      <c r="A5284" s="224"/>
      <c r="B5284" s="237"/>
      <c r="C5284" s="36" t="s">
        <v>1835</v>
      </c>
      <c r="D5284" s="36" t="s">
        <v>479</v>
      </c>
      <c r="E5284" s="37">
        <v>1.0216000000000001</v>
      </c>
      <c r="F5284" s="31">
        <v>18.249500000000001</v>
      </c>
      <c r="G5284" s="54">
        <f t="shared" si="101"/>
        <v>18.643689200000001</v>
      </c>
      <c r="H5284" s="39">
        <f>SUM(G5284:G5286)</f>
        <v>25.650499700000001</v>
      </c>
      <c r="I5284" s="40"/>
      <c r="J5284" s="102">
        <v>0</v>
      </c>
    </row>
    <row r="5285" spans="1:10" ht="25.5" hidden="1" x14ac:dyDescent="0.25">
      <c r="A5285" s="224"/>
      <c r="B5285" s="237"/>
      <c r="C5285" s="36" t="s">
        <v>953</v>
      </c>
      <c r="D5285" s="47" t="s">
        <v>703</v>
      </c>
      <c r="E5285" s="37">
        <v>8.1799999999999998E-2</v>
      </c>
      <c r="F5285" s="31">
        <v>16.672499999999999</v>
      </c>
      <c r="G5285" s="54">
        <f t="shared" si="101"/>
        <v>1.3638104999999998</v>
      </c>
      <c r="H5285" s="73"/>
      <c r="I5285" s="74"/>
      <c r="J5285" s="102">
        <v>0</v>
      </c>
    </row>
    <row r="5286" spans="1:10" ht="25.5" hidden="1" x14ac:dyDescent="0.25">
      <c r="A5286" s="224"/>
      <c r="B5286" s="237"/>
      <c r="C5286" s="36" t="s">
        <v>954</v>
      </c>
      <c r="D5286" s="36" t="s">
        <v>703</v>
      </c>
      <c r="E5286" s="37">
        <v>0.27</v>
      </c>
      <c r="F5286" s="31">
        <v>20.9</v>
      </c>
      <c r="G5286" s="54">
        <f t="shared" si="101"/>
        <v>5.6429999999999998</v>
      </c>
      <c r="H5286" s="73"/>
      <c r="I5286" s="74"/>
      <c r="J5286" s="102">
        <v>0</v>
      </c>
    </row>
    <row r="5287" spans="1:10" hidden="1" x14ac:dyDescent="0.25">
      <c r="A5287" s="224"/>
      <c r="B5287" s="237"/>
      <c r="C5287" s="36"/>
      <c r="D5287" s="47"/>
      <c r="E5287" s="37"/>
      <c r="F5287" s="54" t="s">
        <v>522</v>
      </c>
      <c r="G5287" s="54" t="str">
        <f t="shared" si="101"/>
        <v/>
      </c>
      <c r="H5287" s="73"/>
      <c r="I5287" s="74"/>
      <c r="J5287" s="102">
        <v>0</v>
      </c>
    </row>
    <row r="5288" spans="1:10" ht="15.75" hidden="1" thickBot="1" x14ac:dyDescent="0.3">
      <c r="A5288" s="218" t="s">
        <v>2019</v>
      </c>
      <c r="B5288" s="221" t="e">
        <f>INDEX(#REF!,MATCH(Composições!A5288,#REF!,0),2)</f>
        <v>#REF!</v>
      </c>
      <c r="C5288" s="41"/>
      <c r="D5288" s="26" t="s">
        <v>93</v>
      </c>
      <c r="E5288" s="27"/>
      <c r="F5288" s="49" t="s">
        <v>522</v>
      </c>
      <c r="G5288" s="28" t="str">
        <f t="shared" si="101"/>
        <v/>
      </c>
      <c r="H5288" s="29"/>
      <c r="I5288" s="30"/>
      <c r="J5288" s="102">
        <v>0</v>
      </c>
    </row>
    <row r="5289" spans="1:10" hidden="1" x14ac:dyDescent="0.25">
      <c r="A5289" s="224"/>
      <c r="B5289" s="222"/>
      <c r="C5289" s="111"/>
      <c r="D5289" s="111"/>
      <c r="E5289" s="112"/>
      <c r="F5289" s="54" t="s">
        <v>522</v>
      </c>
      <c r="G5289" s="54" t="str">
        <f t="shared" si="101"/>
        <v/>
      </c>
      <c r="H5289" s="73"/>
      <c r="I5289" s="74"/>
      <c r="J5289" s="102">
        <v>0</v>
      </c>
    </row>
    <row r="5290" spans="1:10" ht="25.5" hidden="1" x14ac:dyDescent="0.25">
      <c r="A5290" s="224"/>
      <c r="B5290" s="222"/>
      <c r="C5290" s="36" t="s">
        <v>1834</v>
      </c>
      <c r="D5290" s="105" t="s">
        <v>479</v>
      </c>
      <c r="E5290" s="106">
        <v>1.0216000000000001</v>
      </c>
      <c r="F5290" s="31">
        <v>25.27</v>
      </c>
      <c r="G5290" s="54">
        <f t="shared" si="101"/>
        <v>25.815832</v>
      </c>
      <c r="H5290" s="39">
        <f>SUM(G5290:G5292)</f>
        <v>34.198769750000004</v>
      </c>
      <c r="I5290" s="40"/>
      <c r="J5290" s="102">
        <v>0</v>
      </c>
    </row>
    <row r="5291" spans="1:10" ht="25.5" hidden="1" x14ac:dyDescent="0.25">
      <c r="A5291" s="224"/>
      <c r="B5291" s="222"/>
      <c r="C5291" s="105" t="s">
        <v>953</v>
      </c>
      <c r="D5291" s="107" t="s">
        <v>703</v>
      </c>
      <c r="E5291" s="106">
        <v>9.7900000000000001E-2</v>
      </c>
      <c r="F5291" s="31">
        <v>16.672499999999999</v>
      </c>
      <c r="G5291" s="54">
        <f t="shared" si="101"/>
        <v>1.63223775</v>
      </c>
      <c r="H5291" s="73"/>
      <c r="I5291" s="74"/>
      <c r="J5291" s="102">
        <v>0</v>
      </c>
    </row>
    <row r="5292" spans="1:10" ht="25.5" hidden="1" x14ac:dyDescent="0.25">
      <c r="A5292" s="224"/>
      <c r="B5292" s="222"/>
      <c r="C5292" s="105" t="s">
        <v>954</v>
      </c>
      <c r="D5292" s="105" t="s">
        <v>703</v>
      </c>
      <c r="E5292" s="106">
        <v>0.32300000000000001</v>
      </c>
      <c r="F5292" s="31">
        <v>20.9</v>
      </c>
      <c r="G5292" s="54">
        <f t="shared" si="101"/>
        <v>6.7507000000000001</v>
      </c>
      <c r="H5292" s="73"/>
      <c r="I5292" s="74"/>
      <c r="J5292" s="102">
        <v>0</v>
      </c>
    </row>
    <row r="5293" spans="1:10" ht="15.75" hidden="1" thickBot="1" x14ac:dyDescent="0.3">
      <c r="A5293" s="225"/>
      <c r="B5293" s="223"/>
      <c r="C5293" s="55"/>
      <c r="D5293" s="108"/>
      <c r="E5293" s="66"/>
      <c r="F5293" s="76" t="s">
        <v>522</v>
      </c>
      <c r="G5293" s="76" t="str">
        <f t="shared" si="101"/>
        <v/>
      </c>
      <c r="H5293" s="77"/>
      <c r="I5293" s="74"/>
      <c r="J5293" s="102">
        <v>0</v>
      </c>
    </row>
    <row r="5294" spans="1:10" ht="15.75" hidden="1" thickBot="1" x14ac:dyDescent="0.3">
      <c r="A5294" s="218" t="s">
        <v>2047</v>
      </c>
      <c r="B5294" s="221" t="e">
        <f>INDEX(#REF!,MATCH(Composições!A5294,#REF!,0),2)</f>
        <v>#REF!</v>
      </c>
      <c r="C5294" s="41"/>
      <c r="D5294" s="26" t="s">
        <v>20</v>
      </c>
      <c r="E5294" s="27"/>
      <c r="F5294" s="49" t="s">
        <v>522</v>
      </c>
      <c r="G5294" s="28" t="str">
        <f t="shared" si="101"/>
        <v/>
      </c>
      <c r="H5294" s="29"/>
      <c r="I5294" s="30"/>
      <c r="J5294" s="102">
        <v>0</v>
      </c>
    </row>
    <row r="5295" spans="1:10" hidden="1" x14ac:dyDescent="0.25">
      <c r="A5295" s="224"/>
      <c r="B5295" s="222"/>
      <c r="C5295" s="111"/>
      <c r="D5295" s="111"/>
      <c r="E5295" s="112"/>
      <c r="F5295" s="54" t="s">
        <v>522</v>
      </c>
      <c r="G5295" s="54" t="str">
        <f t="shared" si="101"/>
        <v/>
      </c>
      <c r="H5295" s="73"/>
      <c r="I5295" s="74"/>
      <c r="J5295" s="102">
        <v>0</v>
      </c>
    </row>
    <row r="5296" spans="1:10" hidden="1" x14ac:dyDescent="0.25">
      <c r="A5296" s="224"/>
      <c r="B5296" s="222"/>
      <c r="C5296" s="36" t="s">
        <v>2338</v>
      </c>
      <c r="D5296" s="105" t="s">
        <v>279</v>
      </c>
      <c r="E5296" s="106">
        <v>1</v>
      </c>
      <c r="F5296" s="31" t="s">
        <v>522</v>
      </c>
      <c r="G5296" s="54" t="str">
        <f t="shared" si="101"/>
        <v/>
      </c>
      <c r="H5296" s="39">
        <f>SUM(G5296:G5298)</f>
        <v>5.1664809499999995</v>
      </c>
      <c r="I5296" s="40"/>
      <c r="J5296" s="102">
        <v>0</v>
      </c>
    </row>
    <row r="5297" spans="1:10" hidden="1" x14ac:dyDescent="0.25">
      <c r="A5297" s="224"/>
      <c r="B5297" s="222"/>
      <c r="C5297" s="105" t="s">
        <v>1159</v>
      </c>
      <c r="D5297" s="107" t="s">
        <v>703</v>
      </c>
      <c r="E5297" s="106">
        <v>7.4800000000000005E-2</v>
      </c>
      <c r="F5297" s="31">
        <v>17.024000000000001</v>
      </c>
      <c r="G5297" s="54">
        <f t="shared" si="101"/>
        <v>1.2733952000000002</v>
      </c>
      <c r="H5297" s="73"/>
      <c r="I5297" s="74"/>
      <c r="J5297" s="102">
        <v>0</v>
      </c>
    </row>
    <row r="5298" spans="1:10" hidden="1" x14ac:dyDescent="0.25">
      <c r="A5298" s="224"/>
      <c r="B5298" s="222"/>
      <c r="C5298" s="105" t="s">
        <v>1160</v>
      </c>
      <c r="D5298" s="105" t="s">
        <v>703</v>
      </c>
      <c r="E5298" s="106">
        <v>0.17949999999999999</v>
      </c>
      <c r="F5298" s="31">
        <v>21.688499999999998</v>
      </c>
      <c r="G5298" s="54">
        <f t="shared" si="101"/>
        <v>3.8930857499999996</v>
      </c>
      <c r="H5298" s="73"/>
      <c r="I5298" s="74"/>
      <c r="J5298" s="102">
        <v>0</v>
      </c>
    </row>
    <row r="5299" spans="1:10" ht="15.75" hidden="1" thickBot="1" x14ac:dyDescent="0.3">
      <c r="A5299" s="225"/>
      <c r="B5299" s="223"/>
      <c r="C5299" s="55"/>
      <c r="D5299" s="108"/>
      <c r="E5299" s="66"/>
      <c r="F5299" s="76" t="s">
        <v>522</v>
      </c>
      <c r="G5299" s="76" t="str">
        <f t="shared" si="101"/>
        <v/>
      </c>
      <c r="H5299" s="77"/>
      <c r="I5299" s="74"/>
      <c r="J5299" s="102">
        <v>0</v>
      </c>
    </row>
    <row r="5300" spans="1:10" ht="15.75" hidden="1" thickBot="1" x14ac:dyDescent="0.3">
      <c r="A5300" s="232" t="s">
        <v>2048</v>
      </c>
      <c r="B5300" s="221" t="e">
        <f>INDEX(#REF!,MATCH(Composições!A5300,#REF!,0),2)</f>
        <v>#REF!</v>
      </c>
      <c r="C5300" s="41"/>
      <c r="D5300" s="26" t="s">
        <v>93</v>
      </c>
      <c r="E5300" s="27"/>
      <c r="F5300" s="49" t="s">
        <v>522</v>
      </c>
      <c r="G5300" s="28" t="str">
        <f t="shared" si="101"/>
        <v/>
      </c>
      <c r="H5300" s="29"/>
      <c r="I5300" s="30"/>
      <c r="J5300" s="102">
        <v>0</v>
      </c>
    </row>
    <row r="5301" spans="1:10" hidden="1" x14ac:dyDescent="0.25">
      <c r="A5301" s="235"/>
      <c r="B5301" s="222"/>
      <c r="C5301" s="32"/>
      <c r="D5301" s="32"/>
      <c r="E5301" s="33"/>
      <c r="F5301" s="54" t="s">
        <v>522</v>
      </c>
      <c r="G5301" s="54" t="str">
        <f t="shared" si="101"/>
        <v/>
      </c>
      <c r="H5301" s="73"/>
      <c r="I5301" s="74"/>
      <c r="J5301" s="102">
        <v>0</v>
      </c>
    </row>
    <row r="5302" spans="1:10" hidden="1" x14ac:dyDescent="0.25">
      <c r="A5302" s="235"/>
      <c r="B5302" s="222"/>
      <c r="C5302" s="36" t="s">
        <v>2339</v>
      </c>
      <c r="D5302" s="36" t="s">
        <v>93</v>
      </c>
      <c r="E5302" s="37">
        <v>1.05</v>
      </c>
      <c r="F5302" s="31" t="s">
        <v>522</v>
      </c>
      <c r="G5302" s="54" t="str">
        <f t="shared" si="101"/>
        <v/>
      </c>
      <c r="H5302" s="39">
        <f>SUM(G5302:G5304)</f>
        <v>0.10839499999999999</v>
      </c>
      <c r="I5302" s="40"/>
      <c r="J5302" s="102">
        <v>0</v>
      </c>
    </row>
    <row r="5303" spans="1:10" hidden="1" x14ac:dyDescent="0.25">
      <c r="A5303" s="235"/>
      <c r="B5303" s="222"/>
      <c r="C5303" s="36" t="s">
        <v>1159</v>
      </c>
      <c r="D5303" s="47" t="s">
        <v>703</v>
      </c>
      <c r="E5303" s="37">
        <v>2.8E-3</v>
      </c>
      <c r="F5303" s="31">
        <v>17.024000000000001</v>
      </c>
      <c r="G5303" s="54">
        <f t="shared" si="101"/>
        <v>4.76672E-2</v>
      </c>
      <c r="H5303" s="73"/>
      <c r="I5303" s="74"/>
      <c r="J5303" s="102">
        <v>0</v>
      </c>
    </row>
    <row r="5304" spans="1:10" hidden="1" x14ac:dyDescent="0.25">
      <c r="A5304" s="235"/>
      <c r="B5304" s="222"/>
      <c r="C5304" s="36" t="s">
        <v>1160</v>
      </c>
      <c r="D5304" s="36" t="s">
        <v>703</v>
      </c>
      <c r="E5304" s="37">
        <v>2.8E-3</v>
      </c>
      <c r="F5304" s="31">
        <v>21.688499999999998</v>
      </c>
      <c r="G5304" s="54">
        <f t="shared" si="101"/>
        <v>6.0727799999999992E-2</v>
      </c>
      <c r="H5304" s="73"/>
      <c r="I5304" s="74"/>
      <c r="J5304" s="102">
        <v>0</v>
      </c>
    </row>
    <row r="5305" spans="1:10" hidden="1" x14ac:dyDescent="0.25">
      <c r="A5305" s="235"/>
      <c r="B5305" s="222"/>
      <c r="C5305" s="36"/>
      <c r="D5305" s="47"/>
      <c r="E5305" s="37"/>
      <c r="F5305" s="54" t="s">
        <v>522</v>
      </c>
      <c r="G5305" s="54" t="str">
        <f t="shared" si="101"/>
        <v/>
      </c>
      <c r="H5305" s="73"/>
      <c r="I5305" s="74"/>
      <c r="J5305" s="102">
        <v>0</v>
      </c>
    </row>
    <row r="5306" spans="1:10" ht="15.75" hidden="1" thickBot="1" x14ac:dyDescent="0.3">
      <c r="A5306" s="232" t="s">
        <v>2049</v>
      </c>
      <c r="B5306" s="221" t="e">
        <f>INDEX(#REF!,MATCH(Composições!A5306,#REF!,0),2)</f>
        <v>#REF!</v>
      </c>
      <c r="C5306" s="41"/>
      <c r="D5306" s="26" t="s">
        <v>93</v>
      </c>
      <c r="E5306" s="27"/>
      <c r="F5306" s="49" t="s">
        <v>522</v>
      </c>
      <c r="G5306" s="28" t="str">
        <f t="shared" si="101"/>
        <v/>
      </c>
      <c r="H5306" s="29"/>
      <c r="I5306" s="30"/>
      <c r="J5306" s="102">
        <v>0</v>
      </c>
    </row>
    <row r="5307" spans="1:10" hidden="1" x14ac:dyDescent="0.25">
      <c r="A5307" s="235"/>
      <c r="B5307" s="222"/>
      <c r="C5307" s="32"/>
      <c r="D5307" s="32"/>
      <c r="E5307" s="33"/>
      <c r="F5307" s="54" t="s">
        <v>522</v>
      </c>
      <c r="G5307" s="54" t="str">
        <f t="shared" si="101"/>
        <v/>
      </c>
      <c r="H5307" s="73"/>
      <c r="I5307" s="74"/>
      <c r="J5307" s="102">
        <v>0</v>
      </c>
    </row>
    <row r="5308" spans="1:10" hidden="1" x14ac:dyDescent="0.25">
      <c r="A5308" s="235"/>
      <c r="B5308" s="222"/>
      <c r="C5308" s="36" t="s">
        <v>2340</v>
      </c>
      <c r="D5308" s="36" t="s">
        <v>93</v>
      </c>
      <c r="E5308" s="37">
        <v>1.05</v>
      </c>
      <c r="F5308" s="31" t="s">
        <v>522</v>
      </c>
      <c r="G5308" s="54" t="str">
        <f t="shared" si="101"/>
        <v/>
      </c>
      <c r="H5308" s="39">
        <f>SUM(G5308:G5310)</f>
        <v>2.7524587499999997</v>
      </c>
      <c r="I5308" s="40"/>
      <c r="J5308" s="102">
        <v>0</v>
      </c>
    </row>
    <row r="5309" spans="1:10" hidden="1" x14ac:dyDescent="0.25">
      <c r="A5309" s="235"/>
      <c r="B5309" s="222"/>
      <c r="C5309" s="36" t="s">
        <v>1159</v>
      </c>
      <c r="D5309" s="47" t="s">
        <v>703</v>
      </c>
      <c r="E5309" s="37">
        <v>7.1099999999999997E-2</v>
      </c>
      <c r="F5309" s="31">
        <v>17.024000000000001</v>
      </c>
      <c r="G5309" s="54">
        <f t="shared" si="101"/>
        <v>1.2104064000000001</v>
      </c>
      <c r="H5309" s="73"/>
      <c r="I5309" s="74"/>
      <c r="J5309" s="102">
        <v>0</v>
      </c>
    </row>
    <row r="5310" spans="1:10" hidden="1" x14ac:dyDescent="0.25">
      <c r="A5310" s="235"/>
      <c r="B5310" s="222"/>
      <c r="C5310" s="36" t="s">
        <v>1160</v>
      </c>
      <c r="D5310" s="36" t="s">
        <v>703</v>
      </c>
      <c r="E5310" s="37">
        <v>7.1099999999999997E-2</v>
      </c>
      <c r="F5310" s="31">
        <v>21.688499999999998</v>
      </c>
      <c r="G5310" s="54">
        <f t="shared" si="101"/>
        <v>1.5420523499999998</v>
      </c>
      <c r="H5310" s="73"/>
      <c r="I5310" s="74"/>
      <c r="J5310" s="102">
        <v>0</v>
      </c>
    </row>
    <row r="5311" spans="1:10" hidden="1" x14ac:dyDescent="0.25">
      <c r="A5311" s="235"/>
      <c r="B5311" s="222"/>
      <c r="C5311" s="36"/>
      <c r="D5311" s="47"/>
      <c r="E5311" s="37"/>
      <c r="F5311" s="54" t="s">
        <v>522</v>
      </c>
      <c r="G5311" s="54" t="str">
        <f t="shared" si="101"/>
        <v/>
      </c>
      <c r="H5311" s="73"/>
      <c r="I5311" s="74"/>
      <c r="J5311" s="102">
        <v>0</v>
      </c>
    </row>
    <row r="5312" spans="1:10" ht="15.75" hidden="1" thickBot="1" x14ac:dyDescent="0.3">
      <c r="A5312" s="232" t="s">
        <v>2050</v>
      </c>
      <c r="B5312" s="221" t="e">
        <f>INDEX(#REF!,MATCH(Composições!A5312,#REF!,0),2)</f>
        <v>#REF!</v>
      </c>
      <c r="C5312" s="41"/>
      <c r="D5312" s="26" t="s">
        <v>93</v>
      </c>
      <c r="E5312" s="27"/>
      <c r="F5312" s="49" t="s">
        <v>522</v>
      </c>
      <c r="G5312" s="28" t="str">
        <f t="shared" si="101"/>
        <v/>
      </c>
      <c r="H5312" s="29"/>
      <c r="I5312" s="30"/>
      <c r="J5312" s="102">
        <v>0</v>
      </c>
    </row>
    <row r="5313" spans="1:10" hidden="1" x14ac:dyDescent="0.25">
      <c r="A5313" s="235"/>
      <c r="B5313" s="222"/>
      <c r="C5313" s="32"/>
      <c r="D5313" s="32"/>
      <c r="E5313" s="33"/>
      <c r="F5313" s="54" t="s">
        <v>522</v>
      </c>
      <c r="G5313" s="54" t="str">
        <f t="shared" si="101"/>
        <v/>
      </c>
      <c r="H5313" s="73"/>
      <c r="I5313" s="74"/>
      <c r="J5313" s="102">
        <v>0</v>
      </c>
    </row>
    <row r="5314" spans="1:10" hidden="1" x14ac:dyDescent="0.25">
      <c r="A5314" s="235"/>
      <c r="B5314" s="222"/>
      <c r="C5314" s="113" t="s">
        <v>2341</v>
      </c>
      <c r="D5314" s="36" t="s">
        <v>93</v>
      </c>
      <c r="E5314" s="37">
        <v>1.05</v>
      </c>
      <c r="F5314" s="31" t="s">
        <v>522</v>
      </c>
      <c r="G5314" s="54" t="str">
        <f t="shared" si="101"/>
        <v/>
      </c>
      <c r="H5314" s="39">
        <f>SUM(G5314:G5316)</f>
        <v>0.10839499999999999</v>
      </c>
      <c r="I5314" s="40"/>
      <c r="J5314" s="102">
        <v>0</v>
      </c>
    </row>
    <row r="5315" spans="1:10" hidden="1" x14ac:dyDescent="0.25">
      <c r="A5315" s="235"/>
      <c r="B5315" s="222"/>
      <c r="C5315" s="36" t="s">
        <v>1159</v>
      </c>
      <c r="D5315" s="47" t="s">
        <v>703</v>
      </c>
      <c r="E5315" s="37">
        <v>2.8E-3</v>
      </c>
      <c r="F5315" s="31">
        <v>17.024000000000001</v>
      </c>
      <c r="G5315" s="54">
        <f t="shared" si="101"/>
        <v>4.76672E-2</v>
      </c>
      <c r="H5315" s="73"/>
      <c r="I5315" s="74"/>
      <c r="J5315" s="102">
        <v>0</v>
      </c>
    </row>
    <row r="5316" spans="1:10" hidden="1" x14ac:dyDescent="0.25">
      <c r="A5316" s="235"/>
      <c r="B5316" s="222"/>
      <c r="C5316" s="36" t="s">
        <v>1160</v>
      </c>
      <c r="D5316" s="36" t="s">
        <v>703</v>
      </c>
      <c r="E5316" s="37">
        <v>2.8E-3</v>
      </c>
      <c r="F5316" s="31">
        <v>21.688499999999998</v>
      </c>
      <c r="G5316" s="54">
        <f t="shared" si="101"/>
        <v>6.0727799999999992E-2</v>
      </c>
      <c r="H5316" s="73"/>
      <c r="I5316" s="74"/>
      <c r="J5316" s="102">
        <v>0</v>
      </c>
    </row>
    <row r="5317" spans="1:10" hidden="1" x14ac:dyDescent="0.25">
      <c r="A5317" s="235"/>
      <c r="B5317" s="222"/>
      <c r="C5317" s="36"/>
      <c r="D5317" s="47"/>
      <c r="E5317" s="37"/>
      <c r="F5317" s="54" t="s">
        <v>522</v>
      </c>
      <c r="G5317" s="54" t="str">
        <f t="shared" si="101"/>
        <v/>
      </c>
      <c r="H5317" s="73"/>
      <c r="I5317" s="74"/>
      <c r="J5317" s="102">
        <v>0</v>
      </c>
    </row>
    <row r="5318" spans="1:10" ht="15.75" hidden="1" thickBot="1" x14ac:dyDescent="0.3">
      <c r="A5318" s="232" t="s">
        <v>2051</v>
      </c>
      <c r="B5318" s="221" t="e">
        <f>INDEX(#REF!,MATCH(Composições!A5318,#REF!,0),2)</f>
        <v>#REF!</v>
      </c>
      <c r="C5318" s="41"/>
      <c r="D5318" s="26" t="s">
        <v>93</v>
      </c>
      <c r="E5318" s="27"/>
      <c r="F5318" s="49" t="s">
        <v>522</v>
      </c>
      <c r="G5318" s="28" t="str">
        <f t="shared" si="101"/>
        <v/>
      </c>
      <c r="H5318" s="29"/>
      <c r="I5318" s="30"/>
      <c r="J5318" s="102">
        <v>0</v>
      </c>
    </row>
    <row r="5319" spans="1:10" hidden="1" x14ac:dyDescent="0.25">
      <c r="A5319" s="235"/>
      <c r="B5319" s="222"/>
      <c r="C5319" s="32"/>
      <c r="D5319" s="32"/>
      <c r="E5319" s="33"/>
      <c r="F5319" s="54" t="s">
        <v>522</v>
      </c>
      <c r="G5319" s="54" t="str">
        <f t="shared" si="101"/>
        <v/>
      </c>
      <c r="H5319" s="73"/>
      <c r="I5319" s="74"/>
      <c r="J5319" s="102">
        <v>0</v>
      </c>
    </row>
    <row r="5320" spans="1:10" hidden="1" x14ac:dyDescent="0.25">
      <c r="A5320" s="235"/>
      <c r="B5320" s="222"/>
      <c r="C5320" s="113" t="s">
        <v>2342</v>
      </c>
      <c r="D5320" s="36" t="s">
        <v>93</v>
      </c>
      <c r="E5320" s="37">
        <v>1.05</v>
      </c>
      <c r="F5320" s="31" t="s">
        <v>522</v>
      </c>
      <c r="G5320" s="54" t="str">
        <f t="shared" si="101"/>
        <v/>
      </c>
      <c r="H5320" s="39">
        <f>SUM(G5320:G5322)</f>
        <v>0.10839499999999999</v>
      </c>
      <c r="I5320" s="40"/>
      <c r="J5320" s="102">
        <v>0</v>
      </c>
    </row>
    <row r="5321" spans="1:10" hidden="1" x14ac:dyDescent="0.25">
      <c r="A5321" s="235"/>
      <c r="B5321" s="222"/>
      <c r="C5321" s="36" t="s">
        <v>1159</v>
      </c>
      <c r="D5321" s="47" t="s">
        <v>703</v>
      </c>
      <c r="E5321" s="37">
        <v>2.8E-3</v>
      </c>
      <c r="F5321" s="31">
        <v>17.024000000000001</v>
      </c>
      <c r="G5321" s="54">
        <f t="shared" si="101"/>
        <v>4.76672E-2</v>
      </c>
      <c r="H5321" s="73"/>
      <c r="I5321" s="74"/>
      <c r="J5321" s="102">
        <v>0</v>
      </c>
    </row>
    <row r="5322" spans="1:10" hidden="1" x14ac:dyDescent="0.25">
      <c r="A5322" s="235"/>
      <c r="B5322" s="222"/>
      <c r="C5322" s="36" t="s">
        <v>1160</v>
      </c>
      <c r="D5322" s="36" t="s">
        <v>703</v>
      </c>
      <c r="E5322" s="37">
        <v>2.8E-3</v>
      </c>
      <c r="F5322" s="31">
        <v>21.688499999999998</v>
      </c>
      <c r="G5322" s="54">
        <f t="shared" si="101"/>
        <v>6.0727799999999992E-2</v>
      </c>
      <c r="H5322" s="73"/>
      <c r="I5322" s="74"/>
      <c r="J5322" s="102">
        <v>0</v>
      </c>
    </row>
    <row r="5323" spans="1:10" hidden="1" x14ac:dyDescent="0.25">
      <c r="A5323" s="235"/>
      <c r="B5323" s="222"/>
      <c r="C5323" s="36"/>
      <c r="D5323" s="47"/>
      <c r="E5323" s="37"/>
      <c r="F5323" s="54" t="s">
        <v>522</v>
      </c>
      <c r="G5323" s="54" t="str">
        <f t="shared" si="101"/>
        <v/>
      </c>
      <c r="H5323" s="73"/>
      <c r="I5323" s="74"/>
      <c r="J5323" s="102">
        <v>0</v>
      </c>
    </row>
    <row r="5324" spans="1:10" ht="15.75" hidden="1" thickBot="1" x14ac:dyDescent="0.3">
      <c r="A5324" s="232" t="s">
        <v>2052</v>
      </c>
      <c r="B5324" s="221" t="e">
        <f>INDEX(#REF!,MATCH(Composições!A5324,#REF!,0),2)</f>
        <v>#REF!</v>
      </c>
      <c r="C5324" s="41"/>
      <c r="D5324" s="26" t="s">
        <v>20</v>
      </c>
      <c r="E5324" s="27"/>
      <c r="F5324" s="42" t="s">
        <v>522</v>
      </c>
      <c r="G5324" s="28" t="str">
        <f t="shared" si="101"/>
        <v/>
      </c>
      <c r="H5324" s="29"/>
      <c r="I5324" s="30"/>
      <c r="J5324" s="102">
        <v>0</v>
      </c>
    </row>
    <row r="5325" spans="1:10" hidden="1" x14ac:dyDescent="0.25">
      <c r="A5325" s="233"/>
      <c r="B5325" s="222"/>
      <c r="C5325" s="32"/>
      <c r="D5325" s="32"/>
      <c r="E5325" s="33"/>
      <c r="F5325" s="43" t="s">
        <v>522</v>
      </c>
      <c r="G5325" s="31" t="str">
        <f t="shared" si="101"/>
        <v/>
      </c>
      <c r="H5325" s="35"/>
      <c r="I5325" s="31"/>
      <c r="J5325" s="102">
        <v>0</v>
      </c>
    </row>
    <row r="5326" spans="1:10" hidden="1" x14ac:dyDescent="0.25">
      <c r="A5326" s="233"/>
      <c r="B5326" s="222"/>
      <c r="C5326" s="36" t="s">
        <v>74</v>
      </c>
      <c r="D5326" s="36" t="s">
        <v>12</v>
      </c>
      <c r="E5326" s="37">
        <v>0.5121</v>
      </c>
      <c r="F5326" s="31">
        <v>17.024000000000001</v>
      </c>
      <c r="G5326" s="34">
        <f t="shared" si="101"/>
        <v>8.7179903999999997</v>
      </c>
      <c r="H5326" s="39">
        <f>SUM(G5326:G5329)</f>
        <v>72.141171249999999</v>
      </c>
      <c r="I5326" s="40"/>
      <c r="J5326" s="102">
        <v>0</v>
      </c>
    </row>
    <row r="5327" spans="1:10" hidden="1" x14ac:dyDescent="0.25">
      <c r="A5327" s="233"/>
      <c r="B5327" s="222"/>
      <c r="C5327" s="36" t="s">
        <v>30</v>
      </c>
      <c r="D5327" s="36" t="s">
        <v>12</v>
      </c>
      <c r="E5327" s="37">
        <v>0.5121</v>
      </c>
      <c r="F5327" s="31">
        <v>21.688499999999998</v>
      </c>
      <c r="G5327" s="34">
        <f t="shared" si="101"/>
        <v>11.106680849999998</v>
      </c>
      <c r="H5327" s="35"/>
      <c r="I5327" s="31"/>
      <c r="J5327" s="102">
        <v>0</v>
      </c>
    </row>
    <row r="5328" spans="1:10" ht="25.5" hidden="1" x14ac:dyDescent="0.25">
      <c r="A5328" s="233"/>
      <c r="B5328" s="222"/>
      <c r="C5328" s="36" t="s">
        <v>430</v>
      </c>
      <c r="D5328" s="36" t="s">
        <v>20</v>
      </c>
      <c r="E5328" s="37">
        <v>2</v>
      </c>
      <c r="F5328" s="34">
        <v>0.29449999999999998</v>
      </c>
      <c r="G5328" s="34">
        <f t="shared" si="101"/>
        <v>0.58899999999999997</v>
      </c>
      <c r="H5328" s="35"/>
      <c r="I5328" s="31"/>
      <c r="J5328" s="102">
        <v>0</v>
      </c>
    </row>
    <row r="5329" spans="1:10" ht="25.5" hidden="1" x14ac:dyDescent="0.25">
      <c r="A5329" s="233"/>
      <c r="B5329" s="222"/>
      <c r="C5329" s="36" t="s">
        <v>1723</v>
      </c>
      <c r="D5329" s="36" t="s">
        <v>20</v>
      </c>
      <c r="E5329" s="37">
        <v>1</v>
      </c>
      <c r="F5329" s="34">
        <v>51.727499999999999</v>
      </c>
      <c r="G5329" s="31">
        <f t="shared" si="101"/>
        <v>51.727499999999999</v>
      </c>
      <c r="H5329" s="35"/>
      <c r="I5329" s="31"/>
      <c r="J5329" s="102">
        <v>0</v>
      </c>
    </row>
    <row r="5330" spans="1:10" ht="15.75" hidden="1" thickBot="1" x14ac:dyDescent="0.3">
      <c r="A5330" s="234"/>
      <c r="B5330" s="223"/>
      <c r="C5330" s="36"/>
      <c r="D5330" s="36"/>
      <c r="E5330" s="37"/>
      <c r="F5330" s="31" t="s">
        <v>522</v>
      </c>
      <c r="G5330" s="31" t="str">
        <f t="shared" si="101"/>
        <v/>
      </c>
      <c r="H5330" s="35"/>
      <c r="I5330" s="31"/>
      <c r="J5330" s="102">
        <v>0</v>
      </c>
    </row>
    <row r="5331" spans="1:10" ht="15.75" hidden="1" thickBot="1" x14ac:dyDescent="0.3">
      <c r="A5331" s="232" t="s">
        <v>2053</v>
      </c>
      <c r="B5331" s="221" t="e">
        <f>INDEX(#REF!,MATCH(Composições!A5331,#REF!,0),2)</f>
        <v>#REF!</v>
      </c>
      <c r="C5331" s="41"/>
      <c r="D5331" s="26" t="s">
        <v>93</v>
      </c>
      <c r="E5331" s="27"/>
      <c r="F5331" s="42" t="s">
        <v>522</v>
      </c>
      <c r="G5331" s="28" t="str">
        <f t="shared" si="101"/>
        <v/>
      </c>
      <c r="H5331" s="29"/>
      <c r="I5331" s="30"/>
      <c r="J5331" s="102">
        <v>0</v>
      </c>
    </row>
    <row r="5332" spans="1:10" hidden="1" x14ac:dyDescent="0.25">
      <c r="A5332" s="233"/>
      <c r="B5332" s="222"/>
      <c r="C5332" s="32"/>
      <c r="D5332" s="32"/>
      <c r="E5332" s="33"/>
      <c r="F5332" s="43" t="s">
        <v>522</v>
      </c>
      <c r="G5332" s="31" t="str">
        <f t="shared" si="101"/>
        <v/>
      </c>
      <c r="H5332" s="35"/>
      <c r="I5332" s="31"/>
      <c r="J5332" s="102">
        <v>0</v>
      </c>
    </row>
    <row r="5333" spans="1:10" hidden="1" x14ac:dyDescent="0.25">
      <c r="A5333" s="233"/>
      <c r="B5333" s="222"/>
      <c r="C5333" s="36" t="s">
        <v>74</v>
      </c>
      <c r="D5333" s="36" t="s">
        <v>12</v>
      </c>
      <c r="E5333" s="37">
        <v>0.128</v>
      </c>
      <c r="F5333" s="31">
        <v>17.024000000000001</v>
      </c>
      <c r="G5333" s="34">
        <f t="shared" si="101"/>
        <v>2.1790720000000001</v>
      </c>
      <c r="H5333" s="39">
        <f>SUM(G5333:G5336)</f>
        <v>4.9864929999999994</v>
      </c>
      <c r="I5333" s="40"/>
      <c r="J5333" s="102">
        <v>0</v>
      </c>
    </row>
    <row r="5334" spans="1:10" hidden="1" x14ac:dyDescent="0.25">
      <c r="A5334" s="233"/>
      <c r="B5334" s="222"/>
      <c r="C5334" s="36" t="s">
        <v>30</v>
      </c>
      <c r="D5334" s="36" t="s">
        <v>12</v>
      </c>
      <c r="E5334" s="37">
        <v>0.128</v>
      </c>
      <c r="F5334" s="31">
        <v>21.688499999999998</v>
      </c>
      <c r="G5334" s="34">
        <f t="shared" si="101"/>
        <v>2.7761279999999999</v>
      </c>
      <c r="H5334" s="35"/>
      <c r="I5334" s="31"/>
      <c r="J5334" s="102">
        <v>0</v>
      </c>
    </row>
    <row r="5335" spans="1:10" ht="25.5" hidden="1" x14ac:dyDescent="0.25">
      <c r="A5335" s="233"/>
      <c r="B5335" s="222"/>
      <c r="C5335" s="36" t="s">
        <v>1769</v>
      </c>
      <c r="D5335" s="36" t="s">
        <v>279</v>
      </c>
      <c r="E5335" s="37">
        <v>8.9999999999999993E-3</v>
      </c>
      <c r="F5335" s="34">
        <v>3.4769999999999999</v>
      </c>
      <c r="G5335" s="34">
        <f t="shared" si="101"/>
        <v>3.1292999999999994E-2</v>
      </c>
      <c r="H5335" s="35"/>
      <c r="I5335" s="31"/>
      <c r="J5335" s="102">
        <v>0</v>
      </c>
    </row>
    <row r="5336" spans="1:10" hidden="1" x14ac:dyDescent="0.25">
      <c r="A5336" s="233"/>
      <c r="B5336" s="222"/>
      <c r="C5336" s="36" t="s">
        <v>2343</v>
      </c>
      <c r="D5336" s="36" t="s">
        <v>93</v>
      </c>
      <c r="E5336" s="37">
        <v>1.0149999999999999</v>
      </c>
      <c r="F5336" s="34" t="s">
        <v>522</v>
      </c>
      <c r="G5336" s="31" t="str">
        <f t="shared" si="101"/>
        <v/>
      </c>
      <c r="H5336" s="35"/>
      <c r="I5336" s="31"/>
      <c r="J5336" s="102">
        <v>0</v>
      </c>
    </row>
    <row r="5337" spans="1:10" ht="15.75" hidden="1" thickBot="1" x14ac:dyDescent="0.3">
      <c r="A5337" s="234"/>
      <c r="B5337" s="223"/>
      <c r="C5337" s="36"/>
      <c r="D5337" s="36"/>
      <c r="E5337" s="37"/>
      <c r="F5337" s="31" t="s">
        <v>522</v>
      </c>
      <c r="G5337" s="31" t="str">
        <f t="shared" si="101"/>
        <v/>
      </c>
      <c r="H5337" s="35"/>
      <c r="I5337" s="31"/>
      <c r="J5337" s="102">
        <v>0</v>
      </c>
    </row>
    <row r="5338" spans="1:10" ht="15.75" hidden="1" thickBot="1" x14ac:dyDescent="0.3">
      <c r="A5338" s="232" t="s">
        <v>2054</v>
      </c>
      <c r="B5338" s="221" t="e">
        <f>INDEX(#REF!,MATCH(Composições!A5338,#REF!,0),2)</f>
        <v>#REF!</v>
      </c>
      <c r="C5338" s="41"/>
      <c r="D5338" s="26" t="s">
        <v>93</v>
      </c>
      <c r="E5338" s="27"/>
      <c r="F5338" s="42" t="s">
        <v>522</v>
      </c>
      <c r="G5338" s="28" t="str">
        <f t="shared" si="101"/>
        <v/>
      </c>
      <c r="H5338" s="29"/>
      <c r="I5338" s="30"/>
      <c r="J5338" s="102">
        <v>0</v>
      </c>
    </row>
    <row r="5339" spans="1:10" hidden="1" x14ac:dyDescent="0.25">
      <c r="A5339" s="233"/>
      <c r="B5339" s="222"/>
      <c r="C5339" s="32"/>
      <c r="D5339" s="32"/>
      <c r="E5339" s="33"/>
      <c r="F5339" s="43" t="s">
        <v>522</v>
      </c>
      <c r="G5339" s="31" t="str">
        <f t="shared" si="101"/>
        <v/>
      </c>
      <c r="H5339" s="35"/>
      <c r="I5339" s="31"/>
      <c r="J5339" s="102">
        <v>0</v>
      </c>
    </row>
    <row r="5340" spans="1:10" hidden="1" x14ac:dyDescent="0.25">
      <c r="A5340" s="233"/>
      <c r="B5340" s="222"/>
      <c r="C5340" s="36" t="s">
        <v>74</v>
      </c>
      <c r="D5340" s="36" t="s">
        <v>12</v>
      </c>
      <c r="E5340" s="37">
        <v>0.26300000000000001</v>
      </c>
      <c r="F5340" s="31">
        <v>17.024000000000001</v>
      </c>
      <c r="G5340" s="34">
        <f t="shared" si="101"/>
        <v>4.4773120000000004</v>
      </c>
      <c r="H5340" s="39">
        <f>SUM(G5340:G5343)</f>
        <v>10.212680499999999</v>
      </c>
      <c r="I5340" s="40"/>
      <c r="J5340" s="102">
        <v>0</v>
      </c>
    </row>
    <row r="5341" spans="1:10" hidden="1" x14ac:dyDescent="0.25">
      <c r="A5341" s="233"/>
      <c r="B5341" s="222"/>
      <c r="C5341" s="36" t="s">
        <v>30</v>
      </c>
      <c r="D5341" s="36" t="s">
        <v>12</v>
      </c>
      <c r="E5341" s="37">
        <v>0.26300000000000001</v>
      </c>
      <c r="F5341" s="31">
        <v>21.688499999999998</v>
      </c>
      <c r="G5341" s="34">
        <f t="shared" si="101"/>
        <v>5.7040755000000001</v>
      </c>
      <c r="H5341" s="35"/>
      <c r="I5341" s="31"/>
      <c r="J5341" s="102">
        <v>0</v>
      </c>
    </row>
    <row r="5342" spans="1:10" ht="25.5" hidden="1" x14ac:dyDescent="0.25">
      <c r="A5342" s="233"/>
      <c r="B5342" s="222"/>
      <c r="C5342" s="36" t="s">
        <v>1769</v>
      </c>
      <c r="D5342" s="36" t="s">
        <v>279</v>
      </c>
      <c r="E5342" s="37">
        <v>8.9999999999999993E-3</v>
      </c>
      <c r="F5342" s="34">
        <v>3.4769999999999999</v>
      </c>
      <c r="G5342" s="34">
        <f t="shared" ref="G5342:G5405" si="102">IF(ISNUMBER(F5342),E5342*F5342,"")</f>
        <v>3.1292999999999994E-2</v>
      </c>
      <c r="H5342" s="35"/>
      <c r="I5342" s="31"/>
      <c r="J5342" s="102">
        <v>0</v>
      </c>
    </row>
    <row r="5343" spans="1:10" hidden="1" x14ac:dyDescent="0.25">
      <c r="A5343" s="233"/>
      <c r="B5343" s="222"/>
      <c r="C5343" s="36" t="s">
        <v>2344</v>
      </c>
      <c r="D5343" s="36" t="s">
        <v>93</v>
      </c>
      <c r="E5343" s="37">
        <v>1.0149999999999999</v>
      </c>
      <c r="F5343" s="34" t="s">
        <v>522</v>
      </c>
      <c r="G5343" s="31" t="str">
        <f t="shared" si="102"/>
        <v/>
      </c>
      <c r="H5343" s="35"/>
      <c r="I5343" s="31"/>
      <c r="J5343" s="102">
        <v>0</v>
      </c>
    </row>
    <row r="5344" spans="1:10" ht="15.75" hidden="1" thickBot="1" x14ac:dyDescent="0.3">
      <c r="A5344" s="234"/>
      <c r="B5344" s="223"/>
      <c r="C5344" s="36"/>
      <c r="D5344" s="36"/>
      <c r="E5344" s="37"/>
      <c r="F5344" s="31" t="s">
        <v>522</v>
      </c>
      <c r="G5344" s="31" t="str">
        <f t="shared" si="102"/>
        <v/>
      </c>
      <c r="H5344" s="35"/>
      <c r="I5344" s="31"/>
      <c r="J5344" s="102">
        <v>0</v>
      </c>
    </row>
    <row r="5345" spans="1:10" ht="15.75" hidden="1" thickBot="1" x14ac:dyDescent="0.3">
      <c r="A5345" s="232" t="s">
        <v>2055</v>
      </c>
      <c r="B5345" s="221" t="e">
        <f>INDEX(#REF!,MATCH(Composições!A5345,#REF!,0),2)</f>
        <v>#REF!</v>
      </c>
      <c r="C5345" s="41"/>
      <c r="D5345" s="26" t="s">
        <v>20</v>
      </c>
      <c r="E5345" s="27"/>
      <c r="F5345" s="49" t="s">
        <v>522</v>
      </c>
      <c r="G5345" s="28" t="str">
        <f t="shared" si="102"/>
        <v/>
      </c>
      <c r="H5345" s="29"/>
      <c r="I5345" s="30"/>
      <c r="J5345" s="102">
        <v>0</v>
      </c>
    </row>
    <row r="5346" spans="1:10" hidden="1" x14ac:dyDescent="0.25">
      <c r="A5346" s="235"/>
      <c r="B5346" s="222"/>
      <c r="C5346" s="32"/>
      <c r="D5346" s="32"/>
      <c r="E5346" s="33"/>
      <c r="F5346" s="54" t="s">
        <v>522</v>
      </c>
      <c r="G5346" s="54" t="str">
        <f t="shared" si="102"/>
        <v/>
      </c>
      <c r="H5346" s="73"/>
      <c r="I5346" s="74"/>
      <c r="J5346" s="102">
        <v>0</v>
      </c>
    </row>
    <row r="5347" spans="1:10" hidden="1" x14ac:dyDescent="0.25">
      <c r="A5347" s="235"/>
      <c r="B5347" s="222"/>
      <c r="C5347" s="113" t="s">
        <v>2345</v>
      </c>
      <c r="D5347" s="36" t="s">
        <v>20</v>
      </c>
      <c r="E5347" s="37">
        <v>1</v>
      </c>
      <c r="F5347" s="31" t="s">
        <v>522</v>
      </c>
      <c r="G5347" s="54" t="str">
        <f t="shared" si="102"/>
        <v/>
      </c>
      <c r="H5347" s="39">
        <f>SUM(G5347:G5349)</f>
        <v>96.78125</v>
      </c>
      <c r="I5347" s="40"/>
      <c r="J5347" s="102">
        <v>0</v>
      </c>
    </row>
    <row r="5348" spans="1:10" hidden="1" x14ac:dyDescent="0.25">
      <c r="A5348" s="235"/>
      <c r="B5348" s="222"/>
      <c r="C5348" s="36" t="s">
        <v>1159</v>
      </c>
      <c r="D5348" s="47" t="s">
        <v>703</v>
      </c>
      <c r="E5348" s="37">
        <v>2.5</v>
      </c>
      <c r="F5348" s="31">
        <v>17.024000000000001</v>
      </c>
      <c r="G5348" s="54">
        <f t="shared" si="102"/>
        <v>42.56</v>
      </c>
      <c r="H5348" s="73"/>
      <c r="I5348" s="74"/>
      <c r="J5348" s="102">
        <v>0</v>
      </c>
    </row>
    <row r="5349" spans="1:10" hidden="1" x14ac:dyDescent="0.25">
      <c r="A5349" s="235"/>
      <c r="B5349" s="222"/>
      <c r="C5349" s="36" t="s">
        <v>1160</v>
      </c>
      <c r="D5349" s="36" t="s">
        <v>703</v>
      </c>
      <c r="E5349" s="37">
        <v>2.5</v>
      </c>
      <c r="F5349" s="31">
        <v>21.688499999999998</v>
      </c>
      <c r="G5349" s="54">
        <f t="shared" si="102"/>
        <v>54.221249999999998</v>
      </c>
      <c r="H5349" s="73"/>
      <c r="I5349" s="74"/>
      <c r="J5349" s="102">
        <v>0</v>
      </c>
    </row>
    <row r="5350" spans="1:10" hidden="1" x14ac:dyDescent="0.25">
      <c r="A5350" s="235"/>
      <c r="B5350" s="222"/>
      <c r="C5350" s="36"/>
      <c r="D5350" s="47"/>
      <c r="E5350" s="37"/>
      <c r="F5350" s="54" t="s">
        <v>522</v>
      </c>
      <c r="G5350" s="54" t="str">
        <f t="shared" si="102"/>
        <v/>
      </c>
      <c r="H5350" s="73"/>
      <c r="I5350" s="74"/>
      <c r="J5350" s="102">
        <v>0</v>
      </c>
    </row>
    <row r="5351" spans="1:10" ht="15.75" hidden="1" thickBot="1" x14ac:dyDescent="0.3">
      <c r="A5351" s="218" t="s">
        <v>2056</v>
      </c>
      <c r="B5351" s="221" t="e">
        <f>INDEX(#REF!,MATCH(Composições!A5351,#REF!,0),2)</f>
        <v>#REF!</v>
      </c>
      <c r="C5351" s="41"/>
      <c r="D5351" s="26" t="s">
        <v>93</v>
      </c>
      <c r="E5351" s="27"/>
      <c r="F5351" s="42" t="s">
        <v>522</v>
      </c>
      <c r="G5351" s="28" t="str">
        <f t="shared" si="102"/>
        <v/>
      </c>
      <c r="H5351" s="29"/>
      <c r="I5351" s="30"/>
      <c r="J5351" s="102">
        <v>0</v>
      </c>
    </row>
    <row r="5352" spans="1:10" hidden="1" x14ac:dyDescent="0.25">
      <c r="A5352" s="219"/>
      <c r="B5352" s="222"/>
      <c r="C5352" s="32"/>
      <c r="D5352" s="32"/>
      <c r="E5352" s="33"/>
      <c r="F5352" s="43" t="s">
        <v>522</v>
      </c>
      <c r="G5352" s="31" t="str">
        <f t="shared" si="102"/>
        <v/>
      </c>
      <c r="H5352" s="35"/>
      <c r="I5352" s="31"/>
      <c r="J5352" s="102">
        <v>0</v>
      </c>
    </row>
    <row r="5353" spans="1:10" ht="38.25" hidden="1" x14ac:dyDescent="0.25">
      <c r="A5353" s="219"/>
      <c r="B5353" s="222"/>
      <c r="C5353" s="36" t="s">
        <v>2346</v>
      </c>
      <c r="D5353" s="36" t="s">
        <v>479</v>
      </c>
      <c r="E5353" s="37">
        <v>1.1000000000000001</v>
      </c>
      <c r="F5353" s="31">
        <v>0</v>
      </c>
      <c r="G5353" s="34">
        <f t="shared" si="102"/>
        <v>0</v>
      </c>
      <c r="H5353" s="39">
        <f>SUM(G5353:G5355)</f>
        <v>8.9038749999999993</v>
      </c>
      <c r="I5353" s="40"/>
      <c r="J5353" s="102">
        <v>0</v>
      </c>
    </row>
    <row r="5354" spans="1:10" hidden="1" x14ac:dyDescent="0.25">
      <c r="A5354" s="219"/>
      <c r="B5354" s="222"/>
      <c r="C5354" s="36" t="s">
        <v>1159</v>
      </c>
      <c r="D5354" s="36" t="s">
        <v>703</v>
      </c>
      <c r="E5354" s="37">
        <v>0.23</v>
      </c>
      <c r="F5354" s="31">
        <v>17.024000000000001</v>
      </c>
      <c r="G5354" s="34">
        <f t="shared" si="102"/>
        <v>3.9155200000000003</v>
      </c>
      <c r="H5354" s="35"/>
      <c r="I5354" s="31"/>
      <c r="J5354" s="102">
        <v>0</v>
      </c>
    </row>
    <row r="5355" spans="1:10" hidden="1" x14ac:dyDescent="0.25">
      <c r="A5355" s="219"/>
      <c r="B5355" s="222"/>
      <c r="C5355" s="36" t="s">
        <v>1160</v>
      </c>
      <c r="D5355" s="36" t="s">
        <v>703</v>
      </c>
      <c r="E5355" s="37">
        <v>0.23</v>
      </c>
      <c r="F5355" s="34">
        <v>21.688499999999998</v>
      </c>
      <c r="G5355" s="31">
        <f t="shared" si="102"/>
        <v>4.9883549999999994</v>
      </c>
      <c r="H5355" s="35"/>
      <c r="I5355" s="31"/>
      <c r="J5355" s="102">
        <v>0</v>
      </c>
    </row>
    <row r="5356" spans="1:10" ht="15.75" hidden="1" thickBot="1" x14ac:dyDescent="0.3">
      <c r="A5356" s="220"/>
      <c r="B5356" s="223"/>
      <c r="C5356" s="36"/>
      <c r="D5356" s="36"/>
      <c r="E5356" s="37"/>
      <c r="F5356" s="31" t="s">
        <v>522</v>
      </c>
      <c r="G5356" s="31" t="str">
        <f t="shared" si="102"/>
        <v/>
      </c>
      <c r="H5356" s="35"/>
      <c r="I5356" s="31"/>
      <c r="J5356" s="102">
        <v>0</v>
      </c>
    </row>
    <row r="5357" spans="1:10" ht="15.75" hidden="1" thickBot="1" x14ac:dyDescent="0.3">
      <c r="A5357" s="218" t="s">
        <v>2057</v>
      </c>
      <c r="B5357" s="221" t="e">
        <f>INDEX(#REF!,MATCH(Composições!A5357,#REF!,0),2)</f>
        <v>#REF!</v>
      </c>
      <c r="C5357" s="41"/>
      <c r="D5357" s="26" t="s">
        <v>20</v>
      </c>
      <c r="E5357" s="27"/>
      <c r="F5357" s="42" t="s">
        <v>522</v>
      </c>
      <c r="G5357" s="28" t="str">
        <f t="shared" si="102"/>
        <v/>
      </c>
      <c r="H5357" s="29"/>
      <c r="I5357" s="30"/>
      <c r="J5357" s="102">
        <v>0</v>
      </c>
    </row>
    <row r="5358" spans="1:10" hidden="1" x14ac:dyDescent="0.25">
      <c r="A5358" s="219"/>
      <c r="B5358" s="222"/>
      <c r="C5358" s="32"/>
      <c r="D5358" s="32"/>
      <c r="E5358" s="33"/>
      <c r="F5358" s="43" t="s">
        <v>522</v>
      </c>
      <c r="G5358" s="31" t="str">
        <f t="shared" si="102"/>
        <v/>
      </c>
      <c r="H5358" s="35"/>
      <c r="I5358" s="31"/>
      <c r="J5358" s="102">
        <v>0</v>
      </c>
    </row>
    <row r="5359" spans="1:10" hidden="1" x14ac:dyDescent="0.25">
      <c r="A5359" s="219"/>
      <c r="B5359" s="222"/>
      <c r="C5359" s="36" t="s">
        <v>30</v>
      </c>
      <c r="D5359" s="36" t="s">
        <v>12</v>
      </c>
      <c r="E5359" s="37">
        <f>0.3/2</f>
        <v>0.15</v>
      </c>
      <c r="F5359" s="31">
        <v>21.688499999999998</v>
      </c>
      <c r="G5359" s="34">
        <f t="shared" si="102"/>
        <v>3.2532749999999995</v>
      </c>
      <c r="H5359" s="39">
        <f>SUM(G5359:G5362)</f>
        <v>5.8068749999999998</v>
      </c>
      <c r="I5359" s="40"/>
      <c r="J5359" s="102">
        <v>0</v>
      </c>
    </row>
    <row r="5360" spans="1:10" hidden="1" x14ac:dyDescent="0.25">
      <c r="A5360" s="219"/>
      <c r="B5360" s="222"/>
      <c r="C5360" s="36" t="s">
        <v>74</v>
      </c>
      <c r="D5360" s="36" t="s">
        <v>12</v>
      </c>
      <c r="E5360" s="37">
        <f>0.3/2</f>
        <v>0.15</v>
      </c>
      <c r="F5360" s="31">
        <v>17.024000000000001</v>
      </c>
      <c r="G5360" s="34">
        <f t="shared" si="102"/>
        <v>2.5535999999999999</v>
      </c>
      <c r="H5360" s="35"/>
      <c r="I5360" s="31"/>
      <c r="J5360" s="102">
        <v>0</v>
      </c>
    </row>
    <row r="5361" spans="1:10" ht="25.5" hidden="1" x14ac:dyDescent="0.25">
      <c r="A5361" s="219"/>
      <c r="B5361" s="222"/>
      <c r="C5361" s="36" t="s">
        <v>507</v>
      </c>
      <c r="D5361" s="36" t="s">
        <v>20</v>
      </c>
      <c r="E5361" s="37">
        <v>1</v>
      </c>
      <c r="F5361" s="34" t="s">
        <v>522</v>
      </c>
      <c r="G5361" s="34" t="str">
        <f t="shared" si="102"/>
        <v/>
      </c>
      <c r="H5361" s="35"/>
      <c r="I5361" s="31"/>
      <c r="J5361" s="102">
        <v>0</v>
      </c>
    </row>
    <row r="5362" spans="1:10" ht="25.5" hidden="1" x14ac:dyDescent="0.25">
      <c r="A5362" s="219"/>
      <c r="B5362" s="222"/>
      <c r="C5362" s="36" t="s">
        <v>2347</v>
      </c>
      <c r="D5362" s="36" t="s">
        <v>20</v>
      </c>
      <c r="E5362" s="37">
        <v>1</v>
      </c>
      <c r="F5362" s="34" t="s">
        <v>522</v>
      </c>
      <c r="G5362" s="31" t="str">
        <f t="shared" si="102"/>
        <v/>
      </c>
      <c r="H5362" s="35"/>
      <c r="I5362" s="31"/>
      <c r="J5362" s="102">
        <v>0</v>
      </c>
    </row>
    <row r="5363" spans="1:10" ht="15.75" hidden="1" thickBot="1" x14ac:dyDescent="0.3">
      <c r="A5363" s="220"/>
      <c r="B5363" s="223"/>
      <c r="C5363" s="36"/>
      <c r="D5363" s="36"/>
      <c r="E5363" s="37"/>
      <c r="F5363" s="31" t="s">
        <v>522</v>
      </c>
      <c r="G5363" s="31" t="str">
        <f t="shared" si="102"/>
        <v/>
      </c>
      <c r="H5363" s="35"/>
      <c r="I5363" s="31"/>
      <c r="J5363" s="102">
        <v>0</v>
      </c>
    </row>
    <row r="5364" spans="1:10" ht="15.75" hidden="1" thickBot="1" x14ac:dyDescent="0.3">
      <c r="A5364" s="218" t="s">
        <v>2058</v>
      </c>
      <c r="B5364" s="221" t="e">
        <f>INDEX(#REF!,MATCH(Composições!A5364,#REF!,0),2)</f>
        <v>#REF!</v>
      </c>
      <c r="C5364" s="41"/>
      <c r="D5364" s="26" t="s">
        <v>93</v>
      </c>
      <c r="E5364" s="27"/>
      <c r="F5364" s="42" t="s">
        <v>522</v>
      </c>
      <c r="G5364" s="28" t="str">
        <f t="shared" si="102"/>
        <v/>
      </c>
      <c r="H5364" s="29"/>
      <c r="I5364" s="30"/>
      <c r="J5364" s="102">
        <v>0</v>
      </c>
    </row>
    <row r="5365" spans="1:10" hidden="1" x14ac:dyDescent="0.25">
      <c r="A5365" s="219"/>
      <c r="B5365" s="222"/>
      <c r="C5365" s="32"/>
      <c r="D5365" s="32"/>
      <c r="E5365" s="33"/>
      <c r="F5365" s="43" t="s">
        <v>522</v>
      </c>
      <c r="G5365" s="31" t="str">
        <f t="shared" si="102"/>
        <v/>
      </c>
      <c r="H5365" s="35"/>
      <c r="I5365" s="31"/>
      <c r="J5365" s="102">
        <v>0</v>
      </c>
    </row>
    <row r="5366" spans="1:10" hidden="1" x14ac:dyDescent="0.25">
      <c r="A5366" s="219"/>
      <c r="B5366" s="222"/>
      <c r="C5366" s="36" t="s">
        <v>30</v>
      </c>
      <c r="D5366" s="36" t="s">
        <v>12</v>
      </c>
      <c r="E5366" s="37">
        <v>0.6</v>
      </c>
      <c r="F5366" s="31">
        <v>21.688499999999998</v>
      </c>
      <c r="G5366" s="34">
        <f t="shared" si="102"/>
        <v>13.013099999999998</v>
      </c>
      <c r="H5366" s="39">
        <f>SUM(G5366:G5368)</f>
        <v>23.227499999999999</v>
      </c>
      <c r="I5366" s="40"/>
      <c r="J5366" s="102">
        <v>0</v>
      </c>
    </row>
    <row r="5367" spans="1:10" hidden="1" x14ac:dyDescent="0.25">
      <c r="A5367" s="219"/>
      <c r="B5367" s="222"/>
      <c r="C5367" s="36" t="s">
        <v>74</v>
      </c>
      <c r="D5367" s="36" t="s">
        <v>12</v>
      </c>
      <c r="E5367" s="37">
        <v>0.6</v>
      </c>
      <c r="F5367" s="31">
        <v>17.024000000000001</v>
      </c>
      <c r="G5367" s="34">
        <f t="shared" si="102"/>
        <v>10.214399999999999</v>
      </c>
      <c r="H5367" s="35"/>
      <c r="I5367" s="31"/>
      <c r="J5367" s="102">
        <v>0</v>
      </c>
    </row>
    <row r="5368" spans="1:10" ht="25.5" hidden="1" x14ac:dyDescent="0.25">
      <c r="A5368" s="219"/>
      <c r="B5368" s="222"/>
      <c r="C5368" s="36" t="s">
        <v>2348</v>
      </c>
      <c r="D5368" s="36" t="s">
        <v>93</v>
      </c>
      <c r="E5368" s="37">
        <v>1.05</v>
      </c>
      <c r="F5368" s="31" t="s">
        <v>522</v>
      </c>
      <c r="G5368" s="34" t="str">
        <f t="shared" si="102"/>
        <v/>
      </c>
      <c r="H5368" s="35"/>
      <c r="I5368" s="31"/>
      <c r="J5368" s="102">
        <v>0</v>
      </c>
    </row>
    <row r="5369" spans="1:10" ht="15.75" hidden="1" thickBot="1" x14ac:dyDescent="0.3">
      <c r="A5369" s="220"/>
      <c r="B5369" s="223"/>
      <c r="C5369" s="36"/>
      <c r="D5369" s="36"/>
      <c r="E5369" s="37"/>
      <c r="F5369" s="31" t="s">
        <v>522</v>
      </c>
      <c r="G5369" s="31" t="str">
        <f t="shared" si="102"/>
        <v/>
      </c>
      <c r="H5369" s="35"/>
      <c r="I5369" s="31"/>
      <c r="J5369" s="102">
        <v>0</v>
      </c>
    </row>
    <row r="5370" spans="1:10" ht="15.75" hidden="1" thickBot="1" x14ac:dyDescent="0.3">
      <c r="A5370" s="218" t="s">
        <v>2059</v>
      </c>
      <c r="B5370" s="221" t="e">
        <f>INDEX(#REF!,MATCH(Composições!A5370,#REF!,0),2)</f>
        <v>#REF!</v>
      </c>
      <c r="C5370" s="41"/>
      <c r="D5370" s="26" t="s">
        <v>93</v>
      </c>
      <c r="E5370" s="27"/>
      <c r="F5370" s="42" t="s">
        <v>522</v>
      </c>
      <c r="G5370" s="28" t="str">
        <f t="shared" si="102"/>
        <v/>
      </c>
      <c r="H5370" s="29"/>
      <c r="I5370" s="30"/>
      <c r="J5370" s="102">
        <v>0</v>
      </c>
    </row>
    <row r="5371" spans="1:10" hidden="1" x14ac:dyDescent="0.25">
      <c r="A5371" s="219"/>
      <c r="B5371" s="222"/>
      <c r="C5371" s="32"/>
      <c r="D5371" s="32"/>
      <c r="E5371" s="33"/>
      <c r="F5371" s="43" t="s">
        <v>522</v>
      </c>
      <c r="G5371" s="31" t="str">
        <f t="shared" si="102"/>
        <v/>
      </c>
      <c r="H5371" s="35"/>
      <c r="I5371" s="31"/>
      <c r="J5371" s="102">
        <v>0</v>
      </c>
    </row>
    <row r="5372" spans="1:10" hidden="1" x14ac:dyDescent="0.25">
      <c r="A5372" s="219"/>
      <c r="B5372" s="222"/>
      <c r="C5372" s="36" t="s">
        <v>30</v>
      </c>
      <c r="D5372" s="36" t="s">
        <v>12</v>
      </c>
      <c r="E5372" s="37">
        <v>0.7</v>
      </c>
      <c r="F5372" s="31">
        <v>21.688499999999998</v>
      </c>
      <c r="G5372" s="34">
        <f t="shared" si="102"/>
        <v>15.181949999999997</v>
      </c>
      <c r="H5372" s="39">
        <f>SUM(G5372:G5374)</f>
        <v>27.098749999999995</v>
      </c>
      <c r="I5372" s="40"/>
      <c r="J5372" s="102">
        <v>0</v>
      </c>
    </row>
    <row r="5373" spans="1:10" hidden="1" x14ac:dyDescent="0.25">
      <c r="A5373" s="219"/>
      <c r="B5373" s="222"/>
      <c r="C5373" s="36" t="s">
        <v>74</v>
      </c>
      <c r="D5373" s="36" t="s">
        <v>12</v>
      </c>
      <c r="E5373" s="37">
        <v>0.7</v>
      </c>
      <c r="F5373" s="31">
        <v>17.024000000000001</v>
      </c>
      <c r="G5373" s="34">
        <f t="shared" si="102"/>
        <v>11.9168</v>
      </c>
      <c r="H5373" s="35"/>
      <c r="I5373" s="31"/>
      <c r="J5373" s="102">
        <v>0</v>
      </c>
    </row>
    <row r="5374" spans="1:10" ht="25.5" hidden="1" x14ac:dyDescent="0.25">
      <c r="A5374" s="219"/>
      <c r="B5374" s="222"/>
      <c r="C5374" s="36" t="s">
        <v>2349</v>
      </c>
      <c r="D5374" s="36" t="s">
        <v>93</v>
      </c>
      <c r="E5374" s="37">
        <v>1.05</v>
      </c>
      <c r="F5374" s="31" t="s">
        <v>522</v>
      </c>
      <c r="G5374" s="34" t="str">
        <f t="shared" si="102"/>
        <v/>
      </c>
      <c r="H5374" s="35"/>
      <c r="I5374" s="31"/>
      <c r="J5374" s="102">
        <v>0</v>
      </c>
    </row>
    <row r="5375" spans="1:10" ht="15.75" hidden="1" thickBot="1" x14ac:dyDescent="0.3">
      <c r="A5375" s="220"/>
      <c r="B5375" s="223"/>
      <c r="C5375" s="36"/>
      <c r="D5375" s="36"/>
      <c r="E5375" s="37"/>
      <c r="F5375" s="31" t="s">
        <v>522</v>
      </c>
      <c r="G5375" s="31" t="str">
        <f t="shared" si="102"/>
        <v/>
      </c>
      <c r="H5375" s="35"/>
      <c r="I5375" s="31"/>
      <c r="J5375" s="102">
        <v>0</v>
      </c>
    </row>
    <row r="5376" spans="1:10" ht="15.75" hidden="1" thickBot="1" x14ac:dyDescent="0.3">
      <c r="A5376" s="218" t="s">
        <v>2060</v>
      </c>
      <c r="B5376" s="221" t="e">
        <f>INDEX(#REF!,MATCH(Composições!A5376,#REF!,0),2)</f>
        <v>#REF!</v>
      </c>
      <c r="C5376" s="41"/>
      <c r="D5376" s="26" t="s">
        <v>20</v>
      </c>
      <c r="E5376" s="27"/>
      <c r="F5376" s="42" t="s">
        <v>522</v>
      </c>
      <c r="G5376" s="28" t="str">
        <f t="shared" si="102"/>
        <v/>
      </c>
      <c r="H5376" s="29"/>
      <c r="I5376" s="30"/>
      <c r="J5376" s="102">
        <v>0</v>
      </c>
    </row>
    <row r="5377" spans="1:10" hidden="1" x14ac:dyDescent="0.25">
      <c r="A5377" s="219"/>
      <c r="B5377" s="222"/>
      <c r="C5377" s="32"/>
      <c r="D5377" s="32"/>
      <c r="E5377" s="33"/>
      <c r="F5377" s="43" t="s">
        <v>522</v>
      </c>
      <c r="G5377" s="31" t="str">
        <f t="shared" si="102"/>
        <v/>
      </c>
      <c r="H5377" s="35"/>
      <c r="I5377" s="31"/>
      <c r="J5377" s="102">
        <v>0</v>
      </c>
    </row>
    <row r="5378" spans="1:10" ht="51" hidden="1" x14ac:dyDescent="0.25">
      <c r="A5378" s="219"/>
      <c r="B5378" s="222"/>
      <c r="C5378" s="36" t="s">
        <v>2350</v>
      </c>
      <c r="D5378" s="36" t="s">
        <v>144</v>
      </c>
      <c r="E5378" s="37">
        <v>1</v>
      </c>
      <c r="F5378" s="34" t="s">
        <v>522</v>
      </c>
      <c r="G5378" s="31" t="str">
        <f t="shared" si="102"/>
        <v/>
      </c>
      <c r="H5378" s="39">
        <f>SUM(G5378:G5382)</f>
        <v>11.927759199999997</v>
      </c>
      <c r="I5378" s="40"/>
      <c r="J5378" s="102">
        <v>0</v>
      </c>
    </row>
    <row r="5379" spans="1:10" ht="25.5" hidden="1" x14ac:dyDescent="0.25">
      <c r="A5379" s="219"/>
      <c r="B5379" s="222"/>
      <c r="C5379" s="36" t="s">
        <v>2335</v>
      </c>
      <c r="D5379" s="36" t="s">
        <v>144</v>
      </c>
      <c r="E5379" s="37">
        <v>1</v>
      </c>
      <c r="F5379" s="34" t="s">
        <v>522</v>
      </c>
      <c r="G5379" s="31" t="str">
        <f t="shared" si="102"/>
        <v/>
      </c>
      <c r="H5379" s="45"/>
      <c r="I5379" s="46"/>
      <c r="J5379" s="102">
        <v>0</v>
      </c>
    </row>
    <row r="5380" spans="1:10" ht="25.5" hidden="1" x14ac:dyDescent="0.25">
      <c r="A5380" s="219"/>
      <c r="B5380" s="222"/>
      <c r="C5380" s="36" t="s">
        <v>549</v>
      </c>
      <c r="D5380" s="36" t="s">
        <v>144</v>
      </c>
      <c r="E5380" s="37">
        <v>2</v>
      </c>
      <c r="F5380" s="34" t="s">
        <v>522</v>
      </c>
      <c r="G5380" s="31" t="str">
        <f t="shared" si="102"/>
        <v/>
      </c>
      <c r="H5380" s="45"/>
      <c r="I5380" s="46"/>
      <c r="J5380" s="102">
        <v>0</v>
      </c>
    </row>
    <row r="5381" spans="1:10" hidden="1" x14ac:dyDescent="0.25">
      <c r="A5381" s="219"/>
      <c r="B5381" s="222"/>
      <c r="C5381" s="36" t="s">
        <v>74</v>
      </c>
      <c r="D5381" s="36" t="s">
        <v>12</v>
      </c>
      <c r="E5381" s="37">
        <v>0.17269999999999999</v>
      </c>
      <c r="F5381" s="31">
        <v>17.024000000000001</v>
      </c>
      <c r="G5381" s="31">
        <f t="shared" si="102"/>
        <v>2.9400447999999999</v>
      </c>
      <c r="H5381" s="35"/>
      <c r="I5381" s="31"/>
      <c r="J5381" s="102">
        <v>0</v>
      </c>
    </row>
    <row r="5382" spans="1:10" hidden="1" x14ac:dyDescent="0.25">
      <c r="A5382" s="219"/>
      <c r="B5382" s="222"/>
      <c r="C5382" s="36" t="s">
        <v>30</v>
      </c>
      <c r="D5382" s="36" t="s">
        <v>12</v>
      </c>
      <c r="E5382" s="37">
        <v>0.41439999999999999</v>
      </c>
      <c r="F5382" s="31">
        <v>21.688499999999998</v>
      </c>
      <c r="G5382" s="31">
        <f t="shared" si="102"/>
        <v>8.987714399999998</v>
      </c>
      <c r="H5382" s="35"/>
      <c r="I5382" s="31"/>
      <c r="J5382" s="102">
        <v>0</v>
      </c>
    </row>
    <row r="5383" spans="1:10" ht="15.75" hidden="1" thickBot="1" x14ac:dyDescent="0.3">
      <c r="A5383" s="220"/>
      <c r="B5383" s="223"/>
      <c r="C5383" s="36"/>
      <c r="D5383" s="36"/>
      <c r="E5383" s="37"/>
      <c r="F5383" s="31" t="s">
        <v>522</v>
      </c>
      <c r="G5383" s="31" t="str">
        <f t="shared" si="102"/>
        <v/>
      </c>
      <c r="H5383" s="35"/>
      <c r="I5383" s="31"/>
      <c r="J5383" s="102">
        <v>0</v>
      </c>
    </row>
    <row r="5384" spans="1:10" ht="15.75" hidden="1" thickBot="1" x14ac:dyDescent="0.3">
      <c r="A5384" s="218" t="s">
        <v>2061</v>
      </c>
      <c r="B5384" s="221" t="e">
        <f>INDEX(#REF!,MATCH(Composições!A5384,#REF!,0),2)</f>
        <v>#REF!</v>
      </c>
      <c r="C5384" s="41"/>
      <c r="D5384" s="26" t="s">
        <v>20</v>
      </c>
      <c r="E5384" s="27"/>
      <c r="F5384" s="42" t="s">
        <v>522</v>
      </c>
      <c r="G5384" s="28" t="str">
        <f t="shared" si="102"/>
        <v/>
      </c>
      <c r="H5384" s="29"/>
      <c r="I5384" s="30"/>
      <c r="J5384" s="102">
        <v>0</v>
      </c>
    </row>
    <row r="5385" spans="1:10" hidden="1" x14ac:dyDescent="0.25">
      <c r="A5385" s="219"/>
      <c r="B5385" s="222"/>
      <c r="C5385" s="32"/>
      <c r="D5385" s="32"/>
      <c r="E5385" s="33"/>
      <c r="F5385" s="43" t="s">
        <v>522</v>
      </c>
      <c r="G5385" s="31" t="str">
        <f t="shared" si="102"/>
        <v/>
      </c>
      <c r="H5385" s="35"/>
      <c r="I5385" s="31"/>
      <c r="J5385" s="102">
        <v>0</v>
      </c>
    </row>
    <row r="5386" spans="1:10" ht="51" hidden="1" x14ac:dyDescent="0.25">
      <c r="A5386" s="219"/>
      <c r="B5386" s="222"/>
      <c r="C5386" s="36" t="s">
        <v>1662</v>
      </c>
      <c r="D5386" s="36" t="s">
        <v>942</v>
      </c>
      <c r="E5386" s="37">
        <v>0.23880000000000001</v>
      </c>
      <c r="F5386" s="34">
        <v>228.8835</v>
      </c>
      <c r="G5386" s="31">
        <f t="shared" si="102"/>
        <v>54.657379800000001</v>
      </c>
      <c r="H5386" s="39">
        <f>SUM(G5386:G5390)</f>
        <v>491.27150404999998</v>
      </c>
      <c r="I5386" s="40"/>
      <c r="J5386" s="102">
        <v>0</v>
      </c>
    </row>
    <row r="5387" spans="1:10" ht="25.5" hidden="1" x14ac:dyDescent="0.25">
      <c r="A5387" s="219"/>
      <c r="B5387" s="222"/>
      <c r="C5387" s="36" t="s">
        <v>1769</v>
      </c>
      <c r="D5387" s="36" t="s">
        <v>279</v>
      </c>
      <c r="E5387" s="37">
        <v>1.4E-2</v>
      </c>
      <c r="F5387" s="34">
        <v>3.4769999999999999</v>
      </c>
      <c r="G5387" s="31">
        <f t="shared" si="102"/>
        <v>4.8677999999999999E-2</v>
      </c>
      <c r="H5387" s="45"/>
      <c r="I5387" s="46"/>
      <c r="J5387" s="102">
        <v>0</v>
      </c>
    </row>
    <row r="5388" spans="1:10" ht="25.5" hidden="1" x14ac:dyDescent="0.25">
      <c r="A5388" s="219"/>
      <c r="B5388" s="222"/>
      <c r="C5388" s="36" t="s">
        <v>1773</v>
      </c>
      <c r="D5388" s="36" t="s">
        <v>279</v>
      </c>
      <c r="E5388" s="37">
        <v>1</v>
      </c>
      <c r="F5388" s="34">
        <v>427.34799999999996</v>
      </c>
      <c r="G5388" s="31">
        <f t="shared" si="102"/>
        <v>427.34799999999996</v>
      </c>
      <c r="H5388" s="45"/>
      <c r="I5388" s="46"/>
      <c r="J5388" s="102">
        <v>0</v>
      </c>
    </row>
    <row r="5389" spans="1:10" hidden="1" x14ac:dyDescent="0.25">
      <c r="A5389" s="219"/>
      <c r="B5389" s="222"/>
      <c r="C5389" s="36" t="s">
        <v>1159</v>
      </c>
      <c r="D5389" s="36" t="s">
        <v>703</v>
      </c>
      <c r="E5389" s="37">
        <v>0.23810000000000001</v>
      </c>
      <c r="F5389" s="31">
        <v>17.024000000000001</v>
      </c>
      <c r="G5389" s="31">
        <f t="shared" si="102"/>
        <v>4.0534144000000003</v>
      </c>
      <c r="H5389" s="35"/>
      <c r="I5389" s="31"/>
      <c r="J5389" s="102">
        <v>0</v>
      </c>
    </row>
    <row r="5390" spans="1:10" hidden="1" x14ac:dyDescent="0.25">
      <c r="A5390" s="219"/>
      <c r="B5390" s="222"/>
      <c r="C5390" s="36" t="s">
        <v>1160</v>
      </c>
      <c r="D5390" s="36" t="s">
        <v>703</v>
      </c>
      <c r="E5390" s="37">
        <v>0.23810000000000001</v>
      </c>
      <c r="F5390" s="31">
        <v>21.688499999999998</v>
      </c>
      <c r="G5390" s="31">
        <f t="shared" si="102"/>
        <v>5.1640318499999998</v>
      </c>
      <c r="H5390" s="35"/>
      <c r="I5390" s="31"/>
      <c r="J5390" s="102">
        <v>0</v>
      </c>
    </row>
    <row r="5391" spans="1:10" ht="15.75" hidden="1" thickBot="1" x14ac:dyDescent="0.3">
      <c r="A5391" s="220"/>
      <c r="B5391" s="223"/>
      <c r="C5391" s="36"/>
      <c r="D5391" s="36"/>
      <c r="E5391" s="37"/>
      <c r="F5391" s="31" t="s">
        <v>522</v>
      </c>
      <c r="G5391" s="31" t="str">
        <f t="shared" si="102"/>
        <v/>
      </c>
      <c r="H5391" s="35"/>
      <c r="I5391" s="31"/>
      <c r="J5391" s="102">
        <v>0</v>
      </c>
    </row>
    <row r="5392" spans="1:10" ht="15.75" hidden="1" thickBot="1" x14ac:dyDescent="0.3">
      <c r="A5392" s="218" t="s">
        <v>2062</v>
      </c>
      <c r="B5392" s="221" t="e">
        <f>INDEX(#REF!,MATCH(Composições!A5392,#REF!,0),2)</f>
        <v>#REF!</v>
      </c>
      <c r="C5392" s="41"/>
      <c r="D5392" s="26" t="s">
        <v>20</v>
      </c>
      <c r="E5392" s="27"/>
      <c r="F5392" s="42" t="s">
        <v>522</v>
      </c>
      <c r="G5392" s="28" t="str">
        <f t="shared" si="102"/>
        <v/>
      </c>
      <c r="H5392" s="29"/>
      <c r="I5392" s="30"/>
      <c r="J5392" s="102">
        <v>0</v>
      </c>
    </row>
    <row r="5393" spans="1:10" hidden="1" x14ac:dyDescent="0.25">
      <c r="A5393" s="219"/>
      <c r="B5393" s="222"/>
      <c r="C5393" s="32"/>
      <c r="D5393" s="32"/>
      <c r="E5393" s="33"/>
      <c r="F5393" s="43" t="s">
        <v>522</v>
      </c>
      <c r="G5393" s="31" t="str">
        <f t="shared" si="102"/>
        <v/>
      </c>
      <c r="H5393" s="35"/>
      <c r="I5393" s="31"/>
      <c r="J5393" s="102">
        <v>0</v>
      </c>
    </row>
    <row r="5394" spans="1:10" ht="51" hidden="1" x14ac:dyDescent="0.25">
      <c r="A5394" s="219"/>
      <c r="B5394" s="222"/>
      <c r="C5394" s="36" t="s">
        <v>1662</v>
      </c>
      <c r="D5394" s="36" t="s">
        <v>942</v>
      </c>
      <c r="E5394" s="37">
        <v>0.23880000000000001</v>
      </c>
      <c r="F5394" s="34">
        <v>228.8835</v>
      </c>
      <c r="G5394" s="31">
        <f t="shared" si="102"/>
        <v>54.657379800000001</v>
      </c>
      <c r="H5394" s="39">
        <f>SUM(G5394:G5398)</f>
        <v>634.34150405000003</v>
      </c>
      <c r="I5394" s="40"/>
      <c r="J5394" s="102">
        <v>0</v>
      </c>
    </row>
    <row r="5395" spans="1:10" ht="25.5" hidden="1" x14ac:dyDescent="0.25">
      <c r="A5395" s="219"/>
      <c r="B5395" s="222"/>
      <c r="C5395" s="36" t="s">
        <v>1769</v>
      </c>
      <c r="D5395" s="36" t="s">
        <v>279</v>
      </c>
      <c r="E5395" s="37">
        <v>1.4E-2</v>
      </c>
      <c r="F5395" s="34">
        <v>3.4769999999999999</v>
      </c>
      <c r="G5395" s="31">
        <f t="shared" si="102"/>
        <v>4.8677999999999999E-2</v>
      </c>
      <c r="H5395" s="45"/>
      <c r="I5395" s="46"/>
      <c r="J5395" s="102">
        <v>0</v>
      </c>
    </row>
    <row r="5396" spans="1:10" ht="25.5" hidden="1" x14ac:dyDescent="0.25">
      <c r="A5396" s="219"/>
      <c r="B5396" s="222"/>
      <c r="C5396" s="36" t="s">
        <v>1774</v>
      </c>
      <c r="D5396" s="36" t="s">
        <v>279</v>
      </c>
      <c r="E5396" s="37">
        <v>1</v>
      </c>
      <c r="F5396" s="34">
        <v>570.41800000000001</v>
      </c>
      <c r="G5396" s="31">
        <f t="shared" si="102"/>
        <v>570.41800000000001</v>
      </c>
      <c r="H5396" s="45"/>
      <c r="I5396" s="46"/>
      <c r="J5396" s="102">
        <v>0</v>
      </c>
    </row>
    <row r="5397" spans="1:10" hidden="1" x14ac:dyDescent="0.25">
      <c r="A5397" s="219"/>
      <c r="B5397" s="222"/>
      <c r="C5397" s="36" t="s">
        <v>1159</v>
      </c>
      <c r="D5397" s="36" t="s">
        <v>703</v>
      </c>
      <c r="E5397" s="37">
        <v>0.23810000000000001</v>
      </c>
      <c r="F5397" s="31">
        <v>17.024000000000001</v>
      </c>
      <c r="G5397" s="31">
        <f t="shared" si="102"/>
        <v>4.0534144000000003</v>
      </c>
      <c r="H5397" s="35"/>
      <c r="I5397" s="31"/>
      <c r="J5397" s="102">
        <v>0</v>
      </c>
    </row>
    <row r="5398" spans="1:10" hidden="1" x14ac:dyDescent="0.25">
      <c r="A5398" s="219"/>
      <c r="B5398" s="222"/>
      <c r="C5398" s="36" t="s">
        <v>1160</v>
      </c>
      <c r="D5398" s="36" t="s">
        <v>703</v>
      </c>
      <c r="E5398" s="37">
        <v>0.23810000000000001</v>
      </c>
      <c r="F5398" s="31">
        <v>21.688499999999998</v>
      </c>
      <c r="G5398" s="31">
        <f t="shared" si="102"/>
        <v>5.1640318499999998</v>
      </c>
      <c r="H5398" s="35"/>
      <c r="I5398" s="31"/>
      <c r="J5398" s="102">
        <v>0</v>
      </c>
    </row>
    <row r="5399" spans="1:10" ht="15.75" hidden="1" thickBot="1" x14ac:dyDescent="0.3">
      <c r="A5399" s="220"/>
      <c r="B5399" s="223"/>
      <c r="C5399" s="36"/>
      <c r="D5399" s="36"/>
      <c r="E5399" s="37"/>
      <c r="F5399" s="31" t="s">
        <v>522</v>
      </c>
      <c r="G5399" s="31" t="str">
        <f t="shared" si="102"/>
        <v/>
      </c>
      <c r="H5399" s="35"/>
      <c r="I5399" s="31"/>
      <c r="J5399" s="102">
        <v>0</v>
      </c>
    </row>
    <row r="5400" spans="1:10" ht="15.75" hidden="1" thickBot="1" x14ac:dyDescent="0.3">
      <c r="A5400" s="218" t="s">
        <v>2063</v>
      </c>
      <c r="B5400" s="221" t="e">
        <f>INDEX(#REF!,MATCH(Composições!A5400,#REF!,0),2)</f>
        <v>#REF!</v>
      </c>
      <c r="C5400" s="41"/>
      <c r="D5400" s="26" t="s">
        <v>20</v>
      </c>
      <c r="E5400" s="27"/>
      <c r="F5400" s="42" t="s">
        <v>522</v>
      </c>
      <c r="G5400" s="28" t="str">
        <f t="shared" si="102"/>
        <v/>
      </c>
      <c r="H5400" s="29"/>
      <c r="I5400" s="30"/>
      <c r="J5400" s="102">
        <v>0</v>
      </c>
    </row>
    <row r="5401" spans="1:10" hidden="1" x14ac:dyDescent="0.25">
      <c r="A5401" s="219"/>
      <c r="B5401" s="222"/>
      <c r="C5401" s="32"/>
      <c r="D5401" s="32"/>
      <c r="E5401" s="33"/>
      <c r="F5401" s="43" t="s">
        <v>522</v>
      </c>
      <c r="G5401" s="31" t="str">
        <f t="shared" si="102"/>
        <v/>
      </c>
      <c r="H5401" s="35"/>
      <c r="I5401" s="31"/>
      <c r="J5401" s="102">
        <v>0</v>
      </c>
    </row>
    <row r="5402" spans="1:10" ht="25.5" hidden="1" x14ac:dyDescent="0.25">
      <c r="A5402" s="219"/>
      <c r="B5402" s="222"/>
      <c r="C5402" s="36" t="s">
        <v>2398</v>
      </c>
      <c r="D5402" s="36" t="s">
        <v>279</v>
      </c>
      <c r="E5402" s="37">
        <v>1</v>
      </c>
      <c r="F5402" s="34">
        <v>2135.5524999999998</v>
      </c>
      <c r="G5402" s="31">
        <f t="shared" si="102"/>
        <v>2135.5524999999998</v>
      </c>
      <c r="H5402" s="39">
        <f>SUM(G5402:G5405)</f>
        <v>2222.7936647499996</v>
      </c>
      <c r="I5402" s="40"/>
      <c r="J5402" s="102">
        <v>0</v>
      </c>
    </row>
    <row r="5403" spans="1:10" ht="51" hidden="1" x14ac:dyDescent="0.25">
      <c r="A5403" s="219"/>
      <c r="B5403" s="222"/>
      <c r="C5403" s="36" t="s">
        <v>1662</v>
      </c>
      <c r="D5403" s="36" t="s">
        <v>942</v>
      </c>
      <c r="E5403" s="37">
        <v>0.111</v>
      </c>
      <c r="F5403" s="34">
        <v>228.8835</v>
      </c>
      <c r="G5403" s="31">
        <f t="shared" si="102"/>
        <v>25.4060685</v>
      </c>
      <c r="H5403" s="45"/>
      <c r="I5403" s="46"/>
      <c r="J5403" s="102">
        <v>0</v>
      </c>
    </row>
    <row r="5404" spans="1:10" hidden="1" x14ac:dyDescent="0.25">
      <c r="A5404" s="219"/>
      <c r="B5404" s="222"/>
      <c r="C5404" s="36" t="s">
        <v>1159</v>
      </c>
      <c r="D5404" s="36" t="s">
        <v>703</v>
      </c>
      <c r="E5404" s="37">
        <f>1.413/2</f>
        <v>0.70650000000000002</v>
      </c>
      <c r="F5404" s="34">
        <v>17.024000000000001</v>
      </c>
      <c r="G5404" s="31">
        <f t="shared" si="102"/>
        <v>12.027456000000001</v>
      </c>
      <c r="H5404" s="45"/>
      <c r="I5404" s="46"/>
      <c r="J5404" s="102">
        <v>0</v>
      </c>
    </row>
    <row r="5405" spans="1:10" hidden="1" x14ac:dyDescent="0.25">
      <c r="A5405" s="219"/>
      <c r="B5405" s="222"/>
      <c r="C5405" s="36" t="s">
        <v>1160</v>
      </c>
      <c r="D5405" s="36" t="s">
        <v>703</v>
      </c>
      <c r="E5405" s="37">
        <f>4.593/2</f>
        <v>2.2965</v>
      </c>
      <c r="F5405" s="31">
        <v>21.688499999999998</v>
      </c>
      <c r="G5405" s="31">
        <f t="shared" si="102"/>
        <v>49.807640249999992</v>
      </c>
      <c r="H5405" s="35"/>
      <c r="I5405" s="31"/>
      <c r="J5405" s="102">
        <v>0</v>
      </c>
    </row>
    <row r="5406" spans="1:10" ht="15.75" hidden="1" thickBot="1" x14ac:dyDescent="0.3">
      <c r="A5406" s="220"/>
      <c r="B5406" s="223"/>
      <c r="C5406" s="36"/>
      <c r="D5406" s="36"/>
      <c r="E5406" s="37"/>
      <c r="F5406" s="31" t="s">
        <v>522</v>
      </c>
      <c r="G5406" s="31" t="str">
        <f t="shared" ref="G5406:G5469" si="103">IF(ISNUMBER(F5406),E5406*F5406,"")</f>
        <v/>
      </c>
      <c r="H5406" s="35"/>
      <c r="I5406" s="31"/>
      <c r="J5406" s="102">
        <v>0</v>
      </c>
    </row>
    <row r="5407" spans="1:10" ht="15.75" hidden="1" thickBot="1" x14ac:dyDescent="0.3">
      <c r="A5407" s="232" t="s">
        <v>2064</v>
      </c>
      <c r="B5407" s="229" t="e">
        <f>INDEX(#REF!,MATCH(Composições!A5407,#REF!,0),2)</f>
        <v>#REF!</v>
      </c>
      <c r="C5407" s="41"/>
      <c r="D5407" s="26" t="s">
        <v>20</v>
      </c>
      <c r="E5407" s="27"/>
      <c r="F5407" s="42" t="s">
        <v>522</v>
      </c>
      <c r="G5407" s="28" t="str">
        <f t="shared" si="103"/>
        <v/>
      </c>
      <c r="H5407" s="29"/>
      <c r="I5407" s="30"/>
      <c r="J5407" s="102">
        <v>0</v>
      </c>
    </row>
    <row r="5408" spans="1:10" hidden="1" x14ac:dyDescent="0.25">
      <c r="A5408" s="233"/>
      <c r="B5408" s="230"/>
      <c r="C5408" s="32"/>
      <c r="D5408" s="32"/>
      <c r="E5408" s="33"/>
      <c r="F5408" s="43" t="s">
        <v>522</v>
      </c>
      <c r="G5408" s="31" t="str">
        <f t="shared" si="103"/>
        <v/>
      </c>
      <c r="H5408" s="35"/>
      <c r="I5408" s="31"/>
      <c r="J5408" s="102">
        <v>0</v>
      </c>
    </row>
    <row r="5409" spans="1:10" hidden="1" x14ac:dyDescent="0.25">
      <c r="A5409" s="233"/>
      <c r="B5409" s="230"/>
      <c r="C5409" s="36" t="s">
        <v>1907</v>
      </c>
      <c r="D5409" s="36" t="s">
        <v>279</v>
      </c>
      <c r="E5409" s="37">
        <f>48.7507*5/3</f>
        <v>81.251166666666663</v>
      </c>
      <c r="F5409" s="31">
        <v>0.63649999999999995</v>
      </c>
      <c r="G5409" s="34">
        <f t="shared" si="103"/>
        <v>51.71636758333333</v>
      </c>
      <c r="H5409" s="39">
        <f>SUM(G5409:G5415)</f>
        <v>233.56434919052083</v>
      </c>
      <c r="I5409" s="40"/>
      <c r="J5409" s="102">
        <v>0</v>
      </c>
    </row>
    <row r="5410" spans="1:10" ht="38.25" hidden="1" x14ac:dyDescent="0.25">
      <c r="A5410" s="233"/>
      <c r="B5410" s="230"/>
      <c r="C5410" s="36" t="s">
        <v>1002</v>
      </c>
      <c r="D5410" s="36" t="s">
        <v>120</v>
      </c>
      <c r="E5410" s="37">
        <f>0.0004*5/3</f>
        <v>6.6666666666666664E-4</v>
      </c>
      <c r="F5410" s="31">
        <v>482.96383126599994</v>
      </c>
      <c r="G5410" s="34">
        <f t="shared" si="103"/>
        <v>0.32197588751066664</v>
      </c>
      <c r="H5410" s="35"/>
      <c r="I5410" s="31"/>
      <c r="J5410" s="102">
        <v>0</v>
      </c>
    </row>
    <row r="5411" spans="1:10" hidden="1" x14ac:dyDescent="0.25">
      <c r="A5411" s="233"/>
      <c r="B5411" s="230"/>
      <c r="C5411" s="36" t="s">
        <v>711</v>
      </c>
      <c r="D5411" s="36" t="s">
        <v>703</v>
      </c>
      <c r="E5411" s="37">
        <f>1.5362*5/3</f>
        <v>2.5603333333333333</v>
      </c>
      <c r="F5411" s="34">
        <v>21.479499999999998</v>
      </c>
      <c r="G5411" s="31">
        <f t="shared" si="103"/>
        <v>54.994679833333329</v>
      </c>
      <c r="H5411" s="35"/>
      <c r="I5411" s="31"/>
      <c r="J5411" s="102">
        <v>0</v>
      </c>
    </row>
    <row r="5412" spans="1:10" hidden="1" x14ac:dyDescent="0.25">
      <c r="A5412" s="233"/>
      <c r="B5412" s="230"/>
      <c r="C5412" s="36" t="s">
        <v>704</v>
      </c>
      <c r="D5412" s="36" t="s">
        <v>703</v>
      </c>
      <c r="E5412" s="37">
        <f>1.5362*5/3</f>
        <v>2.5603333333333333</v>
      </c>
      <c r="F5412" s="31">
        <v>16.1785</v>
      </c>
      <c r="G5412" s="34">
        <f t="shared" si="103"/>
        <v>41.422352833333335</v>
      </c>
      <c r="H5412" s="35"/>
      <c r="I5412" s="40"/>
      <c r="J5412" s="102">
        <v>0</v>
      </c>
    </row>
    <row r="5413" spans="1:10" ht="25.5" hidden="1" x14ac:dyDescent="0.25">
      <c r="A5413" s="233"/>
      <c r="B5413" s="230"/>
      <c r="C5413" s="36" t="s">
        <v>1679</v>
      </c>
      <c r="D5413" s="36" t="s">
        <v>120</v>
      </c>
      <c r="E5413" s="37">
        <f>0.0278*5/3</f>
        <v>4.6333333333333331E-2</v>
      </c>
      <c r="F5413" s="31">
        <v>553.03047868099998</v>
      </c>
      <c r="G5413" s="34">
        <f t="shared" si="103"/>
        <v>25.623745512219664</v>
      </c>
      <c r="H5413" s="35"/>
      <c r="I5413" s="31"/>
      <c r="J5413" s="102">
        <v>0</v>
      </c>
    </row>
    <row r="5414" spans="1:10" ht="25.5" hidden="1" x14ac:dyDescent="0.25">
      <c r="A5414" s="233"/>
      <c r="B5414" s="230"/>
      <c r="C5414" s="36" t="s">
        <v>1675</v>
      </c>
      <c r="D5414" s="36" t="s">
        <v>120</v>
      </c>
      <c r="E5414" s="37">
        <f>0.0175</f>
        <v>1.7500000000000002E-2</v>
      </c>
      <c r="F5414" s="34">
        <v>2664.626105229172</v>
      </c>
      <c r="G5414" s="31">
        <f t="shared" si="103"/>
        <v>46.630956841510518</v>
      </c>
      <c r="H5414" s="35"/>
      <c r="I5414" s="31"/>
      <c r="J5414" s="102">
        <v>0</v>
      </c>
    </row>
    <row r="5415" spans="1:10" ht="25.5" hidden="1" x14ac:dyDescent="0.25">
      <c r="A5415" s="233"/>
      <c r="B5415" s="230"/>
      <c r="C5415" s="36" t="s">
        <v>2003</v>
      </c>
      <c r="D5415" s="36" t="s">
        <v>120</v>
      </c>
      <c r="E5415" s="37">
        <f>0.036</f>
        <v>3.5999999999999997E-2</v>
      </c>
      <c r="F5415" s="31">
        <v>357.06307498000001</v>
      </c>
      <c r="G5415" s="34">
        <f t="shared" si="103"/>
        <v>12.854270699279999</v>
      </c>
      <c r="H5415" s="35"/>
      <c r="I5415" s="40"/>
      <c r="J5415" s="102">
        <v>0</v>
      </c>
    </row>
    <row r="5416" spans="1:10" ht="15.75" hidden="1" thickBot="1" x14ac:dyDescent="0.3">
      <c r="A5416" s="234"/>
      <c r="B5416" s="231"/>
      <c r="C5416" s="36"/>
      <c r="D5416" s="36"/>
      <c r="E5416" s="37"/>
      <c r="F5416" s="31" t="s">
        <v>522</v>
      </c>
      <c r="G5416" s="31" t="str">
        <f t="shared" si="103"/>
        <v/>
      </c>
      <c r="H5416" s="35"/>
      <c r="I5416" s="31"/>
      <c r="J5416" s="102">
        <v>0</v>
      </c>
    </row>
    <row r="5417" spans="1:10" ht="15.75" hidden="1" thickBot="1" x14ac:dyDescent="0.3">
      <c r="A5417" s="232" t="s">
        <v>2065</v>
      </c>
      <c r="B5417" s="229" t="e">
        <f>INDEX(#REF!,MATCH(Composições!A5417,#REF!,0),2)</f>
        <v>#REF!</v>
      </c>
      <c r="C5417" s="41"/>
      <c r="D5417" s="26" t="s">
        <v>20</v>
      </c>
      <c r="E5417" s="27"/>
      <c r="F5417" s="42" t="s">
        <v>522</v>
      </c>
      <c r="G5417" s="28" t="str">
        <f t="shared" si="103"/>
        <v/>
      </c>
      <c r="H5417" s="29"/>
      <c r="I5417" s="30"/>
      <c r="J5417" s="102">
        <v>0</v>
      </c>
    </row>
    <row r="5418" spans="1:10" hidden="1" x14ac:dyDescent="0.25">
      <c r="A5418" s="233"/>
      <c r="B5418" s="230"/>
      <c r="C5418" s="32"/>
      <c r="D5418" s="32"/>
      <c r="E5418" s="33"/>
      <c r="F5418" s="43" t="s">
        <v>522</v>
      </c>
      <c r="G5418" s="31" t="str">
        <f t="shared" si="103"/>
        <v/>
      </c>
      <c r="H5418" s="35"/>
      <c r="I5418" s="31"/>
      <c r="J5418" s="102">
        <v>0</v>
      </c>
    </row>
    <row r="5419" spans="1:10" ht="63.75" hidden="1" x14ac:dyDescent="0.25">
      <c r="A5419" s="233"/>
      <c r="B5419" s="230"/>
      <c r="C5419" s="36" t="s">
        <v>1661</v>
      </c>
      <c r="D5419" s="36" t="s">
        <v>942</v>
      </c>
      <c r="E5419" s="37">
        <f>ROUND(0.0087*8/6,4)</f>
        <v>1.1599999999999999E-2</v>
      </c>
      <c r="F5419" s="31">
        <v>121.581</v>
      </c>
      <c r="G5419" s="34">
        <f t="shared" si="103"/>
        <v>1.4103395999999999</v>
      </c>
      <c r="H5419" s="39">
        <f>SUM(G5419:G5427)</f>
        <v>623.76243048005131</v>
      </c>
      <c r="I5419" s="40"/>
      <c r="J5419" s="102">
        <v>0</v>
      </c>
    </row>
    <row r="5420" spans="1:10" ht="63.75" hidden="1" x14ac:dyDescent="0.25">
      <c r="A5420" s="233"/>
      <c r="B5420" s="230"/>
      <c r="C5420" s="36" t="s">
        <v>1666</v>
      </c>
      <c r="D5420" s="36" t="s">
        <v>944</v>
      </c>
      <c r="E5420" s="37">
        <f>ROUND(0.0294*8/6,4)</f>
        <v>3.9199999999999999E-2</v>
      </c>
      <c r="F5420" s="31">
        <v>44.003999999999998</v>
      </c>
      <c r="G5420" s="34">
        <f t="shared" si="103"/>
        <v>1.7249568</v>
      </c>
      <c r="H5420" s="35"/>
      <c r="I5420" s="31"/>
      <c r="J5420" s="102">
        <v>0</v>
      </c>
    </row>
    <row r="5421" spans="1:10" hidden="1" x14ac:dyDescent="0.25">
      <c r="A5421" s="233"/>
      <c r="B5421" s="230"/>
      <c r="C5421" s="36" t="s">
        <v>1907</v>
      </c>
      <c r="D5421" s="36" t="s">
        <v>279</v>
      </c>
      <c r="E5421" s="37">
        <f>ROUND(169.8027*8/6,4)</f>
        <v>226.40360000000001</v>
      </c>
      <c r="F5421" s="34">
        <v>0.63649999999999995</v>
      </c>
      <c r="G5421" s="31">
        <f t="shared" si="103"/>
        <v>144.10589139999999</v>
      </c>
      <c r="H5421" s="35"/>
      <c r="I5421" s="31"/>
      <c r="J5421" s="102">
        <v>0</v>
      </c>
    </row>
    <row r="5422" spans="1:10" ht="38.25" hidden="1" x14ac:dyDescent="0.25">
      <c r="A5422" s="233"/>
      <c r="B5422" s="230"/>
      <c r="C5422" s="36" t="s">
        <v>1002</v>
      </c>
      <c r="D5422" s="36" t="s">
        <v>120</v>
      </c>
      <c r="E5422" s="37">
        <f>ROUND(0.0014*8/6,4)</f>
        <v>1.9E-3</v>
      </c>
      <c r="F5422" s="31">
        <v>482.96383126599994</v>
      </c>
      <c r="G5422" s="34">
        <f t="shared" si="103"/>
        <v>0.9176312794053999</v>
      </c>
      <c r="H5422" s="35"/>
      <c r="I5422" s="40"/>
      <c r="J5422" s="102">
        <v>0</v>
      </c>
    </row>
    <row r="5423" spans="1:10" hidden="1" x14ac:dyDescent="0.25">
      <c r="A5423" s="233"/>
      <c r="B5423" s="230"/>
      <c r="C5423" s="36" t="s">
        <v>711</v>
      </c>
      <c r="D5423" s="36" t="s">
        <v>703</v>
      </c>
      <c r="E5423" s="37">
        <f>ROUND(5.4392*8/6,4)</f>
        <v>7.2523</v>
      </c>
      <c r="F5423" s="31">
        <v>21.479499999999998</v>
      </c>
      <c r="G5423" s="34">
        <f t="shared" si="103"/>
        <v>155.77577785</v>
      </c>
      <c r="H5423" s="35"/>
      <c r="I5423" s="31"/>
      <c r="J5423" s="102">
        <v>0</v>
      </c>
    </row>
    <row r="5424" spans="1:10" hidden="1" x14ac:dyDescent="0.25">
      <c r="A5424" s="233"/>
      <c r="B5424" s="230"/>
      <c r="C5424" s="36" t="s">
        <v>704</v>
      </c>
      <c r="D5424" s="36" t="s">
        <v>703</v>
      </c>
      <c r="E5424" s="37">
        <f>ROUND(5.4392*8/6,4)</f>
        <v>7.2523</v>
      </c>
      <c r="F5424" s="34">
        <v>16.1785</v>
      </c>
      <c r="G5424" s="31">
        <f t="shared" si="103"/>
        <v>117.33133554999999</v>
      </c>
      <c r="H5424" s="35"/>
      <c r="I5424" s="31"/>
      <c r="J5424" s="102">
        <v>0</v>
      </c>
    </row>
    <row r="5425" spans="1:10" ht="25.5" hidden="1" x14ac:dyDescent="0.25">
      <c r="A5425" s="233"/>
      <c r="B5425" s="230"/>
      <c r="C5425" s="36" t="s">
        <v>1679</v>
      </c>
      <c r="D5425" s="36" t="s">
        <v>120</v>
      </c>
      <c r="E5425" s="37">
        <f>ROUND(0.1012*8/6,4)</f>
        <v>0.13489999999999999</v>
      </c>
      <c r="F5425" s="31">
        <v>553.03047868099998</v>
      </c>
      <c r="G5425" s="34">
        <f t="shared" si="103"/>
        <v>74.603811574066896</v>
      </c>
      <c r="H5425" s="35"/>
      <c r="I5425" s="40"/>
      <c r="J5425" s="102">
        <v>0</v>
      </c>
    </row>
    <row r="5426" spans="1:10" ht="25.5" hidden="1" x14ac:dyDescent="0.25">
      <c r="A5426" s="233"/>
      <c r="B5426" s="230"/>
      <c r="C5426" s="36" t="s">
        <v>1676</v>
      </c>
      <c r="D5426" s="36" t="s">
        <v>120</v>
      </c>
      <c r="E5426" s="37">
        <v>4.48E-2</v>
      </c>
      <c r="F5426" s="31">
        <v>2260.1914770881458</v>
      </c>
      <c r="G5426" s="34">
        <f t="shared" si="103"/>
        <v>101.25657817354893</v>
      </c>
      <c r="H5426" s="35"/>
      <c r="I5426" s="31"/>
      <c r="J5426" s="102">
        <v>0</v>
      </c>
    </row>
    <row r="5427" spans="1:10" ht="25.5" hidden="1" x14ac:dyDescent="0.25">
      <c r="A5427" s="233"/>
      <c r="B5427" s="230"/>
      <c r="C5427" s="36" t="s">
        <v>2004</v>
      </c>
      <c r="D5427" s="36" t="s">
        <v>120</v>
      </c>
      <c r="E5427" s="37">
        <v>8.1000000000000003E-2</v>
      </c>
      <c r="F5427" s="34">
        <v>328.84084263</v>
      </c>
      <c r="G5427" s="31">
        <f t="shared" si="103"/>
        <v>26.636108253030002</v>
      </c>
      <c r="H5427" s="35"/>
      <c r="I5427" s="31"/>
      <c r="J5427" s="102">
        <v>0</v>
      </c>
    </row>
    <row r="5428" spans="1:10" ht="15.75" hidden="1" thickBot="1" x14ac:dyDescent="0.3">
      <c r="A5428" s="234"/>
      <c r="B5428" s="231"/>
      <c r="C5428" s="36"/>
      <c r="D5428" s="36"/>
      <c r="E5428" s="37"/>
      <c r="F5428" s="31" t="s">
        <v>522</v>
      </c>
      <c r="G5428" s="31" t="str">
        <f t="shared" si="103"/>
        <v/>
      </c>
      <c r="H5428" s="35"/>
      <c r="I5428" s="31"/>
      <c r="J5428" s="102">
        <v>0</v>
      </c>
    </row>
    <row r="5429" spans="1:10" ht="15.75" hidden="1" thickBot="1" x14ac:dyDescent="0.3">
      <c r="A5429" s="218" t="s">
        <v>2066</v>
      </c>
      <c r="B5429" s="221" t="e">
        <f>INDEX(#REF!,MATCH(Composições!A5429,#REF!,0),2)</f>
        <v>#REF!</v>
      </c>
      <c r="C5429" s="41"/>
      <c r="D5429" s="26" t="s">
        <v>20</v>
      </c>
      <c r="E5429" s="27"/>
      <c r="F5429" s="42" t="s">
        <v>522</v>
      </c>
      <c r="G5429" s="28" t="str">
        <f t="shared" si="103"/>
        <v/>
      </c>
      <c r="H5429" s="29"/>
      <c r="I5429" s="30"/>
      <c r="J5429" s="102">
        <v>0</v>
      </c>
    </row>
    <row r="5430" spans="1:10" hidden="1" x14ac:dyDescent="0.25">
      <c r="A5430" s="219"/>
      <c r="B5430" s="222"/>
      <c r="C5430" s="32"/>
      <c r="D5430" s="32"/>
      <c r="E5430" s="33"/>
      <c r="F5430" s="43" t="s">
        <v>522</v>
      </c>
      <c r="G5430" s="31" t="str">
        <f t="shared" si="103"/>
        <v/>
      </c>
      <c r="H5430" s="35"/>
      <c r="I5430" s="31"/>
      <c r="J5430" s="102">
        <v>0</v>
      </c>
    </row>
    <row r="5431" spans="1:10" hidden="1" x14ac:dyDescent="0.25">
      <c r="A5431" s="219"/>
      <c r="B5431" s="222"/>
      <c r="C5431" s="36" t="s">
        <v>2351</v>
      </c>
      <c r="D5431" s="36" t="s">
        <v>279</v>
      </c>
      <c r="E5431" s="37">
        <v>1</v>
      </c>
      <c r="F5431" s="34" t="s">
        <v>522</v>
      </c>
      <c r="G5431" s="31" t="str">
        <f t="shared" si="103"/>
        <v/>
      </c>
      <c r="H5431" s="39">
        <f>SUM(G5431:G5433)</f>
        <v>19.356249999999999</v>
      </c>
      <c r="I5431" s="40"/>
      <c r="J5431" s="102">
        <v>0</v>
      </c>
    </row>
    <row r="5432" spans="1:10" hidden="1" x14ac:dyDescent="0.25">
      <c r="A5432" s="219"/>
      <c r="B5432" s="222"/>
      <c r="C5432" s="36" t="s">
        <v>1159</v>
      </c>
      <c r="D5432" s="36" t="s">
        <v>703</v>
      </c>
      <c r="E5432" s="37">
        <v>0.5</v>
      </c>
      <c r="F5432" s="34">
        <v>17.024000000000001</v>
      </c>
      <c r="G5432" s="31">
        <f t="shared" si="103"/>
        <v>8.5120000000000005</v>
      </c>
      <c r="H5432" s="45"/>
      <c r="I5432" s="46"/>
      <c r="J5432" s="102">
        <v>0</v>
      </c>
    </row>
    <row r="5433" spans="1:10" hidden="1" x14ac:dyDescent="0.25">
      <c r="A5433" s="219"/>
      <c r="B5433" s="222"/>
      <c r="C5433" s="36" t="s">
        <v>1160</v>
      </c>
      <c r="D5433" s="36" t="s">
        <v>703</v>
      </c>
      <c r="E5433" s="37">
        <v>0.5</v>
      </c>
      <c r="F5433" s="31">
        <v>21.688499999999998</v>
      </c>
      <c r="G5433" s="31">
        <f t="shared" si="103"/>
        <v>10.844249999999999</v>
      </c>
      <c r="H5433" s="35"/>
      <c r="I5433" s="31"/>
      <c r="J5433" s="102">
        <v>0</v>
      </c>
    </row>
    <row r="5434" spans="1:10" ht="15.75" hidden="1" thickBot="1" x14ac:dyDescent="0.3">
      <c r="A5434" s="220"/>
      <c r="B5434" s="223"/>
      <c r="C5434" s="36"/>
      <c r="D5434" s="36"/>
      <c r="E5434" s="37"/>
      <c r="F5434" s="31" t="s">
        <v>522</v>
      </c>
      <c r="G5434" s="31" t="str">
        <f t="shared" si="103"/>
        <v/>
      </c>
      <c r="H5434" s="35"/>
      <c r="I5434" s="31"/>
      <c r="J5434" s="102">
        <v>0</v>
      </c>
    </row>
    <row r="5435" spans="1:10" ht="15.75" hidden="1" thickBot="1" x14ac:dyDescent="0.3">
      <c r="A5435" s="218" t="s">
        <v>2067</v>
      </c>
      <c r="B5435" s="221" t="e">
        <f>INDEX(#REF!,MATCH(Composições!A5435,#REF!,0),2)</f>
        <v>#REF!</v>
      </c>
      <c r="C5435" s="41"/>
      <c r="D5435" s="26" t="s">
        <v>20</v>
      </c>
      <c r="E5435" s="27"/>
      <c r="F5435" s="42" t="s">
        <v>522</v>
      </c>
      <c r="G5435" s="28" t="str">
        <f t="shared" si="103"/>
        <v/>
      </c>
      <c r="H5435" s="29"/>
      <c r="I5435" s="30"/>
      <c r="J5435" s="102">
        <v>0</v>
      </c>
    </row>
    <row r="5436" spans="1:10" hidden="1" x14ac:dyDescent="0.25">
      <c r="A5436" s="219"/>
      <c r="B5436" s="222"/>
      <c r="C5436" s="32"/>
      <c r="D5436" s="32"/>
      <c r="E5436" s="33"/>
      <c r="F5436" s="43" t="s">
        <v>522</v>
      </c>
      <c r="G5436" s="31" t="str">
        <f t="shared" si="103"/>
        <v/>
      </c>
      <c r="H5436" s="35"/>
      <c r="I5436" s="31"/>
      <c r="J5436" s="102">
        <v>0</v>
      </c>
    </row>
    <row r="5437" spans="1:10" hidden="1" x14ac:dyDescent="0.25">
      <c r="A5437" s="219"/>
      <c r="B5437" s="222"/>
      <c r="C5437" s="36" t="s">
        <v>2352</v>
      </c>
      <c r="D5437" s="36" t="s">
        <v>279</v>
      </c>
      <c r="E5437" s="37">
        <v>1</v>
      </c>
      <c r="F5437" s="34" t="s">
        <v>522</v>
      </c>
      <c r="G5437" s="31" t="str">
        <f t="shared" si="103"/>
        <v/>
      </c>
      <c r="H5437" s="39">
        <f>SUM(G5437:G5439)</f>
        <v>19.356249999999999</v>
      </c>
      <c r="I5437" s="40"/>
      <c r="J5437" s="102">
        <v>0</v>
      </c>
    </row>
    <row r="5438" spans="1:10" hidden="1" x14ac:dyDescent="0.25">
      <c r="A5438" s="219"/>
      <c r="B5438" s="222"/>
      <c r="C5438" s="36" t="s">
        <v>1159</v>
      </c>
      <c r="D5438" s="36" t="s">
        <v>703</v>
      </c>
      <c r="E5438" s="37">
        <v>0.5</v>
      </c>
      <c r="F5438" s="34">
        <v>17.024000000000001</v>
      </c>
      <c r="G5438" s="31">
        <f t="shared" si="103"/>
        <v>8.5120000000000005</v>
      </c>
      <c r="H5438" s="45"/>
      <c r="I5438" s="46"/>
      <c r="J5438" s="102">
        <v>0</v>
      </c>
    </row>
    <row r="5439" spans="1:10" hidden="1" x14ac:dyDescent="0.25">
      <c r="A5439" s="219"/>
      <c r="B5439" s="222"/>
      <c r="C5439" s="36" t="s">
        <v>1160</v>
      </c>
      <c r="D5439" s="36" t="s">
        <v>703</v>
      </c>
      <c r="E5439" s="37">
        <v>0.5</v>
      </c>
      <c r="F5439" s="31">
        <v>21.688499999999998</v>
      </c>
      <c r="G5439" s="31">
        <f t="shared" si="103"/>
        <v>10.844249999999999</v>
      </c>
      <c r="H5439" s="35"/>
      <c r="I5439" s="31"/>
      <c r="J5439" s="102">
        <v>0</v>
      </c>
    </row>
    <row r="5440" spans="1:10" ht="15.75" hidden="1" thickBot="1" x14ac:dyDescent="0.3">
      <c r="A5440" s="220"/>
      <c r="B5440" s="223"/>
      <c r="C5440" s="36"/>
      <c r="D5440" s="36"/>
      <c r="E5440" s="37"/>
      <c r="F5440" s="31" t="s">
        <v>522</v>
      </c>
      <c r="G5440" s="31" t="str">
        <f t="shared" si="103"/>
        <v/>
      </c>
      <c r="H5440" s="35"/>
      <c r="I5440" s="31"/>
      <c r="J5440" s="102">
        <v>0</v>
      </c>
    </row>
    <row r="5441" spans="1:10" ht="15.75" hidden="1" thickBot="1" x14ac:dyDescent="0.3">
      <c r="A5441" s="218" t="s">
        <v>2068</v>
      </c>
      <c r="B5441" s="221" t="e">
        <f>INDEX(#REF!,MATCH(Composições!A5441,#REF!,0),2)</f>
        <v>#REF!</v>
      </c>
      <c r="C5441" s="41"/>
      <c r="D5441" s="26" t="s">
        <v>20</v>
      </c>
      <c r="E5441" s="27"/>
      <c r="F5441" s="42" t="s">
        <v>522</v>
      </c>
      <c r="G5441" s="28" t="str">
        <f t="shared" si="103"/>
        <v/>
      </c>
      <c r="H5441" s="29"/>
      <c r="I5441" s="30"/>
      <c r="J5441" s="102">
        <v>0</v>
      </c>
    </row>
    <row r="5442" spans="1:10" hidden="1" x14ac:dyDescent="0.25">
      <c r="A5442" s="219"/>
      <c r="B5442" s="222"/>
      <c r="C5442" s="32"/>
      <c r="D5442" s="32"/>
      <c r="E5442" s="33"/>
      <c r="F5442" s="43" t="s">
        <v>522</v>
      </c>
      <c r="G5442" s="31" t="str">
        <f t="shared" si="103"/>
        <v/>
      </c>
      <c r="H5442" s="35"/>
      <c r="I5442" s="31"/>
      <c r="J5442" s="102">
        <v>0</v>
      </c>
    </row>
    <row r="5443" spans="1:10" hidden="1" x14ac:dyDescent="0.25">
      <c r="A5443" s="219"/>
      <c r="B5443" s="222"/>
      <c r="C5443" s="36" t="s">
        <v>30</v>
      </c>
      <c r="D5443" s="36" t="s">
        <v>12</v>
      </c>
      <c r="E5443" s="37">
        <v>0.308</v>
      </c>
      <c r="F5443" s="31">
        <v>21.688499999999998</v>
      </c>
      <c r="G5443" s="34">
        <f t="shared" si="103"/>
        <v>6.6800579999999989</v>
      </c>
      <c r="H5443" s="39">
        <f>SUM(G5443:G5446)</f>
        <v>11.923449999999999</v>
      </c>
      <c r="I5443" s="40"/>
      <c r="J5443" s="102">
        <v>0</v>
      </c>
    </row>
    <row r="5444" spans="1:10" hidden="1" x14ac:dyDescent="0.25">
      <c r="A5444" s="219"/>
      <c r="B5444" s="222"/>
      <c r="C5444" s="36" t="s">
        <v>74</v>
      </c>
      <c r="D5444" s="36" t="s">
        <v>12</v>
      </c>
      <c r="E5444" s="37">
        <v>0.308</v>
      </c>
      <c r="F5444" s="31">
        <v>17.024000000000001</v>
      </c>
      <c r="G5444" s="34">
        <f t="shared" si="103"/>
        <v>5.2433920000000001</v>
      </c>
      <c r="H5444" s="35"/>
      <c r="I5444" s="31"/>
      <c r="J5444" s="102">
        <v>0</v>
      </c>
    </row>
    <row r="5445" spans="1:10" ht="25.5" hidden="1" x14ac:dyDescent="0.25">
      <c r="A5445" s="219"/>
      <c r="B5445" s="222"/>
      <c r="C5445" s="36" t="s">
        <v>507</v>
      </c>
      <c r="D5445" s="36" t="s">
        <v>20</v>
      </c>
      <c r="E5445" s="37">
        <v>1</v>
      </c>
      <c r="F5445" s="34" t="s">
        <v>522</v>
      </c>
      <c r="G5445" s="34" t="str">
        <f t="shared" si="103"/>
        <v/>
      </c>
      <c r="H5445" s="35"/>
      <c r="I5445" s="31"/>
      <c r="J5445" s="102">
        <v>0</v>
      </c>
    </row>
    <row r="5446" spans="1:10" ht="25.5" hidden="1" x14ac:dyDescent="0.25">
      <c r="A5446" s="219"/>
      <c r="B5446" s="222"/>
      <c r="C5446" s="36" t="s">
        <v>2353</v>
      </c>
      <c r="D5446" s="36" t="s">
        <v>20</v>
      </c>
      <c r="E5446" s="37">
        <v>1</v>
      </c>
      <c r="F5446" s="34" t="s">
        <v>522</v>
      </c>
      <c r="G5446" s="31" t="str">
        <f t="shared" si="103"/>
        <v/>
      </c>
      <c r="H5446" s="35"/>
      <c r="I5446" s="31"/>
      <c r="J5446" s="102">
        <v>0</v>
      </c>
    </row>
    <row r="5447" spans="1:10" ht="15.75" hidden="1" thickBot="1" x14ac:dyDescent="0.3">
      <c r="A5447" s="220"/>
      <c r="B5447" s="223"/>
      <c r="C5447" s="36"/>
      <c r="D5447" s="36"/>
      <c r="E5447" s="37"/>
      <c r="F5447" s="31" t="s">
        <v>522</v>
      </c>
      <c r="G5447" s="31" t="str">
        <f t="shared" si="103"/>
        <v/>
      </c>
      <c r="H5447" s="35"/>
      <c r="I5447" s="31"/>
      <c r="J5447" s="102">
        <v>0</v>
      </c>
    </row>
    <row r="5448" spans="1:10" ht="15.75" hidden="1" thickBot="1" x14ac:dyDescent="0.3">
      <c r="A5448" s="218" t="s">
        <v>2081</v>
      </c>
      <c r="B5448" s="221" t="e">
        <f>INDEX(#REF!,MATCH(Composições!A5448,#REF!,0),2)</f>
        <v>#REF!</v>
      </c>
      <c r="C5448" s="41"/>
      <c r="D5448" s="26" t="s">
        <v>93</v>
      </c>
      <c r="E5448" s="27"/>
      <c r="F5448" s="42" t="s">
        <v>522</v>
      </c>
      <c r="G5448" s="28" t="str">
        <f t="shared" si="103"/>
        <v/>
      </c>
      <c r="H5448" s="29"/>
      <c r="I5448" s="30"/>
      <c r="J5448" s="102">
        <v>0</v>
      </c>
    </row>
    <row r="5449" spans="1:10" hidden="1" x14ac:dyDescent="0.25">
      <c r="A5449" s="219"/>
      <c r="B5449" s="222"/>
      <c r="C5449" s="32"/>
      <c r="D5449" s="32"/>
      <c r="E5449" s="33"/>
      <c r="F5449" s="43" t="s">
        <v>522</v>
      </c>
      <c r="G5449" s="31" t="str">
        <f t="shared" si="103"/>
        <v/>
      </c>
      <c r="H5449" s="35"/>
      <c r="I5449" s="31"/>
      <c r="J5449" s="102">
        <v>0</v>
      </c>
    </row>
    <row r="5450" spans="1:10" hidden="1" x14ac:dyDescent="0.25">
      <c r="A5450" s="219"/>
      <c r="B5450" s="222"/>
      <c r="C5450" s="36" t="s">
        <v>1703</v>
      </c>
      <c r="D5450" s="36" t="s">
        <v>479</v>
      </c>
      <c r="E5450" s="37">
        <v>1.1000000000000001</v>
      </c>
      <c r="F5450" s="34">
        <v>42.882999999999996</v>
      </c>
      <c r="G5450" s="31">
        <f t="shared" si="103"/>
        <v>47.171300000000002</v>
      </c>
      <c r="H5450" s="39">
        <f>SUM(G5450:G5452)</f>
        <v>48.475911250000003</v>
      </c>
      <c r="I5450" s="40"/>
      <c r="J5450" s="102">
        <v>0</v>
      </c>
    </row>
    <row r="5451" spans="1:10" hidden="1" x14ac:dyDescent="0.25">
      <c r="A5451" s="219"/>
      <c r="B5451" s="222"/>
      <c r="C5451" s="36" t="s">
        <v>1159</v>
      </c>
      <c r="D5451" s="36" t="s">
        <v>703</v>
      </c>
      <c r="E5451" s="37">
        <v>3.3700000000000001E-2</v>
      </c>
      <c r="F5451" s="34">
        <v>17.024000000000001</v>
      </c>
      <c r="G5451" s="31">
        <f t="shared" si="103"/>
        <v>0.57370880000000002</v>
      </c>
      <c r="H5451" s="45"/>
      <c r="I5451" s="46"/>
      <c r="J5451" s="102">
        <v>0</v>
      </c>
    </row>
    <row r="5452" spans="1:10" hidden="1" x14ac:dyDescent="0.25">
      <c r="A5452" s="219"/>
      <c r="B5452" s="222"/>
      <c r="C5452" s="36" t="s">
        <v>1160</v>
      </c>
      <c r="D5452" s="36" t="s">
        <v>703</v>
      </c>
      <c r="E5452" s="37">
        <v>3.3700000000000001E-2</v>
      </c>
      <c r="F5452" s="31">
        <v>21.688499999999998</v>
      </c>
      <c r="G5452" s="31">
        <f t="shared" si="103"/>
        <v>0.73090244999999998</v>
      </c>
      <c r="H5452" s="35"/>
      <c r="I5452" s="31"/>
      <c r="J5452" s="102">
        <v>0</v>
      </c>
    </row>
    <row r="5453" spans="1:10" ht="15.75" hidden="1" thickBot="1" x14ac:dyDescent="0.3">
      <c r="A5453" s="220"/>
      <c r="B5453" s="223"/>
      <c r="C5453" s="36"/>
      <c r="D5453" s="36"/>
      <c r="E5453" s="37"/>
      <c r="F5453" s="31" t="s">
        <v>522</v>
      </c>
      <c r="G5453" s="31" t="str">
        <f t="shared" si="103"/>
        <v/>
      </c>
      <c r="H5453" s="35"/>
      <c r="I5453" s="31"/>
      <c r="J5453" s="102">
        <v>0</v>
      </c>
    </row>
    <row r="5454" spans="1:10" ht="15.75" hidden="1" thickBot="1" x14ac:dyDescent="0.3">
      <c r="A5454" s="218" t="s">
        <v>2082</v>
      </c>
      <c r="B5454" s="221" t="e">
        <f>INDEX(#REF!,MATCH(Composições!A5454,#REF!,0),2)</f>
        <v>#REF!</v>
      </c>
      <c r="C5454" s="41"/>
      <c r="D5454" s="26" t="s">
        <v>20</v>
      </c>
      <c r="E5454" s="27"/>
      <c r="F5454" s="42" t="s">
        <v>522</v>
      </c>
      <c r="G5454" s="28" t="str">
        <f t="shared" si="103"/>
        <v/>
      </c>
      <c r="H5454" s="29"/>
      <c r="I5454" s="30"/>
      <c r="J5454" s="102">
        <v>0</v>
      </c>
    </row>
    <row r="5455" spans="1:10" hidden="1" x14ac:dyDescent="0.25">
      <c r="A5455" s="219"/>
      <c r="B5455" s="222"/>
      <c r="C5455" s="32"/>
      <c r="D5455" s="32"/>
      <c r="E5455" s="33"/>
      <c r="F5455" s="43" t="s">
        <v>522</v>
      </c>
      <c r="G5455" s="31" t="str">
        <f t="shared" si="103"/>
        <v/>
      </c>
      <c r="H5455" s="35"/>
      <c r="I5455" s="31"/>
      <c r="J5455" s="102">
        <v>0</v>
      </c>
    </row>
    <row r="5456" spans="1:10" hidden="1" x14ac:dyDescent="0.25">
      <c r="A5456" s="219"/>
      <c r="B5456" s="222"/>
      <c r="C5456" s="36" t="s">
        <v>2354</v>
      </c>
      <c r="D5456" s="36" t="s">
        <v>20</v>
      </c>
      <c r="E5456" s="37">
        <v>1</v>
      </c>
      <c r="F5456" s="34" t="s">
        <v>522</v>
      </c>
      <c r="G5456" s="31" t="str">
        <f t="shared" si="103"/>
        <v/>
      </c>
      <c r="H5456" s="39">
        <f>SUM(G5456:G5458)</f>
        <v>15.310793749999998</v>
      </c>
      <c r="I5456" s="40"/>
      <c r="J5456" s="102">
        <v>0</v>
      </c>
    </row>
    <row r="5457" spans="1:10" hidden="1" x14ac:dyDescent="0.25">
      <c r="A5457" s="219"/>
      <c r="B5457" s="222"/>
      <c r="C5457" s="36" t="s">
        <v>1159</v>
      </c>
      <c r="D5457" s="36" t="s">
        <v>703</v>
      </c>
      <c r="E5457" s="37">
        <v>0.39550000000000002</v>
      </c>
      <c r="F5457" s="34">
        <v>17.024000000000001</v>
      </c>
      <c r="G5457" s="31">
        <f t="shared" si="103"/>
        <v>6.7329920000000003</v>
      </c>
      <c r="H5457" s="45"/>
      <c r="I5457" s="46"/>
      <c r="J5457" s="102">
        <v>0</v>
      </c>
    </row>
    <row r="5458" spans="1:10" hidden="1" x14ac:dyDescent="0.25">
      <c r="A5458" s="219"/>
      <c r="B5458" s="222"/>
      <c r="C5458" s="36" t="s">
        <v>1160</v>
      </c>
      <c r="D5458" s="36" t="s">
        <v>703</v>
      </c>
      <c r="E5458" s="37">
        <v>0.39550000000000002</v>
      </c>
      <c r="F5458" s="31">
        <v>21.688499999999998</v>
      </c>
      <c r="G5458" s="31">
        <f t="shared" si="103"/>
        <v>8.577801749999999</v>
      </c>
      <c r="H5458" s="35"/>
      <c r="I5458" s="31"/>
      <c r="J5458" s="102">
        <v>0</v>
      </c>
    </row>
    <row r="5459" spans="1:10" ht="15.75" hidden="1" thickBot="1" x14ac:dyDescent="0.3">
      <c r="A5459" s="220"/>
      <c r="B5459" s="223"/>
      <c r="C5459" s="36"/>
      <c r="D5459" s="36"/>
      <c r="E5459" s="37"/>
      <c r="F5459" s="31" t="s">
        <v>522</v>
      </c>
      <c r="G5459" s="31" t="str">
        <f t="shared" si="103"/>
        <v/>
      </c>
      <c r="H5459" s="35"/>
      <c r="I5459" s="31"/>
      <c r="J5459" s="102">
        <v>0</v>
      </c>
    </row>
    <row r="5460" spans="1:10" ht="15.75" hidden="1" thickBot="1" x14ac:dyDescent="0.3">
      <c r="A5460" s="218" t="s">
        <v>2083</v>
      </c>
      <c r="B5460" s="221" t="e">
        <f>INDEX(#REF!,MATCH(Composições!A5460,#REF!,0),2)</f>
        <v>#REF!</v>
      </c>
      <c r="C5460" s="41"/>
      <c r="D5460" s="26" t="s">
        <v>93</v>
      </c>
      <c r="E5460" s="27"/>
      <c r="F5460" s="42" t="s">
        <v>522</v>
      </c>
      <c r="G5460" s="28" t="str">
        <f t="shared" si="103"/>
        <v/>
      </c>
      <c r="H5460" s="29"/>
      <c r="I5460" s="30"/>
      <c r="J5460" s="102">
        <v>0</v>
      </c>
    </row>
    <row r="5461" spans="1:10" hidden="1" x14ac:dyDescent="0.25">
      <c r="A5461" s="219"/>
      <c r="B5461" s="222"/>
      <c r="C5461" s="32"/>
      <c r="D5461" s="32"/>
      <c r="E5461" s="33"/>
      <c r="F5461" s="43" t="s">
        <v>522</v>
      </c>
      <c r="G5461" s="31" t="str">
        <f t="shared" si="103"/>
        <v/>
      </c>
      <c r="H5461" s="35"/>
      <c r="I5461" s="31"/>
      <c r="J5461" s="102">
        <v>0</v>
      </c>
    </row>
    <row r="5462" spans="1:10" hidden="1" x14ac:dyDescent="0.25">
      <c r="A5462" s="219"/>
      <c r="B5462" s="222"/>
      <c r="C5462" s="36" t="s">
        <v>30</v>
      </c>
      <c r="D5462" s="36" t="s">
        <v>12</v>
      </c>
      <c r="E5462" s="37">
        <v>0.75</v>
      </c>
      <c r="F5462" s="31">
        <v>21.688499999999998</v>
      </c>
      <c r="G5462" s="34">
        <f t="shared" si="103"/>
        <v>16.266374999999996</v>
      </c>
      <c r="H5462" s="39">
        <f>SUM(G5462:G5464)</f>
        <v>29.034374999999997</v>
      </c>
      <c r="I5462" s="40"/>
      <c r="J5462" s="102">
        <v>0</v>
      </c>
    </row>
    <row r="5463" spans="1:10" hidden="1" x14ac:dyDescent="0.25">
      <c r="A5463" s="219"/>
      <c r="B5463" s="222"/>
      <c r="C5463" s="36" t="s">
        <v>74</v>
      </c>
      <c r="D5463" s="36" t="s">
        <v>12</v>
      </c>
      <c r="E5463" s="37">
        <v>0.75</v>
      </c>
      <c r="F5463" s="31">
        <v>17.024000000000001</v>
      </c>
      <c r="G5463" s="34">
        <f t="shared" si="103"/>
        <v>12.768000000000001</v>
      </c>
      <c r="H5463" s="35"/>
      <c r="I5463" s="31"/>
      <c r="J5463" s="102">
        <v>0</v>
      </c>
    </row>
    <row r="5464" spans="1:10" ht="25.5" hidden="1" x14ac:dyDescent="0.25">
      <c r="A5464" s="219"/>
      <c r="B5464" s="222"/>
      <c r="C5464" s="36" t="s">
        <v>2355</v>
      </c>
      <c r="D5464" s="36" t="s">
        <v>93</v>
      </c>
      <c r="E5464" s="37">
        <v>1.05</v>
      </c>
      <c r="F5464" s="31" t="s">
        <v>522</v>
      </c>
      <c r="G5464" s="34" t="str">
        <f t="shared" si="103"/>
        <v/>
      </c>
      <c r="H5464" s="35"/>
      <c r="I5464" s="31"/>
      <c r="J5464" s="102">
        <v>0</v>
      </c>
    </row>
    <row r="5465" spans="1:10" ht="15.75" hidden="1" thickBot="1" x14ac:dyDescent="0.3">
      <c r="A5465" s="220"/>
      <c r="B5465" s="223"/>
      <c r="C5465" s="36"/>
      <c r="D5465" s="36"/>
      <c r="E5465" s="37"/>
      <c r="F5465" s="31" t="s">
        <v>522</v>
      </c>
      <c r="G5465" s="31" t="str">
        <f t="shared" si="103"/>
        <v/>
      </c>
      <c r="H5465" s="35"/>
      <c r="I5465" s="31"/>
      <c r="J5465" s="102">
        <v>0</v>
      </c>
    </row>
    <row r="5466" spans="1:10" ht="15.75" hidden="1" thickBot="1" x14ac:dyDescent="0.3">
      <c r="A5466" s="218" t="s">
        <v>2084</v>
      </c>
      <c r="B5466" s="221" t="e">
        <f>INDEX(#REF!,MATCH(Composições!A5466,#REF!,0),2)</f>
        <v>#REF!</v>
      </c>
      <c r="C5466" s="41"/>
      <c r="D5466" s="26" t="s">
        <v>1423</v>
      </c>
      <c r="E5466" s="27"/>
      <c r="F5466" s="42" t="s">
        <v>522</v>
      </c>
      <c r="G5466" s="28" t="str">
        <f t="shared" si="103"/>
        <v/>
      </c>
      <c r="H5466" s="29"/>
      <c r="I5466" s="30"/>
      <c r="J5466" s="102">
        <v>0</v>
      </c>
    </row>
    <row r="5467" spans="1:10" hidden="1" x14ac:dyDescent="0.25">
      <c r="A5467" s="219"/>
      <c r="B5467" s="222"/>
      <c r="C5467" s="32"/>
      <c r="D5467" s="32"/>
      <c r="E5467" s="33"/>
      <c r="F5467" s="43" t="s">
        <v>522</v>
      </c>
      <c r="G5467" s="31" t="str">
        <f t="shared" si="103"/>
        <v/>
      </c>
      <c r="H5467" s="35"/>
      <c r="I5467" s="31"/>
      <c r="J5467" s="102">
        <v>0</v>
      </c>
    </row>
    <row r="5468" spans="1:10" hidden="1" x14ac:dyDescent="0.25">
      <c r="A5468" s="219"/>
      <c r="B5468" s="222"/>
      <c r="C5468" s="36" t="s">
        <v>2356</v>
      </c>
      <c r="D5468" s="36" t="s">
        <v>12</v>
      </c>
      <c r="E5468" s="37">
        <v>1</v>
      </c>
      <c r="F5468" s="31">
        <v>89.822499999999991</v>
      </c>
      <c r="G5468" s="34">
        <f t="shared" si="103"/>
        <v>89.822499999999991</v>
      </c>
      <c r="H5468" s="39">
        <f>SUM(G5468:G5468)</f>
        <v>89.822499999999991</v>
      </c>
      <c r="I5468" s="40"/>
      <c r="J5468" s="102">
        <v>0</v>
      </c>
    </row>
    <row r="5469" spans="1:10" ht="15.75" hidden="1" thickBot="1" x14ac:dyDescent="0.3">
      <c r="A5469" s="220"/>
      <c r="B5469" s="223"/>
      <c r="C5469" s="36"/>
      <c r="D5469" s="36"/>
      <c r="E5469" s="37"/>
      <c r="F5469" s="31" t="s">
        <v>522</v>
      </c>
      <c r="G5469" s="31" t="str">
        <f t="shared" si="103"/>
        <v/>
      </c>
      <c r="H5469" s="35"/>
      <c r="I5469" s="31"/>
      <c r="J5469" s="102">
        <v>0</v>
      </c>
    </row>
    <row r="5470" spans="1:10" ht="15.75" hidden="1" thickBot="1" x14ac:dyDescent="0.3">
      <c r="A5470" s="218" t="s">
        <v>2085</v>
      </c>
      <c r="B5470" s="221" t="e">
        <f>INDEX(#REF!,MATCH(Composições!A5470,#REF!,0),2)</f>
        <v>#REF!</v>
      </c>
      <c r="C5470" s="41"/>
      <c r="D5470" s="26" t="s">
        <v>20</v>
      </c>
      <c r="E5470" s="27"/>
      <c r="F5470" s="42" t="s">
        <v>522</v>
      </c>
      <c r="G5470" s="28" t="str">
        <f t="shared" ref="G5470:G5533" si="104">IF(ISNUMBER(F5470),E5470*F5470,"")</f>
        <v/>
      </c>
      <c r="H5470" s="29"/>
      <c r="I5470" s="30"/>
      <c r="J5470" s="102">
        <v>0</v>
      </c>
    </row>
    <row r="5471" spans="1:10" hidden="1" x14ac:dyDescent="0.25">
      <c r="A5471" s="219"/>
      <c r="B5471" s="222"/>
      <c r="C5471" s="32"/>
      <c r="D5471" s="32"/>
      <c r="E5471" s="33"/>
      <c r="F5471" s="43" t="s">
        <v>522</v>
      </c>
      <c r="G5471" s="31" t="str">
        <f t="shared" si="104"/>
        <v/>
      </c>
      <c r="H5471" s="35"/>
      <c r="I5471" s="31"/>
      <c r="J5471" s="102">
        <v>0</v>
      </c>
    </row>
    <row r="5472" spans="1:10" ht="38.25" hidden="1" x14ac:dyDescent="0.25">
      <c r="A5472" s="219"/>
      <c r="B5472" s="222"/>
      <c r="C5472" s="36" t="s">
        <v>1131</v>
      </c>
      <c r="D5472" s="36" t="s">
        <v>279</v>
      </c>
      <c r="E5472" s="37">
        <v>3</v>
      </c>
      <c r="F5472" s="31">
        <v>0.874</v>
      </c>
      <c r="G5472" s="34">
        <f t="shared" si="104"/>
        <v>2.6219999999999999</v>
      </c>
      <c r="H5472" s="39">
        <f>SUM(G5472:G5475)</f>
        <v>15.452241149999999</v>
      </c>
      <c r="I5472" s="40"/>
      <c r="J5472" s="102">
        <v>0</v>
      </c>
    </row>
    <row r="5473" spans="1:10" hidden="1" x14ac:dyDescent="0.25">
      <c r="A5473" s="219"/>
      <c r="B5473" s="222"/>
      <c r="C5473" s="36" t="s">
        <v>2357</v>
      </c>
      <c r="D5473" s="36" t="s">
        <v>279</v>
      </c>
      <c r="E5473" s="37">
        <v>1</v>
      </c>
      <c r="F5473" s="31" t="s">
        <v>522</v>
      </c>
      <c r="G5473" s="34" t="str">
        <f t="shared" si="104"/>
        <v/>
      </c>
      <c r="H5473" s="35"/>
      <c r="I5473" s="31"/>
      <c r="J5473" s="102">
        <v>0</v>
      </c>
    </row>
    <row r="5474" spans="1:10" hidden="1" x14ac:dyDescent="0.25">
      <c r="A5474" s="219"/>
      <c r="B5474" s="222"/>
      <c r="C5474" s="36" t="s">
        <v>30</v>
      </c>
      <c r="D5474" s="36" t="s">
        <v>703</v>
      </c>
      <c r="E5474" s="37">
        <v>0.4743</v>
      </c>
      <c r="F5474" s="31">
        <v>21.688499999999998</v>
      </c>
      <c r="G5474" s="34">
        <f t="shared" si="104"/>
        <v>10.286855549999999</v>
      </c>
      <c r="H5474" s="35"/>
      <c r="I5474" s="31"/>
      <c r="J5474" s="102">
        <v>0</v>
      </c>
    </row>
    <row r="5475" spans="1:10" hidden="1" x14ac:dyDescent="0.25">
      <c r="A5475" s="219"/>
      <c r="B5475" s="222"/>
      <c r="C5475" s="36" t="s">
        <v>74</v>
      </c>
      <c r="D5475" s="36" t="s">
        <v>703</v>
      </c>
      <c r="E5475" s="37">
        <v>0.14940000000000001</v>
      </c>
      <c r="F5475" s="31">
        <v>17.024000000000001</v>
      </c>
      <c r="G5475" s="34">
        <f t="shared" si="104"/>
        <v>2.5433856000000001</v>
      </c>
      <c r="H5475" s="35"/>
      <c r="I5475" s="31"/>
      <c r="J5475" s="102">
        <v>0</v>
      </c>
    </row>
    <row r="5476" spans="1:10" ht="15.75" hidden="1" thickBot="1" x14ac:dyDescent="0.3">
      <c r="A5476" s="220"/>
      <c r="B5476" s="223"/>
      <c r="C5476" s="36"/>
      <c r="D5476" s="36"/>
      <c r="E5476" s="37"/>
      <c r="F5476" s="31" t="s">
        <v>522</v>
      </c>
      <c r="G5476" s="31" t="str">
        <f t="shared" si="104"/>
        <v/>
      </c>
      <c r="H5476" s="35"/>
      <c r="I5476" s="31"/>
      <c r="J5476" s="102">
        <v>0</v>
      </c>
    </row>
    <row r="5477" spans="1:10" ht="15.75" hidden="1" thickBot="1" x14ac:dyDescent="0.3">
      <c r="A5477" s="218" t="s">
        <v>2086</v>
      </c>
      <c r="B5477" s="221" t="e">
        <f>INDEX(#REF!,MATCH(Composições!A5477,#REF!,0),2)</f>
        <v>#REF!</v>
      </c>
      <c r="C5477" s="41"/>
      <c r="D5477" s="26" t="s">
        <v>102</v>
      </c>
      <c r="E5477" s="27"/>
      <c r="F5477" s="42" t="s">
        <v>522</v>
      </c>
      <c r="G5477" s="28" t="str">
        <f t="shared" si="104"/>
        <v/>
      </c>
      <c r="H5477" s="29"/>
      <c r="I5477" s="30"/>
      <c r="J5477" s="102">
        <v>0</v>
      </c>
    </row>
    <row r="5478" spans="1:10" hidden="1" x14ac:dyDescent="0.25">
      <c r="A5478" s="219"/>
      <c r="B5478" s="222"/>
      <c r="C5478" s="32"/>
      <c r="D5478" s="32"/>
      <c r="E5478" s="33"/>
      <c r="F5478" s="43" t="s">
        <v>522</v>
      </c>
      <c r="G5478" s="31" t="str">
        <f t="shared" si="104"/>
        <v/>
      </c>
      <c r="H5478" s="35"/>
      <c r="I5478" s="31"/>
      <c r="J5478" s="102">
        <v>0</v>
      </c>
    </row>
    <row r="5479" spans="1:10" hidden="1" x14ac:dyDescent="0.25">
      <c r="A5479" s="219"/>
      <c r="B5479" s="222"/>
      <c r="C5479" s="36" t="s">
        <v>3265</v>
      </c>
      <c r="D5479" s="36" t="s">
        <v>102</v>
      </c>
      <c r="E5479" s="37">
        <v>1</v>
      </c>
      <c r="F5479" s="31">
        <v>6.0419999999999998</v>
      </c>
      <c r="G5479" s="34">
        <f t="shared" si="104"/>
        <v>6.0419999999999998</v>
      </c>
      <c r="H5479" s="39">
        <f>SUM(G5479:G5479)</f>
        <v>6.0419999999999998</v>
      </c>
      <c r="I5479" s="40"/>
      <c r="J5479" s="102">
        <v>0</v>
      </c>
    </row>
    <row r="5480" spans="1:10" ht="15.75" hidden="1" thickBot="1" x14ac:dyDescent="0.3">
      <c r="A5480" s="220"/>
      <c r="B5480" s="223"/>
      <c r="C5480" s="36"/>
      <c r="D5480" s="36"/>
      <c r="E5480" s="37"/>
      <c r="F5480" s="31" t="s">
        <v>522</v>
      </c>
      <c r="G5480" s="31" t="str">
        <f t="shared" si="104"/>
        <v/>
      </c>
      <c r="H5480" s="35"/>
      <c r="I5480" s="31"/>
      <c r="J5480" s="102">
        <v>0</v>
      </c>
    </row>
    <row r="5481" spans="1:10" ht="15.75" hidden="1" thickBot="1" x14ac:dyDescent="0.3">
      <c r="A5481" s="232" t="s">
        <v>2087</v>
      </c>
      <c r="B5481" s="221" t="e">
        <f>INDEX(#REF!,MATCH(Composições!A5481,#REF!,0),2)</f>
        <v>#REF!</v>
      </c>
      <c r="C5481" s="41"/>
      <c r="D5481" s="26" t="s">
        <v>1514</v>
      </c>
      <c r="E5481" s="27"/>
      <c r="F5481" s="49" t="s">
        <v>522</v>
      </c>
      <c r="G5481" s="28" t="str">
        <f t="shared" si="104"/>
        <v/>
      </c>
      <c r="H5481" s="29"/>
      <c r="I5481" s="30"/>
      <c r="J5481" s="102">
        <v>0</v>
      </c>
    </row>
    <row r="5482" spans="1:10" hidden="1" x14ac:dyDescent="0.25">
      <c r="A5482" s="235"/>
      <c r="B5482" s="222"/>
      <c r="C5482" s="111"/>
      <c r="D5482" s="111"/>
      <c r="E5482" s="112"/>
      <c r="F5482" s="54" t="s">
        <v>522</v>
      </c>
      <c r="G5482" s="54" t="str">
        <f t="shared" si="104"/>
        <v/>
      </c>
      <c r="H5482" s="73"/>
      <c r="I5482" s="74"/>
      <c r="J5482" s="102">
        <v>0</v>
      </c>
    </row>
    <row r="5483" spans="1:10" hidden="1" x14ac:dyDescent="0.25">
      <c r="A5483" s="235"/>
      <c r="B5483" s="222"/>
      <c r="C5483" s="36" t="s">
        <v>1692</v>
      </c>
      <c r="D5483" s="105" t="s">
        <v>12</v>
      </c>
      <c r="E5483" s="106">
        <f>ROUND(220/(1+110.14%),4)</f>
        <v>104.6921</v>
      </c>
      <c r="F5483" s="31">
        <v>89.822499999999991</v>
      </c>
      <c r="G5483" s="54">
        <f t="shared" si="104"/>
        <v>9403.7061522499989</v>
      </c>
      <c r="H5483" s="39">
        <f>SUM(G5483:G5483)</f>
        <v>9403.7061522499989</v>
      </c>
      <c r="I5483" s="40"/>
      <c r="J5483" s="102">
        <v>0</v>
      </c>
    </row>
    <row r="5484" spans="1:10" hidden="1" x14ac:dyDescent="0.25">
      <c r="A5484" s="235"/>
      <c r="B5484" s="222"/>
      <c r="C5484" s="111"/>
      <c r="D5484" s="111"/>
      <c r="E5484" s="112"/>
      <c r="F5484" s="54" t="s">
        <v>522</v>
      </c>
      <c r="G5484" s="54" t="str">
        <f t="shared" si="104"/>
        <v/>
      </c>
      <c r="H5484" s="73"/>
      <c r="I5484" s="74"/>
      <c r="J5484" s="102">
        <v>0</v>
      </c>
    </row>
    <row r="5485" spans="1:10" ht="25.5" hidden="1" x14ac:dyDescent="0.25">
      <c r="A5485" s="235"/>
      <c r="B5485" s="222"/>
      <c r="C5485" s="48" t="s">
        <v>781</v>
      </c>
      <c r="D5485" s="111"/>
      <c r="E5485" s="112"/>
      <c r="F5485" s="54" t="s">
        <v>522</v>
      </c>
      <c r="G5485" s="54" t="str">
        <f t="shared" si="104"/>
        <v/>
      </c>
      <c r="H5485" s="73"/>
      <c r="I5485" s="74"/>
      <c r="J5485" s="102">
        <v>0</v>
      </c>
    </row>
    <row r="5486" spans="1:10" ht="15.75" hidden="1" thickBot="1" x14ac:dyDescent="0.3">
      <c r="A5486" s="236"/>
      <c r="B5486" s="223"/>
      <c r="C5486" s="55"/>
      <c r="D5486" s="108"/>
      <c r="E5486" s="66"/>
      <c r="F5486" s="76" t="s">
        <v>522</v>
      </c>
      <c r="G5486" s="76" t="str">
        <f t="shared" si="104"/>
        <v/>
      </c>
      <c r="H5486" s="77"/>
      <c r="I5486" s="74"/>
      <c r="J5486" s="102">
        <v>0</v>
      </c>
    </row>
    <row r="5487" spans="1:10" ht="15.75" hidden="1" thickBot="1" x14ac:dyDescent="0.3">
      <c r="A5487" s="232" t="s">
        <v>2088</v>
      </c>
      <c r="B5487" s="221" t="e">
        <f>INDEX(#REF!,MATCH(Composições!A5487,#REF!,0),2)</f>
        <v>#REF!</v>
      </c>
      <c r="C5487" s="41"/>
      <c r="D5487" s="26" t="s">
        <v>1514</v>
      </c>
      <c r="E5487" s="27"/>
      <c r="F5487" s="49" t="s">
        <v>522</v>
      </c>
      <c r="G5487" s="28" t="str">
        <f t="shared" si="104"/>
        <v/>
      </c>
      <c r="H5487" s="29"/>
      <c r="I5487" s="30"/>
      <c r="J5487" s="102">
        <v>0</v>
      </c>
    </row>
    <row r="5488" spans="1:10" hidden="1" x14ac:dyDescent="0.25">
      <c r="A5488" s="235"/>
      <c r="B5488" s="222"/>
      <c r="C5488" s="111"/>
      <c r="D5488" s="111"/>
      <c r="E5488" s="112"/>
      <c r="F5488" s="54" t="s">
        <v>522</v>
      </c>
      <c r="G5488" s="54" t="str">
        <f t="shared" si="104"/>
        <v/>
      </c>
      <c r="H5488" s="73"/>
      <c r="I5488" s="74"/>
      <c r="J5488" s="102">
        <v>0</v>
      </c>
    </row>
    <row r="5489" spans="1:10" hidden="1" x14ac:dyDescent="0.25">
      <c r="A5489" s="235"/>
      <c r="B5489" s="222"/>
      <c r="C5489" s="36" t="s">
        <v>1692</v>
      </c>
      <c r="D5489" s="105" t="s">
        <v>12</v>
      </c>
      <c r="E5489" s="106">
        <f>ROUND(220/(1+110.14%),4)</f>
        <v>104.6921</v>
      </c>
      <c r="F5489" s="31">
        <v>89.822499999999991</v>
      </c>
      <c r="G5489" s="54">
        <f t="shared" si="104"/>
        <v>9403.7061522499989</v>
      </c>
      <c r="H5489" s="39">
        <f>SUM(G5489:G5489)</f>
        <v>9403.7061522499989</v>
      </c>
      <c r="I5489" s="40"/>
      <c r="J5489" s="102">
        <v>0</v>
      </c>
    </row>
    <row r="5490" spans="1:10" hidden="1" x14ac:dyDescent="0.25">
      <c r="A5490" s="235"/>
      <c r="B5490" s="222"/>
      <c r="C5490" s="111"/>
      <c r="D5490" s="111"/>
      <c r="E5490" s="112"/>
      <c r="F5490" s="54" t="s">
        <v>522</v>
      </c>
      <c r="G5490" s="54" t="str">
        <f t="shared" si="104"/>
        <v/>
      </c>
      <c r="H5490" s="73"/>
      <c r="I5490" s="74"/>
      <c r="J5490" s="102">
        <v>0</v>
      </c>
    </row>
    <row r="5491" spans="1:10" ht="25.5" hidden="1" x14ac:dyDescent="0.25">
      <c r="A5491" s="235"/>
      <c r="B5491" s="222"/>
      <c r="C5491" s="48" t="s">
        <v>781</v>
      </c>
      <c r="D5491" s="111"/>
      <c r="E5491" s="112"/>
      <c r="F5491" s="54" t="s">
        <v>522</v>
      </c>
      <c r="G5491" s="54" t="str">
        <f t="shared" si="104"/>
        <v/>
      </c>
      <c r="H5491" s="73"/>
      <c r="I5491" s="74"/>
      <c r="J5491" s="102">
        <v>0</v>
      </c>
    </row>
    <row r="5492" spans="1:10" ht="15.75" hidden="1" thickBot="1" x14ac:dyDescent="0.3">
      <c r="A5492" s="236"/>
      <c r="B5492" s="223"/>
      <c r="C5492" s="55"/>
      <c r="D5492" s="108"/>
      <c r="E5492" s="66"/>
      <c r="F5492" s="76" t="s">
        <v>522</v>
      </c>
      <c r="G5492" s="76" t="str">
        <f t="shared" si="104"/>
        <v/>
      </c>
      <c r="H5492" s="77"/>
      <c r="I5492" s="74"/>
      <c r="J5492" s="102">
        <v>0</v>
      </c>
    </row>
    <row r="5493" spans="1:10" ht="15.75" hidden="1" thickBot="1" x14ac:dyDescent="0.3">
      <c r="A5493" s="232" t="s">
        <v>2089</v>
      </c>
      <c r="B5493" s="221" t="e">
        <f>INDEX(#REF!,MATCH(Composições!A5493,#REF!,0),2)</f>
        <v>#REF!</v>
      </c>
      <c r="C5493" s="41"/>
      <c r="D5493" s="26" t="s">
        <v>1514</v>
      </c>
      <c r="E5493" s="27"/>
      <c r="F5493" s="49" t="s">
        <v>522</v>
      </c>
      <c r="G5493" s="28" t="str">
        <f t="shared" si="104"/>
        <v/>
      </c>
      <c r="H5493" s="29"/>
      <c r="I5493" s="30"/>
      <c r="J5493" s="102">
        <v>0</v>
      </c>
    </row>
    <row r="5494" spans="1:10" hidden="1" x14ac:dyDescent="0.25">
      <c r="A5494" s="235"/>
      <c r="B5494" s="222"/>
      <c r="C5494" s="111"/>
      <c r="D5494" s="111"/>
      <c r="E5494" s="112"/>
      <c r="F5494" s="54" t="s">
        <v>522</v>
      </c>
      <c r="G5494" s="54" t="str">
        <f t="shared" si="104"/>
        <v/>
      </c>
      <c r="H5494" s="73"/>
      <c r="I5494" s="74"/>
      <c r="J5494" s="102">
        <v>0</v>
      </c>
    </row>
    <row r="5495" spans="1:10" ht="25.5" hidden="1" x14ac:dyDescent="0.25">
      <c r="A5495" s="235"/>
      <c r="B5495" s="222"/>
      <c r="C5495" s="36" t="s">
        <v>1121</v>
      </c>
      <c r="D5495" s="105" t="s">
        <v>12</v>
      </c>
      <c r="E5495" s="106">
        <f>ROUND(220/(1+110.14%),4)</f>
        <v>104.6921</v>
      </c>
      <c r="F5495" s="31">
        <v>33.8675</v>
      </c>
      <c r="G5495" s="54">
        <f t="shared" si="104"/>
        <v>3545.65969675</v>
      </c>
      <c r="H5495" s="39">
        <f>SUM(G5495:G5495)</f>
        <v>3545.65969675</v>
      </c>
      <c r="I5495" s="40"/>
      <c r="J5495" s="102">
        <v>0</v>
      </c>
    </row>
    <row r="5496" spans="1:10" hidden="1" x14ac:dyDescent="0.25">
      <c r="A5496" s="235"/>
      <c r="B5496" s="222"/>
      <c r="C5496" s="111"/>
      <c r="D5496" s="111"/>
      <c r="E5496" s="112"/>
      <c r="F5496" s="54" t="s">
        <v>522</v>
      </c>
      <c r="G5496" s="54" t="str">
        <f t="shared" si="104"/>
        <v/>
      </c>
      <c r="H5496" s="73"/>
      <c r="I5496" s="74"/>
      <c r="J5496" s="102">
        <v>0</v>
      </c>
    </row>
    <row r="5497" spans="1:10" ht="25.5" hidden="1" x14ac:dyDescent="0.25">
      <c r="A5497" s="235"/>
      <c r="B5497" s="222"/>
      <c r="C5497" s="48" t="s">
        <v>781</v>
      </c>
      <c r="D5497" s="111"/>
      <c r="E5497" s="112"/>
      <c r="F5497" s="54" t="s">
        <v>522</v>
      </c>
      <c r="G5497" s="54" t="str">
        <f t="shared" si="104"/>
        <v/>
      </c>
      <c r="H5497" s="73"/>
      <c r="I5497" s="74"/>
      <c r="J5497" s="102">
        <v>0</v>
      </c>
    </row>
    <row r="5498" spans="1:10" ht="15.75" hidden="1" thickBot="1" x14ac:dyDescent="0.3">
      <c r="A5498" s="236"/>
      <c r="B5498" s="223"/>
      <c r="C5498" s="55"/>
      <c r="D5498" s="108"/>
      <c r="E5498" s="66"/>
      <c r="F5498" s="76" t="s">
        <v>522</v>
      </c>
      <c r="G5498" s="76" t="str">
        <f t="shared" si="104"/>
        <v/>
      </c>
      <c r="H5498" s="77"/>
      <c r="I5498" s="74"/>
      <c r="J5498" s="102">
        <v>0</v>
      </c>
    </row>
    <row r="5499" spans="1:10" ht="15.75" hidden="1" thickBot="1" x14ac:dyDescent="0.3">
      <c r="A5499" s="232" t="s">
        <v>2090</v>
      </c>
      <c r="B5499" s="221" t="e">
        <f>INDEX(#REF!,MATCH(Composições!A5499,#REF!,0),2)</f>
        <v>#REF!</v>
      </c>
      <c r="C5499" s="41"/>
      <c r="D5499" s="26" t="s">
        <v>1514</v>
      </c>
      <c r="E5499" s="27"/>
      <c r="F5499" s="49" t="s">
        <v>522</v>
      </c>
      <c r="G5499" s="28" t="str">
        <f t="shared" si="104"/>
        <v/>
      </c>
      <c r="H5499" s="29"/>
      <c r="I5499" s="30"/>
      <c r="J5499" s="102">
        <v>0</v>
      </c>
    </row>
    <row r="5500" spans="1:10" hidden="1" x14ac:dyDescent="0.25">
      <c r="A5500" s="235"/>
      <c r="B5500" s="222"/>
      <c r="C5500" s="111"/>
      <c r="D5500" s="111"/>
      <c r="E5500" s="112"/>
      <c r="F5500" s="54" t="s">
        <v>522</v>
      </c>
      <c r="G5500" s="54" t="str">
        <f t="shared" si="104"/>
        <v/>
      </c>
      <c r="H5500" s="73"/>
      <c r="I5500" s="74"/>
      <c r="J5500" s="102">
        <v>0</v>
      </c>
    </row>
    <row r="5501" spans="1:10" hidden="1" x14ac:dyDescent="0.25">
      <c r="A5501" s="235"/>
      <c r="B5501" s="222"/>
      <c r="C5501" s="36" t="s">
        <v>1693</v>
      </c>
      <c r="D5501" s="105" t="s">
        <v>12</v>
      </c>
      <c r="E5501" s="106">
        <f>ROUND(220/(1+110.14%),4)</f>
        <v>104.6921</v>
      </c>
      <c r="F5501" s="31">
        <v>18.335000000000001</v>
      </c>
      <c r="G5501" s="54">
        <f t="shared" si="104"/>
        <v>1919.5296535</v>
      </c>
      <c r="H5501" s="39">
        <f>SUM(G5501:G5501)</f>
        <v>1919.5296535</v>
      </c>
      <c r="I5501" s="40"/>
      <c r="J5501" s="102">
        <v>0</v>
      </c>
    </row>
    <row r="5502" spans="1:10" hidden="1" x14ac:dyDescent="0.25">
      <c r="A5502" s="235"/>
      <c r="B5502" s="222"/>
      <c r="C5502" s="111"/>
      <c r="D5502" s="111"/>
      <c r="E5502" s="112"/>
      <c r="F5502" s="54" t="s">
        <v>522</v>
      </c>
      <c r="G5502" s="54" t="str">
        <f t="shared" si="104"/>
        <v/>
      </c>
      <c r="H5502" s="73"/>
      <c r="I5502" s="74"/>
      <c r="J5502" s="102">
        <v>0</v>
      </c>
    </row>
    <row r="5503" spans="1:10" ht="25.5" hidden="1" x14ac:dyDescent="0.25">
      <c r="A5503" s="235"/>
      <c r="B5503" s="222"/>
      <c r="C5503" s="48" t="s">
        <v>781</v>
      </c>
      <c r="D5503" s="111"/>
      <c r="E5503" s="112"/>
      <c r="F5503" s="54" t="s">
        <v>522</v>
      </c>
      <c r="G5503" s="54" t="str">
        <f t="shared" si="104"/>
        <v/>
      </c>
      <c r="H5503" s="73"/>
      <c r="I5503" s="74"/>
      <c r="J5503" s="102">
        <v>0</v>
      </c>
    </row>
    <row r="5504" spans="1:10" ht="15.75" hidden="1" thickBot="1" x14ac:dyDescent="0.3">
      <c r="A5504" s="236"/>
      <c r="B5504" s="223"/>
      <c r="C5504" s="55"/>
      <c r="D5504" s="108"/>
      <c r="E5504" s="66"/>
      <c r="F5504" s="76" t="s">
        <v>522</v>
      </c>
      <c r="G5504" s="76" t="str">
        <f t="shared" si="104"/>
        <v/>
      </c>
      <c r="H5504" s="77"/>
      <c r="I5504" s="74"/>
      <c r="J5504" s="102">
        <v>0</v>
      </c>
    </row>
    <row r="5505" spans="1:10" ht="15.75" hidden="1" thickBot="1" x14ac:dyDescent="0.3">
      <c r="A5505" s="232" t="s">
        <v>2091</v>
      </c>
      <c r="B5505" s="221" t="e">
        <f>INDEX(#REF!,MATCH(Composições!A5505,#REF!,0),2)</f>
        <v>#REF!</v>
      </c>
      <c r="C5505" s="41"/>
      <c r="D5505" s="26" t="s">
        <v>1514</v>
      </c>
      <c r="E5505" s="27"/>
      <c r="F5505" s="49" t="s">
        <v>522</v>
      </c>
      <c r="G5505" s="28" t="str">
        <f t="shared" si="104"/>
        <v/>
      </c>
      <c r="H5505" s="29"/>
      <c r="I5505" s="30"/>
      <c r="J5505" s="102">
        <v>0</v>
      </c>
    </row>
    <row r="5506" spans="1:10" hidden="1" x14ac:dyDescent="0.25">
      <c r="A5506" s="235"/>
      <c r="B5506" s="222"/>
      <c r="C5506" s="111"/>
      <c r="D5506" s="111"/>
      <c r="E5506" s="112"/>
      <c r="F5506" s="54" t="s">
        <v>522</v>
      </c>
      <c r="G5506" s="54" t="str">
        <f t="shared" si="104"/>
        <v/>
      </c>
      <c r="H5506" s="73"/>
      <c r="I5506" s="74"/>
      <c r="J5506" s="102">
        <v>0</v>
      </c>
    </row>
    <row r="5507" spans="1:10" hidden="1" x14ac:dyDescent="0.25">
      <c r="A5507" s="235"/>
      <c r="B5507" s="222"/>
      <c r="C5507" s="36" t="s">
        <v>1688</v>
      </c>
      <c r="D5507" s="105" t="s">
        <v>12</v>
      </c>
      <c r="E5507" s="106">
        <f>ROUND(220/(1+110.14%),4)</f>
        <v>104.6921</v>
      </c>
      <c r="F5507" s="31">
        <v>19.9025</v>
      </c>
      <c r="G5507" s="54">
        <f t="shared" si="104"/>
        <v>2083.6345202499997</v>
      </c>
      <c r="H5507" s="39">
        <f>SUM(G5507:G5507)</f>
        <v>2083.6345202499997</v>
      </c>
      <c r="I5507" s="40"/>
      <c r="J5507" s="102">
        <v>0</v>
      </c>
    </row>
    <row r="5508" spans="1:10" hidden="1" x14ac:dyDescent="0.25">
      <c r="A5508" s="235"/>
      <c r="B5508" s="222"/>
      <c r="C5508" s="111"/>
      <c r="D5508" s="111"/>
      <c r="E5508" s="112"/>
      <c r="F5508" s="54" t="s">
        <v>522</v>
      </c>
      <c r="G5508" s="54" t="str">
        <f t="shared" si="104"/>
        <v/>
      </c>
      <c r="H5508" s="73"/>
      <c r="I5508" s="74"/>
      <c r="J5508" s="102">
        <v>0</v>
      </c>
    </row>
    <row r="5509" spans="1:10" ht="25.5" hidden="1" x14ac:dyDescent="0.25">
      <c r="A5509" s="235"/>
      <c r="B5509" s="222"/>
      <c r="C5509" s="48" t="s">
        <v>781</v>
      </c>
      <c r="D5509" s="111"/>
      <c r="E5509" s="112"/>
      <c r="F5509" s="54" t="s">
        <v>522</v>
      </c>
      <c r="G5509" s="54" t="str">
        <f t="shared" si="104"/>
        <v/>
      </c>
      <c r="H5509" s="73"/>
      <c r="I5509" s="74"/>
      <c r="J5509" s="102">
        <v>0</v>
      </c>
    </row>
    <row r="5510" spans="1:10" ht="15.75" hidden="1" thickBot="1" x14ac:dyDescent="0.3">
      <c r="A5510" s="236"/>
      <c r="B5510" s="223"/>
      <c r="C5510" s="55"/>
      <c r="D5510" s="108"/>
      <c r="E5510" s="66"/>
      <c r="F5510" s="76" t="s">
        <v>522</v>
      </c>
      <c r="G5510" s="76" t="str">
        <f t="shared" si="104"/>
        <v/>
      </c>
      <c r="H5510" s="77"/>
      <c r="I5510" s="74"/>
      <c r="J5510" s="102">
        <v>0</v>
      </c>
    </row>
    <row r="5511" spans="1:10" ht="15.75" hidden="1" thickBot="1" x14ac:dyDescent="0.3">
      <c r="A5511" s="232" t="s">
        <v>2092</v>
      </c>
      <c r="B5511" s="221" t="e">
        <f>INDEX(#REF!,MATCH(Composições!A5511,#REF!,0),2)</f>
        <v>#REF!</v>
      </c>
      <c r="C5511" s="41"/>
      <c r="D5511" s="26" t="s">
        <v>1514</v>
      </c>
      <c r="E5511" s="27"/>
      <c r="F5511" s="49" t="s">
        <v>522</v>
      </c>
      <c r="G5511" s="28" t="str">
        <f t="shared" si="104"/>
        <v/>
      </c>
      <c r="H5511" s="29"/>
      <c r="I5511" s="30"/>
      <c r="J5511" s="102">
        <v>0</v>
      </c>
    </row>
    <row r="5512" spans="1:10" hidden="1" x14ac:dyDescent="0.25">
      <c r="A5512" s="235"/>
      <c r="B5512" s="222"/>
      <c r="C5512" s="111"/>
      <c r="D5512" s="111"/>
      <c r="E5512" s="112"/>
      <c r="F5512" s="54" t="s">
        <v>522</v>
      </c>
      <c r="G5512" s="54" t="str">
        <f t="shared" si="104"/>
        <v/>
      </c>
      <c r="H5512" s="73"/>
      <c r="I5512" s="74"/>
      <c r="J5512" s="102">
        <v>0</v>
      </c>
    </row>
    <row r="5513" spans="1:10" hidden="1" x14ac:dyDescent="0.25">
      <c r="A5513" s="235"/>
      <c r="B5513" s="222"/>
      <c r="C5513" s="36" t="s">
        <v>1689</v>
      </c>
      <c r="D5513" s="105" t="s">
        <v>12</v>
      </c>
      <c r="E5513" s="106">
        <f>ROUND(220/(1+110.14%),4)</f>
        <v>104.6921</v>
      </c>
      <c r="F5513" s="31">
        <v>22.381999999999998</v>
      </c>
      <c r="G5513" s="54">
        <f t="shared" si="104"/>
        <v>2343.2185821999997</v>
      </c>
      <c r="H5513" s="39">
        <f>SUM(G5513:G5513)</f>
        <v>2343.2185821999997</v>
      </c>
      <c r="I5513" s="40"/>
      <c r="J5513" s="102">
        <v>0</v>
      </c>
    </row>
    <row r="5514" spans="1:10" hidden="1" x14ac:dyDescent="0.25">
      <c r="A5514" s="235"/>
      <c r="B5514" s="222"/>
      <c r="C5514" s="111"/>
      <c r="D5514" s="111"/>
      <c r="E5514" s="112"/>
      <c r="F5514" s="54" t="s">
        <v>522</v>
      </c>
      <c r="G5514" s="54" t="str">
        <f t="shared" si="104"/>
        <v/>
      </c>
      <c r="H5514" s="73"/>
      <c r="I5514" s="74"/>
      <c r="J5514" s="102">
        <v>0</v>
      </c>
    </row>
    <row r="5515" spans="1:10" ht="25.5" hidden="1" x14ac:dyDescent="0.25">
      <c r="A5515" s="235"/>
      <c r="B5515" s="222"/>
      <c r="C5515" s="48" t="s">
        <v>781</v>
      </c>
      <c r="D5515" s="111"/>
      <c r="E5515" s="112"/>
      <c r="F5515" s="54" t="s">
        <v>522</v>
      </c>
      <c r="G5515" s="54" t="str">
        <f t="shared" si="104"/>
        <v/>
      </c>
      <c r="H5515" s="73"/>
      <c r="I5515" s="74"/>
      <c r="J5515" s="102">
        <v>0</v>
      </c>
    </row>
    <row r="5516" spans="1:10" ht="15.75" hidden="1" thickBot="1" x14ac:dyDescent="0.3">
      <c r="A5516" s="236"/>
      <c r="B5516" s="223"/>
      <c r="C5516" s="55"/>
      <c r="D5516" s="108"/>
      <c r="E5516" s="66"/>
      <c r="F5516" s="76" t="s">
        <v>522</v>
      </c>
      <c r="G5516" s="76" t="str">
        <f t="shared" si="104"/>
        <v/>
      </c>
      <c r="H5516" s="77"/>
      <c r="I5516" s="74"/>
      <c r="J5516" s="102">
        <v>0</v>
      </c>
    </row>
    <row r="5517" spans="1:10" ht="15.75" hidden="1" thickBot="1" x14ac:dyDescent="0.3">
      <c r="A5517" s="232" t="s">
        <v>2093</v>
      </c>
      <c r="B5517" s="221" t="e">
        <f>INDEX(#REF!,MATCH(Composições!A5517,#REF!,0),2)</f>
        <v>#REF!</v>
      </c>
      <c r="C5517" s="41"/>
      <c r="D5517" s="26" t="s">
        <v>1514</v>
      </c>
      <c r="E5517" s="27"/>
      <c r="F5517" s="49" t="s">
        <v>522</v>
      </c>
      <c r="G5517" s="28" t="str">
        <f t="shared" si="104"/>
        <v/>
      </c>
      <c r="H5517" s="29"/>
      <c r="I5517" s="30"/>
      <c r="J5517" s="102">
        <v>0</v>
      </c>
    </row>
    <row r="5518" spans="1:10" hidden="1" x14ac:dyDescent="0.25">
      <c r="A5518" s="235"/>
      <c r="B5518" s="222"/>
      <c r="C5518" s="111"/>
      <c r="D5518" s="111"/>
      <c r="E5518" s="112"/>
      <c r="F5518" s="54" t="s">
        <v>522</v>
      </c>
      <c r="G5518" s="54" t="str">
        <f t="shared" si="104"/>
        <v/>
      </c>
      <c r="H5518" s="73"/>
      <c r="I5518" s="74"/>
      <c r="J5518" s="102">
        <v>0</v>
      </c>
    </row>
    <row r="5519" spans="1:10" hidden="1" x14ac:dyDescent="0.25">
      <c r="A5519" s="235"/>
      <c r="B5519" s="222"/>
      <c r="C5519" s="36" t="s">
        <v>1684</v>
      </c>
      <c r="D5519" s="105" t="s">
        <v>12</v>
      </c>
      <c r="E5519" s="106">
        <f>ROUND(220/(1+110.14%),4)</f>
        <v>104.6921</v>
      </c>
      <c r="F5519" s="31">
        <v>26.096499999999999</v>
      </c>
      <c r="G5519" s="54">
        <f t="shared" si="104"/>
        <v>2732.0973876499997</v>
      </c>
      <c r="H5519" s="39">
        <f>SUM(G5519:G5519)</f>
        <v>2732.0973876499997</v>
      </c>
      <c r="I5519" s="40"/>
      <c r="J5519" s="102">
        <v>0</v>
      </c>
    </row>
    <row r="5520" spans="1:10" hidden="1" x14ac:dyDescent="0.25">
      <c r="A5520" s="235"/>
      <c r="B5520" s="222"/>
      <c r="C5520" s="111"/>
      <c r="D5520" s="111"/>
      <c r="E5520" s="112"/>
      <c r="F5520" s="54" t="s">
        <v>522</v>
      </c>
      <c r="G5520" s="54" t="str">
        <f t="shared" si="104"/>
        <v/>
      </c>
      <c r="H5520" s="73"/>
      <c r="I5520" s="74"/>
      <c r="J5520" s="102">
        <v>0</v>
      </c>
    </row>
    <row r="5521" spans="1:10" ht="25.5" hidden="1" x14ac:dyDescent="0.25">
      <c r="A5521" s="235"/>
      <c r="B5521" s="222"/>
      <c r="C5521" s="48" t="s">
        <v>781</v>
      </c>
      <c r="D5521" s="111"/>
      <c r="E5521" s="112"/>
      <c r="F5521" s="54" t="s">
        <v>522</v>
      </c>
      <c r="G5521" s="54" t="str">
        <f t="shared" si="104"/>
        <v/>
      </c>
      <c r="H5521" s="73"/>
      <c r="I5521" s="74"/>
      <c r="J5521" s="102">
        <v>0</v>
      </c>
    </row>
    <row r="5522" spans="1:10" ht="15.75" hidden="1" thickBot="1" x14ac:dyDescent="0.3">
      <c r="A5522" s="236"/>
      <c r="B5522" s="223"/>
      <c r="C5522" s="55"/>
      <c r="D5522" s="108"/>
      <c r="E5522" s="66"/>
      <c r="F5522" s="76" t="s">
        <v>522</v>
      </c>
      <c r="G5522" s="76" t="str">
        <f t="shared" si="104"/>
        <v/>
      </c>
      <c r="H5522" s="77"/>
      <c r="I5522" s="74"/>
      <c r="J5522" s="102">
        <v>0</v>
      </c>
    </row>
    <row r="5523" spans="1:10" ht="15.75" hidden="1" thickBot="1" x14ac:dyDescent="0.3">
      <c r="A5523" s="232" t="s">
        <v>2094</v>
      </c>
      <c r="B5523" s="221" t="e">
        <f>INDEX(#REF!,MATCH(Composições!A5523,#REF!,0),2)</f>
        <v>#REF!</v>
      </c>
      <c r="C5523" s="41"/>
      <c r="D5523" s="26" t="s">
        <v>1514</v>
      </c>
      <c r="E5523" s="27"/>
      <c r="F5523" s="49" t="s">
        <v>522</v>
      </c>
      <c r="G5523" s="28" t="str">
        <f t="shared" si="104"/>
        <v/>
      </c>
      <c r="H5523" s="29"/>
      <c r="I5523" s="30"/>
      <c r="J5523" s="102">
        <v>0</v>
      </c>
    </row>
    <row r="5524" spans="1:10" hidden="1" x14ac:dyDescent="0.25">
      <c r="A5524" s="235"/>
      <c r="B5524" s="222"/>
      <c r="C5524" s="111"/>
      <c r="D5524" s="111"/>
      <c r="E5524" s="112"/>
      <c r="F5524" s="54" t="s">
        <v>522</v>
      </c>
      <c r="G5524" s="54" t="str">
        <f t="shared" si="104"/>
        <v/>
      </c>
      <c r="H5524" s="73"/>
      <c r="I5524" s="74"/>
      <c r="J5524" s="102">
        <v>0</v>
      </c>
    </row>
    <row r="5525" spans="1:10" hidden="1" x14ac:dyDescent="0.25">
      <c r="A5525" s="235"/>
      <c r="B5525" s="222"/>
      <c r="C5525" s="36" t="s">
        <v>1684</v>
      </c>
      <c r="D5525" s="105" t="s">
        <v>12</v>
      </c>
      <c r="E5525" s="106">
        <f>ROUND(220/(1+110.14%),4)</f>
        <v>104.6921</v>
      </c>
      <c r="F5525" s="31">
        <v>26.096499999999999</v>
      </c>
      <c r="G5525" s="54">
        <f t="shared" si="104"/>
        <v>2732.0973876499997</v>
      </c>
      <c r="H5525" s="39">
        <f>SUM(G5525:G5525)</f>
        <v>2732.0973876499997</v>
      </c>
      <c r="I5525" s="40"/>
      <c r="J5525" s="102">
        <v>0</v>
      </c>
    </row>
    <row r="5526" spans="1:10" hidden="1" x14ac:dyDescent="0.25">
      <c r="A5526" s="235"/>
      <c r="B5526" s="222"/>
      <c r="C5526" s="111"/>
      <c r="D5526" s="111"/>
      <c r="E5526" s="112"/>
      <c r="F5526" s="54" t="s">
        <v>522</v>
      </c>
      <c r="G5526" s="54" t="str">
        <f t="shared" si="104"/>
        <v/>
      </c>
      <c r="H5526" s="73"/>
      <c r="I5526" s="74"/>
      <c r="J5526" s="102">
        <v>0</v>
      </c>
    </row>
    <row r="5527" spans="1:10" ht="25.5" hidden="1" x14ac:dyDescent="0.25">
      <c r="A5527" s="235"/>
      <c r="B5527" s="222"/>
      <c r="C5527" s="48" t="s">
        <v>781</v>
      </c>
      <c r="D5527" s="111"/>
      <c r="E5527" s="112"/>
      <c r="F5527" s="54" t="s">
        <v>522</v>
      </c>
      <c r="G5527" s="54" t="str">
        <f t="shared" si="104"/>
        <v/>
      </c>
      <c r="H5527" s="73"/>
      <c r="I5527" s="74"/>
      <c r="J5527" s="102">
        <v>0</v>
      </c>
    </row>
    <row r="5528" spans="1:10" ht="15.75" hidden="1" thickBot="1" x14ac:dyDescent="0.3">
      <c r="A5528" s="236"/>
      <c r="B5528" s="223"/>
      <c r="C5528" s="55"/>
      <c r="D5528" s="108"/>
      <c r="E5528" s="66"/>
      <c r="F5528" s="76" t="s">
        <v>522</v>
      </c>
      <c r="G5528" s="76" t="str">
        <f t="shared" si="104"/>
        <v/>
      </c>
      <c r="H5528" s="77"/>
      <c r="I5528" s="74"/>
      <c r="J5528" s="102">
        <v>0</v>
      </c>
    </row>
    <row r="5529" spans="1:10" ht="15.75" hidden="1" thickBot="1" x14ac:dyDescent="0.3">
      <c r="A5529" s="232" t="s">
        <v>2095</v>
      </c>
      <c r="B5529" s="221" t="e">
        <f>INDEX(#REF!,MATCH(Composições!A5529,#REF!,0),2)</f>
        <v>#REF!</v>
      </c>
      <c r="C5529" s="41"/>
      <c r="D5529" s="26" t="s">
        <v>1514</v>
      </c>
      <c r="E5529" s="27"/>
      <c r="F5529" s="49" t="s">
        <v>522</v>
      </c>
      <c r="G5529" s="28" t="str">
        <f t="shared" si="104"/>
        <v/>
      </c>
      <c r="H5529" s="29"/>
      <c r="I5529" s="30"/>
      <c r="J5529" s="102">
        <v>0</v>
      </c>
    </row>
    <row r="5530" spans="1:10" hidden="1" x14ac:dyDescent="0.25">
      <c r="A5530" s="235"/>
      <c r="B5530" s="222"/>
      <c r="C5530" s="111"/>
      <c r="D5530" s="111"/>
      <c r="E5530" s="112"/>
      <c r="F5530" s="54" t="s">
        <v>522</v>
      </c>
      <c r="G5530" s="54" t="str">
        <f t="shared" si="104"/>
        <v/>
      </c>
      <c r="H5530" s="73"/>
      <c r="I5530" s="74"/>
      <c r="J5530" s="102">
        <v>0</v>
      </c>
    </row>
    <row r="5531" spans="1:10" hidden="1" x14ac:dyDescent="0.25">
      <c r="A5531" s="235"/>
      <c r="B5531" s="222"/>
      <c r="C5531" s="36" t="s">
        <v>1684</v>
      </c>
      <c r="D5531" s="105" t="s">
        <v>12</v>
      </c>
      <c r="E5531" s="106">
        <f>ROUND(220/(1+110.14%),4)</f>
        <v>104.6921</v>
      </c>
      <c r="F5531" s="31">
        <v>26.096499999999999</v>
      </c>
      <c r="G5531" s="54">
        <f t="shared" si="104"/>
        <v>2732.0973876499997</v>
      </c>
      <c r="H5531" s="39">
        <f>SUM(G5531:G5531)</f>
        <v>2732.0973876499997</v>
      </c>
      <c r="I5531" s="40"/>
      <c r="J5531" s="102">
        <v>0</v>
      </c>
    </row>
    <row r="5532" spans="1:10" hidden="1" x14ac:dyDescent="0.25">
      <c r="A5532" s="235"/>
      <c r="B5532" s="222"/>
      <c r="C5532" s="111"/>
      <c r="D5532" s="111"/>
      <c r="E5532" s="112"/>
      <c r="F5532" s="54" t="s">
        <v>522</v>
      </c>
      <c r="G5532" s="54" t="str">
        <f t="shared" si="104"/>
        <v/>
      </c>
      <c r="H5532" s="73"/>
      <c r="I5532" s="74"/>
      <c r="J5532" s="102">
        <v>0</v>
      </c>
    </row>
    <row r="5533" spans="1:10" ht="25.5" hidden="1" x14ac:dyDescent="0.25">
      <c r="A5533" s="235"/>
      <c r="B5533" s="222"/>
      <c r="C5533" s="48" t="s">
        <v>781</v>
      </c>
      <c r="D5533" s="111"/>
      <c r="E5533" s="112"/>
      <c r="F5533" s="54" t="s">
        <v>522</v>
      </c>
      <c r="G5533" s="54" t="str">
        <f t="shared" si="104"/>
        <v/>
      </c>
      <c r="H5533" s="73"/>
      <c r="I5533" s="74"/>
      <c r="J5533" s="102">
        <v>0</v>
      </c>
    </row>
    <row r="5534" spans="1:10" ht="15.75" hidden="1" thickBot="1" x14ac:dyDescent="0.3">
      <c r="A5534" s="236"/>
      <c r="B5534" s="223"/>
      <c r="C5534" s="55"/>
      <c r="D5534" s="108"/>
      <c r="E5534" s="66"/>
      <c r="F5534" s="76" t="s">
        <v>522</v>
      </c>
      <c r="G5534" s="76" t="str">
        <f t="shared" ref="G5534:G5597" si="105">IF(ISNUMBER(F5534),E5534*F5534,"")</f>
        <v/>
      </c>
      <c r="H5534" s="77"/>
      <c r="I5534" s="74"/>
      <c r="J5534" s="102">
        <v>0</v>
      </c>
    </row>
    <row r="5535" spans="1:10" ht="15.75" hidden="1" thickBot="1" x14ac:dyDescent="0.3">
      <c r="A5535" s="232" t="s">
        <v>2096</v>
      </c>
      <c r="B5535" s="221" t="e">
        <f>INDEX(#REF!,MATCH(Composições!A5535,#REF!,0),2)</f>
        <v>#REF!</v>
      </c>
      <c r="C5535" s="41"/>
      <c r="D5535" s="26" t="s">
        <v>1514</v>
      </c>
      <c r="E5535" s="27"/>
      <c r="F5535" s="49" t="s">
        <v>522</v>
      </c>
      <c r="G5535" s="28" t="str">
        <f t="shared" si="105"/>
        <v/>
      </c>
      <c r="H5535" s="29"/>
      <c r="I5535" s="30"/>
      <c r="J5535" s="102">
        <v>0</v>
      </c>
    </row>
    <row r="5536" spans="1:10" hidden="1" x14ac:dyDescent="0.25">
      <c r="A5536" s="235"/>
      <c r="B5536" s="222"/>
      <c r="C5536" s="111"/>
      <c r="D5536" s="111"/>
      <c r="E5536" s="112"/>
      <c r="F5536" s="54" t="s">
        <v>522</v>
      </c>
      <c r="G5536" s="54" t="str">
        <f t="shared" si="105"/>
        <v/>
      </c>
      <c r="H5536" s="73"/>
      <c r="I5536" s="74"/>
      <c r="J5536" s="102">
        <v>0</v>
      </c>
    </row>
    <row r="5537" spans="1:10" hidden="1" x14ac:dyDescent="0.25">
      <c r="A5537" s="235"/>
      <c r="B5537" s="222"/>
      <c r="C5537" s="36" t="s">
        <v>1684</v>
      </c>
      <c r="D5537" s="105" t="s">
        <v>12</v>
      </c>
      <c r="E5537" s="106">
        <f>ROUND(220/(1+110.14%),4)</f>
        <v>104.6921</v>
      </c>
      <c r="F5537" s="31">
        <v>26.096499999999999</v>
      </c>
      <c r="G5537" s="54">
        <f t="shared" si="105"/>
        <v>2732.0973876499997</v>
      </c>
      <c r="H5537" s="39">
        <f>SUM(G5537:G5537)</f>
        <v>2732.0973876499997</v>
      </c>
      <c r="I5537" s="40"/>
      <c r="J5537" s="102">
        <v>0</v>
      </c>
    </row>
    <row r="5538" spans="1:10" hidden="1" x14ac:dyDescent="0.25">
      <c r="A5538" s="235"/>
      <c r="B5538" s="222"/>
      <c r="C5538" s="111"/>
      <c r="D5538" s="111"/>
      <c r="E5538" s="112"/>
      <c r="F5538" s="54" t="s">
        <v>522</v>
      </c>
      <c r="G5538" s="54" t="str">
        <f t="shared" si="105"/>
        <v/>
      </c>
      <c r="H5538" s="73"/>
      <c r="I5538" s="74"/>
      <c r="J5538" s="102">
        <v>0</v>
      </c>
    </row>
    <row r="5539" spans="1:10" ht="25.5" hidden="1" x14ac:dyDescent="0.25">
      <c r="A5539" s="235"/>
      <c r="B5539" s="222"/>
      <c r="C5539" s="48" t="s">
        <v>781</v>
      </c>
      <c r="D5539" s="111"/>
      <c r="E5539" s="112"/>
      <c r="F5539" s="54" t="s">
        <v>522</v>
      </c>
      <c r="G5539" s="54" t="str">
        <f t="shared" si="105"/>
        <v/>
      </c>
      <c r="H5539" s="73"/>
      <c r="I5539" s="74"/>
      <c r="J5539" s="102">
        <v>0</v>
      </c>
    </row>
    <row r="5540" spans="1:10" ht="15.75" hidden="1" thickBot="1" x14ac:dyDescent="0.3">
      <c r="A5540" s="236"/>
      <c r="B5540" s="223"/>
      <c r="C5540" s="55"/>
      <c r="D5540" s="108"/>
      <c r="E5540" s="66"/>
      <c r="F5540" s="76" t="s">
        <v>522</v>
      </c>
      <c r="G5540" s="76" t="str">
        <f t="shared" si="105"/>
        <v/>
      </c>
      <c r="H5540" s="77"/>
      <c r="I5540" s="74"/>
      <c r="J5540" s="102">
        <v>0</v>
      </c>
    </row>
    <row r="5541" spans="1:10" ht="15.75" hidden="1" thickBot="1" x14ac:dyDescent="0.3">
      <c r="A5541" s="232" t="s">
        <v>2097</v>
      </c>
      <c r="B5541" s="221" t="e">
        <f>INDEX(#REF!,MATCH(Composições!A5541,#REF!,0),2)</f>
        <v>#REF!</v>
      </c>
      <c r="C5541" s="41"/>
      <c r="D5541" s="26" t="s">
        <v>1514</v>
      </c>
      <c r="E5541" s="27"/>
      <c r="F5541" s="49" t="s">
        <v>522</v>
      </c>
      <c r="G5541" s="28" t="str">
        <f t="shared" si="105"/>
        <v/>
      </c>
      <c r="H5541" s="29"/>
      <c r="I5541" s="30"/>
      <c r="J5541" s="102">
        <v>0</v>
      </c>
    </row>
    <row r="5542" spans="1:10" hidden="1" x14ac:dyDescent="0.25">
      <c r="A5542" s="235"/>
      <c r="B5542" s="222"/>
      <c r="C5542" s="111"/>
      <c r="D5542" s="111"/>
      <c r="E5542" s="112"/>
      <c r="F5542" s="54" t="s">
        <v>522</v>
      </c>
      <c r="G5542" s="54" t="str">
        <f t="shared" si="105"/>
        <v/>
      </c>
      <c r="H5542" s="73"/>
      <c r="I5542" s="74"/>
      <c r="J5542" s="102">
        <v>0</v>
      </c>
    </row>
    <row r="5543" spans="1:10" hidden="1" x14ac:dyDescent="0.25">
      <c r="A5543" s="235"/>
      <c r="B5543" s="222"/>
      <c r="C5543" s="36" t="s">
        <v>1160</v>
      </c>
      <c r="D5543" s="105" t="s">
        <v>12</v>
      </c>
      <c r="E5543" s="106">
        <f>ROUND(220/(1+110.14%),4)</f>
        <v>104.6921</v>
      </c>
      <c r="F5543" s="31">
        <v>21.688499999999998</v>
      </c>
      <c r="G5543" s="54">
        <f t="shared" si="105"/>
        <v>2270.6146108499997</v>
      </c>
      <c r="H5543" s="39">
        <f>SUM(G5543:G5543)</f>
        <v>2270.6146108499997</v>
      </c>
      <c r="I5543" s="40"/>
      <c r="J5543" s="102">
        <v>0</v>
      </c>
    </row>
    <row r="5544" spans="1:10" hidden="1" x14ac:dyDescent="0.25">
      <c r="A5544" s="235"/>
      <c r="B5544" s="222"/>
      <c r="C5544" s="111"/>
      <c r="D5544" s="111"/>
      <c r="E5544" s="112"/>
      <c r="F5544" s="54" t="s">
        <v>522</v>
      </c>
      <c r="G5544" s="54" t="str">
        <f t="shared" si="105"/>
        <v/>
      </c>
      <c r="H5544" s="73"/>
      <c r="I5544" s="74"/>
      <c r="J5544" s="102">
        <v>0</v>
      </c>
    </row>
    <row r="5545" spans="1:10" ht="25.5" hidden="1" x14ac:dyDescent="0.25">
      <c r="A5545" s="235"/>
      <c r="B5545" s="222"/>
      <c r="C5545" s="48" t="s">
        <v>781</v>
      </c>
      <c r="D5545" s="111"/>
      <c r="E5545" s="112"/>
      <c r="F5545" s="54" t="s">
        <v>522</v>
      </c>
      <c r="G5545" s="54" t="str">
        <f t="shared" si="105"/>
        <v/>
      </c>
      <c r="H5545" s="73"/>
      <c r="I5545" s="74"/>
      <c r="J5545" s="102">
        <v>0</v>
      </c>
    </row>
    <row r="5546" spans="1:10" ht="15.75" hidden="1" thickBot="1" x14ac:dyDescent="0.3">
      <c r="A5546" s="236"/>
      <c r="B5546" s="223"/>
      <c r="C5546" s="55"/>
      <c r="D5546" s="108"/>
      <c r="E5546" s="66"/>
      <c r="F5546" s="76" t="s">
        <v>522</v>
      </c>
      <c r="G5546" s="76" t="str">
        <f t="shared" si="105"/>
        <v/>
      </c>
      <c r="H5546" s="77"/>
      <c r="I5546" s="74"/>
      <c r="J5546" s="102">
        <v>0</v>
      </c>
    </row>
    <row r="5547" spans="1:10" ht="15.75" hidden="1" thickBot="1" x14ac:dyDescent="0.3">
      <c r="A5547" s="232" t="s">
        <v>2098</v>
      </c>
      <c r="B5547" s="221" t="e">
        <f>INDEX(#REF!,MATCH(Composições!A5547,#REF!,0),2)</f>
        <v>#REF!</v>
      </c>
      <c r="C5547" s="41"/>
      <c r="D5547" s="26" t="s">
        <v>1514</v>
      </c>
      <c r="E5547" s="27"/>
      <c r="F5547" s="49" t="s">
        <v>522</v>
      </c>
      <c r="G5547" s="28" t="str">
        <f t="shared" si="105"/>
        <v/>
      </c>
      <c r="H5547" s="29"/>
      <c r="I5547" s="30"/>
      <c r="J5547" s="102">
        <v>0</v>
      </c>
    </row>
    <row r="5548" spans="1:10" hidden="1" x14ac:dyDescent="0.25">
      <c r="A5548" s="235"/>
      <c r="B5548" s="222"/>
      <c r="C5548" s="111"/>
      <c r="D5548" s="111"/>
      <c r="E5548" s="112"/>
      <c r="F5548" s="54" t="s">
        <v>522</v>
      </c>
      <c r="G5548" s="54" t="str">
        <f t="shared" si="105"/>
        <v/>
      </c>
      <c r="H5548" s="73"/>
      <c r="I5548" s="74"/>
      <c r="J5548" s="102">
        <v>0</v>
      </c>
    </row>
    <row r="5549" spans="1:10" hidden="1" x14ac:dyDescent="0.25">
      <c r="A5549" s="235"/>
      <c r="B5549" s="222"/>
      <c r="C5549" s="36" t="s">
        <v>1159</v>
      </c>
      <c r="D5549" s="105" t="s">
        <v>12</v>
      </c>
      <c r="E5549" s="106">
        <f>ROUND(220/(1+110.14%),4)</f>
        <v>104.6921</v>
      </c>
      <c r="F5549" s="31">
        <v>17.024000000000001</v>
      </c>
      <c r="G5549" s="54">
        <f t="shared" si="105"/>
        <v>1782.2783104</v>
      </c>
      <c r="H5549" s="39">
        <f>SUM(G5549:G5549)</f>
        <v>1782.2783104</v>
      </c>
      <c r="I5549" s="40"/>
      <c r="J5549" s="102">
        <v>0</v>
      </c>
    </row>
    <row r="5550" spans="1:10" hidden="1" x14ac:dyDescent="0.25">
      <c r="A5550" s="235"/>
      <c r="B5550" s="222"/>
      <c r="C5550" s="111"/>
      <c r="D5550" s="111"/>
      <c r="E5550" s="112"/>
      <c r="F5550" s="54" t="s">
        <v>522</v>
      </c>
      <c r="G5550" s="54" t="str">
        <f t="shared" si="105"/>
        <v/>
      </c>
      <c r="H5550" s="73"/>
      <c r="I5550" s="74"/>
      <c r="J5550" s="102">
        <v>0</v>
      </c>
    </row>
    <row r="5551" spans="1:10" ht="25.5" hidden="1" x14ac:dyDescent="0.25">
      <c r="A5551" s="235"/>
      <c r="B5551" s="222"/>
      <c r="C5551" s="48" t="s">
        <v>781</v>
      </c>
      <c r="D5551" s="111"/>
      <c r="E5551" s="112"/>
      <c r="F5551" s="54" t="s">
        <v>522</v>
      </c>
      <c r="G5551" s="54" t="str">
        <f t="shared" si="105"/>
        <v/>
      </c>
      <c r="H5551" s="73"/>
      <c r="I5551" s="74"/>
      <c r="J5551" s="102">
        <v>0</v>
      </c>
    </row>
    <row r="5552" spans="1:10" ht="15.75" hidden="1" thickBot="1" x14ac:dyDescent="0.3">
      <c r="A5552" s="236"/>
      <c r="B5552" s="223"/>
      <c r="C5552" s="55"/>
      <c r="D5552" s="108"/>
      <c r="E5552" s="66"/>
      <c r="F5552" s="76" t="s">
        <v>522</v>
      </c>
      <c r="G5552" s="76" t="str">
        <f t="shared" si="105"/>
        <v/>
      </c>
      <c r="H5552" s="77"/>
      <c r="I5552" s="74"/>
      <c r="J5552" s="102">
        <v>0</v>
      </c>
    </row>
    <row r="5553" spans="1:10" ht="15.75" hidden="1" thickBot="1" x14ac:dyDescent="0.3">
      <c r="A5553" s="232" t="s">
        <v>2099</v>
      </c>
      <c r="B5553" s="221" t="e">
        <f>INDEX(#REF!,MATCH(Composições!A5553,#REF!,0),2)</f>
        <v>#REF!</v>
      </c>
      <c r="C5553" s="41"/>
      <c r="D5553" s="26" t="s">
        <v>1514</v>
      </c>
      <c r="E5553" s="27"/>
      <c r="F5553" s="49" t="s">
        <v>522</v>
      </c>
      <c r="G5553" s="28" t="str">
        <f t="shared" si="105"/>
        <v/>
      </c>
      <c r="H5553" s="29"/>
      <c r="I5553" s="30"/>
      <c r="J5553" s="102">
        <v>0</v>
      </c>
    </row>
    <row r="5554" spans="1:10" hidden="1" x14ac:dyDescent="0.25">
      <c r="A5554" s="235"/>
      <c r="B5554" s="222"/>
      <c r="C5554" s="111"/>
      <c r="D5554" s="111"/>
      <c r="E5554" s="112"/>
      <c r="F5554" s="54" t="s">
        <v>522</v>
      </c>
      <c r="G5554" s="54" t="str">
        <f t="shared" si="105"/>
        <v/>
      </c>
      <c r="H5554" s="73"/>
      <c r="I5554" s="74"/>
      <c r="J5554" s="102">
        <v>0</v>
      </c>
    </row>
    <row r="5555" spans="1:10" hidden="1" x14ac:dyDescent="0.25">
      <c r="A5555" s="235"/>
      <c r="B5555" s="222"/>
      <c r="C5555" s="36" t="s">
        <v>1684</v>
      </c>
      <c r="D5555" s="105" t="s">
        <v>12</v>
      </c>
      <c r="E5555" s="106">
        <f>ROUND(220/(1+110.14%),4)</f>
        <v>104.6921</v>
      </c>
      <c r="F5555" s="31">
        <v>26.096499999999999</v>
      </c>
      <c r="G5555" s="54">
        <f t="shared" si="105"/>
        <v>2732.0973876499997</v>
      </c>
      <c r="H5555" s="39">
        <f>SUM(G5555:G5555)</f>
        <v>2732.0973876499997</v>
      </c>
      <c r="I5555" s="40"/>
      <c r="J5555" s="102">
        <v>0</v>
      </c>
    </row>
    <row r="5556" spans="1:10" hidden="1" x14ac:dyDescent="0.25">
      <c r="A5556" s="235"/>
      <c r="B5556" s="222"/>
      <c r="C5556" s="111"/>
      <c r="D5556" s="111"/>
      <c r="E5556" s="112"/>
      <c r="F5556" s="54" t="s">
        <v>522</v>
      </c>
      <c r="G5556" s="54" t="str">
        <f t="shared" si="105"/>
        <v/>
      </c>
      <c r="H5556" s="73"/>
      <c r="I5556" s="74"/>
      <c r="J5556" s="102">
        <v>0</v>
      </c>
    </row>
    <row r="5557" spans="1:10" ht="25.5" hidden="1" x14ac:dyDescent="0.25">
      <c r="A5557" s="235"/>
      <c r="B5557" s="222"/>
      <c r="C5557" s="48" t="s">
        <v>781</v>
      </c>
      <c r="D5557" s="111"/>
      <c r="E5557" s="112"/>
      <c r="F5557" s="54" t="s">
        <v>522</v>
      </c>
      <c r="G5557" s="54" t="str">
        <f t="shared" si="105"/>
        <v/>
      </c>
      <c r="H5557" s="73"/>
      <c r="I5557" s="74"/>
      <c r="J5557" s="102">
        <v>0</v>
      </c>
    </row>
    <row r="5558" spans="1:10" ht="15.75" hidden="1" thickBot="1" x14ac:dyDescent="0.3">
      <c r="A5558" s="236"/>
      <c r="B5558" s="223"/>
      <c r="C5558" s="55"/>
      <c r="D5558" s="108"/>
      <c r="E5558" s="66"/>
      <c r="F5558" s="76" t="s">
        <v>522</v>
      </c>
      <c r="G5558" s="76" t="str">
        <f t="shared" si="105"/>
        <v/>
      </c>
      <c r="H5558" s="77"/>
      <c r="I5558" s="74"/>
      <c r="J5558" s="102">
        <v>0</v>
      </c>
    </row>
    <row r="5559" spans="1:10" ht="15.75" hidden="1" thickBot="1" x14ac:dyDescent="0.3">
      <c r="A5559" s="232" t="s">
        <v>2100</v>
      </c>
      <c r="B5559" s="221" t="e">
        <f>INDEX(#REF!,MATCH(Composições!A5559,#REF!,0),2)</f>
        <v>#REF!</v>
      </c>
      <c r="C5559" s="41"/>
      <c r="D5559" s="26" t="s">
        <v>1514</v>
      </c>
      <c r="E5559" s="27"/>
      <c r="F5559" s="49" t="s">
        <v>522</v>
      </c>
      <c r="G5559" s="28" t="str">
        <f t="shared" si="105"/>
        <v/>
      </c>
      <c r="H5559" s="29"/>
      <c r="I5559" s="30"/>
      <c r="J5559" s="102">
        <v>0</v>
      </c>
    </row>
    <row r="5560" spans="1:10" hidden="1" x14ac:dyDescent="0.25">
      <c r="A5560" s="235"/>
      <c r="B5560" s="222"/>
      <c r="C5560" s="111"/>
      <c r="D5560" s="111"/>
      <c r="E5560" s="112"/>
      <c r="F5560" s="54" t="s">
        <v>522</v>
      </c>
      <c r="G5560" s="54" t="str">
        <f t="shared" si="105"/>
        <v/>
      </c>
      <c r="H5560" s="73"/>
      <c r="I5560" s="74"/>
      <c r="J5560" s="102">
        <v>0</v>
      </c>
    </row>
    <row r="5561" spans="1:10" hidden="1" x14ac:dyDescent="0.25">
      <c r="A5561" s="235"/>
      <c r="B5561" s="222"/>
      <c r="C5561" s="36" t="s">
        <v>1684</v>
      </c>
      <c r="D5561" s="105" t="s">
        <v>12</v>
      </c>
      <c r="E5561" s="106">
        <f>ROUND(220/(1+110.14%),4)</f>
        <v>104.6921</v>
      </c>
      <c r="F5561" s="31">
        <v>26.096499999999999</v>
      </c>
      <c r="G5561" s="54">
        <f t="shared" si="105"/>
        <v>2732.0973876499997</v>
      </c>
      <c r="H5561" s="39">
        <f>SUM(G5561:G5561)</f>
        <v>2732.0973876499997</v>
      </c>
      <c r="I5561" s="40"/>
      <c r="J5561" s="102">
        <v>0</v>
      </c>
    </row>
    <row r="5562" spans="1:10" hidden="1" x14ac:dyDescent="0.25">
      <c r="A5562" s="235"/>
      <c r="B5562" s="222"/>
      <c r="C5562" s="111"/>
      <c r="D5562" s="111"/>
      <c r="E5562" s="112"/>
      <c r="F5562" s="54" t="s">
        <v>522</v>
      </c>
      <c r="G5562" s="54" t="str">
        <f t="shared" si="105"/>
        <v/>
      </c>
      <c r="H5562" s="73"/>
      <c r="I5562" s="74"/>
      <c r="J5562" s="102">
        <v>0</v>
      </c>
    </row>
    <row r="5563" spans="1:10" ht="25.5" hidden="1" x14ac:dyDescent="0.25">
      <c r="A5563" s="235"/>
      <c r="B5563" s="222"/>
      <c r="C5563" s="48" t="s">
        <v>781</v>
      </c>
      <c r="D5563" s="111"/>
      <c r="E5563" s="112"/>
      <c r="F5563" s="54" t="s">
        <v>522</v>
      </c>
      <c r="G5563" s="54" t="str">
        <f t="shared" si="105"/>
        <v/>
      </c>
      <c r="H5563" s="73"/>
      <c r="I5563" s="74"/>
      <c r="J5563" s="102">
        <v>0</v>
      </c>
    </row>
    <row r="5564" spans="1:10" ht="15.75" hidden="1" thickBot="1" x14ac:dyDescent="0.3">
      <c r="A5564" s="236"/>
      <c r="B5564" s="223"/>
      <c r="C5564" s="55"/>
      <c r="D5564" s="108"/>
      <c r="E5564" s="66"/>
      <c r="F5564" s="76" t="s">
        <v>522</v>
      </c>
      <c r="G5564" s="76" t="str">
        <f t="shared" si="105"/>
        <v/>
      </c>
      <c r="H5564" s="77"/>
      <c r="I5564" s="74"/>
      <c r="J5564" s="102">
        <v>0</v>
      </c>
    </row>
    <row r="5565" spans="1:10" ht="15.75" hidden="1" thickBot="1" x14ac:dyDescent="0.3">
      <c r="A5565" s="232" t="s">
        <v>2101</v>
      </c>
      <c r="B5565" s="221" t="e">
        <f>INDEX(#REF!,MATCH(Composições!A5565,#REF!,0),2)</f>
        <v>#REF!</v>
      </c>
      <c r="C5565" s="41"/>
      <c r="D5565" s="26" t="s">
        <v>1514</v>
      </c>
      <c r="E5565" s="27"/>
      <c r="F5565" s="49" t="s">
        <v>522</v>
      </c>
      <c r="G5565" s="28" t="str">
        <f t="shared" si="105"/>
        <v/>
      </c>
      <c r="H5565" s="29"/>
      <c r="I5565" s="30"/>
      <c r="J5565" s="102">
        <v>0</v>
      </c>
    </row>
    <row r="5566" spans="1:10" hidden="1" x14ac:dyDescent="0.25">
      <c r="A5566" s="235"/>
      <c r="B5566" s="222"/>
      <c r="C5566" s="111"/>
      <c r="D5566" s="111"/>
      <c r="E5566" s="112"/>
      <c r="F5566" s="54" t="s">
        <v>522</v>
      </c>
      <c r="G5566" s="54" t="str">
        <f t="shared" si="105"/>
        <v/>
      </c>
      <c r="H5566" s="73"/>
      <c r="I5566" s="74"/>
      <c r="J5566" s="102">
        <v>0</v>
      </c>
    </row>
    <row r="5567" spans="1:10" hidden="1" x14ac:dyDescent="0.25">
      <c r="A5567" s="235"/>
      <c r="B5567" s="222"/>
      <c r="C5567" s="36" t="s">
        <v>1684</v>
      </c>
      <c r="D5567" s="105" t="s">
        <v>12</v>
      </c>
      <c r="E5567" s="106">
        <f>ROUND(220/(1+110.14%),4)</f>
        <v>104.6921</v>
      </c>
      <c r="F5567" s="31">
        <v>26.096499999999999</v>
      </c>
      <c r="G5567" s="54">
        <f t="shared" si="105"/>
        <v>2732.0973876499997</v>
      </c>
      <c r="H5567" s="39">
        <f>SUM(G5567:G5567)</f>
        <v>2732.0973876499997</v>
      </c>
      <c r="I5567" s="40"/>
      <c r="J5567" s="102">
        <v>0</v>
      </c>
    </row>
    <row r="5568" spans="1:10" hidden="1" x14ac:dyDescent="0.25">
      <c r="A5568" s="235"/>
      <c r="B5568" s="222"/>
      <c r="C5568" s="111"/>
      <c r="D5568" s="111"/>
      <c r="E5568" s="112"/>
      <c r="F5568" s="54" t="s">
        <v>522</v>
      </c>
      <c r="G5568" s="54" t="str">
        <f t="shared" si="105"/>
        <v/>
      </c>
      <c r="H5568" s="73"/>
      <c r="I5568" s="74"/>
      <c r="J5568" s="102">
        <v>0</v>
      </c>
    </row>
    <row r="5569" spans="1:10" ht="25.5" hidden="1" x14ac:dyDescent="0.25">
      <c r="A5569" s="235"/>
      <c r="B5569" s="222"/>
      <c r="C5569" s="48" t="s">
        <v>781</v>
      </c>
      <c r="D5569" s="111"/>
      <c r="E5569" s="112"/>
      <c r="F5569" s="54" t="s">
        <v>522</v>
      </c>
      <c r="G5569" s="54" t="str">
        <f t="shared" si="105"/>
        <v/>
      </c>
      <c r="H5569" s="73"/>
      <c r="I5569" s="74"/>
      <c r="J5569" s="102">
        <v>0</v>
      </c>
    </row>
    <row r="5570" spans="1:10" ht="15.75" hidden="1" thickBot="1" x14ac:dyDescent="0.3">
      <c r="A5570" s="236"/>
      <c r="B5570" s="223"/>
      <c r="C5570" s="55"/>
      <c r="D5570" s="108"/>
      <c r="E5570" s="66"/>
      <c r="F5570" s="76" t="s">
        <v>522</v>
      </c>
      <c r="G5570" s="76" t="str">
        <f t="shared" si="105"/>
        <v/>
      </c>
      <c r="H5570" s="77"/>
      <c r="I5570" s="74"/>
      <c r="J5570" s="102">
        <v>0</v>
      </c>
    </row>
    <row r="5571" spans="1:10" ht="15.75" hidden="1" thickBot="1" x14ac:dyDescent="0.3">
      <c r="A5571" s="232" t="s">
        <v>2102</v>
      </c>
      <c r="B5571" s="221" t="e">
        <f>INDEX(#REF!,MATCH(Composições!A5571,#REF!,0),2)</f>
        <v>#REF!</v>
      </c>
      <c r="C5571" s="41"/>
      <c r="D5571" s="26" t="s">
        <v>1514</v>
      </c>
      <c r="E5571" s="27"/>
      <c r="F5571" s="49" t="s">
        <v>522</v>
      </c>
      <c r="G5571" s="28" t="str">
        <f t="shared" si="105"/>
        <v/>
      </c>
      <c r="H5571" s="29"/>
      <c r="I5571" s="30"/>
      <c r="J5571" s="102">
        <v>0</v>
      </c>
    </row>
    <row r="5572" spans="1:10" hidden="1" x14ac:dyDescent="0.25">
      <c r="A5572" s="235"/>
      <c r="B5572" s="222"/>
      <c r="C5572" s="111"/>
      <c r="D5572" s="111"/>
      <c r="E5572" s="112"/>
      <c r="F5572" s="54" t="s">
        <v>522</v>
      </c>
      <c r="G5572" s="54" t="str">
        <f t="shared" si="105"/>
        <v/>
      </c>
      <c r="H5572" s="73"/>
      <c r="I5572" s="74"/>
      <c r="J5572" s="102">
        <v>0</v>
      </c>
    </row>
    <row r="5573" spans="1:10" hidden="1" x14ac:dyDescent="0.25">
      <c r="A5573" s="235"/>
      <c r="B5573" s="222"/>
      <c r="C5573" s="36" t="s">
        <v>1684</v>
      </c>
      <c r="D5573" s="105" t="s">
        <v>12</v>
      </c>
      <c r="E5573" s="106">
        <f>ROUND(220/(1+110.14%),4)</f>
        <v>104.6921</v>
      </c>
      <c r="F5573" s="31">
        <v>26.096499999999999</v>
      </c>
      <c r="G5573" s="54">
        <f t="shared" si="105"/>
        <v>2732.0973876499997</v>
      </c>
      <c r="H5573" s="39">
        <f>SUM(G5573:G5573)</f>
        <v>2732.0973876499997</v>
      </c>
      <c r="I5573" s="40"/>
      <c r="J5573" s="102">
        <v>0</v>
      </c>
    </row>
    <row r="5574" spans="1:10" hidden="1" x14ac:dyDescent="0.25">
      <c r="A5574" s="235"/>
      <c r="B5574" s="222"/>
      <c r="C5574" s="111"/>
      <c r="D5574" s="111"/>
      <c r="E5574" s="112"/>
      <c r="F5574" s="54" t="s">
        <v>522</v>
      </c>
      <c r="G5574" s="54" t="str">
        <f t="shared" si="105"/>
        <v/>
      </c>
      <c r="H5574" s="73"/>
      <c r="I5574" s="74"/>
      <c r="J5574" s="102">
        <v>0</v>
      </c>
    </row>
    <row r="5575" spans="1:10" ht="25.5" hidden="1" x14ac:dyDescent="0.25">
      <c r="A5575" s="235"/>
      <c r="B5575" s="222"/>
      <c r="C5575" s="48" t="s">
        <v>781</v>
      </c>
      <c r="D5575" s="111"/>
      <c r="E5575" s="112"/>
      <c r="F5575" s="54" t="s">
        <v>522</v>
      </c>
      <c r="G5575" s="54" t="str">
        <f t="shared" si="105"/>
        <v/>
      </c>
      <c r="H5575" s="73"/>
      <c r="I5575" s="74"/>
      <c r="J5575" s="102">
        <v>0</v>
      </c>
    </row>
    <row r="5576" spans="1:10" ht="15.75" hidden="1" thickBot="1" x14ac:dyDescent="0.3">
      <c r="A5576" s="236"/>
      <c r="B5576" s="223"/>
      <c r="C5576" s="55"/>
      <c r="D5576" s="108"/>
      <c r="E5576" s="66"/>
      <c r="F5576" s="76" t="s">
        <v>522</v>
      </c>
      <c r="G5576" s="76" t="str">
        <f t="shared" si="105"/>
        <v/>
      </c>
      <c r="H5576" s="77"/>
      <c r="I5576" s="74"/>
      <c r="J5576" s="102">
        <v>0</v>
      </c>
    </row>
    <row r="5577" spans="1:10" ht="15.75" hidden="1" thickBot="1" x14ac:dyDescent="0.3">
      <c r="A5577" s="232" t="s">
        <v>2103</v>
      </c>
      <c r="B5577" s="221" t="e">
        <f>INDEX(#REF!,MATCH(Composições!A5577,#REF!,0),2)</f>
        <v>#REF!</v>
      </c>
      <c r="C5577" s="41"/>
      <c r="D5577" s="26" t="s">
        <v>1514</v>
      </c>
      <c r="E5577" s="27"/>
      <c r="F5577" s="49" t="s">
        <v>522</v>
      </c>
      <c r="G5577" s="28" t="str">
        <f t="shared" si="105"/>
        <v/>
      </c>
      <c r="H5577" s="29"/>
      <c r="I5577" s="30"/>
      <c r="J5577" s="102">
        <v>0</v>
      </c>
    </row>
    <row r="5578" spans="1:10" hidden="1" x14ac:dyDescent="0.25">
      <c r="A5578" s="235"/>
      <c r="B5578" s="222"/>
      <c r="C5578" s="111"/>
      <c r="D5578" s="111"/>
      <c r="E5578" s="112"/>
      <c r="F5578" s="54" t="s">
        <v>522</v>
      </c>
      <c r="G5578" s="54" t="str">
        <f t="shared" si="105"/>
        <v/>
      </c>
      <c r="H5578" s="73"/>
      <c r="I5578" s="74"/>
      <c r="J5578" s="102">
        <v>0</v>
      </c>
    </row>
    <row r="5579" spans="1:10" hidden="1" x14ac:dyDescent="0.25">
      <c r="A5579" s="235"/>
      <c r="B5579" s="222"/>
      <c r="C5579" s="36" t="s">
        <v>1160</v>
      </c>
      <c r="D5579" s="105" t="s">
        <v>12</v>
      </c>
      <c r="E5579" s="106">
        <f>ROUND(220/(1+110.14%),4)</f>
        <v>104.6921</v>
      </c>
      <c r="F5579" s="31">
        <v>21.688499999999998</v>
      </c>
      <c r="G5579" s="54">
        <f t="shared" si="105"/>
        <v>2270.6146108499997</v>
      </c>
      <c r="H5579" s="39">
        <f>SUM(G5579:G5579)</f>
        <v>2270.6146108499997</v>
      </c>
      <c r="I5579" s="40"/>
      <c r="J5579" s="102">
        <v>0</v>
      </c>
    </row>
    <row r="5580" spans="1:10" hidden="1" x14ac:dyDescent="0.25">
      <c r="A5580" s="235"/>
      <c r="B5580" s="222"/>
      <c r="C5580" s="111"/>
      <c r="D5580" s="111"/>
      <c r="E5580" s="112"/>
      <c r="F5580" s="54" t="s">
        <v>522</v>
      </c>
      <c r="G5580" s="54" t="str">
        <f t="shared" si="105"/>
        <v/>
      </c>
      <c r="H5580" s="73"/>
      <c r="I5580" s="74"/>
      <c r="J5580" s="102">
        <v>0</v>
      </c>
    </row>
    <row r="5581" spans="1:10" ht="25.5" hidden="1" x14ac:dyDescent="0.25">
      <c r="A5581" s="235"/>
      <c r="B5581" s="222"/>
      <c r="C5581" s="48" t="s">
        <v>781</v>
      </c>
      <c r="D5581" s="111"/>
      <c r="E5581" s="112"/>
      <c r="F5581" s="54" t="s">
        <v>522</v>
      </c>
      <c r="G5581" s="54" t="str">
        <f t="shared" si="105"/>
        <v/>
      </c>
      <c r="H5581" s="73"/>
      <c r="I5581" s="74"/>
      <c r="J5581" s="102">
        <v>0</v>
      </c>
    </row>
    <row r="5582" spans="1:10" ht="15.75" hidden="1" thickBot="1" x14ac:dyDescent="0.3">
      <c r="A5582" s="236"/>
      <c r="B5582" s="223"/>
      <c r="C5582" s="55"/>
      <c r="D5582" s="108"/>
      <c r="E5582" s="66"/>
      <c r="F5582" s="76" t="s">
        <v>522</v>
      </c>
      <c r="G5582" s="76" t="str">
        <f t="shared" si="105"/>
        <v/>
      </c>
      <c r="H5582" s="77"/>
      <c r="I5582" s="74"/>
      <c r="J5582" s="102">
        <v>0</v>
      </c>
    </row>
    <row r="5583" spans="1:10" ht="15.75" hidden="1" thickBot="1" x14ac:dyDescent="0.3">
      <c r="A5583" s="232" t="s">
        <v>2104</v>
      </c>
      <c r="B5583" s="221" t="e">
        <f>INDEX(#REF!,MATCH(Composições!A5583,#REF!,0),2)</f>
        <v>#REF!</v>
      </c>
      <c r="C5583" s="41"/>
      <c r="D5583" s="26" t="s">
        <v>1514</v>
      </c>
      <c r="E5583" s="27"/>
      <c r="F5583" s="49" t="s">
        <v>522</v>
      </c>
      <c r="G5583" s="28" t="str">
        <f t="shared" si="105"/>
        <v/>
      </c>
      <c r="H5583" s="29"/>
      <c r="I5583" s="30"/>
      <c r="J5583" s="102">
        <v>0</v>
      </c>
    </row>
    <row r="5584" spans="1:10" hidden="1" x14ac:dyDescent="0.25">
      <c r="A5584" s="235"/>
      <c r="B5584" s="222"/>
      <c r="C5584" s="111"/>
      <c r="D5584" s="111"/>
      <c r="E5584" s="112"/>
      <c r="F5584" s="54" t="s">
        <v>522</v>
      </c>
      <c r="G5584" s="54" t="str">
        <f t="shared" si="105"/>
        <v/>
      </c>
      <c r="H5584" s="73"/>
      <c r="I5584" s="74"/>
      <c r="J5584" s="102">
        <v>0</v>
      </c>
    </row>
    <row r="5585" spans="1:10" hidden="1" x14ac:dyDescent="0.25">
      <c r="A5585" s="235"/>
      <c r="B5585" s="222"/>
      <c r="C5585" s="36" t="s">
        <v>1160</v>
      </c>
      <c r="D5585" s="105" t="s">
        <v>12</v>
      </c>
      <c r="E5585" s="106">
        <f>ROUND(220/(1+110.14%),4)</f>
        <v>104.6921</v>
      </c>
      <c r="F5585" s="31">
        <v>21.688499999999998</v>
      </c>
      <c r="G5585" s="54">
        <f t="shared" si="105"/>
        <v>2270.6146108499997</v>
      </c>
      <c r="H5585" s="39">
        <f>SUM(G5585:G5585)</f>
        <v>2270.6146108499997</v>
      </c>
      <c r="I5585" s="40"/>
      <c r="J5585" s="102">
        <v>0</v>
      </c>
    </row>
    <row r="5586" spans="1:10" hidden="1" x14ac:dyDescent="0.25">
      <c r="A5586" s="235"/>
      <c r="B5586" s="222"/>
      <c r="C5586" s="111"/>
      <c r="D5586" s="111"/>
      <c r="E5586" s="112"/>
      <c r="F5586" s="54" t="s">
        <v>522</v>
      </c>
      <c r="G5586" s="54" t="str">
        <f t="shared" si="105"/>
        <v/>
      </c>
      <c r="H5586" s="73"/>
      <c r="I5586" s="74"/>
      <c r="J5586" s="102">
        <v>0</v>
      </c>
    </row>
    <row r="5587" spans="1:10" ht="25.5" hidden="1" x14ac:dyDescent="0.25">
      <c r="A5587" s="235"/>
      <c r="B5587" s="222"/>
      <c r="C5587" s="48" t="s">
        <v>781</v>
      </c>
      <c r="D5587" s="111"/>
      <c r="E5587" s="112"/>
      <c r="F5587" s="54" t="s">
        <v>522</v>
      </c>
      <c r="G5587" s="54" t="str">
        <f t="shared" si="105"/>
        <v/>
      </c>
      <c r="H5587" s="73"/>
      <c r="I5587" s="74"/>
      <c r="J5587" s="102">
        <v>0</v>
      </c>
    </row>
    <row r="5588" spans="1:10" ht="15.75" hidden="1" thickBot="1" x14ac:dyDescent="0.3">
      <c r="A5588" s="236"/>
      <c r="B5588" s="223"/>
      <c r="C5588" s="55"/>
      <c r="D5588" s="108"/>
      <c r="E5588" s="66"/>
      <c r="F5588" s="76" t="s">
        <v>522</v>
      </c>
      <c r="G5588" s="76" t="str">
        <f t="shared" si="105"/>
        <v/>
      </c>
      <c r="H5588" s="77"/>
      <c r="I5588" s="74"/>
      <c r="J5588" s="102">
        <v>0</v>
      </c>
    </row>
    <row r="5589" spans="1:10" ht="15.75" hidden="1" thickBot="1" x14ac:dyDescent="0.3">
      <c r="A5589" s="232" t="s">
        <v>2105</v>
      </c>
      <c r="B5589" s="221" t="e">
        <f>INDEX(#REF!,MATCH(Composições!A5589,#REF!,0),2)</f>
        <v>#REF!</v>
      </c>
      <c r="C5589" s="41"/>
      <c r="D5589" s="26" t="s">
        <v>1514</v>
      </c>
      <c r="E5589" s="27"/>
      <c r="F5589" s="49" t="s">
        <v>522</v>
      </c>
      <c r="G5589" s="28" t="str">
        <f t="shared" si="105"/>
        <v/>
      </c>
      <c r="H5589" s="29"/>
      <c r="I5589" s="30"/>
      <c r="J5589" s="102">
        <v>0</v>
      </c>
    </row>
    <row r="5590" spans="1:10" hidden="1" x14ac:dyDescent="0.25">
      <c r="A5590" s="235"/>
      <c r="B5590" s="222"/>
      <c r="C5590" s="111"/>
      <c r="D5590" s="111"/>
      <c r="E5590" s="112"/>
      <c r="F5590" s="54" t="s">
        <v>522</v>
      </c>
      <c r="G5590" s="54" t="str">
        <f t="shared" si="105"/>
        <v/>
      </c>
      <c r="H5590" s="73"/>
      <c r="I5590" s="74"/>
      <c r="J5590" s="102">
        <v>0</v>
      </c>
    </row>
    <row r="5591" spans="1:10" hidden="1" x14ac:dyDescent="0.25">
      <c r="A5591" s="235"/>
      <c r="B5591" s="222"/>
      <c r="C5591" s="36" t="s">
        <v>1160</v>
      </c>
      <c r="D5591" s="105" t="s">
        <v>12</v>
      </c>
      <c r="E5591" s="106">
        <f>ROUND(220/(1+110.14%),4)</f>
        <v>104.6921</v>
      </c>
      <c r="F5591" s="31">
        <v>21.688499999999998</v>
      </c>
      <c r="G5591" s="54">
        <f t="shared" si="105"/>
        <v>2270.6146108499997</v>
      </c>
      <c r="H5591" s="39">
        <f>SUM(G5591:G5591)</f>
        <v>2270.6146108499997</v>
      </c>
      <c r="I5591" s="40"/>
      <c r="J5591" s="102">
        <v>0</v>
      </c>
    </row>
    <row r="5592" spans="1:10" hidden="1" x14ac:dyDescent="0.25">
      <c r="A5592" s="235"/>
      <c r="B5592" s="222"/>
      <c r="C5592" s="111"/>
      <c r="D5592" s="111"/>
      <c r="E5592" s="112"/>
      <c r="F5592" s="54" t="s">
        <v>522</v>
      </c>
      <c r="G5592" s="54" t="str">
        <f t="shared" si="105"/>
        <v/>
      </c>
      <c r="H5592" s="73"/>
      <c r="I5592" s="74"/>
      <c r="J5592" s="102">
        <v>0</v>
      </c>
    </row>
    <row r="5593" spans="1:10" ht="25.5" hidden="1" x14ac:dyDescent="0.25">
      <c r="A5593" s="235"/>
      <c r="B5593" s="222"/>
      <c r="C5593" s="48" t="s">
        <v>781</v>
      </c>
      <c r="D5593" s="111"/>
      <c r="E5593" s="112"/>
      <c r="F5593" s="54" t="s">
        <v>522</v>
      </c>
      <c r="G5593" s="54" t="str">
        <f t="shared" si="105"/>
        <v/>
      </c>
      <c r="H5593" s="73"/>
      <c r="I5593" s="74"/>
      <c r="J5593" s="102">
        <v>0</v>
      </c>
    </row>
    <row r="5594" spans="1:10" ht="15.75" hidden="1" thickBot="1" x14ac:dyDescent="0.3">
      <c r="A5594" s="236"/>
      <c r="B5594" s="223"/>
      <c r="C5594" s="55"/>
      <c r="D5594" s="108"/>
      <c r="E5594" s="66"/>
      <c r="F5594" s="76" t="s">
        <v>522</v>
      </c>
      <c r="G5594" s="76" t="str">
        <f t="shared" si="105"/>
        <v/>
      </c>
      <c r="H5594" s="77"/>
      <c r="I5594" s="74"/>
      <c r="J5594" s="102">
        <v>0</v>
      </c>
    </row>
    <row r="5595" spans="1:10" ht="15.75" hidden="1" thickBot="1" x14ac:dyDescent="0.3">
      <c r="A5595" s="232" t="s">
        <v>2106</v>
      </c>
      <c r="B5595" s="221" t="e">
        <f>INDEX(#REF!,MATCH(Composições!A5595,#REF!,0),2)</f>
        <v>#REF!</v>
      </c>
      <c r="C5595" s="41"/>
      <c r="D5595" s="26" t="s">
        <v>1514</v>
      </c>
      <c r="E5595" s="27"/>
      <c r="F5595" s="49" t="s">
        <v>522</v>
      </c>
      <c r="G5595" s="28" t="str">
        <f t="shared" si="105"/>
        <v/>
      </c>
      <c r="H5595" s="29"/>
      <c r="I5595" s="30"/>
      <c r="J5595" s="102">
        <v>0</v>
      </c>
    </row>
    <row r="5596" spans="1:10" hidden="1" x14ac:dyDescent="0.25">
      <c r="A5596" s="235"/>
      <c r="B5596" s="222"/>
      <c r="C5596" s="111"/>
      <c r="D5596" s="111"/>
      <c r="E5596" s="112"/>
      <c r="F5596" s="54" t="s">
        <v>522</v>
      </c>
      <c r="G5596" s="54" t="str">
        <f t="shared" si="105"/>
        <v/>
      </c>
      <c r="H5596" s="73"/>
      <c r="I5596" s="74"/>
      <c r="J5596" s="102">
        <v>0</v>
      </c>
    </row>
    <row r="5597" spans="1:10" hidden="1" x14ac:dyDescent="0.25">
      <c r="A5597" s="235"/>
      <c r="B5597" s="222"/>
      <c r="C5597" s="36" t="s">
        <v>1160</v>
      </c>
      <c r="D5597" s="105" t="s">
        <v>12</v>
      </c>
      <c r="E5597" s="106">
        <f>ROUND(220/(1+110.14%),4)</f>
        <v>104.6921</v>
      </c>
      <c r="F5597" s="31">
        <v>21.688499999999998</v>
      </c>
      <c r="G5597" s="54">
        <f t="shared" si="105"/>
        <v>2270.6146108499997</v>
      </c>
      <c r="H5597" s="39">
        <f>SUM(G5597:G5597)</f>
        <v>2270.6146108499997</v>
      </c>
      <c r="I5597" s="40"/>
      <c r="J5597" s="102">
        <v>0</v>
      </c>
    </row>
    <row r="5598" spans="1:10" hidden="1" x14ac:dyDescent="0.25">
      <c r="A5598" s="235"/>
      <c r="B5598" s="222"/>
      <c r="C5598" s="111"/>
      <c r="D5598" s="111"/>
      <c r="E5598" s="112"/>
      <c r="F5598" s="54" t="s">
        <v>522</v>
      </c>
      <c r="G5598" s="54" t="str">
        <f t="shared" ref="G5598:G5661" si="106">IF(ISNUMBER(F5598),E5598*F5598,"")</f>
        <v/>
      </c>
      <c r="H5598" s="73"/>
      <c r="I5598" s="74"/>
      <c r="J5598" s="102">
        <v>0</v>
      </c>
    </row>
    <row r="5599" spans="1:10" ht="25.5" hidden="1" x14ac:dyDescent="0.25">
      <c r="A5599" s="235"/>
      <c r="B5599" s="222"/>
      <c r="C5599" s="48" t="s">
        <v>781</v>
      </c>
      <c r="D5599" s="111"/>
      <c r="E5599" s="112"/>
      <c r="F5599" s="54" t="s">
        <v>522</v>
      </c>
      <c r="G5599" s="54" t="str">
        <f t="shared" si="106"/>
        <v/>
      </c>
      <c r="H5599" s="73"/>
      <c r="I5599" s="74"/>
      <c r="J5599" s="102">
        <v>0</v>
      </c>
    </row>
    <row r="5600" spans="1:10" ht="15.75" hidden="1" thickBot="1" x14ac:dyDescent="0.3">
      <c r="A5600" s="236"/>
      <c r="B5600" s="223"/>
      <c r="C5600" s="55"/>
      <c r="D5600" s="108"/>
      <c r="E5600" s="66"/>
      <c r="F5600" s="76" t="s">
        <v>522</v>
      </c>
      <c r="G5600" s="76" t="str">
        <f t="shared" si="106"/>
        <v/>
      </c>
      <c r="H5600" s="77"/>
      <c r="I5600" s="74"/>
      <c r="J5600" s="102">
        <v>0</v>
      </c>
    </row>
    <row r="5601" spans="1:10" ht="15.75" hidden="1" thickBot="1" x14ac:dyDescent="0.3">
      <c r="A5601" s="218" t="s">
        <v>2107</v>
      </c>
      <c r="B5601" s="221" t="e">
        <f>INDEX(#REF!,MATCH(Composições!A5601,#REF!,0),2)</f>
        <v>#REF!</v>
      </c>
      <c r="C5601" s="41"/>
      <c r="D5601" s="26" t="s">
        <v>42</v>
      </c>
      <c r="E5601" s="27"/>
      <c r="F5601" s="49" t="s">
        <v>522</v>
      </c>
      <c r="G5601" s="28" t="str">
        <f t="shared" si="106"/>
        <v/>
      </c>
      <c r="H5601" s="29"/>
      <c r="I5601" s="30"/>
      <c r="J5601" s="102">
        <v>0</v>
      </c>
    </row>
    <row r="5602" spans="1:10" hidden="1" x14ac:dyDescent="0.25">
      <c r="A5602" s="224"/>
      <c r="B5602" s="222"/>
      <c r="C5602" s="111"/>
      <c r="D5602" s="111"/>
      <c r="E5602" s="112"/>
      <c r="F5602" s="54" t="s">
        <v>522</v>
      </c>
      <c r="G5602" s="54" t="str">
        <f t="shared" si="106"/>
        <v/>
      </c>
      <c r="H5602" s="73"/>
      <c r="I5602" s="74"/>
      <c r="J5602" s="102">
        <v>0</v>
      </c>
    </row>
    <row r="5603" spans="1:10" ht="25.5" hidden="1" x14ac:dyDescent="0.25">
      <c r="A5603" s="224"/>
      <c r="B5603" s="222"/>
      <c r="C5603" s="36" t="s">
        <v>1709</v>
      </c>
      <c r="D5603" s="105" t="s">
        <v>42</v>
      </c>
      <c r="E5603" s="106">
        <v>1</v>
      </c>
      <c r="F5603" s="31">
        <v>14.554</v>
      </c>
      <c r="G5603" s="54">
        <f t="shared" si="106"/>
        <v>14.554</v>
      </c>
      <c r="H5603" s="39">
        <f>SUM(G5603:G5603)</f>
        <v>14.554</v>
      </c>
      <c r="I5603" s="40"/>
      <c r="J5603" s="102">
        <v>0</v>
      </c>
    </row>
    <row r="5604" spans="1:10" ht="15.75" hidden="1" thickBot="1" x14ac:dyDescent="0.3">
      <c r="A5604" s="225"/>
      <c r="B5604" s="223"/>
      <c r="C5604" s="55"/>
      <c r="D5604" s="108"/>
      <c r="E5604" s="66"/>
      <c r="F5604" s="76" t="s">
        <v>522</v>
      </c>
      <c r="G5604" s="76" t="str">
        <f t="shared" si="106"/>
        <v/>
      </c>
      <c r="H5604" s="77"/>
      <c r="I5604" s="74"/>
      <c r="J5604" s="102">
        <v>0</v>
      </c>
    </row>
    <row r="5605" spans="1:10" ht="15.75" hidden="1" thickBot="1" x14ac:dyDescent="0.3">
      <c r="A5605" s="218" t="s">
        <v>2108</v>
      </c>
      <c r="B5605" s="221" t="e">
        <f>INDEX(#REF!,MATCH(Composições!A5605,#REF!,0),2)</f>
        <v>#REF!</v>
      </c>
      <c r="C5605" s="41"/>
      <c r="D5605" s="26" t="s">
        <v>42</v>
      </c>
      <c r="E5605" s="27"/>
      <c r="F5605" s="49" t="s">
        <v>522</v>
      </c>
      <c r="G5605" s="28" t="str">
        <f t="shared" si="106"/>
        <v/>
      </c>
      <c r="H5605" s="29"/>
      <c r="I5605" s="30"/>
      <c r="J5605" s="102">
        <v>0</v>
      </c>
    </row>
    <row r="5606" spans="1:10" hidden="1" x14ac:dyDescent="0.25">
      <c r="A5606" s="224"/>
      <c r="B5606" s="222"/>
      <c r="C5606" s="111"/>
      <c r="D5606" s="111"/>
      <c r="E5606" s="112"/>
      <c r="F5606" s="54" t="s">
        <v>522</v>
      </c>
      <c r="G5606" s="54" t="str">
        <f t="shared" si="106"/>
        <v/>
      </c>
      <c r="H5606" s="73"/>
      <c r="I5606" s="74"/>
      <c r="J5606" s="102">
        <v>0</v>
      </c>
    </row>
    <row r="5607" spans="1:10" ht="25.5" hidden="1" x14ac:dyDescent="0.25">
      <c r="A5607" s="224"/>
      <c r="B5607" s="222"/>
      <c r="C5607" s="36" t="s">
        <v>130</v>
      </c>
      <c r="D5607" s="105" t="s">
        <v>42</v>
      </c>
      <c r="E5607" s="106">
        <v>1</v>
      </c>
      <c r="F5607" s="31">
        <v>9.7564999999999991</v>
      </c>
      <c r="G5607" s="54">
        <f t="shared" si="106"/>
        <v>9.7564999999999991</v>
      </c>
      <c r="H5607" s="39">
        <f>SUM(G5607:G5607)</f>
        <v>9.7564999999999991</v>
      </c>
      <c r="I5607" s="40"/>
      <c r="J5607" s="102">
        <v>0</v>
      </c>
    </row>
    <row r="5608" spans="1:10" ht="15.75" hidden="1" thickBot="1" x14ac:dyDescent="0.3">
      <c r="A5608" s="225"/>
      <c r="B5608" s="223"/>
      <c r="C5608" s="55"/>
      <c r="D5608" s="108"/>
      <c r="E5608" s="66"/>
      <c r="F5608" s="76" t="s">
        <v>522</v>
      </c>
      <c r="G5608" s="76" t="str">
        <f t="shared" si="106"/>
        <v/>
      </c>
      <c r="H5608" s="77"/>
      <c r="I5608" s="74"/>
      <c r="J5608" s="102">
        <v>0</v>
      </c>
    </row>
    <row r="5609" spans="1:10" ht="15.75" hidden="1" thickBot="1" x14ac:dyDescent="0.3">
      <c r="A5609" s="218" t="s">
        <v>2109</v>
      </c>
      <c r="B5609" s="221" t="e">
        <f>INDEX(#REF!,MATCH(Composições!A5609,#REF!,0),2)</f>
        <v>#REF!</v>
      </c>
      <c r="C5609" s="41"/>
      <c r="D5609" s="26" t="s">
        <v>20</v>
      </c>
      <c r="E5609" s="27"/>
      <c r="F5609" s="49" t="s">
        <v>522</v>
      </c>
      <c r="G5609" s="28" t="str">
        <f t="shared" si="106"/>
        <v/>
      </c>
      <c r="H5609" s="29"/>
      <c r="I5609" s="30"/>
      <c r="J5609" s="102">
        <v>0</v>
      </c>
    </row>
    <row r="5610" spans="1:10" hidden="1" x14ac:dyDescent="0.25">
      <c r="A5610" s="224"/>
      <c r="B5610" s="222"/>
      <c r="C5610" s="111"/>
      <c r="D5610" s="111"/>
      <c r="E5610" s="112"/>
      <c r="F5610" s="54" t="s">
        <v>522</v>
      </c>
      <c r="G5610" s="54" t="str">
        <f t="shared" si="106"/>
        <v/>
      </c>
      <c r="H5610" s="73"/>
      <c r="I5610" s="74"/>
      <c r="J5610" s="102">
        <v>0</v>
      </c>
    </row>
    <row r="5611" spans="1:10" ht="25.5" hidden="1" x14ac:dyDescent="0.25">
      <c r="A5611" s="224"/>
      <c r="B5611" s="222"/>
      <c r="C5611" s="36" t="s">
        <v>1721</v>
      </c>
      <c r="D5611" s="105" t="s">
        <v>20</v>
      </c>
      <c r="E5611" s="106">
        <v>1</v>
      </c>
      <c r="F5611" s="31">
        <v>10.060499999999999</v>
      </c>
      <c r="G5611" s="54">
        <f t="shared" si="106"/>
        <v>10.060499999999999</v>
      </c>
      <c r="H5611" s="39">
        <f>SUM(G5611:G5611)</f>
        <v>10.060499999999999</v>
      </c>
      <c r="I5611" s="40"/>
      <c r="J5611" s="102">
        <v>0</v>
      </c>
    </row>
    <row r="5612" spans="1:10" ht="15.75" hidden="1" thickBot="1" x14ac:dyDescent="0.3">
      <c r="A5612" s="225"/>
      <c r="B5612" s="223"/>
      <c r="C5612" s="55"/>
      <c r="D5612" s="108"/>
      <c r="E5612" s="66"/>
      <c r="F5612" s="76" t="s">
        <v>522</v>
      </c>
      <c r="G5612" s="76" t="str">
        <f t="shared" si="106"/>
        <v/>
      </c>
      <c r="H5612" s="77"/>
      <c r="I5612" s="74"/>
      <c r="J5612" s="102">
        <v>0</v>
      </c>
    </row>
    <row r="5613" spans="1:10" ht="15.75" hidden="1" thickBot="1" x14ac:dyDescent="0.3">
      <c r="A5613" s="218" t="s">
        <v>2110</v>
      </c>
      <c r="B5613" s="221" t="e">
        <f>INDEX(#REF!,MATCH(Composições!A5613,#REF!,0),2)</f>
        <v>#REF!</v>
      </c>
      <c r="C5613" s="41"/>
      <c r="D5613" s="26" t="s">
        <v>20</v>
      </c>
      <c r="E5613" s="27"/>
      <c r="F5613" s="49" t="s">
        <v>522</v>
      </c>
      <c r="G5613" s="28" t="str">
        <f t="shared" si="106"/>
        <v/>
      </c>
      <c r="H5613" s="29"/>
      <c r="I5613" s="30"/>
      <c r="J5613" s="102">
        <v>0</v>
      </c>
    </row>
    <row r="5614" spans="1:10" hidden="1" x14ac:dyDescent="0.25">
      <c r="A5614" s="224"/>
      <c r="B5614" s="222"/>
      <c r="C5614" s="111"/>
      <c r="D5614" s="111"/>
      <c r="E5614" s="112"/>
      <c r="F5614" s="54" t="s">
        <v>522</v>
      </c>
      <c r="G5614" s="54" t="str">
        <f t="shared" si="106"/>
        <v/>
      </c>
      <c r="H5614" s="73"/>
      <c r="I5614" s="74"/>
      <c r="J5614" s="102">
        <v>0</v>
      </c>
    </row>
    <row r="5615" spans="1:10" ht="25.5" hidden="1" x14ac:dyDescent="0.25">
      <c r="A5615" s="224"/>
      <c r="B5615" s="222"/>
      <c r="C5615" s="36" t="s">
        <v>1719</v>
      </c>
      <c r="D5615" s="105" t="s">
        <v>20</v>
      </c>
      <c r="E5615" s="106">
        <v>1</v>
      </c>
      <c r="F5615" s="31">
        <v>16.91</v>
      </c>
      <c r="G5615" s="54">
        <f t="shared" si="106"/>
        <v>16.91</v>
      </c>
      <c r="H5615" s="39">
        <f>SUM(G5615:G5615)</f>
        <v>16.91</v>
      </c>
      <c r="I5615" s="40"/>
      <c r="J5615" s="102">
        <v>0</v>
      </c>
    </row>
    <row r="5616" spans="1:10" ht="15.75" hidden="1" thickBot="1" x14ac:dyDescent="0.3">
      <c r="A5616" s="225"/>
      <c r="B5616" s="223"/>
      <c r="C5616" s="55"/>
      <c r="D5616" s="108"/>
      <c r="E5616" s="66"/>
      <c r="F5616" s="76" t="s">
        <v>522</v>
      </c>
      <c r="G5616" s="76" t="str">
        <f t="shared" si="106"/>
        <v/>
      </c>
      <c r="H5616" s="77"/>
      <c r="I5616" s="74"/>
      <c r="J5616" s="102">
        <v>0</v>
      </c>
    </row>
    <row r="5617" spans="1:10" ht="15.75" hidden="1" thickBot="1" x14ac:dyDescent="0.3">
      <c r="A5617" s="218" t="s">
        <v>2111</v>
      </c>
      <c r="B5617" s="221" t="e">
        <f>INDEX(#REF!,MATCH(Composições!A5617,#REF!,0),2)</f>
        <v>#REF!</v>
      </c>
      <c r="C5617" s="41"/>
      <c r="D5617" s="26" t="s">
        <v>20</v>
      </c>
      <c r="E5617" s="27"/>
      <c r="F5617" s="49" t="s">
        <v>522</v>
      </c>
      <c r="G5617" s="28" t="str">
        <f t="shared" si="106"/>
        <v/>
      </c>
      <c r="H5617" s="29"/>
      <c r="I5617" s="30"/>
      <c r="J5617" s="102">
        <v>0</v>
      </c>
    </row>
    <row r="5618" spans="1:10" hidden="1" x14ac:dyDescent="0.25">
      <c r="A5618" s="224"/>
      <c r="B5618" s="222"/>
      <c r="C5618" s="111"/>
      <c r="D5618" s="111"/>
      <c r="E5618" s="112"/>
      <c r="F5618" s="54" t="s">
        <v>522</v>
      </c>
      <c r="G5618" s="54" t="str">
        <f t="shared" si="106"/>
        <v/>
      </c>
      <c r="H5618" s="73"/>
      <c r="I5618" s="74"/>
      <c r="J5618" s="102">
        <v>0</v>
      </c>
    </row>
    <row r="5619" spans="1:10" ht="25.5" hidden="1" x14ac:dyDescent="0.25">
      <c r="A5619" s="224"/>
      <c r="B5619" s="222"/>
      <c r="C5619" s="36" t="s">
        <v>2399</v>
      </c>
      <c r="D5619" s="105" t="s">
        <v>20</v>
      </c>
      <c r="E5619" s="106">
        <v>1</v>
      </c>
      <c r="F5619" s="31">
        <v>20.728999999999999</v>
      </c>
      <c r="G5619" s="54">
        <f t="shared" si="106"/>
        <v>20.728999999999999</v>
      </c>
      <c r="H5619" s="39">
        <f>SUM(G5619:G5619)</f>
        <v>20.728999999999999</v>
      </c>
      <c r="I5619" s="40"/>
      <c r="J5619" s="102">
        <v>0</v>
      </c>
    </row>
    <row r="5620" spans="1:10" ht="15.75" hidden="1" thickBot="1" x14ac:dyDescent="0.3">
      <c r="A5620" s="225"/>
      <c r="B5620" s="223"/>
      <c r="C5620" s="55"/>
      <c r="D5620" s="108"/>
      <c r="E5620" s="66"/>
      <c r="F5620" s="76" t="s">
        <v>522</v>
      </c>
      <c r="G5620" s="76" t="str">
        <f t="shared" si="106"/>
        <v/>
      </c>
      <c r="H5620" s="77"/>
      <c r="I5620" s="74"/>
      <c r="J5620" s="102">
        <v>0</v>
      </c>
    </row>
    <row r="5621" spans="1:10" ht="15.75" hidden="1" thickBot="1" x14ac:dyDescent="0.3">
      <c r="A5621" s="218" t="s">
        <v>2112</v>
      </c>
      <c r="B5621" s="221" t="e">
        <f>INDEX(#REF!,MATCH(Composições!A5621,#REF!,0),2)</f>
        <v>#REF!</v>
      </c>
      <c r="C5621" s="41"/>
      <c r="D5621" s="26" t="s">
        <v>20</v>
      </c>
      <c r="E5621" s="27"/>
      <c r="F5621" s="49" t="s">
        <v>522</v>
      </c>
      <c r="G5621" s="28" t="str">
        <f t="shared" si="106"/>
        <v/>
      </c>
      <c r="H5621" s="29"/>
      <c r="I5621" s="30"/>
      <c r="J5621" s="102">
        <v>0</v>
      </c>
    </row>
    <row r="5622" spans="1:10" hidden="1" x14ac:dyDescent="0.25">
      <c r="A5622" s="224"/>
      <c r="B5622" s="222"/>
      <c r="C5622" s="111"/>
      <c r="D5622" s="111"/>
      <c r="E5622" s="112"/>
      <c r="F5622" s="54" t="s">
        <v>522</v>
      </c>
      <c r="G5622" s="54" t="str">
        <f t="shared" si="106"/>
        <v/>
      </c>
      <c r="H5622" s="73"/>
      <c r="I5622" s="74"/>
      <c r="J5622" s="102">
        <v>0</v>
      </c>
    </row>
    <row r="5623" spans="1:10" ht="25.5" hidden="1" x14ac:dyDescent="0.25">
      <c r="A5623" s="224"/>
      <c r="B5623" s="222"/>
      <c r="C5623" s="36" t="s">
        <v>1718</v>
      </c>
      <c r="D5623" s="105" t="s">
        <v>20</v>
      </c>
      <c r="E5623" s="106">
        <v>1</v>
      </c>
      <c r="F5623" s="31">
        <v>27.549999999999997</v>
      </c>
      <c r="G5623" s="54">
        <f t="shared" si="106"/>
        <v>27.549999999999997</v>
      </c>
      <c r="H5623" s="39">
        <f>SUM(G5623:G5623)</f>
        <v>27.549999999999997</v>
      </c>
      <c r="I5623" s="40"/>
      <c r="J5623" s="102">
        <v>0</v>
      </c>
    </row>
    <row r="5624" spans="1:10" ht="15.75" hidden="1" thickBot="1" x14ac:dyDescent="0.3">
      <c r="A5624" s="225"/>
      <c r="B5624" s="223"/>
      <c r="C5624" s="55"/>
      <c r="D5624" s="108"/>
      <c r="E5624" s="66"/>
      <c r="F5624" s="76" t="s">
        <v>522</v>
      </c>
      <c r="G5624" s="76" t="str">
        <f t="shared" si="106"/>
        <v/>
      </c>
      <c r="H5624" s="77"/>
      <c r="I5624" s="74"/>
      <c r="J5624" s="102">
        <v>0</v>
      </c>
    </row>
    <row r="5625" spans="1:10" ht="15.75" hidden="1" thickBot="1" x14ac:dyDescent="0.3">
      <c r="A5625" s="218" t="s">
        <v>2113</v>
      </c>
      <c r="B5625" s="221" t="e">
        <f>INDEX(#REF!,MATCH(Composições!A5625,#REF!,0),2)</f>
        <v>#REF!</v>
      </c>
      <c r="C5625" s="41"/>
      <c r="D5625" s="26" t="s">
        <v>20</v>
      </c>
      <c r="E5625" s="27"/>
      <c r="F5625" s="49" t="s">
        <v>522</v>
      </c>
      <c r="G5625" s="28" t="str">
        <f t="shared" si="106"/>
        <v/>
      </c>
      <c r="H5625" s="29"/>
      <c r="I5625" s="30"/>
      <c r="J5625" s="102">
        <v>0</v>
      </c>
    </row>
    <row r="5626" spans="1:10" hidden="1" x14ac:dyDescent="0.25">
      <c r="A5626" s="224"/>
      <c r="B5626" s="222"/>
      <c r="C5626" s="111"/>
      <c r="D5626" s="111"/>
      <c r="E5626" s="112"/>
      <c r="F5626" s="54" t="s">
        <v>522</v>
      </c>
      <c r="G5626" s="54" t="str">
        <f t="shared" si="106"/>
        <v/>
      </c>
      <c r="H5626" s="73"/>
      <c r="I5626" s="74"/>
      <c r="J5626" s="102">
        <v>0</v>
      </c>
    </row>
    <row r="5627" spans="1:10" ht="25.5" hidden="1" x14ac:dyDescent="0.25">
      <c r="A5627" s="224"/>
      <c r="B5627" s="222"/>
      <c r="C5627" s="36" t="s">
        <v>1720</v>
      </c>
      <c r="D5627" s="105" t="s">
        <v>20</v>
      </c>
      <c r="E5627" s="106">
        <v>1</v>
      </c>
      <c r="F5627" s="31">
        <v>40.412999999999997</v>
      </c>
      <c r="G5627" s="54">
        <f t="shared" si="106"/>
        <v>40.412999999999997</v>
      </c>
      <c r="H5627" s="39">
        <f>SUM(G5627:G5627)</f>
        <v>40.412999999999997</v>
      </c>
      <c r="I5627" s="40"/>
      <c r="J5627" s="102">
        <v>0</v>
      </c>
    </row>
    <row r="5628" spans="1:10" ht="15.75" hidden="1" thickBot="1" x14ac:dyDescent="0.3">
      <c r="A5628" s="225"/>
      <c r="B5628" s="223"/>
      <c r="C5628" s="55"/>
      <c r="D5628" s="108"/>
      <c r="E5628" s="66"/>
      <c r="F5628" s="76" t="s">
        <v>522</v>
      </c>
      <c r="G5628" s="76" t="str">
        <f t="shared" si="106"/>
        <v/>
      </c>
      <c r="H5628" s="77"/>
      <c r="I5628" s="74"/>
      <c r="J5628" s="102">
        <v>0</v>
      </c>
    </row>
    <row r="5629" spans="1:10" ht="15.75" hidden="1" thickBot="1" x14ac:dyDescent="0.3">
      <c r="A5629" s="218" t="s">
        <v>2114</v>
      </c>
      <c r="B5629" s="221" t="e">
        <f>INDEX(#REF!,MATCH(Composições!A5629,#REF!,0),2)</f>
        <v>#REF!</v>
      </c>
      <c r="C5629" s="41"/>
      <c r="D5629" s="26" t="s">
        <v>20</v>
      </c>
      <c r="E5629" s="27"/>
      <c r="F5629" s="49" t="s">
        <v>522</v>
      </c>
      <c r="G5629" s="28" t="str">
        <f t="shared" si="106"/>
        <v/>
      </c>
      <c r="H5629" s="29"/>
      <c r="I5629" s="30"/>
      <c r="J5629" s="102">
        <v>0</v>
      </c>
    </row>
    <row r="5630" spans="1:10" hidden="1" x14ac:dyDescent="0.25">
      <c r="A5630" s="224"/>
      <c r="B5630" s="222"/>
      <c r="C5630" s="111"/>
      <c r="D5630" s="111"/>
      <c r="E5630" s="112"/>
      <c r="F5630" s="54" t="s">
        <v>522</v>
      </c>
      <c r="G5630" s="54" t="str">
        <f t="shared" si="106"/>
        <v/>
      </c>
      <c r="H5630" s="73"/>
      <c r="I5630" s="74"/>
      <c r="J5630" s="102">
        <v>0</v>
      </c>
    </row>
    <row r="5631" spans="1:10" ht="25.5" hidden="1" x14ac:dyDescent="0.25">
      <c r="A5631" s="224"/>
      <c r="B5631" s="222"/>
      <c r="C5631" s="36" t="s">
        <v>1722</v>
      </c>
      <c r="D5631" s="105" t="s">
        <v>20</v>
      </c>
      <c r="E5631" s="106">
        <v>1</v>
      </c>
      <c r="F5631" s="31">
        <v>112.23299999999999</v>
      </c>
      <c r="G5631" s="54">
        <f t="shared" si="106"/>
        <v>112.23299999999999</v>
      </c>
      <c r="H5631" s="39">
        <f>SUM(G5631:G5631)</f>
        <v>112.23299999999999</v>
      </c>
      <c r="I5631" s="40"/>
      <c r="J5631" s="102">
        <v>0</v>
      </c>
    </row>
    <row r="5632" spans="1:10" ht="15.75" hidden="1" thickBot="1" x14ac:dyDescent="0.3">
      <c r="A5632" s="225"/>
      <c r="B5632" s="223"/>
      <c r="C5632" s="55"/>
      <c r="D5632" s="108"/>
      <c r="E5632" s="66"/>
      <c r="F5632" s="76" t="s">
        <v>522</v>
      </c>
      <c r="G5632" s="76" t="str">
        <f t="shared" si="106"/>
        <v/>
      </c>
      <c r="H5632" s="77"/>
      <c r="I5632" s="74"/>
      <c r="J5632" s="102">
        <v>0</v>
      </c>
    </row>
    <row r="5633" spans="1:10" ht="15.75" hidden="1" thickBot="1" x14ac:dyDescent="0.3">
      <c r="A5633" s="218" t="s">
        <v>2115</v>
      </c>
      <c r="B5633" s="221" t="e">
        <f>INDEX(#REF!,MATCH(Composições!A5633,#REF!,0),2)</f>
        <v>#REF!</v>
      </c>
      <c r="C5633" s="41"/>
      <c r="D5633" s="26" t="s">
        <v>20</v>
      </c>
      <c r="E5633" s="27"/>
      <c r="F5633" s="49" t="s">
        <v>522</v>
      </c>
      <c r="G5633" s="28" t="str">
        <f t="shared" si="106"/>
        <v/>
      </c>
      <c r="H5633" s="29"/>
      <c r="I5633" s="30"/>
      <c r="J5633" s="102">
        <v>0</v>
      </c>
    </row>
    <row r="5634" spans="1:10" hidden="1" x14ac:dyDescent="0.25">
      <c r="A5634" s="224"/>
      <c r="B5634" s="222"/>
      <c r="C5634" s="111"/>
      <c r="D5634" s="111"/>
      <c r="E5634" s="112"/>
      <c r="F5634" s="54" t="s">
        <v>522</v>
      </c>
      <c r="G5634" s="54" t="str">
        <f t="shared" si="106"/>
        <v/>
      </c>
      <c r="H5634" s="73"/>
      <c r="I5634" s="74"/>
      <c r="J5634" s="102">
        <v>0</v>
      </c>
    </row>
    <row r="5635" spans="1:10" ht="25.5" hidden="1" x14ac:dyDescent="0.25">
      <c r="A5635" s="224"/>
      <c r="B5635" s="222"/>
      <c r="C5635" s="36" t="s">
        <v>1717</v>
      </c>
      <c r="D5635" s="105" t="s">
        <v>20</v>
      </c>
      <c r="E5635" s="106">
        <v>1</v>
      </c>
      <c r="F5635" s="31">
        <v>205.98850000000002</v>
      </c>
      <c r="G5635" s="54">
        <f t="shared" si="106"/>
        <v>205.98850000000002</v>
      </c>
      <c r="H5635" s="39">
        <f>SUM(G5635:G5635)</f>
        <v>205.98850000000002</v>
      </c>
      <c r="I5635" s="40"/>
      <c r="J5635" s="102">
        <v>0</v>
      </c>
    </row>
    <row r="5636" spans="1:10" ht="15.75" hidden="1" thickBot="1" x14ac:dyDescent="0.3">
      <c r="A5636" s="225"/>
      <c r="B5636" s="223"/>
      <c r="C5636" s="55"/>
      <c r="D5636" s="108"/>
      <c r="E5636" s="66"/>
      <c r="F5636" s="76" t="s">
        <v>522</v>
      </c>
      <c r="G5636" s="76" t="str">
        <f t="shared" si="106"/>
        <v/>
      </c>
      <c r="H5636" s="77"/>
      <c r="I5636" s="74"/>
      <c r="J5636" s="102">
        <v>0</v>
      </c>
    </row>
    <row r="5637" spans="1:10" ht="15.75" hidden="1" thickBot="1" x14ac:dyDescent="0.3">
      <c r="A5637" s="218" t="s">
        <v>2116</v>
      </c>
      <c r="B5637" s="221" t="e">
        <f>INDEX(#REF!,MATCH(Composições!A5637,#REF!,0),2)</f>
        <v>#REF!</v>
      </c>
      <c r="C5637" s="41"/>
      <c r="D5637" s="26" t="s">
        <v>20</v>
      </c>
      <c r="E5637" s="27"/>
      <c r="F5637" s="49" t="s">
        <v>522</v>
      </c>
      <c r="G5637" s="28" t="str">
        <f t="shared" si="106"/>
        <v/>
      </c>
      <c r="H5637" s="29"/>
      <c r="I5637" s="30"/>
      <c r="J5637" s="102">
        <v>0</v>
      </c>
    </row>
    <row r="5638" spans="1:10" hidden="1" x14ac:dyDescent="0.25">
      <c r="A5638" s="224"/>
      <c r="B5638" s="222"/>
      <c r="C5638" s="111"/>
      <c r="D5638" s="111"/>
      <c r="E5638" s="112"/>
      <c r="F5638" s="54" t="s">
        <v>522</v>
      </c>
      <c r="G5638" s="54" t="str">
        <f t="shared" si="106"/>
        <v/>
      </c>
      <c r="H5638" s="73"/>
      <c r="I5638" s="74"/>
      <c r="J5638" s="102">
        <v>0</v>
      </c>
    </row>
    <row r="5639" spans="1:10" hidden="1" x14ac:dyDescent="0.25">
      <c r="A5639" s="224"/>
      <c r="B5639" s="222"/>
      <c r="C5639" s="36" t="s">
        <v>1809</v>
      </c>
      <c r="D5639" s="105" t="s">
        <v>20</v>
      </c>
      <c r="E5639" s="106">
        <v>1</v>
      </c>
      <c r="F5639" s="31">
        <v>4.9114999999999993</v>
      </c>
      <c r="G5639" s="54">
        <f t="shared" si="106"/>
        <v>4.9114999999999993</v>
      </c>
      <c r="H5639" s="39">
        <f>SUM(G5639:G5639)</f>
        <v>4.9114999999999993</v>
      </c>
      <c r="I5639" s="40"/>
      <c r="J5639" s="102">
        <v>0</v>
      </c>
    </row>
    <row r="5640" spans="1:10" ht="15.75" hidden="1" thickBot="1" x14ac:dyDescent="0.3">
      <c r="A5640" s="225"/>
      <c r="B5640" s="223"/>
      <c r="C5640" s="55"/>
      <c r="D5640" s="108"/>
      <c r="E5640" s="66"/>
      <c r="F5640" s="76" t="s">
        <v>522</v>
      </c>
      <c r="G5640" s="76" t="str">
        <f t="shared" si="106"/>
        <v/>
      </c>
      <c r="H5640" s="77"/>
      <c r="I5640" s="74"/>
      <c r="J5640" s="102">
        <v>0</v>
      </c>
    </row>
    <row r="5641" spans="1:10" ht="15.75" hidden="1" thickBot="1" x14ac:dyDescent="0.3">
      <c r="A5641" s="218" t="s">
        <v>2117</v>
      </c>
      <c r="B5641" s="221" t="e">
        <f>INDEX(#REF!,MATCH(Composições!A5641,#REF!,0),2)</f>
        <v>#REF!</v>
      </c>
      <c r="C5641" s="41"/>
      <c r="D5641" s="26" t="s">
        <v>20</v>
      </c>
      <c r="E5641" s="27"/>
      <c r="F5641" s="49" t="s">
        <v>522</v>
      </c>
      <c r="G5641" s="28" t="str">
        <f t="shared" si="106"/>
        <v/>
      </c>
      <c r="H5641" s="29"/>
      <c r="I5641" s="30"/>
      <c r="J5641" s="102">
        <v>0</v>
      </c>
    </row>
    <row r="5642" spans="1:10" hidden="1" x14ac:dyDescent="0.25">
      <c r="A5642" s="224"/>
      <c r="B5642" s="222"/>
      <c r="C5642" s="111"/>
      <c r="D5642" s="111"/>
      <c r="E5642" s="112"/>
      <c r="F5642" s="54" t="s">
        <v>522</v>
      </c>
      <c r="G5642" s="54" t="str">
        <f t="shared" si="106"/>
        <v/>
      </c>
      <c r="H5642" s="73"/>
      <c r="I5642" s="74"/>
      <c r="J5642" s="102">
        <v>0</v>
      </c>
    </row>
    <row r="5643" spans="1:10" ht="25.5" hidden="1" x14ac:dyDescent="0.25">
      <c r="A5643" s="224"/>
      <c r="B5643" s="222"/>
      <c r="C5643" s="36" t="s">
        <v>1820</v>
      </c>
      <c r="D5643" s="105" t="s">
        <v>20</v>
      </c>
      <c r="E5643" s="106">
        <v>1</v>
      </c>
      <c r="F5643" s="31">
        <v>2.2134999999999998</v>
      </c>
      <c r="G5643" s="54">
        <f t="shared" si="106"/>
        <v>2.2134999999999998</v>
      </c>
      <c r="H5643" s="39">
        <f>SUM(G5643:G5643)</f>
        <v>2.2134999999999998</v>
      </c>
      <c r="I5643" s="40"/>
      <c r="J5643" s="102">
        <v>0</v>
      </c>
    </row>
    <row r="5644" spans="1:10" ht="15.75" hidden="1" thickBot="1" x14ac:dyDescent="0.3">
      <c r="A5644" s="225"/>
      <c r="B5644" s="223"/>
      <c r="C5644" s="55"/>
      <c r="D5644" s="108"/>
      <c r="E5644" s="66"/>
      <c r="F5644" s="76" t="s">
        <v>522</v>
      </c>
      <c r="G5644" s="76" t="str">
        <f t="shared" si="106"/>
        <v/>
      </c>
      <c r="H5644" s="77"/>
      <c r="I5644" s="74"/>
      <c r="J5644" s="102">
        <v>0</v>
      </c>
    </row>
    <row r="5645" spans="1:10" ht="15.75" hidden="1" thickBot="1" x14ac:dyDescent="0.3">
      <c r="A5645" s="218" t="s">
        <v>2118</v>
      </c>
      <c r="B5645" s="221" t="e">
        <f>INDEX(#REF!,MATCH(Composições!A5645,#REF!,0),2)</f>
        <v>#REF!</v>
      </c>
      <c r="C5645" s="41"/>
      <c r="D5645" s="26" t="s">
        <v>20</v>
      </c>
      <c r="E5645" s="27"/>
      <c r="F5645" s="49" t="s">
        <v>522</v>
      </c>
      <c r="G5645" s="28" t="str">
        <f t="shared" si="106"/>
        <v/>
      </c>
      <c r="H5645" s="29"/>
      <c r="I5645" s="30"/>
      <c r="J5645" s="102">
        <v>0</v>
      </c>
    </row>
    <row r="5646" spans="1:10" hidden="1" x14ac:dyDescent="0.25">
      <c r="A5646" s="224"/>
      <c r="B5646" s="222"/>
      <c r="C5646" s="111"/>
      <c r="D5646" s="111"/>
      <c r="E5646" s="112"/>
      <c r="F5646" s="54" t="s">
        <v>522</v>
      </c>
      <c r="G5646" s="54" t="str">
        <f t="shared" si="106"/>
        <v/>
      </c>
      <c r="H5646" s="73"/>
      <c r="I5646" s="74"/>
      <c r="J5646" s="102">
        <v>0</v>
      </c>
    </row>
    <row r="5647" spans="1:10" ht="25.5" hidden="1" x14ac:dyDescent="0.25">
      <c r="A5647" s="224"/>
      <c r="B5647" s="222"/>
      <c r="C5647" s="36" t="s">
        <v>1821</v>
      </c>
      <c r="D5647" s="105" t="s">
        <v>20</v>
      </c>
      <c r="E5647" s="106">
        <v>1</v>
      </c>
      <c r="F5647" s="31">
        <v>2.4984999999999999</v>
      </c>
      <c r="G5647" s="54">
        <f t="shared" si="106"/>
        <v>2.4984999999999999</v>
      </c>
      <c r="H5647" s="39">
        <f>SUM(G5647:G5647)</f>
        <v>2.4984999999999999</v>
      </c>
      <c r="I5647" s="40"/>
      <c r="J5647" s="102">
        <v>0</v>
      </c>
    </row>
    <row r="5648" spans="1:10" ht="15.75" hidden="1" thickBot="1" x14ac:dyDescent="0.3">
      <c r="A5648" s="225"/>
      <c r="B5648" s="223"/>
      <c r="C5648" s="55"/>
      <c r="D5648" s="108"/>
      <c r="E5648" s="66"/>
      <c r="F5648" s="76" t="s">
        <v>522</v>
      </c>
      <c r="G5648" s="76" t="str">
        <f t="shared" si="106"/>
        <v/>
      </c>
      <c r="H5648" s="77"/>
      <c r="I5648" s="74"/>
      <c r="J5648" s="102">
        <v>0</v>
      </c>
    </row>
    <row r="5649" spans="1:10" ht="15.75" hidden="1" thickBot="1" x14ac:dyDescent="0.3">
      <c r="A5649" s="218" t="s">
        <v>2119</v>
      </c>
      <c r="B5649" s="221" t="e">
        <f>INDEX(#REF!,MATCH(Composições!A5649,#REF!,0),2)</f>
        <v>#REF!</v>
      </c>
      <c r="C5649" s="41"/>
      <c r="D5649" s="26" t="s">
        <v>20</v>
      </c>
      <c r="E5649" s="27"/>
      <c r="F5649" s="49" t="s">
        <v>522</v>
      </c>
      <c r="G5649" s="28" t="str">
        <f t="shared" si="106"/>
        <v/>
      </c>
      <c r="H5649" s="29"/>
      <c r="I5649" s="30"/>
      <c r="J5649" s="102">
        <v>0</v>
      </c>
    </row>
    <row r="5650" spans="1:10" hidden="1" x14ac:dyDescent="0.25">
      <c r="A5650" s="224"/>
      <c r="B5650" s="222"/>
      <c r="C5650" s="111"/>
      <c r="D5650" s="111"/>
      <c r="E5650" s="112"/>
      <c r="F5650" s="54" t="s">
        <v>522</v>
      </c>
      <c r="G5650" s="54" t="str">
        <f t="shared" si="106"/>
        <v/>
      </c>
      <c r="H5650" s="73"/>
      <c r="I5650" s="74"/>
      <c r="J5650" s="102">
        <v>0</v>
      </c>
    </row>
    <row r="5651" spans="1:10" ht="25.5" hidden="1" x14ac:dyDescent="0.25">
      <c r="A5651" s="224"/>
      <c r="B5651" s="222"/>
      <c r="C5651" s="36" t="s">
        <v>1822</v>
      </c>
      <c r="D5651" s="105" t="s">
        <v>20</v>
      </c>
      <c r="E5651" s="106">
        <v>1</v>
      </c>
      <c r="F5651" s="31">
        <v>4.3414999999999999</v>
      </c>
      <c r="G5651" s="54">
        <f t="shared" si="106"/>
        <v>4.3414999999999999</v>
      </c>
      <c r="H5651" s="39">
        <f>SUM(G5651:G5651)</f>
        <v>4.3414999999999999</v>
      </c>
      <c r="I5651" s="40"/>
      <c r="J5651" s="102">
        <v>0</v>
      </c>
    </row>
    <row r="5652" spans="1:10" ht="15.75" hidden="1" thickBot="1" x14ac:dyDescent="0.3">
      <c r="A5652" s="225"/>
      <c r="B5652" s="223"/>
      <c r="C5652" s="55"/>
      <c r="D5652" s="108"/>
      <c r="E5652" s="66"/>
      <c r="F5652" s="76" t="s">
        <v>522</v>
      </c>
      <c r="G5652" s="76" t="str">
        <f t="shared" si="106"/>
        <v/>
      </c>
      <c r="H5652" s="77"/>
      <c r="I5652" s="74"/>
      <c r="J5652" s="102">
        <v>0</v>
      </c>
    </row>
    <row r="5653" spans="1:10" ht="15.75" hidden="1" thickBot="1" x14ac:dyDescent="0.3">
      <c r="A5653" s="218" t="s">
        <v>2120</v>
      </c>
      <c r="B5653" s="221" t="e">
        <f>INDEX(#REF!,MATCH(Composições!A5653,#REF!,0),2)</f>
        <v>#REF!</v>
      </c>
      <c r="C5653" s="41"/>
      <c r="D5653" s="26" t="s">
        <v>20</v>
      </c>
      <c r="E5653" s="27"/>
      <c r="F5653" s="49" t="s">
        <v>522</v>
      </c>
      <c r="G5653" s="28" t="str">
        <f t="shared" si="106"/>
        <v/>
      </c>
      <c r="H5653" s="29"/>
      <c r="I5653" s="30"/>
      <c r="J5653" s="102">
        <v>0</v>
      </c>
    </row>
    <row r="5654" spans="1:10" hidden="1" x14ac:dyDescent="0.25">
      <c r="A5654" s="224"/>
      <c r="B5654" s="222"/>
      <c r="C5654" s="111"/>
      <c r="D5654" s="111"/>
      <c r="E5654" s="112"/>
      <c r="F5654" s="54" t="s">
        <v>522</v>
      </c>
      <c r="G5654" s="54" t="str">
        <f t="shared" si="106"/>
        <v/>
      </c>
      <c r="H5654" s="73"/>
      <c r="I5654" s="74"/>
      <c r="J5654" s="102">
        <v>0</v>
      </c>
    </row>
    <row r="5655" spans="1:10" ht="25.5" hidden="1" x14ac:dyDescent="0.25">
      <c r="A5655" s="224"/>
      <c r="B5655" s="222"/>
      <c r="C5655" s="36" t="s">
        <v>1823</v>
      </c>
      <c r="D5655" s="105" t="s">
        <v>20</v>
      </c>
      <c r="E5655" s="106">
        <v>1</v>
      </c>
      <c r="F5655" s="31">
        <v>5.4055</v>
      </c>
      <c r="G5655" s="54">
        <f t="shared" si="106"/>
        <v>5.4055</v>
      </c>
      <c r="H5655" s="39">
        <f>SUM(G5655:G5655)</f>
        <v>5.4055</v>
      </c>
      <c r="I5655" s="40"/>
      <c r="J5655" s="102">
        <v>0</v>
      </c>
    </row>
    <row r="5656" spans="1:10" ht="15.75" hidden="1" thickBot="1" x14ac:dyDescent="0.3">
      <c r="A5656" s="225"/>
      <c r="B5656" s="223"/>
      <c r="C5656" s="55"/>
      <c r="D5656" s="108"/>
      <c r="E5656" s="66"/>
      <c r="F5656" s="76" t="s">
        <v>522</v>
      </c>
      <c r="G5656" s="76" t="str">
        <f t="shared" si="106"/>
        <v/>
      </c>
      <c r="H5656" s="77"/>
      <c r="I5656" s="74"/>
      <c r="J5656" s="102">
        <v>0</v>
      </c>
    </row>
    <row r="5657" spans="1:10" ht="15.75" hidden="1" thickBot="1" x14ac:dyDescent="0.3">
      <c r="A5657" s="218" t="s">
        <v>2121</v>
      </c>
      <c r="B5657" s="221" t="e">
        <f>INDEX(#REF!,MATCH(Composições!A5657,#REF!,0),2)</f>
        <v>#REF!</v>
      </c>
      <c r="C5657" s="41"/>
      <c r="D5657" s="26" t="s">
        <v>20</v>
      </c>
      <c r="E5657" s="27"/>
      <c r="F5657" s="49" t="s">
        <v>522</v>
      </c>
      <c r="G5657" s="28" t="str">
        <f t="shared" si="106"/>
        <v/>
      </c>
      <c r="H5657" s="29"/>
      <c r="I5657" s="30"/>
      <c r="J5657" s="102">
        <v>0</v>
      </c>
    </row>
    <row r="5658" spans="1:10" hidden="1" x14ac:dyDescent="0.25">
      <c r="A5658" s="224"/>
      <c r="B5658" s="222"/>
      <c r="C5658" s="111"/>
      <c r="D5658" s="111"/>
      <c r="E5658" s="112"/>
      <c r="F5658" s="54" t="s">
        <v>522</v>
      </c>
      <c r="G5658" s="54" t="str">
        <f t="shared" si="106"/>
        <v/>
      </c>
      <c r="H5658" s="73"/>
      <c r="I5658" s="74"/>
      <c r="J5658" s="102">
        <v>0</v>
      </c>
    </row>
    <row r="5659" spans="1:10" ht="25.5" hidden="1" x14ac:dyDescent="0.25">
      <c r="A5659" s="224"/>
      <c r="B5659" s="222"/>
      <c r="C5659" s="36" t="s">
        <v>1824</v>
      </c>
      <c r="D5659" s="105" t="s">
        <v>20</v>
      </c>
      <c r="E5659" s="106">
        <v>1</v>
      </c>
      <c r="F5659" s="31">
        <v>6.6594999999999995</v>
      </c>
      <c r="G5659" s="54">
        <f t="shared" si="106"/>
        <v>6.6594999999999995</v>
      </c>
      <c r="H5659" s="39">
        <f>SUM(G5659:G5659)</f>
        <v>6.6594999999999995</v>
      </c>
      <c r="I5659" s="40"/>
      <c r="J5659" s="102">
        <v>0</v>
      </c>
    </row>
    <row r="5660" spans="1:10" ht="15.75" hidden="1" thickBot="1" x14ac:dyDescent="0.3">
      <c r="A5660" s="225"/>
      <c r="B5660" s="223"/>
      <c r="C5660" s="55"/>
      <c r="D5660" s="108"/>
      <c r="E5660" s="66"/>
      <c r="F5660" s="76" t="s">
        <v>522</v>
      </c>
      <c r="G5660" s="76" t="str">
        <f t="shared" si="106"/>
        <v/>
      </c>
      <c r="H5660" s="77"/>
      <c r="I5660" s="74"/>
      <c r="J5660" s="102">
        <v>0</v>
      </c>
    </row>
    <row r="5661" spans="1:10" ht="15.75" hidden="1" thickBot="1" x14ac:dyDescent="0.3">
      <c r="A5661" s="218" t="s">
        <v>2122</v>
      </c>
      <c r="B5661" s="221" t="e">
        <f>INDEX(#REF!,MATCH(Composições!A5661,#REF!,0),2)</f>
        <v>#REF!</v>
      </c>
      <c r="C5661" s="41"/>
      <c r="D5661" s="26" t="s">
        <v>20</v>
      </c>
      <c r="E5661" s="27"/>
      <c r="F5661" s="49" t="s">
        <v>522</v>
      </c>
      <c r="G5661" s="28" t="str">
        <f t="shared" si="106"/>
        <v/>
      </c>
      <c r="H5661" s="29"/>
      <c r="I5661" s="30"/>
      <c r="J5661" s="102">
        <v>0</v>
      </c>
    </row>
    <row r="5662" spans="1:10" hidden="1" x14ac:dyDescent="0.25">
      <c r="A5662" s="224"/>
      <c r="B5662" s="222"/>
      <c r="C5662" s="111"/>
      <c r="D5662" s="111"/>
      <c r="E5662" s="112"/>
      <c r="F5662" s="54" t="s">
        <v>522</v>
      </c>
      <c r="G5662" s="54" t="str">
        <f t="shared" ref="G5662:G5725" si="107">IF(ISNUMBER(F5662),E5662*F5662,"")</f>
        <v/>
      </c>
      <c r="H5662" s="73"/>
      <c r="I5662" s="74"/>
      <c r="J5662" s="102">
        <v>0</v>
      </c>
    </row>
    <row r="5663" spans="1:10" ht="38.25" hidden="1" x14ac:dyDescent="0.25">
      <c r="A5663" s="224"/>
      <c r="B5663" s="222"/>
      <c r="C5663" s="36" t="s">
        <v>1819</v>
      </c>
      <c r="D5663" s="105" t="s">
        <v>20</v>
      </c>
      <c r="E5663" s="106">
        <v>1</v>
      </c>
      <c r="F5663" s="31">
        <v>9.3669999999999991</v>
      </c>
      <c r="G5663" s="54">
        <f t="shared" si="107"/>
        <v>9.3669999999999991</v>
      </c>
      <c r="H5663" s="39">
        <f>SUM(G5663:G5663)</f>
        <v>9.3669999999999991</v>
      </c>
      <c r="I5663" s="40"/>
      <c r="J5663" s="102">
        <v>0</v>
      </c>
    </row>
    <row r="5664" spans="1:10" ht="15.75" hidden="1" thickBot="1" x14ac:dyDescent="0.3">
      <c r="A5664" s="225"/>
      <c r="B5664" s="223"/>
      <c r="C5664" s="55"/>
      <c r="D5664" s="108"/>
      <c r="E5664" s="66"/>
      <c r="F5664" s="76" t="s">
        <v>522</v>
      </c>
      <c r="G5664" s="76" t="str">
        <f t="shared" si="107"/>
        <v/>
      </c>
      <c r="H5664" s="77"/>
      <c r="I5664" s="74"/>
      <c r="J5664" s="102">
        <v>0</v>
      </c>
    </row>
    <row r="5665" spans="1:10" ht="15.75" hidden="1" thickBot="1" x14ac:dyDescent="0.3">
      <c r="A5665" s="218" t="s">
        <v>2123</v>
      </c>
      <c r="B5665" s="221" t="e">
        <f>INDEX(#REF!,MATCH(Composições!A5665,#REF!,0),2)</f>
        <v>#REF!</v>
      </c>
      <c r="C5665" s="41"/>
      <c r="D5665" s="26" t="s">
        <v>20</v>
      </c>
      <c r="E5665" s="27"/>
      <c r="F5665" s="49" t="s">
        <v>522</v>
      </c>
      <c r="G5665" s="28" t="str">
        <f t="shared" si="107"/>
        <v/>
      </c>
      <c r="H5665" s="29"/>
      <c r="I5665" s="30"/>
      <c r="J5665" s="102">
        <v>0</v>
      </c>
    </row>
    <row r="5666" spans="1:10" hidden="1" x14ac:dyDescent="0.25">
      <c r="A5666" s="224"/>
      <c r="B5666" s="222"/>
      <c r="C5666" s="111"/>
      <c r="D5666" s="111"/>
      <c r="E5666" s="112"/>
      <c r="F5666" s="54" t="s">
        <v>522</v>
      </c>
      <c r="G5666" s="54" t="str">
        <f t="shared" si="107"/>
        <v/>
      </c>
      <c r="H5666" s="73"/>
      <c r="I5666" s="74"/>
      <c r="J5666" s="102">
        <v>0</v>
      </c>
    </row>
    <row r="5667" spans="1:10" ht="25.5" hidden="1" x14ac:dyDescent="0.25">
      <c r="A5667" s="224"/>
      <c r="B5667" s="222"/>
      <c r="C5667" s="36" t="s">
        <v>1825</v>
      </c>
      <c r="D5667" s="105" t="s">
        <v>20</v>
      </c>
      <c r="E5667" s="106">
        <v>1</v>
      </c>
      <c r="F5667" s="31">
        <v>21.080500000000001</v>
      </c>
      <c r="G5667" s="54">
        <f t="shared" si="107"/>
        <v>21.080500000000001</v>
      </c>
      <c r="H5667" s="39">
        <f>SUM(G5667:G5667)</f>
        <v>21.080500000000001</v>
      </c>
      <c r="I5667" s="40"/>
      <c r="J5667" s="102">
        <v>0</v>
      </c>
    </row>
    <row r="5668" spans="1:10" ht="15.75" hidden="1" thickBot="1" x14ac:dyDescent="0.3">
      <c r="A5668" s="225"/>
      <c r="B5668" s="223"/>
      <c r="C5668" s="55"/>
      <c r="D5668" s="108"/>
      <c r="E5668" s="66"/>
      <c r="F5668" s="76" t="s">
        <v>522</v>
      </c>
      <c r="G5668" s="76" t="str">
        <f t="shared" si="107"/>
        <v/>
      </c>
      <c r="H5668" s="77"/>
      <c r="I5668" s="74"/>
      <c r="J5668" s="102">
        <v>0</v>
      </c>
    </row>
    <row r="5669" spans="1:10" ht="15.75" hidden="1" thickBot="1" x14ac:dyDescent="0.3">
      <c r="A5669" s="218" t="s">
        <v>2124</v>
      </c>
      <c r="B5669" s="221" t="e">
        <f>INDEX(#REF!,MATCH(Composições!A5669,#REF!,0),2)</f>
        <v>#REF!</v>
      </c>
      <c r="C5669" s="41"/>
      <c r="D5669" s="26" t="s">
        <v>20</v>
      </c>
      <c r="E5669" s="27"/>
      <c r="F5669" s="49" t="s">
        <v>522</v>
      </c>
      <c r="G5669" s="28" t="str">
        <f t="shared" si="107"/>
        <v/>
      </c>
      <c r="H5669" s="29"/>
      <c r="I5669" s="30"/>
      <c r="J5669" s="102">
        <v>0</v>
      </c>
    </row>
    <row r="5670" spans="1:10" hidden="1" x14ac:dyDescent="0.25">
      <c r="A5670" s="224"/>
      <c r="B5670" s="222"/>
      <c r="C5670" s="111"/>
      <c r="D5670" s="111"/>
      <c r="E5670" s="112"/>
      <c r="F5670" s="54" t="s">
        <v>522</v>
      </c>
      <c r="G5670" s="54" t="str">
        <f t="shared" si="107"/>
        <v/>
      </c>
      <c r="H5670" s="73"/>
      <c r="I5670" s="74"/>
      <c r="J5670" s="102">
        <v>0</v>
      </c>
    </row>
    <row r="5671" spans="1:10" ht="25.5" hidden="1" x14ac:dyDescent="0.25">
      <c r="A5671" s="224"/>
      <c r="B5671" s="222"/>
      <c r="C5671" s="36" t="s">
        <v>1826</v>
      </c>
      <c r="D5671" s="105" t="s">
        <v>20</v>
      </c>
      <c r="E5671" s="106">
        <v>1</v>
      </c>
      <c r="F5671" s="31">
        <v>23.037499999999998</v>
      </c>
      <c r="G5671" s="54">
        <f t="shared" si="107"/>
        <v>23.037499999999998</v>
      </c>
      <c r="H5671" s="39">
        <f>SUM(G5671:G5671)</f>
        <v>23.037499999999998</v>
      </c>
      <c r="I5671" s="40"/>
      <c r="J5671" s="102">
        <v>0</v>
      </c>
    </row>
    <row r="5672" spans="1:10" ht="15.75" hidden="1" thickBot="1" x14ac:dyDescent="0.3">
      <c r="A5672" s="225"/>
      <c r="B5672" s="223"/>
      <c r="C5672" s="55"/>
      <c r="D5672" s="108"/>
      <c r="E5672" s="66"/>
      <c r="F5672" s="76" t="s">
        <v>522</v>
      </c>
      <c r="G5672" s="76" t="str">
        <f t="shared" si="107"/>
        <v/>
      </c>
      <c r="H5672" s="77"/>
      <c r="I5672" s="74"/>
      <c r="J5672" s="102">
        <v>0</v>
      </c>
    </row>
    <row r="5673" spans="1:10" ht="15.75" hidden="1" thickBot="1" x14ac:dyDescent="0.3">
      <c r="A5673" s="218" t="s">
        <v>2125</v>
      </c>
      <c r="B5673" s="221" t="e">
        <f>INDEX(#REF!,MATCH(Composições!A5673,#REF!,0),2)</f>
        <v>#REF!</v>
      </c>
      <c r="C5673" s="41"/>
      <c r="D5673" s="26" t="s">
        <v>20</v>
      </c>
      <c r="E5673" s="27"/>
      <c r="F5673" s="49" t="s">
        <v>522</v>
      </c>
      <c r="G5673" s="28" t="str">
        <f t="shared" si="107"/>
        <v/>
      </c>
      <c r="H5673" s="29"/>
      <c r="I5673" s="30"/>
      <c r="J5673" s="102">
        <v>0</v>
      </c>
    </row>
    <row r="5674" spans="1:10" hidden="1" x14ac:dyDescent="0.25">
      <c r="A5674" s="224"/>
      <c r="B5674" s="222"/>
      <c r="C5674" s="111"/>
      <c r="D5674" s="111"/>
      <c r="E5674" s="112"/>
      <c r="F5674" s="54" t="s">
        <v>522</v>
      </c>
      <c r="G5674" s="54" t="str">
        <f t="shared" si="107"/>
        <v/>
      </c>
      <c r="H5674" s="73"/>
      <c r="I5674" s="74"/>
      <c r="J5674" s="102">
        <v>0</v>
      </c>
    </row>
    <row r="5675" spans="1:10" ht="25.5" hidden="1" x14ac:dyDescent="0.25">
      <c r="A5675" s="224"/>
      <c r="B5675" s="222"/>
      <c r="C5675" s="36" t="s">
        <v>1827</v>
      </c>
      <c r="D5675" s="105" t="s">
        <v>20</v>
      </c>
      <c r="E5675" s="106">
        <v>1</v>
      </c>
      <c r="F5675" s="31">
        <v>30.4</v>
      </c>
      <c r="G5675" s="54">
        <f t="shared" si="107"/>
        <v>30.4</v>
      </c>
      <c r="H5675" s="39">
        <f>SUM(G5675:G5675)</f>
        <v>30.4</v>
      </c>
      <c r="I5675" s="40"/>
      <c r="J5675" s="102">
        <v>0</v>
      </c>
    </row>
    <row r="5676" spans="1:10" ht="15.75" hidden="1" thickBot="1" x14ac:dyDescent="0.3">
      <c r="A5676" s="225"/>
      <c r="B5676" s="223"/>
      <c r="C5676" s="55"/>
      <c r="D5676" s="108"/>
      <c r="E5676" s="66"/>
      <c r="F5676" s="76" t="s">
        <v>522</v>
      </c>
      <c r="G5676" s="76" t="str">
        <f t="shared" si="107"/>
        <v/>
      </c>
      <c r="H5676" s="77"/>
      <c r="I5676" s="74"/>
      <c r="J5676" s="102">
        <v>0</v>
      </c>
    </row>
    <row r="5677" spans="1:10" ht="15.75" hidden="1" thickBot="1" x14ac:dyDescent="0.3">
      <c r="A5677" s="218" t="s">
        <v>2126</v>
      </c>
      <c r="B5677" s="221" t="e">
        <f>INDEX(#REF!,MATCH(Composições!A5677,#REF!,0),2)</f>
        <v>#REF!</v>
      </c>
      <c r="C5677" s="41"/>
      <c r="D5677" s="26" t="s">
        <v>20</v>
      </c>
      <c r="E5677" s="27"/>
      <c r="F5677" s="49" t="s">
        <v>522</v>
      </c>
      <c r="G5677" s="28" t="str">
        <f t="shared" si="107"/>
        <v/>
      </c>
      <c r="H5677" s="29"/>
      <c r="I5677" s="30"/>
      <c r="J5677" s="102">
        <v>0</v>
      </c>
    </row>
    <row r="5678" spans="1:10" hidden="1" x14ac:dyDescent="0.25">
      <c r="A5678" s="224"/>
      <c r="B5678" s="222"/>
      <c r="C5678" s="111"/>
      <c r="D5678" s="111"/>
      <c r="E5678" s="112"/>
      <c r="F5678" s="54" t="s">
        <v>522</v>
      </c>
      <c r="G5678" s="54" t="str">
        <f t="shared" si="107"/>
        <v/>
      </c>
      <c r="H5678" s="73"/>
      <c r="I5678" s="74"/>
      <c r="J5678" s="102">
        <v>0</v>
      </c>
    </row>
    <row r="5679" spans="1:10" ht="25.5" hidden="1" x14ac:dyDescent="0.25">
      <c r="A5679" s="224"/>
      <c r="B5679" s="222"/>
      <c r="C5679" s="36" t="s">
        <v>1828</v>
      </c>
      <c r="D5679" s="105" t="s">
        <v>20</v>
      </c>
      <c r="E5679" s="106">
        <v>1</v>
      </c>
      <c r="F5679" s="31">
        <v>44.231999999999999</v>
      </c>
      <c r="G5679" s="54">
        <f t="shared" si="107"/>
        <v>44.231999999999999</v>
      </c>
      <c r="H5679" s="39">
        <f>SUM(G5679:G5679)</f>
        <v>44.231999999999999</v>
      </c>
      <c r="I5679" s="40"/>
      <c r="J5679" s="102">
        <v>0</v>
      </c>
    </row>
    <row r="5680" spans="1:10" ht="15.75" hidden="1" thickBot="1" x14ac:dyDescent="0.3">
      <c r="A5680" s="225"/>
      <c r="B5680" s="223"/>
      <c r="C5680" s="55"/>
      <c r="D5680" s="108"/>
      <c r="E5680" s="66"/>
      <c r="F5680" s="76" t="s">
        <v>522</v>
      </c>
      <c r="G5680" s="76" t="str">
        <f t="shared" si="107"/>
        <v/>
      </c>
      <c r="H5680" s="77"/>
      <c r="I5680" s="74"/>
      <c r="J5680" s="102">
        <v>0</v>
      </c>
    </row>
    <row r="5681" spans="1:10" ht="15.75" hidden="1" thickBot="1" x14ac:dyDescent="0.3">
      <c r="A5681" s="218" t="s">
        <v>2127</v>
      </c>
      <c r="B5681" s="221" t="e">
        <f>INDEX(#REF!,MATCH(Composições!A5681,#REF!,0),2)</f>
        <v>#REF!</v>
      </c>
      <c r="C5681" s="41"/>
      <c r="D5681" s="26" t="s">
        <v>93</v>
      </c>
      <c r="E5681" s="27"/>
      <c r="F5681" s="49" t="s">
        <v>522</v>
      </c>
      <c r="G5681" s="28" t="str">
        <f t="shared" si="107"/>
        <v/>
      </c>
      <c r="H5681" s="29"/>
      <c r="I5681" s="30"/>
      <c r="J5681" s="102">
        <v>0</v>
      </c>
    </row>
    <row r="5682" spans="1:10" hidden="1" x14ac:dyDescent="0.25">
      <c r="A5682" s="224"/>
      <c r="B5682" s="222"/>
      <c r="C5682" s="111"/>
      <c r="D5682" s="111"/>
      <c r="E5682" s="112"/>
      <c r="F5682" s="54" t="s">
        <v>522</v>
      </c>
      <c r="G5682" s="54" t="str">
        <f t="shared" si="107"/>
        <v/>
      </c>
      <c r="H5682" s="73"/>
      <c r="I5682" s="74"/>
      <c r="J5682" s="102">
        <v>0</v>
      </c>
    </row>
    <row r="5683" spans="1:10" hidden="1" x14ac:dyDescent="0.25">
      <c r="A5683" s="224"/>
      <c r="B5683" s="222"/>
      <c r="C5683" s="36" t="s">
        <v>1700</v>
      </c>
      <c r="D5683" s="105" t="s">
        <v>93</v>
      </c>
      <c r="E5683" s="106">
        <v>1</v>
      </c>
      <c r="F5683" s="31">
        <v>14.430499999999999</v>
      </c>
      <c r="G5683" s="54">
        <f t="shared" si="107"/>
        <v>14.430499999999999</v>
      </c>
      <c r="H5683" s="39">
        <f>SUM(G5683:G5683)</f>
        <v>14.430499999999999</v>
      </c>
      <c r="I5683" s="40"/>
      <c r="J5683" s="102">
        <v>0</v>
      </c>
    </row>
    <row r="5684" spans="1:10" ht="15.75" hidden="1" thickBot="1" x14ac:dyDescent="0.3">
      <c r="A5684" s="225"/>
      <c r="B5684" s="223"/>
      <c r="C5684" s="55"/>
      <c r="D5684" s="108"/>
      <c r="E5684" s="66"/>
      <c r="F5684" s="76" t="s">
        <v>522</v>
      </c>
      <c r="G5684" s="76" t="str">
        <f t="shared" si="107"/>
        <v/>
      </c>
      <c r="H5684" s="77"/>
      <c r="I5684" s="74"/>
      <c r="J5684" s="102">
        <v>0</v>
      </c>
    </row>
    <row r="5685" spans="1:10" ht="15.75" hidden="1" thickBot="1" x14ac:dyDescent="0.3">
      <c r="A5685" s="218" t="s">
        <v>2128</v>
      </c>
      <c r="B5685" s="221" t="e">
        <f>INDEX(#REF!,MATCH(Composições!A5685,#REF!,0),2)</f>
        <v>#REF!</v>
      </c>
      <c r="C5685" s="41"/>
      <c r="D5685" s="26" t="s">
        <v>93</v>
      </c>
      <c r="E5685" s="27"/>
      <c r="F5685" s="49" t="s">
        <v>522</v>
      </c>
      <c r="G5685" s="28" t="str">
        <f t="shared" si="107"/>
        <v/>
      </c>
      <c r="H5685" s="29"/>
      <c r="I5685" s="30"/>
      <c r="J5685" s="102">
        <v>0</v>
      </c>
    </row>
    <row r="5686" spans="1:10" hidden="1" x14ac:dyDescent="0.25">
      <c r="A5686" s="224"/>
      <c r="B5686" s="222"/>
      <c r="C5686" s="111"/>
      <c r="D5686" s="111"/>
      <c r="E5686" s="112"/>
      <c r="F5686" s="54" t="s">
        <v>522</v>
      </c>
      <c r="G5686" s="54" t="str">
        <f t="shared" si="107"/>
        <v/>
      </c>
      <c r="H5686" s="73"/>
      <c r="I5686" s="74"/>
      <c r="J5686" s="102">
        <v>0</v>
      </c>
    </row>
    <row r="5687" spans="1:10" hidden="1" x14ac:dyDescent="0.25">
      <c r="A5687" s="224"/>
      <c r="B5687" s="222"/>
      <c r="C5687" s="36" t="s">
        <v>1701</v>
      </c>
      <c r="D5687" s="105" t="s">
        <v>93</v>
      </c>
      <c r="E5687" s="106">
        <v>1</v>
      </c>
      <c r="F5687" s="31">
        <v>22.286999999999999</v>
      </c>
      <c r="G5687" s="54">
        <f t="shared" si="107"/>
        <v>22.286999999999999</v>
      </c>
      <c r="H5687" s="39">
        <f>SUM(G5687:G5687)</f>
        <v>22.286999999999999</v>
      </c>
      <c r="I5687" s="40"/>
      <c r="J5687" s="102">
        <v>0</v>
      </c>
    </row>
    <row r="5688" spans="1:10" ht="15.75" hidden="1" thickBot="1" x14ac:dyDescent="0.3">
      <c r="A5688" s="225"/>
      <c r="B5688" s="223"/>
      <c r="C5688" s="55"/>
      <c r="D5688" s="108"/>
      <c r="E5688" s="66"/>
      <c r="F5688" s="76" t="s">
        <v>522</v>
      </c>
      <c r="G5688" s="76" t="str">
        <f t="shared" si="107"/>
        <v/>
      </c>
      <c r="H5688" s="77"/>
      <c r="I5688" s="74"/>
      <c r="J5688" s="102">
        <v>0</v>
      </c>
    </row>
    <row r="5689" spans="1:10" ht="15.75" hidden="1" thickBot="1" x14ac:dyDescent="0.3">
      <c r="A5689" s="218" t="s">
        <v>2129</v>
      </c>
      <c r="B5689" s="221" t="e">
        <f>INDEX(#REF!,MATCH(Composições!A5689,#REF!,0),2)</f>
        <v>#REF!</v>
      </c>
      <c r="C5689" s="41"/>
      <c r="D5689" s="26" t="s">
        <v>93</v>
      </c>
      <c r="E5689" s="27"/>
      <c r="F5689" s="49" t="s">
        <v>522</v>
      </c>
      <c r="G5689" s="28" t="str">
        <f t="shared" si="107"/>
        <v/>
      </c>
      <c r="H5689" s="29"/>
      <c r="I5689" s="30"/>
      <c r="J5689" s="102">
        <v>0</v>
      </c>
    </row>
    <row r="5690" spans="1:10" hidden="1" x14ac:dyDescent="0.25">
      <c r="A5690" s="224"/>
      <c r="B5690" s="222"/>
      <c r="C5690" s="111"/>
      <c r="D5690" s="111"/>
      <c r="E5690" s="112"/>
      <c r="F5690" s="54" t="s">
        <v>522</v>
      </c>
      <c r="G5690" s="54" t="str">
        <f t="shared" si="107"/>
        <v/>
      </c>
      <c r="H5690" s="73"/>
      <c r="I5690" s="74"/>
      <c r="J5690" s="102">
        <v>0</v>
      </c>
    </row>
    <row r="5691" spans="1:10" hidden="1" x14ac:dyDescent="0.25">
      <c r="A5691" s="224"/>
      <c r="B5691" s="222"/>
      <c r="C5691" s="36" t="s">
        <v>1702</v>
      </c>
      <c r="D5691" s="105" t="s">
        <v>93</v>
      </c>
      <c r="E5691" s="106">
        <v>1</v>
      </c>
      <c r="F5691" s="31">
        <v>30.789499999999997</v>
      </c>
      <c r="G5691" s="54">
        <f t="shared" si="107"/>
        <v>30.789499999999997</v>
      </c>
      <c r="H5691" s="39">
        <f>SUM(G5691:G5691)</f>
        <v>30.789499999999997</v>
      </c>
      <c r="I5691" s="40"/>
      <c r="J5691" s="102">
        <v>0</v>
      </c>
    </row>
    <row r="5692" spans="1:10" ht="15.75" hidden="1" thickBot="1" x14ac:dyDescent="0.3">
      <c r="A5692" s="225"/>
      <c r="B5692" s="223"/>
      <c r="C5692" s="55"/>
      <c r="D5692" s="108"/>
      <c r="E5692" s="66"/>
      <c r="F5692" s="76" t="s">
        <v>522</v>
      </c>
      <c r="G5692" s="76" t="str">
        <f t="shared" si="107"/>
        <v/>
      </c>
      <c r="H5692" s="77"/>
      <c r="I5692" s="74"/>
      <c r="J5692" s="102">
        <v>0</v>
      </c>
    </row>
    <row r="5693" spans="1:10" ht="15.75" hidden="1" thickBot="1" x14ac:dyDescent="0.3">
      <c r="A5693" s="218" t="s">
        <v>2130</v>
      </c>
      <c r="B5693" s="221" t="e">
        <f>INDEX(#REF!,MATCH(Composições!A5693,#REF!,0),2)</f>
        <v>#REF!</v>
      </c>
      <c r="C5693" s="41"/>
      <c r="D5693" s="26" t="s">
        <v>93</v>
      </c>
      <c r="E5693" s="27"/>
      <c r="F5693" s="49" t="s">
        <v>522</v>
      </c>
      <c r="G5693" s="28" t="str">
        <f t="shared" si="107"/>
        <v/>
      </c>
      <c r="H5693" s="29"/>
      <c r="I5693" s="30"/>
      <c r="J5693" s="102">
        <v>0</v>
      </c>
    </row>
    <row r="5694" spans="1:10" hidden="1" x14ac:dyDescent="0.25">
      <c r="A5694" s="224"/>
      <c r="B5694" s="222"/>
      <c r="C5694" s="111"/>
      <c r="D5694" s="111"/>
      <c r="E5694" s="112"/>
      <c r="F5694" s="54" t="s">
        <v>522</v>
      </c>
      <c r="G5694" s="54" t="str">
        <f t="shared" si="107"/>
        <v/>
      </c>
      <c r="H5694" s="73"/>
      <c r="I5694" s="74"/>
      <c r="J5694" s="102">
        <v>0</v>
      </c>
    </row>
    <row r="5695" spans="1:10" hidden="1" x14ac:dyDescent="0.25">
      <c r="A5695" s="224"/>
      <c r="B5695" s="222"/>
      <c r="C5695" s="36" t="s">
        <v>1703</v>
      </c>
      <c r="D5695" s="105" t="s">
        <v>93</v>
      </c>
      <c r="E5695" s="106">
        <v>1</v>
      </c>
      <c r="F5695" s="31">
        <v>42.882999999999996</v>
      </c>
      <c r="G5695" s="54">
        <f t="shared" si="107"/>
        <v>42.882999999999996</v>
      </c>
      <c r="H5695" s="39">
        <f>SUM(G5695:G5695)</f>
        <v>42.882999999999996</v>
      </c>
      <c r="I5695" s="40"/>
      <c r="J5695" s="102">
        <v>0</v>
      </c>
    </row>
    <row r="5696" spans="1:10" ht="15.75" hidden="1" thickBot="1" x14ac:dyDescent="0.3">
      <c r="A5696" s="225"/>
      <c r="B5696" s="223"/>
      <c r="C5696" s="55"/>
      <c r="D5696" s="108"/>
      <c r="E5696" s="66"/>
      <c r="F5696" s="76" t="s">
        <v>522</v>
      </c>
      <c r="G5696" s="76" t="str">
        <f t="shared" si="107"/>
        <v/>
      </c>
      <c r="H5696" s="77"/>
      <c r="I5696" s="74"/>
      <c r="J5696" s="102">
        <v>0</v>
      </c>
    </row>
    <row r="5697" spans="1:10" ht="15.75" hidden="1" thickBot="1" x14ac:dyDescent="0.3">
      <c r="A5697" s="218" t="s">
        <v>2131</v>
      </c>
      <c r="B5697" s="221" t="e">
        <f>INDEX(#REF!,MATCH(Composições!A5697,#REF!,0),2)</f>
        <v>#REF!</v>
      </c>
      <c r="C5697" s="41"/>
      <c r="D5697" s="26" t="s">
        <v>93</v>
      </c>
      <c r="E5697" s="27"/>
      <c r="F5697" s="49" t="s">
        <v>522</v>
      </c>
      <c r="G5697" s="28" t="str">
        <f t="shared" si="107"/>
        <v/>
      </c>
      <c r="H5697" s="29"/>
      <c r="I5697" s="30"/>
      <c r="J5697" s="102">
        <v>0</v>
      </c>
    </row>
    <row r="5698" spans="1:10" hidden="1" x14ac:dyDescent="0.25">
      <c r="A5698" s="224"/>
      <c r="B5698" s="222"/>
      <c r="C5698" s="111"/>
      <c r="D5698" s="111"/>
      <c r="E5698" s="112"/>
      <c r="F5698" s="54" t="s">
        <v>522</v>
      </c>
      <c r="G5698" s="54" t="str">
        <f t="shared" si="107"/>
        <v/>
      </c>
      <c r="H5698" s="73"/>
      <c r="I5698" s="74"/>
      <c r="J5698" s="102">
        <v>0</v>
      </c>
    </row>
    <row r="5699" spans="1:10" hidden="1" x14ac:dyDescent="0.25">
      <c r="A5699" s="224"/>
      <c r="B5699" s="222"/>
      <c r="C5699" s="36" t="s">
        <v>1704</v>
      </c>
      <c r="D5699" s="105" t="s">
        <v>93</v>
      </c>
      <c r="E5699" s="106">
        <v>1</v>
      </c>
      <c r="F5699" s="31">
        <v>60.410499999999999</v>
      </c>
      <c r="G5699" s="54">
        <f t="shared" si="107"/>
        <v>60.410499999999999</v>
      </c>
      <c r="H5699" s="39">
        <f>SUM(G5699:G5699)</f>
        <v>60.410499999999999</v>
      </c>
      <c r="I5699" s="40"/>
      <c r="J5699" s="102">
        <v>0</v>
      </c>
    </row>
    <row r="5700" spans="1:10" ht="15.75" hidden="1" thickBot="1" x14ac:dyDescent="0.3">
      <c r="A5700" s="225"/>
      <c r="B5700" s="223"/>
      <c r="C5700" s="55"/>
      <c r="D5700" s="108"/>
      <c r="E5700" s="66"/>
      <c r="F5700" s="76" t="s">
        <v>522</v>
      </c>
      <c r="G5700" s="76" t="str">
        <f t="shared" si="107"/>
        <v/>
      </c>
      <c r="H5700" s="77"/>
      <c r="I5700" s="74"/>
      <c r="J5700" s="102">
        <v>0</v>
      </c>
    </row>
    <row r="5701" spans="1:10" ht="15.75" hidden="1" thickBot="1" x14ac:dyDescent="0.3">
      <c r="A5701" s="232" t="s">
        <v>2132</v>
      </c>
      <c r="B5701" s="221" t="e">
        <f>INDEX(#REF!,MATCH(Composições!A5701,#REF!,0),2)</f>
        <v>#REF!</v>
      </c>
      <c r="C5701" s="41"/>
      <c r="D5701" s="26" t="s">
        <v>93</v>
      </c>
      <c r="E5701" s="27"/>
      <c r="F5701" s="49" t="s">
        <v>522</v>
      </c>
      <c r="G5701" s="28" t="str">
        <f t="shared" si="107"/>
        <v/>
      </c>
      <c r="H5701" s="29"/>
      <c r="I5701" s="30"/>
      <c r="J5701" s="102">
        <v>0</v>
      </c>
    </row>
    <row r="5702" spans="1:10" hidden="1" x14ac:dyDescent="0.25">
      <c r="A5702" s="235"/>
      <c r="B5702" s="222"/>
      <c r="C5702" s="111"/>
      <c r="D5702" s="111"/>
      <c r="E5702" s="112"/>
      <c r="F5702" s="54" t="s">
        <v>522</v>
      </c>
      <c r="G5702" s="54" t="str">
        <f t="shared" si="107"/>
        <v/>
      </c>
      <c r="H5702" s="73"/>
      <c r="I5702" s="74"/>
      <c r="J5702" s="102">
        <v>0</v>
      </c>
    </row>
    <row r="5703" spans="1:10" ht="25.5" hidden="1" x14ac:dyDescent="0.25">
      <c r="A5703" s="235"/>
      <c r="B5703" s="222"/>
      <c r="C5703" s="36" t="s">
        <v>2308</v>
      </c>
      <c r="D5703" s="105" t="s">
        <v>93</v>
      </c>
      <c r="E5703" s="106">
        <v>1</v>
      </c>
      <c r="F5703" s="31">
        <v>0</v>
      </c>
      <c r="G5703" s="54">
        <f t="shared" si="107"/>
        <v>0</v>
      </c>
      <c r="H5703" s="39">
        <f>SUM(G5703:G5703)</f>
        <v>0</v>
      </c>
      <c r="I5703" s="40"/>
      <c r="J5703" s="102">
        <v>0</v>
      </c>
    </row>
    <row r="5704" spans="1:10" ht="15.75" hidden="1" thickBot="1" x14ac:dyDescent="0.3">
      <c r="A5704" s="236"/>
      <c r="B5704" s="223"/>
      <c r="C5704" s="55"/>
      <c r="D5704" s="108"/>
      <c r="E5704" s="66"/>
      <c r="F5704" s="76" t="s">
        <v>522</v>
      </c>
      <c r="G5704" s="76" t="str">
        <f t="shared" si="107"/>
        <v/>
      </c>
      <c r="H5704" s="77"/>
      <c r="I5704" s="74"/>
      <c r="J5704" s="102">
        <v>0</v>
      </c>
    </row>
    <row r="5705" spans="1:10" ht="15.75" hidden="1" thickBot="1" x14ac:dyDescent="0.3">
      <c r="A5705" s="232" t="s">
        <v>2133</v>
      </c>
      <c r="B5705" s="221" t="e">
        <f>INDEX(#REF!,MATCH(Composições!A5705,#REF!,0),2)</f>
        <v>#REF!</v>
      </c>
      <c r="C5705" s="41"/>
      <c r="D5705" s="26" t="s">
        <v>93</v>
      </c>
      <c r="E5705" s="27"/>
      <c r="F5705" s="49" t="s">
        <v>522</v>
      </c>
      <c r="G5705" s="28" t="str">
        <f t="shared" si="107"/>
        <v/>
      </c>
      <c r="H5705" s="29"/>
      <c r="I5705" s="30"/>
      <c r="J5705" s="102">
        <v>0</v>
      </c>
    </row>
    <row r="5706" spans="1:10" hidden="1" x14ac:dyDescent="0.25">
      <c r="A5706" s="235"/>
      <c r="B5706" s="222"/>
      <c r="C5706" s="111"/>
      <c r="D5706" s="111"/>
      <c r="E5706" s="112"/>
      <c r="F5706" s="54" t="s">
        <v>522</v>
      </c>
      <c r="G5706" s="54" t="str">
        <f t="shared" si="107"/>
        <v/>
      </c>
      <c r="H5706" s="73"/>
      <c r="I5706" s="74"/>
      <c r="J5706" s="102">
        <v>0</v>
      </c>
    </row>
    <row r="5707" spans="1:10" ht="25.5" hidden="1" x14ac:dyDescent="0.25">
      <c r="A5707" s="235"/>
      <c r="B5707" s="222"/>
      <c r="C5707" s="36" t="s">
        <v>2309</v>
      </c>
      <c r="D5707" s="105" t="s">
        <v>93</v>
      </c>
      <c r="E5707" s="106">
        <v>1</v>
      </c>
      <c r="F5707" s="31">
        <v>0</v>
      </c>
      <c r="G5707" s="54">
        <f t="shared" si="107"/>
        <v>0</v>
      </c>
      <c r="H5707" s="39">
        <f>SUM(G5707:G5707)</f>
        <v>0</v>
      </c>
      <c r="I5707" s="40"/>
      <c r="J5707" s="102">
        <v>0</v>
      </c>
    </row>
    <row r="5708" spans="1:10" ht="15.75" hidden="1" thickBot="1" x14ac:dyDescent="0.3">
      <c r="A5708" s="236"/>
      <c r="B5708" s="223"/>
      <c r="C5708" s="55"/>
      <c r="D5708" s="108"/>
      <c r="E5708" s="66"/>
      <c r="F5708" s="76" t="s">
        <v>522</v>
      </c>
      <c r="G5708" s="76" t="str">
        <f t="shared" si="107"/>
        <v/>
      </c>
      <c r="H5708" s="77"/>
      <c r="I5708" s="74"/>
      <c r="J5708" s="102">
        <v>0</v>
      </c>
    </row>
    <row r="5709" spans="1:10" ht="15.75" hidden="1" thickBot="1" x14ac:dyDescent="0.3">
      <c r="A5709" s="232" t="s">
        <v>2134</v>
      </c>
      <c r="B5709" s="221" t="e">
        <f>INDEX(#REF!,MATCH(Composições!A5709,#REF!,0),2)</f>
        <v>#REF!</v>
      </c>
      <c r="C5709" s="41"/>
      <c r="D5709" s="26" t="s">
        <v>93</v>
      </c>
      <c r="E5709" s="27"/>
      <c r="F5709" s="49" t="s">
        <v>522</v>
      </c>
      <c r="G5709" s="28" t="str">
        <f t="shared" si="107"/>
        <v/>
      </c>
      <c r="H5709" s="29"/>
      <c r="I5709" s="30"/>
      <c r="J5709" s="102">
        <v>0</v>
      </c>
    </row>
    <row r="5710" spans="1:10" hidden="1" x14ac:dyDescent="0.25">
      <c r="A5710" s="235"/>
      <c r="B5710" s="222"/>
      <c r="C5710" s="111"/>
      <c r="D5710" s="111"/>
      <c r="E5710" s="112"/>
      <c r="F5710" s="54" t="s">
        <v>522</v>
      </c>
      <c r="G5710" s="54" t="str">
        <f t="shared" si="107"/>
        <v/>
      </c>
      <c r="H5710" s="73"/>
      <c r="I5710" s="74"/>
      <c r="J5710" s="102">
        <v>0</v>
      </c>
    </row>
    <row r="5711" spans="1:10" ht="25.5" hidden="1" x14ac:dyDescent="0.25">
      <c r="A5711" s="235"/>
      <c r="B5711" s="222"/>
      <c r="C5711" s="36" t="s">
        <v>2310</v>
      </c>
      <c r="D5711" s="105" t="s">
        <v>93</v>
      </c>
      <c r="E5711" s="106">
        <v>1</v>
      </c>
      <c r="F5711" s="31">
        <v>0</v>
      </c>
      <c r="G5711" s="54">
        <f t="shared" si="107"/>
        <v>0</v>
      </c>
      <c r="H5711" s="39">
        <f>SUM(G5711:G5711)</f>
        <v>0</v>
      </c>
      <c r="I5711" s="40"/>
      <c r="J5711" s="102">
        <v>0</v>
      </c>
    </row>
    <row r="5712" spans="1:10" ht="15.75" hidden="1" thickBot="1" x14ac:dyDescent="0.3">
      <c r="A5712" s="236"/>
      <c r="B5712" s="223"/>
      <c r="C5712" s="55"/>
      <c r="D5712" s="108"/>
      <c r="E5712" s="66"/>
      <c r="F5712" s="76" t="s">
        <v>522</v>
      </c>
      <c r="G5712" s="76" t="str">
        <f t="shared" si="107"/>
        <v/>
      </c>
      <c r="H5712" s="77"/>
      <c r="I5712" s="74"/>
      <c r="J5712" s="102">
        <v>0</v>
      </c>
    </row>
    <row r="5713" spans="1:10" ht="15.75" hidden="1" thickBot="1" x14ac:dyDescent="0.3">
      <c r="A5713" s="232" t="s">
        <v>2135</v>
      </c>
      <c r="B5713" s="221" t="e">
        <f>INDEX(#REF!,MATCH(Composições!A5713,#REF!,0),2)</f>
        <v>#REF!</v>
      </c>
      <c r="C5713" s="41"/>
      <c r="D5713" s="26" t="s">
        <v>93</v>
      </c>
      <c r="E5713" s="27"/>
      <c r="F5713" s="49" t="s">
        <v>522</v>
      </c>
      <c r="G5713" s="28" t="str">
        <f t="shared" si="107"/>
        <v/>
      </c>
      <c r="H5713" s="29"/>
      <c r="I5713" s="30"/>
      <c r="J5713" s="102">
        <v>0</v>
      </c>
    </row>
    <row r="5714" spans="1:10" hidden="1" x14ac:dyDescent="0.25">
      <c r="A5714" s="235"/>
      <c r="B5714" s="222"/>
      <c r="C5714" s="111"/>
      <c r="D5714" s="111"/>
      <c r="E5714" s="112"/>
      <c r="F5714" s="54" t="s">
        <v>522</v>
      </c>
      <c r="G5714" s="54" t="str">
        <f t="shared" si="107"/>
        <v/>
      </c>
      <c r="H5714" s="73"/>
      <c r="I5714" s="74"/>
      <c r="J5714" s="102">
        <v>0</v>
      </c>
    </row>
    <row r="5715" spans="1:10" ht="25.5" hidden="1" x14ac:dyDescent="0.25">
      <c r="A5715" s="235"/>
      <c r="B5715" s="222"/>
      <c r="C5715" s="36" t="s">
        <v>2311</v>
      </c>
      <c r="D5715" s="105" t="s">
        <v>93</v>
      </c>
      <c r="E5715" s="106">
        <v>1</v>
      </c>
      <c r="F5715" s="31">
        <v>0</v>
      </c>
      <c r="G5715" s="54">
        <f t="shared" si="107"/>
        <v>0</v>
      </c>
      <c r="H5715" s="39">
        <f>SUM(G5715:G5715)</f>
        <v>0</v>
      </c>
      <c r="I5715" s="40"/>
      <c r="J5715" s="102">
        <v>0</v>
      </c>
    </row>
    <row r="5716" spans="1:10" ht="15.75" hidden="1" thickBot="1" x14ac:dyDescent="0.3">
      <c r="A5716" s="236"/>
      <c r="B5716" s="223"/>
      <c r="C5716" s="55"/>
      <c r="D5716" s="108"/>
      <c r="E5716" s="66"/>
      <c r="F5716" s="76" t="s">
        <v>522</v>
      </c>
      <c r="G5716" s="76" t="str">
        <f t="shared" si="107"/>
        <v/>
      </c>
      <c r="H5716" s="77"/>
      <c r="I5716" s="74"/>
      <c r="J5716" s="102">
        <v>0</v>
      </c>
    </row>
    <row r="5717" spans="1:10" ht="15.75" hidden="1" thickBot="1" x14ac:dyDescent="0.3">
      <c r="A5717" s="232" t="s">
        <v>2136</v>
      </c>
      <c r="B5717" s="221" t="e">
        <f>INDEX(#REF!,MATCH(Composições!A5717,#REF!,0),2)</f>
        <v>#REF!</v>
      </c>
      <c r="C5717" s="41"/>
      <c r="D5717" s="26" t="s">
        <v>93</v>
      </c>
      <c r="E5717" s="27"/>
      <c r="F5717" s="49" t="s">
        <v>522</v>
      </c>
      <c r="G5717" s="28" t="str">
        <f t="shared" si="107"/>
        <v/>
      </c>
      <c r="H5717" s="29"/>
      <c r="I5717" s="30"/>
      <c r="J5717" s="102">
        <v>0</v>
      </c>
    </row>
    <row r="5718" spans="1:10" hidden="1" x14ac:dyDescent="0.25">
      <c r="A5718" s="235"/>
      <c r="B5718" s="222"/>
      <c r="C5718" s="111"/>
      <c r="D5718" s="111"/>
      <c r="E5718" s="112"/>
      <c r="F5718" s="54" t="s">
        <v>522</v>
      </c>
      <c r="G5718" s="54" t="str">
        <f t="shared" si="107"/>
        <v/>
      </c>
      <c r="H5718" s="73"/>
      <c r="I5718" s="74"/>
      <c r="J5718" s="102">
        <v>0</v>
      </c>
    </row>
    <row r="5719" spans="1:10" ht="25.5" hidden="1" x14ac:dyDescent="0.25">
      <c r="A5719" s="235"/>
      <c r="B5719" s="222"/>
      <c r="C5719" s="36" t="s">
        <v>2312</v>
      </c>
      <c r="D5719" s="105" t="s">
        <v>93</v>
      </c>
      <c r="E5719" s="106">
        <v>1</v>
      </c>
      <c r="F5719" s="31">
        <v>0</v>
      </c>
      <c r="G5719" s="54">
        <f t="shared" si="107"/>
        <v>0</v>
      </c>
      <c r="H5719" s="39">
        <f>SUM(G5719:G5719)</f>
        <v>0</v>
      </c>
      <c r="I5719" s="40"/>
      <c r="J5719" s="102">
        <v>0</v>
      </c>
    </row>
    <row r="5720" spans="1:10" ht="15.75" hidden="1" thickBot="1" x14ac:dyDescent="0.3">
      <c r="A5720" s="236"/>
      <c r="B5720" s="223"/>
      <c r="C5720" s="55"/>
      <c r="D5720" s="108"/>
      <c r="E5720" s="66"/>
      <c r="F5720" s="76" t="s">
        <v>522</v>
      </c>
      <c r="G5720" s="76" t="str">
        <f t="shared" si="107"/>
        <v/>
      </c>
      <c r="H5720" s="77"/>
      <c r="I5720" s="74"/>
      <c r="J5720" s="102">
        <v>0</v>
      </c>
    </row>
    <row r="5721" spans="1:10" ht="15.75" hidden="1" thickBot="1" x14ac:dyDescent="0.3">
      <c r="A5721" s="232" t="s">
        <v>2137</v>
      </c>
      <c r="B5721" s="221" t="e">
        <f>INDEX(#REF!,MATCH(Composições!A5721,#REF!,0),2)</f>
        <v>#REF!</v>
      </c>
      <c r="C5721" s="41"/>
      <c r="D5721" s="26" t="s">
        <v>93</v>
      </c>
      <c r="E5721" s="27"/>
      <c r="F5721" s="49" t="s">
        <v>522</v>
      </c>
      <c r="G5721" s="28" t="str">
        <f t="shared" si="107"/>
        <v/>
      </c>
      <c r="H5721" s="29"/>
      <c r="I5721" s="30"/>
      <c r="J5721" s="102">
        <v>0</v>
      </c>
    </row>
    <row r="5722" spans="1:10" hidden="1" x14ac:dyDescent="0.25">
      <c r="A5722" s="235"/>
      <c r="B5722" s="222"/>
      <c r="C5722" s="111"/>
      <c r="D5722" s="111"/>
      <c r="E5722" s="112"/>
      <c r="F5722" s="54" t="s">
        <v>522</v>
      </c>
      <c r="G5722" s="54" t="str">
        <f t="shared" si="107"/>
        <v/>
      </c>
      <c r="H5722" s="73"/>
      <c r="I5722" s="74"/>
      <c r="J5722" s="102">
        <v>0</v>
      </c>
    </row>
    <row r="5723" spans="1:10" ht="25.5" hidden="1" x14ac:dyDescent="0.25">
      <c r="A5723" s="235"/>
      <c r="B5723" s="222"/>
      <c r="C5723" s="36" t="s">
        <v>2313</v>
      </c>
      <c r="D5723" s="105" t="s">
        <v>93</v>
      </c>
      <c r="E5723" s="106">
        <v>1</v>
      </c>
      <c r="F5723" s="31">
        <v>0</v>
      </c>
      <c r="G5723" s="54">
        <f t="shared" si="107"/>
        <v>0</v>
      </c>
      <c r="H5723" s="39">
        <f>SUM(G5723:G5723)</f>
        <v>0</v>
      </c>
      <c r="I5723" s="40"/>
      <c r="J5723" s="102">
        <v>0</v>
      </c>
    </row>
    <row r="5724" spans="1:10" ht="15.75" hidden="1" thickBot="1" x14ac:dyDescent="0.3">
      <c r="A5724" s="236"/>
      <c r="B5724" s="223"/>
      <c r="C5724" s="55"/>
      <c r="D5724" s="108"/>
      <c r="E5724" s="66"/>
      <c r="F5724" s="76" t="s">
        <v>522</v>
      </c>
      <c r="G5724" s="76" t="str">
        <f t="shared" si="107"/>
        <v/>
      </c>
      <c r="H5724" s="77"/>
      <c r="I5724" s="74"/>
      <c r="J5724" s="102">
        <v>0</v>
      </c>
    </row>
    <row r="5725" spans="1:10" ht="15.75" hidden="1" thickBot="1" x14ac:dyDescent="0.3">
      <c r="A5725" s="232" t="s">
        <v>2138</v>
      </c>
      <c r="B5725" s="221" t="e">
        <f>INDEX(#REF!,MATCH(Composições!A5725,#REF!,0),2)</f>
        <v>#REF!</v>
      </c>
      <c r="C5725" s="41"/>
      <c r="D5725" s="26" t="s">
        <v>93</v>
      </c>
      <c r="E5725" s="27"/>
      <c r="F5725" s="49" t="s">
        <v>522</v>
      </c>
      <c r="G5725" s="28" t="str">
        <f t="shared" si="107"/>
        <v/>
      </c>
      <c r="H5725" s="29"/>
      <c r="I5725" s="30"/>
      <c r="J5725" s="102">
        <v>0</v>
      </c>
    </row>
    <row r="5726" spans="1:10" hidden="1" x14ac:dyDescent="0.25">
      <c r="A5726" s="235"/>
      <c r="B5726" s="222"/>
      <c r="C5726" s="111"/>
      <c r="D5726" s="111"/>
      <c r="E5726" s="112"/>
      <c r="F5726" s="54" t="s">
        <v>522</v>
      </c>
      <c r="G5726" s="54" t="str">
        <f t="shared" ref="G5726:G5789" si="108">IF(ISNUMBER(F5726),E5726*F5726,"")</f>
        <v/>
      </c>
      <c r="H5726" s="73"/>
      <c r="I5726" s="74"/>
      <c r="J5726" s="102">
        <v>0</v>
      </c>
    </row>
    <row r="5727" spans="1:10" ht="25.5" hidden="1" x14ac:dyDescent="0.25">
      <c r="A5727" s="235"/>
      <c r="B5727" s="222"/>
      <c r="C5727" s="36" t="s">
        <v>2314</v>
      </c>
      <c r="D5727" s="105" t="s">
        <v>93</v>
      </c>
      <c r="E5727" s="106">
        <v>1</v>
      </c>
      <c r="F5727" s="31">
        <v>0</v>
      </c>
      <c r="G5727" s="54">
        <f t="shared" si="108"/>
        <v>0</v>
      </c>
      <c r="H5727" s="39">
        <f>SUM(G5727:G5727)</f>
        <v>0</v>
      </c>
      <c r="I5727" s="40"/>
      <c r="J5727" s="102">
        <v>0</v>
      </c>
    </row>
    <row r="5728" spans="1:10" ht="15.75" hidden="1" thickBot="1" x14ac:dyDescent="0.3">
      <c r="A5728" s="236"/>
      <c r="B5728" s="223"/>
      <c r="C5728" s="55"/>
      <c r="D5728" s="108"/>
      <c r="E5728" s="66"/>
      <c r="F5728" s="76" t="s">
        <v>522</v>
      </c>
      <c r="G5728" s="76" t="str">
        <f t="shared" si="108"/>
        <v/>
      </c>
      <c r="H5728" s="77"/>
      <c r="I5728" s="74"/>
      <c r="J5728" s="102">
        <v>0</v>
      </c>
    </row>
    <row r="5729" spans="1:10" ht="15.75" hidden="1" thickBot="1" x14ac:dyDescent="0.3">
      <c r="A5729" s="232" t="s">
        <v>2139</v>
      </c>
      <c r="B5729" s="221" t="e">
        <f>INDEX(#REF!,MATCH(Composições!A5729,#REF!,0),2)</f>
        <v>#REF!</v>
      </c>
      <c r="C5729" s="41"/>
      <c r="D5729" s="26" t="s">
        <v>93</v>
      </c>
      <c r="E5729" s="27"/>
      <c r="F5729" s="49" t="s">
        <v>522</v>
      </c>
      <c r="G5729" s="28" t="str">
        <f t="shared" si="108"/>
        <v/>
      </c>
      <c r="H5729" s="29"/>
      <c r="I5729" s="30"/>
      <c r="J5729" s="102">
        <v>0</v>
      </c>
    </row>
    <row r="5730" spans="1:10" hidden="1" x14ac:dyDescent="0.25">
      <c r="A5730" s="235"/>
      <c r="B5730" s="222"/>
      <c r="C5730" s="111"/>
      <c r="D5730" s="111"/>
      <c r="E5730" s="112"/>
      <c r="F5730" s="54" t="s">
        <v>522</v>
      </c>
      <c r="G5730" s="54" t="str">
        <f t="shared" si="108"/>
        <v/>
      </c>
      <c r="H5730" s="73"/>
      <c r="I5730" s="74"/>
      <c r="J5730" s="102">
        <v>0</v>
      </c>
    </row>
    <row r="5731" spans="1:10" ht="25.5" hidden="1" x14ac:dyDescent="0.25">
      <c r="A5731" s="235"/>
      <c r="B5731" s="222"/>
      <c r="C5731" s="36" t="s">
        <v>2315</v>
      </c>
      <c r="D5731" s="105" t="s">
        <v>144</v>
      </c>
      <c r="E5731" s="106">
        <v>1</v>
      </c>
      <c r="F5731" s="31">
        <v>0</v>
      </c>
      <c r="G5731" s="54">
        <f t="shared" si="108"/>
        <v>0</v>
      </c>
      <c r="H5731" s="39">
        <f>SUM(G5731:G5731)</f>
        <v>0</v>
      </c>
      <c r="I5731" s="40"/>
      <c r="J5731" s="102">
        <v>0</v>
      </c>
    </row>
    <row r="5732" spans="1:10" ht="15.75" hidden="1" thickBot="1" x14ac:dyDescent="0.3">
      <c r="A5732" s="236"/>
      <c r="B5732" s="223"/>
      <c r="C5732" s="55"/>
      <c r="D5732" s="108"/>
      <c r="E5732" s="66"/>
      <c r="F5732" s="76" t="s">
        <v>522</v>
      </c>
      <c r="G5732" s="76" t="str">
        <f t="shared" si="108"/>
        <v/>
      </c>
      <c r="H5732" s="77"/>
      <c r="I5732" s="74"/>
      <c r="J5732" s="102">
        <v>0</v>
      </c>
    </row>
    <row r="5733" spans="1:10" ht="15.75" hidden="1" thickBot="1" x14ac:dyDescent="0.3">
      <c r="A5733" s="232" t="s">
        <v>2140</v>
      </c>
      <c r="B5733" s="221" t="e">
        <f>INDEX(#REF!,MATCH(Composições!A5733,#REF!,0),2)</f>
        <v>#REF!</v>
      </c>
      <c r="C5733" s="41"/>
      <c r="D5733" s="26" t="s">
        <v>20</v>
      </c>
      <c r="E5733" s="27"/>
      <c r="F5733" s="49" t="s">
        <v>522</v>
      </c>
      <c r="G5733" s="28" t="str">
        <f t="shared" si="108"/>
        <v/>
      </c>
      <c r="H5733" s="29"/>
      <c r="I5733" s="30"/>
      <c r="J5733" s="102">
        <v>0</v>
      </c>
    </row>
    <row r="5734" spans="1:10" hidden="1" x14ac:dyDescent="0.25">
      <c r="A5734" s="235"/>
      <c r="B5734" s="222"/>
      <c r="C5734" s="111"/>
      <c r="D5734" s="111"/>
      <c r="E5734" s="112"/>
      <c r="F5734" s="54" t="s">
        <v>522</v>
      </c>
      <c r="G5734" s="54" t="str">
        <f t="shared" si="108"/>
        <v/>
      </c>
      <c r="H5734" s="73"/>
      <c r="I5734" s="74"/>
      <c r="J5734" s="102">
        <v>0</v>
      </c>
    </row>
    <row r="5735" spans="1:10" ht="25.5" hidden="1" x14ac:dyDescent="0.25">
      <c r="A5735" s="235"/>
      <c r="B5735" s="222"/>
      <c r="C5735" s="36" t="s">
        <v>1783</v>
      </c>
      <c r="D5735" s="105" t="s">
        <v>20</v>
      </c>
      <c r="E5735" s="106">
        <v>1</v>
      </c>
      <c r="F5735" s="31">
        <v>2.052</v>
      </c>
      <c r="G5735" s="54">
        <f t="shared" si="108"/>
        <v>2.052</v>
      </c>
      <c r="H5735" s="39">
        <f>SUM(G5735:G5735)</f>
        <v>2.052</v>
      </c>
      <c r="I5735" s="40"/>
      <c r="J5735" s="102">
        <v>0</v>
      </c>
    </row>
    <row r="5736" spans="1:10" ht="15.75" hidden="1" thickBot="1" x14ac:dyDescent="0.3">
      <c r="A5736" s="236"/>
      <c r="B5736" s="223"/>
      <c r="C5736" s="55"/>
      <c r="D5736" s="108"/>
      <c r="E5736" s="66"/>
      <c r="F5736" s="76" t="s">
        <v>522</v>
      </c>
      <c r="G5736" s="76" t="str">
        <f t="shared" si="108"/>
        <v/>
      </c>
      <c r="H5736" s="77"/>
      <c r="I5736" s="74"/>
      <c r="J5736" s="102">
        <v>0</v>
      </c>
    </row>
    <row r="5737" spans="1:10" ht="15.75" hidden="1" thickBot="1" x14ac:dyDescent="0.3">
      <c r="A5737" s="218" t="s">
        <v>2141</v>
      </c>
      <c r="B5737" s="221" t="e">
        <f>INDEX(#REF!,MATCH(Composições!A5737,#REF!,0),2)</f>
        <v>#REF!</v>
      </c>
      <c r="C5737" s="41"/>
      <c r="D5737" s="26" t="s">
        <v>20</v>
      </c>
      <c r="E5737" s="27"/>
      <c r="F5737" s="49" t="s">
        <v>522</v>
      </c>
      <c r="G5737" s="28" t="str">
        <f t="shared" si="108"/>
        <v/>
      </c>
      <c r="H5737" s="29"/>
      <c r="I5737" s="30"/>
      <c r="J5737" s="102">
        <v>0</v>
      </c>
    </row>
    <row r="5738" spans="1:10" hidden="1" x14ac:dyDescent="0.25">
      <c r="A5738" s="224"/>
      <c r="B5738" s="222"/>
      <c r="C5738" s="111"/>
      <c r="D5738" s="111"/>
      <c r="E5738" s="112"/>
      <c r="F5738" s="54" t="s">
        <v>522</v>
      </c>
      <c r="G5738" s="54" t="str">
        <f t="shared" si="108"/>
        <v/>
      </c>
      <c r="H5738" s="73"/>
      <c r="I5738" s="74"/>
      <c r="J5738" s="102">
        <v>0</v>
      </c>
    </row>
    <row r="5739" spans="1:10" ht="25.5" hidden="1" x14ac:dyDescent="0.25">
      <c r="A5739" s="224"/>
      <c r="B5739" s="222"/>
      <c r="C5739" s="36" t="s">
        <v>1747</v>
      </c>
      <c r="D5739" s="105" t="s">
        <v>20</v>
      </c>
      <c r="E5739" s="106">
        <v>1</v>
      </c>
      <c r="F5739" s="31">
        <v>5.13</v>
      </c>
      <c r="G5739" s="54">
        <f t="shared" si="108"/>
        <v>5.13</v>
      </c>
      <c r="H5739" s="39">
        <f>SUM(G5739:G5739)</f>
        <v>5.13</v>
      </c>
      <c r="I5739" s="40"/>
      <c r="J5739" s="102">
        <v>0</v>
      </c>
    </row>
    <row r="5740" spans="1:10" ht="15.75" hidden="1" thickBot="1" x14ac:dyDescent="0.3">
      <c r="A5740" s="225"/>
      <c r="B5740" s="223"/>
      <c r="C5740" s="55"/>
      <c r="D5740" s="108"/>
      <c r="E5740" s="66"/>
      <c r="F5740" s="76" t="s">
        <v>522</v>
      </c>
      <c r="G5740" s="76" t="str">
        <f t="shared" si="108"/>
        <v/>
      </c>
      <c r="H5740" s="77"/>
      <c r="I5740" s="74"/>
      <c r="J5740" s="102">
        <v>0</v>
      </c>
    </row>
    <row r="5741" spans="1:10" ht="15.75" hidden="1" thickBot="1" x14ac:dyDescent="0.3">
      <c r="A5741" s="218" t="s">
        <v>2142</v>
      </c>
      <c r="B5741" s="221" t="e">
        <f>INDEX(#REF!,MATCH(Composições!A5741,#REF!,0),2)</f>
        <v>#REF!</v>
      </c>
      <c r="C5741" s="41"/>
      <c r="D5741" s="26" t="s">
        <v>20</v>
      </c>
      <c r="E5741" s="27"/>
      <c r="F5741" s="49" t="s">
        <v>522</v>
      </c>
      <c r="G5741" s="28" t="str">
        <f t="shared" si="108"/>
        <v/>
      </c>
      <c r="H5741" s="29"/>
      <c r="I5741" s="30"/>
      <c r="J5741" s="102">
        <v>0</v>
      </c>
    </row>
    <row r="5742" spans="1:10" hidden="1" x14ac:dyDescent="0.25">
      <c r="A5742" s="224"/>
      <c r="B5742" s="222"/>
      <c r="C5742" s="111"/>
      <c r="D5742" s="111"/>
      <c r="E5742" s="112"/>
      <c r="F5742" s="54" t="s">
        <v>522</v>
      </c>
      <c r="G5742" s="54" t="str">
        <f t="shared" si="108"/>
        <v/>
      </c>
      <c r="H5742" s="73"/>
      <c r="I5742" s="74"/>
      <c r="J5742" s="102">
        <v>0</v>
      </c>
    </row>
    <row r="5743" spans="1:10" ht="38.25" hidden="1" x14ac:dyDescent="0.25">
      <c r="A5743" s="224"/>
      <c r="B5743" s="222"/>
      <c r="C5743" s="36" t="s">
        <v>1737</v>
      </c>
      <c r="D5743" s="105" t="s">
        <v>20</v>
      </c>
      <c r="E5743" s="106">
        <v>1</v>
      </c>
      <c r="F5743" s="31">
        <v>2.0234999999999999</v>
      </c>
      <c r="G5743" s="54">
        <f t="shared" si="108"/>
        <v>2.0234999999999999</v>
      </c>
      <c r="H5743" s="39">
        <f>SUM(G5743:G5743)</f>
        <v>2.0234999999999999</v>
      </c>
      <c r="I5743" s="40"/>
      <c r="J5743" s="102">
        <v>0</v>
      </c>
    </row>
    <row r="5744" spans="1:10" ht="15.75" hidden="1" thickBot="1" x14ac:dyDescent="0.3">
      <c r="A5744" s="225"/>
      <c r="B5744" s="223"/>
      <c r="C5744" s="55"/>
      <c r="D5744" s="108"/>
      <c r="E5744" s="66"/>
      <c r="F5744" s="76" t="s">
        <v>522</v>
      </c>
      <c r="G5744" s="76" t="str">
        <f t="shared" si="108"/>
        <v/>
      </c>
      <c r="H5744" s="77"/>
      <c r="I5744" s="74"/>
      <c r="J5744" s="102">
        <v>0</v>
      </c>
    </row>
    <row r="5745" spans="1:10" ht="15.75" hidden="1" thickBot="1" x14ac:dyDescent="0.3">
      <c r="A5745" s="218" t="s">
        <v>2143</v>
      </c>
      <c r="B5745" s="221" t="e">
        <f>INDEX(#REF!,MATCH(Composições!A5745,#REF!,0),2)</f>
        <v>#REF!</v>
      </c>
      <c r="C5745" s="41"/>
      <c r="D5745" s="26" t="s">
        <v>20</v>
      </c>
      <c r="E5745" s="27"/>
      <c r="F5745" s="49" t="s">
        <v>522</v>
      </c>
      <c r="G5745" s="28" t="str">
        <f t="shared" si="108"/>
        <v/>
      </c>
      <c r="H5745" s="29"/>
      <c r="I5745" s="30"/>
      <c r="J5745" s="102">
        <v>0</v>
      </c>
    </row>
    <row r="5746" spans="1:10" hidden="1" x14ac:dyDescent="0.25">
      <c r="A5746" s="224"/>
      <c r="B5746" s="222"/>
      <c r="C5746" s="111"/>
      <c r="D5746" s="111"/>
      <c r="E5746" s="112"/>
      <c r="F5746" s="54" t="s">
        <v>522</v>
      </c>
      <c r="G5746" s="54" t="str">
        <f t="shared" si="108"/>
        <v/>
      </c>
      <c r="H5746" s="73"/>
      <c r="I5746" s="74"/>
      <c r="J5746" s="102">
        <v>0</v>
      </c>
    </row>
    <row r="5747" spans="1:10" ht="38.25" hidden="1" x14ac:dyDescent="0.25">
      <c r="A5747" s="224"/>
      <c r="B5747" s="222"/>
      <c r="C5747" s="36" t="s">
        <v>1730</v>
      </c>
      <c r="D5747" s="105" t="s">
        <v>20</v>
      </c>
      <c r="E5747" s="106">
        <v>1</v>
      </c>
      <c r="F5747" s="31">
        <v>9.5284999999999993</v>
      </c>
      <c r="G5747" s="54">
        <f t="shared" si="108"/>
        <v>9.5284999999999993</v>
      </c>
      <c r="H5747" s="39">
        <f>SUM(G5747:G5747)</f>
        <v>9.5284999999999993</v>
      </c>
      <c r="I5747" s="40"/>
      <c r="J5747" s="102">
        <v>0</v>
      </c>
    </row>
    <row r="5748" spans="1:10" ht="15.75" hidden="1" thickBot="1" x14ac:dyDescent="0.3">
      <c r="A5748" s="225"/>
      <c r="B5748" s="223"/>
      <c r="C5748" s="55"/>
      <c r="D5748" s="108"/>
      <c r="E5748" s="66"/>
      <c r="F5748" s="76" t="s">
        <v>522</v>
      </c>
      <c r="G5748" s="76" t="str">
        <f t="shared" si="108"/>
        <v/>
      </c>
      <c r="H5748" s="77"/>
      <c r="I5748" s="74"/>
      <c r="J5748" s="102">
        <v>0</v>
      </c>
    </row>
    <row r="5749" spans="1:10" ht="15.75" hidden="1" thickBot="1" x14ac:dyDescent="0.3">
      <c r="A5749" s="232" t="s">
        <v>2144</v>
      </c>
      <c r="B5749" s="221" t="e">
        <f>INDEX(#REF!,MATCH(Composições!A5749,#REF!,0),2)</f>
        <v>#REF!</v>
      </c>
      <c r="C5749" s="41"/>
      <c r="D5749" s="26" t="s">
        <v>20</v>
      </c>
      <c r="E5749" s="27"/>
      <c r="F5749" s="49" t="s">
        <v>522</v>
      </c>
      <c r="G5749" s="28" t="str">
        <f t="shared" si="108"/>
        <v/>
      </c>
      <c r="H5749" s="29"/>
      <c r="I5749" s="30"/>
      <c r="J5749" s="102">
        <v>0</v>
      </c>
    </row>
    <row r="5750" spans="1:10" hidden="1" x14ac:dyDescent="0.25">
      <c r="A5750" s="235"/>
      <c r="B5750" s="222"/>
      <c r="C5750" s="111"/>
      <c r="D5750" s="111"/>
      <c r="E5750" s="112"/>
      <c r="F5750" s="54" t="s">
        <v>522</v>
      </c>
      <c r="G5750" s="54" t="str">
        <f t="shared" si="108"/>
        <v/>
      </c>
      <c r="H5750" s="73"/>
      <c r="I5750" s="74"/>
      <c r="J5750" s="102">
        <v>0</v>
      </c>
    </row>
    <row r="5751" spans="1:10" ht="25.5" hidden="1" x14ac:dyDescent="0.25">
      <c r="A5751" s="235"/>
      <c r="B5751" s="222"/>
      <c r="C5751" s="36" t="s">
        <v>1784</v>
      </c>
      <c r="D5751" s="105" t="s">
        <v>20</v>
      </c>
      <c r="E5751" s="106">
        <v>1</v>
      </c>
      <c r="F5751" s="31">
        <v>2.1849999999999996</v>
      </c>
      <c r="G5751" s="54">
        <f t="shared" si="108"/>
        <v>2.1849999999999996</v>
      </c>
      <c r="H5751" s="39">
        <f>SUM(G5751:G5751)</f>
        <v>2.1849999999999996</v>
      </c>
      <c r="I5751" s="40"/>
      <c r="J5751" s="102">
        <v>0</v>
      </c>
    </row>
    <row r="5752" spans="1:10" ht="15.75" hidden="1" thickBot="1" x14ac:dyDescent="0.3">
      <c r="A5752" s="236"/>
      <c r="B5752" s="223"/>
      <c r="C5752" s="55"/>
      <c r="D5752" s="108"/>
      <c r="E5752" s="66"/>
      <c r="F5752" s="76" t="s">
        <v>522</v>
      </c>
      <c r="G5752" s="76" t="str">
        <f t="shared" si="108"/>
        <v/>
      </c>
      <c r="H5752" s="77"/>
      <c r="I5752" s="74"/>
      <c r="J5752" s="102">
        <v>0</v>
      </c>
    </row>
    <row r="5753" spans="1:10" ht="15.75" hidden="1" thickBot="1" x14ac:dyDescent="0.3">
      <c r="A5753" s="232" t="s">
        <v>2145</v>
      </c>
      <c r="B5753" s="221" t="e">
        <f>INDEX(#REF!,MATCH(Composições!A5753,#REF!,0),2)</f>
        <v>#REF!</v>
      </c>
      <c r="C5753" s="41"/>
      <c r="D5753" s="26" t="s">
        <v>20</v>
      </c>
      <c r="E5753" s="27"/>
      <c r="F5753" s="49" t="s">
        <v>522</v>
      </c>
      <c r="G5753" s="28" t="str">
        <f t="shared" si="108"/>
        <v/>
      </c>
      <c r="H5753" s="29"/>
      <c r="I5753" s="30"/>
      <c r="J5753" s="102">
        <v>0</v>
      </c>
    </row>
    <row r="5754" spans="1:10" hidden="1" x14ac:dyDescent="0.25">
      <c r="A5754" s="235"/>
      <c r="B5754" s="222"/>
      <c r="C5754" s="111"/>
      <c r="D5754" s="111"/>
      <c r="E5754" s="112"/>
      <c r="F5754" s="54" t="s">
        <v>522</v>
      </c>
      <c r="G5754" s="54" t="str">
        <f t="shared" si="108"/>
        <v/>
      </c>
      <c r="H5754" s="73"/>
      <c r="I5754" s="74"/>
      <c r="J5754" s="102">
        <v>0</v>
      </c>
    </row>
    <row r="5755" spans="1:10" ht="25.5" hidden="1" x14ac:dyDescent="0.25">
      <c r="A5755" s="235"/>
      <c r="B5755" s="222"/>
      <c r="C5755" s="36" t="s">
        <v>1748</v>
      </c>
      <c r="D5755" s="105" t="s">
        <v>20</v>
      </c>
      <c r="E5755" s="106">
        <v>1</v>
      </c>
      <c r="F5755" s="31">
        <v>5.8045</v>
      </c>
      <c r="G5755" s="54">
        <f t="shared" si="108"/>
        <v>5.8045</v>
      </c>
      <c r="H5755" s="39">
        <f>SUM(G5755:G5755)</f>
        <v>5.8045</v>
      </c>
      <c r="I5755" s="40"/>
      <c r="J5755" s="102">
        <v>0</v>
      </c>
    </row>
    <row r="5756" spans="1:10" ht="15.75" hidden="1" thickBot="1" x14ac:dyDescent="0.3">
      <c r="A5756" s="236"/>
      <c r="B5756" s="223"/>
      <c r="C5756" s="55"/>
      <c r="D5756" s="108"/>
      <c r="E5756" s="66"/>
      <c r="F5756" s="76" t="s">
        <v>522</v>
      </c>
      <c r="G5756" s="76" t="str">
        <f t="shared" si="108"/>
        <v/>
      </c>
      <c r="H5756" s="77"/>
      <c r="I5756" s="74"/>
      <c r="J5756" s="102">
        <v>0</v>
      </c>
    </row>
    <row r="5757" spans="1:10" ht="15.75" hidden="1" thickBot="1" x14ac:dyDescent="0.3">
      <c r="A5757" s="232" t="s">
        <v>2146</v>
      </c>
      <c r="B5757" s="221" t="e">
        <f>INDEX(#REF!,MATCH(Composições!A5757,#REF!,0),2)</f>
        <v>#REF!</v>
      </c>
      <c r="C5757" s="41"/>
      <c r="D5757" s="26" t="s">
        <v>20</v>
      </c>
      <c r="E5757" s="27"/>
      <c r="F5757" s="49" t="s">
        <v>522</v>
      </c>
      <c r="G5757" s="28" t="str">
        <f t="shared" si="108"/>
        <v/>
      </c>
      <c r="H5757" s="29"/>
      <c r="I5757" s="30"/>
      <c r="J5757" s="102">
        <v>0</v>
      </c>
    </row>
    <row r="5758" spans="1:10" hidden="1" x14ac:dyDescent="0.25">
      <c r="A5758" s="235"/>
      <c r="B5758" s="222"/>
      <c r="C5758" s="111"/>
      <c r="D5758" s="111"/>
      <c r="E5758" s="112"/>
      <c r="F5758" s="54" t="s">
        <v>522</v>
      </c>
      <c r="G5758" s="54" t="str">
        <f t="shared" si="108"/>
        <v/>
      </c>
      <c r="H5758" s="73"/>
      <c r="I5758" s="74"/>
      <c r="J5758" s="102">
        <v>0</v>
      </c>
    </row>
    <row r="5759" spans="1:10" ht="38.25" hidden="1" x14ac:dyDescent="0.25">
      <c r="A5759" s="235"/>
      <c r="B5759" s="222"/>
      <c r="C5759" s="36" t="s">
        <v>1735</v>
      </c>
      <c r="D5759" s="105" t="s">
        <v>20</v>
      </c>
      <c r="E5759" s="106">
        <v>1</v>
      </c>
      <c r="F5759" s="31">
        <v>3.6004999999999998</v>
      </c>
      <c r="G5759" s="54">
        <f t="shared" si="108"/>
        <v>3.6004999999999998</v>
      </c>
      <c r="H5759" s="39">
        <f>SUM(G5759:G5759)</f>
        <v>3.6004999999999998</v>
      </c>
      <c r="I5759" s="40"/>
      <c r="J5759" s="102">
        <v>0</v>
      </c>
    </row>
    <row r="5760" spans="1:10" ht="15.75" hidden="1" thickBot="1" x14ac:dyDescent="0.3">
      <c r="A5760" s="236"/>
      <c r="B5760" s="223"/>
      <c r="C5760" s="55"/>
      <c r="D5760" s="108"/>
      <c r="E5760" s="66"/>
      <c r="F5760" s="76" t="s">
        <v>522</v>
      </c>
      <c r="G5760" s="76" t="str">
        <f t="shared" si="108"/>
        <v/>
      </c>
      <c r="H5760" s="77"/>
      <c r="I5760" s="74"/>
      <c r="J5760" s="102">
        <v>0</v>
      </c>
    </row>
    <row r="5761" spans="1:10" ht="15.75" hidden="1" thickBot="1" x14ac:dyDescent="0.3">
      <c r="A5761" s="232" t="s">
        <v>2147</v>
      </c>
      <c r="B5761" s="221" t="e">
        <f>INDEX(#REF!,MATCH(Composições!A5761,#REF!,0),2)</f>
        <v>#REF!</v>
      </c>
      <c r="C5761" s="41"/>
      <c r="D5761" s="26" t="s">
        <v>20</v>
      </c>
      <c r="E5761" s="27"/>
      <c r="F5761" s="49" t="s">
        <v>522</v>
      </c>
      <c r="G5761" s="28" t="str">
        <f t="shared" si="108"/>
        <v/>
      </c>
      <c r="H5761" s="29"/>
      <c r="I5761" s="30"/>
      <c r="J5761" s="102">
        <v>0</v>
      </c>
    </row>
    <row r="5762" spans="1:10" hidden="1" x14ac:dyDescent="0.25">
      <c r="A5762" s="235"/>
      <c r="B5762" s="222"/>
      <c r="C5762" s="111"/>
      <c r="D5762" s="111"/>
      <c r="E5762" s="112"/>
      <c r="F5762" s="54" t="s">
        <v>522</v>
      </c>
      <c r="G5762" s="54" t="str">
        <f t="shared" si="108"/>
        <v/>
      </c>
      <c r="H5762" s="73"/>
      <c r="I5762" s="74"/>
      <c r="J5762" s="102">
        <v>0</v>
      </c>
    </row>
    <row r="5763" spans="1:10" ht="38.25" hidden="1" x14ac:dyDescent="0.25">
      <c r="A5763" s="235"/>
      <c r="B5763" s="222"/>
      <c r="C5763" s="36" t="s">
        <v>1727</v>
      </c>
      <c r="D5763" s="105" t="s">
        <v>20</v>
      </c>
      <c r="E5763" s="106">
        <v>1</v>
      </c>
      <c r="F5763" s="31">
        <v>11.4475</v>
      </c>
      <c r="G5763" s="54">
        <f t="shared" si="108"/>
        <v>11.4475</v>
      </c>
      <c r="H5763" s="39">
        <f>SUM(G5763:G5763)</f>
        <v>11.4475</v>
      </c>
      <c r="I5763" s="40"/>
      <c r="J5763" s="102">
        <v>0</v>
      </c>
    </row>
    <row r="5764" spans="1:10" ht="15.75" hidden="1" thickBot="1" x14ac:dyDescent="0.3">
      <c r="A5764" s="236"/>
      <c r="B5764" s="223"/>
      <c r="C5764" s="55"/>
      <c r="D5764" s="108"/>
      <c r="E5764" s="66"/>
      <c r="F5764" s="76" t="s">
        <v>522</v>
      </c>
      <c r="G5764" s="76" t="str">
        <f t="shared" si="108"/>
        <v/>
      </c>
      <c r="H5764" s="77"/>
      <c r="I5764" s="74"/>
      <c r="J5764" s="102">
        <v>0</v>
      </c>
    </row>
    <row r="5765" spans="1:10" ht="15.75" hidden="1" thickBot="1" x14ac:dyDescent="0.3">
      <c r="A5765" s="232" t="s">
        <v>2148</v>
      </c>
      <c r="B5765" s="221" t="e">
        <f>INDEX(#REF!,MATCH(Composições!A5765,#REF!,0),2)</f>
        <v>#REF!</v>
      </c>
      <c r="C5765" s="41"/>
      <c r="D5765" s="26" t="s">
        <v>20</v>
      </c>
      <c r="E5765" s="27"/>
      <c r="F5765" s="49" t="s">
        <v>522</v>
      </c>
      <c r="G5765" s="28" t="str">
        <f t="shared" si="108"/>
        <v/>
      </c>
      <c r="H5765" s="29"/>
      <c r="I5765" s="30"/>
      <c r="J5765" s="102">
        <v>0</v>
      </c>
    </row>
    <row r="5766" spans="1:10" hidden="1" x14ac:dyDescent="0.25">
      <c r="A5766" s="235"/>
      <c r="B5766" s="222"/>
      <c r="C5766" s="111"/>
      <c r="D5766" s="111"/>
      <c r="E5766" s="112"/>
      <c r="F5766" s="54" t="s">
        <v>522</v>
      </c>
      <c r="G5766" s="54" t="str">
        <f t="shared" si="108"/>
        <v/>
      </c>
      <c r="H5766" s="73"/>
      <c r="I5766" s="74"/>
      <c r="J5766" s="102">
        <v>0</v>
      </c>
    </row>
    <row r="5767" spans="1:10" ht="25.5" hidden="1" x14ac:dyDescent="0.25">
      <c r="A5767" s="235"/>
      <c r="B5767" s="222"/>
      <c r="C5767" s="36" t="s">
        <v>1785</v>
      </c>
      <c r="D5767" s="105" t="s">
        <v>20</v>
      </c>
      <c r="E5767" s="106">
        <v>1</v>
      </c>
      <c r="F5767" s="31">
        <v>2.5459999999999998</v>
      </c>
      <c r="G5767" s="54">
        <f t="shared" si="108"/>
        <v>2.5459999999999998</v>
      </c>
      <c r="H5767" s="39">
        <f>SUM(G5767:G5767)</f>
        <v>2.5459999999999998</v>
      </c>
      <c r="I5767" s="40"/>
      <c r="J5767" s="102">
        <v>0</v>
      </c>
    </row>
    <row r="5768" spans="1:10" ht="15.75" hidden="1" thickBot="1" x14ac:dyDescent="0.3">
      <c r="A5768" s="236"/>
      <c r="B5768" s="223"/>
      <c r="C5768" s="55"/>
      <c r="D5768" s="108"/>
      <c r="E5768" s="66"/>
      <c r="F5768" s="76" t="s">
        <v>522</v>
      </c>
      <c r="G5768" s="76" t="str">
        <f t="shared" si="108"/>
        <v/>
      </c>
      <c r="H5768" s="77"/>
      <c r="I5768" s="74"/>
      <c r="J5768" s="102">
        <v>0</v>
      </c>
    </row>
    <row r="5769" spans="1:10" ht="15.75" hidden="1" thickBot="1" x14ac:dyDescent="0.3">
      <c r="A5769" s="232" t="s">
        <v>2149</v>
      </c>
      <c r="B5769" s="221" t="e">
        <f>INDEX(#REF!,MATCH(Composições!A5769,#REF!,0),2)</f>
        <v>#REF!</v>
      </c>
      <c r="C5769" s="41"/>
      <c r="D5769" s="26" t="s">
        <v>20</v>
      </c>
      <c r="E5769" s="27"/>
      <c r="F5769" s="49" t="s">
        <v>522</v>
      </c>
      <c r="G5769" s="28" t="str">
        <f t="shared" si="108"/>
        <v/>
      </c>
      <c r="H5769" s="29"/>
      <c r="I5769" s="30"/>
      <c r="J5769" s="102">
        <v>0</v>
      </c>
    </row>
    <row r="5770" spans="1:10" hidden="1" x14ac:dyDescent="0.25">
      <c r="A5770" s="235"/>
      <c r="B5770" s="222"/>
      <c r="C5770" s="111"/>
      <c r="D5770" s="111"/>
      <c r="E5770" s="112"/>
      <c r="F5770" s="54" t="s">
        <v>522</v>
      </c>
      <c r="G5770" s="54" t="str">
        <f t="shared" si="108"/>
        <v/>
      </c>
      <c r="H5770" s="73"/>
      <c r="I5770" s="74"/>
      <c r="J5770" s="102">
        <v>0</v>
      </c>
    </row>
    <row r="5771" spans="1:10" ht="25.5" hidden="1" x14ac:dyDescent="0.25">
      <c r="A5771" s="235"/>
      <c r="B5771" s="222"/>
      <c r="C5771" s="36" t="s">
        <v>1749</v>
      </c>
      <c r="D5771" s="105" t="s">
        <v>20</v>
      </c>
      <c r="E5771" s="106">
        <v>1</v>
      </c>
      <c r="F5771" s="31">
        <v>7.8850000000000007</v>
      </c>
      <c r="G5771" s="54">
        <f t="shared" si="108"/>
        <v>7.8850000000000007</v>
      </c>
      <c r="H5771" s="39">
        <f>SUM(G5771:G5771)</f>
        <v>7.8850000000000007</v>
      </c>
      <c r="I5771" s="40"/>
      <c r="J5771" s="102">
        <v>0</v>
      </c>
    </row>
    <row r="5772" spans="1:10" ht="15.75" hidden="1" thickBot="1" x14ac:dyDescent="0.3">
      <c r="A5772" s="236"/>
      <c r="B5772" s="223"/>
      <c r="C5772" s="55"/>
      <c r="D5772" s="108"/>
      <c r="E5772" s="66"/>
      <c r="F5772" s="76" t="s">
        <v>522</v>
      </c>
      <c r="G5772" s="76" t="str">
        <f t="shared" si="108"/>
        <v/>
      </c>
      <c r="H5772" s="77"/>
      <c r="I5772" s="74"/>
      <c r="J5772" s="102">
        <v>0</v>
      </c>
    </row>
    <row r="5773" spans="1:10" ht="15.75" hidden="1" thickBot="1" x14ac:dyDescent="0.3">
      <c r="A5773" s="232" t="s">
        <v>2150</v>
      </c>
      <c r="B5773" s="221" t="e">
        <f>INDEX(#REF!,MATCH(Composições!A5773,#REF!,0),2)</f>
        <v>#REF!</v>
      </c>
      <c r="C5773" s="41"/>
      <c r="D5773" s="26" t="s">
        <v>20</v>
      </c>
      <c r="E5773" s="27"/>
      <c r="F5773" s="49" t="s">
        <v>522</v>
      </c>
      <c r="G5773" s="28" t="str">
        <f t="shared" si="108"/>
        <v/>
      </c>
      <c r="H5773" s="29"/>
      <c r="I5773" s="30"/>
      <c r="J5773" s="102">
        <v>0</v>
      </c>
    </row>
    <row r="5774" spans="1:10" hidden="1" x14ac:dyDescent="0.25">
      <c r="A5774" s="235"/>
      <c r="B5774" s="222"/>
      <c r="C5774" s="111"/>
      <c r="D5774" s="111"/>
      <c r="E5774" s="112"/>
      <c r="F5774" s="54" t="s">
        <v>522</v>
      </c>
      <c r="G5774" s="54" t="str">
        <f t="shared" si="108"/>
        <v/>
      </c>
      <c r="H5774" s="73"/>
      <c r="I5774" s="74"/>
      <c r="J5774" s="102">
        <v>0</v>
      </c>
    </row>
    <row r="5775" spans="1:10" ht="38.25" hidden="1" x14ac:dyDescent="0.25">
      <c r="A5775" s="235"/>
      <c r="B5775" s="222"/>
      <c r="C5775" s="36" t="s">
        <v>1734</v>
      </c>
      <c r="D5775" s="105" t="s">
        <v>20</v>
      </c>
      <c r="E5775" s="106">
        <v>1</v>
      </c>
      <c r="F5775" s="31">
        <v>5.0540000000000003</v>
      </c>
      <c r="G5775" s="54">
        <f t="shared" si="108"/>
        <v>5.0540000000000003</v>
      </c>
      <c r="H5775" s="39">
        <f>SUM(G5775:G5775)</f>
        <v>5.0540000000000003</v>
      </c>
      <c r="I5775" s="40"/>
      <c r="J5775" s="102">
        <v>0</v>
      </c>
    </row>
    <row r="5776" spans="1:10" ht="15.75" hidden="1" thickBot="1" x14ac:dyDescent="0.3">
      <c r="A5776" s="236"/>
      <c r="B5776" s="223"/>
      <c r="C5776" s="55"/>
      <c r="D5776" s="108"/>
      <c r="E5776" s="66"/>
      <c r="F5776" s="76" t="s">
        <v>522</v>
      </c>
      <c r="G5776" s="76" t="str">
        <f t="shared" si="108"/>
        <v/>
      </c>
      <c r="H5776" s="77"/>
      <c r="I5776" s="74"/>
      <c r="J5776" s="102">
        <v>0</v>
      </c>
    </row>
    <row r="5777" spans="1:10" ht="15.75" hidden="1" thickBot="1" x14ac:dyDescent="0.3">
      <c r="A5777" s="232" t="s">
        <v>2151</v>
      </c>
      <c r="B5777" s="221" t="e">
        <f>INDEX(#REF!,MATCH(Composições!A5777,#REF!,0),2)</f>
        <v>#REF!</v>
      </c>
      <c r="C5777" s="41"/>
      <c r="D5777" s="26" t="s">
        <v>20</v>
      </c>
      <c r="E5777" s="27"/>
      <c r="F5777" s="49" t="s">
        <v>522</v>
      </c>
      <c r="G5777" s="28" t="str">
        <f t="shared" si="108"/>
        <v/>
      </c>
      <c r="H5777" s="29"/>
      <c r="I5777" s="30"/>
      <c r="J5777" s="102">
        <v>0</v>
      </c>
    </row>
    <row r="5778" spans="1:10" hidden="1" x14ac:dyDescent="0.25">
      <c r="A5778" s="235"/>
      <c r="B5778" s="222"/>
      <c r="C5778" s="111"/>
      <c r="D5778" s="111"/>
      <c r="E5778" s="112"/>
      <c r="F5778" s="54" t="s">
        <v>522</v>
      </c>
      <c r="G5778" s="54" t="str">
        <f t="shared" si="108"/>
        <v/>
      </c>
      <c r="H5778" s="73"/>
      <c r="I5778" s="74"/>
      <c r="J5778" s="102">
        <v>0</v>
      </c>
    </row>
    <row r="5779" spans="1:10" ht="38.25" hidden="1" x14ac:dyDescent="0.25">
      <c r="A5779" s="235"/>
      <c r="B5779" s="222"/>
      <c r="C5779" s="36" t="s">
        <v>1726</v>
      </c>
      <c r="D5779" s="105" t="s">
        <v>20</v>
      </c>
      <c r="E5779" s="106">
        <v>1</v>
      </c>
      <c r="F5779" s="31">
        <v>14.25</v>
      </c>
      <c r="G5779" s="54">
        <f t="shared" si="108"/>
        <v>14.25</v>
      </c>
      <c r="H5779" s="39">
        <f>SUM(G5779:G5779)</f>
        <v>14.25</v>
      </c>
      <c r="I5779" s="40"/>
      <c r="J5779" s="102">
        <v>0</v>
      </c>
    </row>
    <row r="5780" spans="1:10" ht="15.75" hidden="1" thickBot="1" x14ac:dyDescent="0.3">
      <c r="A5780" s="236"/>
      <c r="B5780" s="223"/>
      <c r="C5780" s="55"/>
      <c r="D5780" s="108"/>
      <c r="E5780" s="66"/>
      <c r="F5780" s="76" t="s">
        <v>522</v>
      </c>
      <c r="G5780" s="76" t="str">
        <f t="shared" si="108"/>
        <v/>
      </c>
      <c r="H5780" s="77"/>
      <c r="I5780" s="74"/>
      <c r="J5780" s="102">
        <v>0</v>
      </c>
    </row>
    <row r="5781" spans="1:10" ht="15.75" hidden="1" thickBot="1" x14ac:dyDescent="0.3">
      <c r="A5781" s="232" t="s">
        <v>2152</v>
      </c>
      <c r="B5781" s="221" t="e">
        <f>INDEX(#REF!,MATCH(Composições!A5781,#REF!,0),2)</f>
        <v>#REF!</v>
      </c>
      <c r="C5781" s="41"/>
      <c r="D5781" s="26" t="s">
        <v>20</v>
      </c>
      <c r="E5781" s="27"/>
      <c r="F5781" s="49" t="s">
        <v>522</v>
      </c>
      <c r="G5781" s="28" t="str">
        <f t="shared" si="108"/>
        <v/>
      </c>
      <c r="H5781" s="29"/>
      <c r="I5781" s="30"/>
      <c r="J5781" s="102">
        <v>0</v>
      </c>
    </row>
    <row r="5782" spans="1:10" hidden="1" x14ac:dyDescent="0.25">
      <c r="A5782" s="235"/>
      <c r="B5782" s="222"/>
      <c r="C5782" s="111"/>
      <c r="D5782" s="111"/>
      <c r="E5782" s="112"/>
      <c r="F5782" s="54" t="s">
        <v>522</v>
      </c>
      <c r="G5782" s="54" t="str">
        <f t="shared" si="108"/>
        <v/>
      </c>
      <c r="H5782" s="73"/>
      <c r="I5782" s="74"/>
      <c r="J5782" s="102">
        <v>0</v>
      </c>
    </row>
    <row r="5783" spans="1:10" ht="25.5" hidden="1" x14ac:dyDescent="0.25">
      <c r="A5783" s="235"/>
      <c r="B5783" s="222"/>
      <c r="C5783" s="36" t="s">
        <v>1786</v>
      </c>
      <c r="D5783" s="105" t="s">
        <v>20</v>
      </c>
      <c r="E5783" s="106">
        <v>1</v>
      </c>
      <c r="F5783" s="31">
        <v>4.5125000000000002</v>
      </c>
      <c r="G5783" s="54">
        <f t="shared" si="108"/>
        <v>4.5125000000000002</v>
      </c>
      <c r="H5783" s="39">
        <f>SUM(G5783:G5783)</f>
        <v>4.5125000000000002</v>
      </c>
      <c r="I5783" s="40"/>
      <c r="J5783" s="102">
        <v>0</v>
      </c>
    </row>
    <row r="5784" spans="1:10" ht="15.75" hidden="1" thickBot="1" x14ac:dyDescent="0.3">
      <c r="A5784" s="236"/>
      <c r="B5784" s="223"/>
      <c r="C5784" s="55"/>
      <c r="D5784" s="108"/>
      <c r="E5784" s="66"/>
      <c r="F5784" s="76" t="s">
        <v>522</v>
      </c>
      <c r="G5784" s="76" t="str">
        <f t="shared" si="108"/>
        <v/>
      </c>
      <c r="H5784" s="77"/>
      <c r="I5784" s="74"/>
      <c r="J5784" s="102">
        <v>0</v>
      </c>
    </row>
    <row r="5785" spans="1:10" ht="15.75" hidden="1" thickBot="1" x14ac:dyDescent="0.3">
      <c r="A5785" s="232" t="s">
        <v>2153</v>
      </c>
      <c r="B5785" s="221" t="e">
        <f>INDEX(#REF!,MATCH(Composições!A5785,#REF!,0),2)</f>
        <v>#REF!</v>
      </c>
      <c r="C5785" s="41"/>
      <c r="D5785" s="26" t="s">
        <v>20</v>
      </c>
      <c r="E5785" s="27"/>
      <c r="F5785" s="49" t="s">
        <v>522</v>
      </c>
      <c r="G5785" s="28" t="str">
        <f t="shared" si="108"/>
        <v/>
      </c>
      <c r="H5785" s="29"/>
      <c r="I5785" s="30"/>
      <c r="J5785" s="102">
        <v>0</v>
      </c>
    </row>
    <row r="5786" spans="1:10" hidden="1" x14ac:dyDescent="0.25">
      <c r="A5786" s="235"/>
      <c r="B5786" s="222"/>
      <c r="C5786" s="111"/>
      <c r="D5786" s="111"/>
      <c r="E5786" s="112"/>
      <c r="F5786" s="54" t="s">
        <v>522</v>
      </c>
      <c r="G5786" s="54" t="str">
        <f t="shared" si="108"/>
        <v/>
      </c>
      <c r="H5786" s="73"/>
      <c r="I5786" s="74"/>
      <c r="J5786" s="102">
        <v>0</v>
      </c>
    </row>
    <row r="5787" spans="1:10" ht="25.5" hidden="1" x14ac:dyDescent="0.25">
      <c r="A5787" s="235"/>
      <c r="B5787" s="222"/>
      <c r="C5787" s="36" t="s">
        <v>1750</v>
      </c>
      <c r="D5787" s="105" t="s">
        <v>20</v>
      </c>
      <c r="E5787" s="106">
        <v>1</v>
      </c>
      <c r="F5787" s="31">
        <v>17.954999999999998</v>
      </c>
      <c r="G5787" s="54">
        <f t="shared" si="108"/>
        <v>17.954999999999998</v>
      </c>
      <c r="H5787" s="39">
        <f>SUM(G5787:G5787)</f>
        <v>17.954999999999998</v>
      </c>
      <c r="I5787" s="40"/>
      <c r="J5787" s="102">
        <v>0</v>
      </c>
    </row>
    <row r="5788" spans="1:10" ht="15.75" hidden="1" thickBot="1" x14ac:dyDescent="0.3">
      <c r="A5788" s="236"/>
      <c r="B5788" s="223"/>
      <c r="C5788" s="55"/>
      <c r="D5788" s="108"/>
      <c r="E5788" s="66"/>
      <c r="F5788" s="76" t="s">
        <v>522</v>
      </c>
      <c r="G5788" s="76" t="str">
        <f t="shared" si="108"/>
        <v/>
      </c>
      <c r="H5788" s="77"/>
      <c r="I5788" s="74"/>
      <c r="J5788" s="102">
        <v>0</v>
      </c>
    </row>
    <row r="5789" spans="1:10" ht="15.75" hidden="1" thickBot="1" x14ac:dyDescent="0.3">
      <c r="A5789" s="232" t="s">
        <v>2154</v>
      </c>
      <c r="B5789" s="221" t="e">
        <f>INDEX(#REF!,MATCH(Composições!A5789,#REF!,0),2)</f>
        <v>#REF!</v>
      </c>
      <c r="C5789" s="41"/>
      <c r="D5789" s="26" t="s">
        <v>20</v>
      </c>
      <c r="E5789" s="27"/>
      <c r="F5789" s="49" t="s">
        <v>522</v>
      </c>
      <c r="G5789" s="28" t="str">
        <f t="shared" si="108"/>
        <v/>
      </c>
      <c r="H5789" s="29"/>
      <c r="I5789" s="30"/>
      <c r="J5789" s="102">
        <v>0</v>
      </c>
    </row>
    <row r="5790" spans="1:10" hidden="1" x14ac:dyDescent="0.25">
      <c r="A5790" s="235"/>
      <c r="B5790" s="222"/>
      <c r="C5790" s="111"/>
      <c r="D5790" s="111"/>
      <c r="E5790" s="112"/>
      <c r="F5790" s="54" t="s">
        <v>522</v>
      </c>
      <c r="G5790" s="54" t="str">
        <f t="shared" ref="G5790:G5853" si="109">IF(ISNUMBER(F5790),E5790*F5790,"")</f>
        <v/>
      </c>
      <c r="H5790" s="73"/>
      <c r="I5790" s="74"/>
      <c r="J5790" s="102">
        <v>0</v>
      </c>
    </row>
    <row r="5791" spans="1:10" ht="38.25" hidden="1" x14ac:dyDescent="0.25">
      <c r="A5791" s="235"/>
      <c r="B5791" s="222"/>
      <c r="C5791" s="36" t="s">
        <v>1733</v>
      </c>
      <c r="D5791" s="105" t="s">
        <v>20</v>
      </c>
      <c r="E5791" s="106">
        <v>1</v>
      </c>
      <c r="F5791" s="31">
        <v>7.8944999999999999</v>
      </c>
      <c r="G5791" s="54">
        <f t="shared" si="109"/>
        <v>7.8944999999999999</v>
      </c>
      <c r="H5791" s="39">
        <f>SUM(G5791:G5791)</f>
        <v>7.8944999999999999</v>
      </c>
      <c r="I5791" s="40"/>
      <c r="J5791" s="102">
        <v>0</v>
      </c>
    </row>
    <row r="5792" spans="1:10" ht="15.75" hidden="1" thickBot="1" x14ac:dyDescent="0.3">
      <c r="A5792" s="236"/>
      <c r="B5792" s="223"/>
      <c r="C5792" s="55"/>
      <c r="D5792" s="108"/>
      <c r="E5792" s="66"/>
      <c r="F5792" s="76" t="s">
        <v>522</v>
      </c>
      <c r="G5792" s="76" t="str">
        <f t="shared" si="109"/>
        <v/>
      </c>
      <c r="H5792" s="77"/>
      <c r="I5792" s="74"/>
      <c r="J5792" s="102">
        <v>0</v>
      </c>
    </row>
    <row r="5793" spans="1:10" ht="15.75" hidden="1" thickBot="1" x14ac:dyDescent="0.3">
      <c r="A5793" s="232" t="s">
        <v>2155</v>
      </c>
      <c r="B5793" s="221" t="e">
        <f>INDEX(#REF!,MATCH(Composições!A5793,#REF!,0),2)</f>
        <v>#REF!</v>
      </c>
      <c r="C5793" s="41"/>
      <c r="D5793" s="26" t="s">
        <v>20</v>
      </c>
      <c r="E5793" s="27"/>
      <c r="F5793" s="49" t="s">
        <v>522</v>
      </c>
      <c r="G5793" s="28" t="str">
        <f t="shared" si="109"/>
        <v/>
      </c>
      <c r="H5793" s="29"/>
      <c r="I5793" s="30"/>
      <c r="J5793" s="102">
        <v>0</v>
      </c>
    </row>
    <row r="5794" spans="1:10" hidden="1" x14ac:dyDescent="0.25">
      <c r="A5794" s="235"/>
      <c r="B5794" s="222"/>
      <c r="C5794" s="111"/>
      <c r="D5794" s="111"/>
      <c r="E5794" s="112"/>
      <c r="F5794" s="54" t="s">
        <v>522</v>
      </c>
      <c r="G5794" s="54" t="str">
        <f t="shared" si="109"/>
        <v/>
      </c>
      <c r="H5794" s="73"/>
      <c r="I5794" s="74"/>
      <c r="J5794" s="102">
        <v>0</v>
      </c>
    </row>
    <row r="5795" spans="1:10" ht="38.25" hidden="1" x14ac:dyDescent="0.25">
      <c r="A5795" s="235"/>
      <c r="B5795" s="222"/>
      <c r="C5795" s="36" t="s">
        <v>1725</v>
      </c>
      <c r="D5795" s="105" t="s">
        <v>20</v>
      </c>
      <c r="E5795" s="106">
        <v>1</v>
      </c>
      <c r="F5795" s="31">
        <v>22.058999999999997</v>
      </c>
      <c r="G5795" s="54">
        <f t="shared" si="109"/>
        <v>22.058999999999997</v>
      </c>
      <c r="H5795" s="39">
        <f>SUM(G5795:G5795)</f>
        <v>22.058999999999997</v>
      </c>
      <c r="I5795" s="40"/>
      <c r="J5795" s="102">
        <v>0</v>
      </c>
    </row>
    <row r="5796" spans="1:10" ht="15.75" hidden="1" thickBot="1" x14ac:dyDescent="0.3">
      <c r="A5796" s="236"/>
      <c r="B5796" s="223"/>
      <c r="C5796" s="55"/>
      <c r="D5796" s="108"/>
      <c r="E5796" s="66"/>
      <c r="F5796" s="76" t="s">
        <v>522</v>
      </c>
      <c r="G5796" s="76" t="str">
        <f t="shared" si="109"/>
        <v/>
      </c>
      <c r="H5796" s="77"/>
      <c r="I5796" s="74"/>
      <c r="J5796" s="102">
        <v>0</v>
      </c>
    </row>
    <row r="5797" spans="1:10" ht="15.75" hidden="1" thickBot="1" x14ac:dyDescent="0.3">
      <c r="A5797" s="232" t="s">
        <v>2156</v>
      </c>
      <c r="B5797" s="221" t="e">
        <f>INDEX(#REF!,MATCH(Composições!A5797,#REF!,0),2)</f>
        <v>#REF!</v>
      </c>
      <c r="C5797" s="41"/>
      <c r="D5797" s="26" t="s">
        <v>20</v>
      </c>
      <c r="E5797" s="27"/>
      <c r="F5797" s="49" t="s">
        <v>522</v>
      </c>
      <c r="G5797" s="28" t="str">
        <f t="shared" si="109"/>
        <v/>
      </c>
      <c r="H5797" s="29"/>
      <c r="I5797" s="30"/>
      <c r="J5797" s="102">
        <v>0</v>
      </c>
    </row>
    <row r="5798" spans="1:10" hidden="1" x14ac:dyDescent="0.25">
      <c r="A5798" s="235"/>
      <c r="B5798" s="222"/>
      <c r="C5798" s="111"/>
      <c r="D5798" s="111"/>
      <c r="E5798" s="112"/>
      <c r="F5798" s="54" t="s">
        <v>522</v>
      </c>
      <c r="G5798" s="54" t="str">
        <f t="shared" si="109"/>
        <v/>
      </c>
      <c r="H5798" s="73"/>
      <c r="I5798" s="74"/>
      <c r="J5798" s="102">
        <v>0</v>
      </c>
    </row>
    <row r="5799" spans="1:10" ht="25.5" hidden="1" x14ac:dyDescent="0.25">
      <c r="A5799" s="235"/>
      <c r="B5799" s="222"/>
      <c r="C5799" s="36" t="s">
        <v>1787</v>
      </c>
      <c r="D5799" s="105" t="s">
        <v>20</v>
      </c>
      <c r="E5799" s="106">
        <v>1</v>
      </c>
      <c r="F5799" s="31">
        <v>6.5264999999999995</v>
      </c>
      <c r="G5799" s="54">
        <f t="shared" si="109"/>
        <v>6.5264999999999995</v>
      </c>
      <c r="H5799" s="39">
        <f>SUM(G5799:G5799)</f>
        <v>6.5264999999999995</v>
      </c>
      <c r="I5799" s="40"/>
      <c r="J5799" s="102">
        <v>0</v>
      </c>
    </row>
    <row r="5800" spans="1:10" ht="15.75" hidden="1" thickBot="1" x14ac:dyDescent="0.3">
      <c r="A5800" s="236"/>
      <c r="B5800" s="223"/>
      <c r="C5800" s="55"/>
      <c r="D5800" s="108"/>
      <c r="E5800" s="66"/>
      <c r="F5800" s="76" t="s">
        <v>522</v>
      </c>
      <c r="G5800" s="76" t="str">
        <f t="shared" si="109"/>
        <v/>
      </c>
      <c r="H5800" s="77"/>
      <c r="I5800" s="74"/>
      <c r="J5800" s="102">
        <v>0</v>
      </c>
    </row>
    <row r="5801" spans="1:10" ht="15.75" hidden="1" thickBot="1" x14ac:dyDescent="0.3">
      <c r="A5801" s="232" t="s">
        <v>2157</v>
      </c>
      <c r="B5801" s="221" t="e">
        <f>INDEX(#REF!,MATCH(Composições!A5673,#REF!,0),2)</f>
        <v>#REF!</v>
      </c>
      <c r="C5801" s="41"/>
      <c r="D5801" s="26" t="s">
        <v>20</v>
      </c>
      <c r="E5801" s="27"/>
      <c r="F5801" s="49" t="s">
        <v>522</v>
      </c>
      <c r="G5801" s="28" t="str">
        <f t="shared" si="109"/>
        <v/>
      </c>
      <c r="H5801" s="29"/>
      <c r="I5801" s="30"/>
      <c r="J5801" s="102">
        <v>0</v>
      </c>
    </row>
    <row r="5802" spans="1:10" hidden="1" x14ac:dyDescent="0.25">
      <c r="A5802" s="235"/>
      <c r="B5802" s="222"/>
      <c r="C5802" s="111"/>
      <c r="D5802" s="111"/>
      <c r="E5802" s="112"/>
      <c r="F5802" s="54" t="s">
        <v>522</v>
      </c>
      <c r="G5802" s="54" t="str">
        <f t="shared" si="109"/>
        <v/>
      </c>
      <c r="H5802" s="73"/>
      <c r="I5802" s="74"/>
      <c r="J5802" s="102">
        <v>0</v>
      </c>
    </row>
    <row r="5803" spans="1:10" ht="25.5" hidden="1" x14ac:dyDescent="0.25">
      <c r="A5803" s="235"/>
      <c r="B5803" s="222"/>
      <c r="C5803" s="36" t="s">
        <v>1751</v>
      </c>
      <c r="D5803" s="105" t="s">
        <v>20</v>
      </c>
      <c r="E5803" s="106">
        <v>1</v>
      </c>
      <c r="F5803" s="31">
        <v>21.897500000000001</v>
      </c>
      <c r="G5803" s="54">
        <f t="shared" si="109"/>
        <v>21.897500000000001</v>
      </c>
      <c r="H5803" s="39">
        <f>SUM(G5803:G5803)</f>
        <v>21.897500000000001</v>
      </c>
      <c r="I5803" s="40"/>
      <c r="J5803" s="102">
        <v>0</v>
      </c>
    </row>
    <row r="5804" spans="1:10" ht="15.75" hidden="1" thickBot="1" x14ac:dyDescent="0.3">
      <c r="A5804" s="236"/>
      <c r="B5804" s="223"/>
      <c r="C5804" s="55"/>
      <c r="D5804" s="108"/>
      <c r="E5804" s="66"/>
      <c r="F5804" s="76" t="s">
        <v>522</v>
      </c>
      <c r="G5804" s="76" t="str">
        <f t="shared" si="109"/>
        <v/>
      </c>
      <c r="H5804" s="77"/>
      <c r="I5804" s="74"/>
      <c r="J5804" s="102">
        <v>0</v>
      </c>
    </row>
    <row r="5805" spans="1:10" ht="15.75" hidden="1" thickBot="1" x14ac:dyDescent="0.3">
      <c r="A5805" s="232" t="s">
        <v>2158</v>
      </c>
      <c r="B5805" s="221" t="e">
        <f>INDEX(#REF!,MATCH(Composições!A5805,#REF!,0),2)</f>
        <v>#REF!</v>
      </c>
      <c r="C5805" s="41"/>
      <c r="D5805" s="26" t="s">
        <v>20</v>
      </c>
      <c r="E5805" s="27"/>
      <c r="F5805" s="49" t="s">
        <v>522</v>
      </c>
      <c r="G5805" s="28" t="str">
        <f t="shared" si="109"/>
        <v/>
      </c>
      <c r="H5805" s="29"/>
      <c r="I5805" s="30"/>
      <c r="J5805" s="102">
        <v>0</v>
      </c>
    </row>
    <row r="5806" spans="1:10" hidden="1" x14ac:dyDescent="0.25">
      <c r="A5806" s="235"/>
      <c r="B5806" s="222"/>
      <c r="C5806" s="111"/>
      <c r="D5806" s="111"/>
      <c r="E5806" s="112"/>
      <c r="F5806" s="54" t="s">
        <v>522</v>
      </c>
      <c r="G5806" s="54" t="str">
        <f t="shared" si="109"/>
        <v/>
      </c>
      <c r="H5806" s="73"/>
      <c r="I5806" s="74"/>
      <c r="J5806" s="102">
        <v>0</v>
      </c>
    </row>
    <row r="5807" spans="1:10" ht="38.25" hidden="1" x14ac:dyDescent="0.25">
      <c r="A5807" s="235"/>
      <c r="B5807" s="222"/>
      <c r="C5807" s="36" t="s">
        <v>1736</v>
      </c>
      <c r="D5807" s="105" t="s">
        <v>20</v>
      </c>
      <c r="E5807" s="106">
        <v>1</v>
      </c>
      <c r="F5807" s="31">
        <v>8.7495000000000012</v>
      </c>
      <c r="G5807" s="54">
        <f t="shared" si="109"/>
        <v>8.7495000000000012</v>
      </c>
      <c r="H5807" s="39">
        <f>SUM(G5807:G5807)</f>
        <v>8.7495000000000012</v>
      </c>
      <c r="I5807" s="40"/>
      <c r="J5807" s="102">
        <v>0</v>
      </c>
    </row>
    <row r="5808" spans="1:10" ht="15.75" hidden="1" thickBot="1" x14ac:dyDescent="0.3">
      <c r="A5808" s="236"/>
      <c r="B5808" s="223"/>
      <c r="C5808" s="55"/>
      <c r="D5808" s="108"/>
      <c r="E5808" s="66"/>
      <c r="F5808" s="76" t="s">
        <v>522</v>
      </c>
      <c r="G5808" s="76" t="str">
        <f t="shared" si="109"/>
        <v/>
      </c>
      <c r="H5808" s="77"/>
      <c r="I5808" s="74"/>
      <c r="J5808" s="102">
        <v>0</v>
      </c>
    </row>
    <row r="5809" spans="1:10" ht="15.75" hidden="1" thickBot="1" x14ac:dyDescent="0.3">
      <c r="A5809" s="232" t="s">
        <v>2159</v>
      </c>
      <c r="B5809" s="221" t="e">
        <f>INDEX(#REF!,MATCH(Composições!A5809,#REF!,0),2)</f>
        <v>#REF!</v>
      </c>
      <c r="C5809" s="41"/>
      <c r="D5809" s="26" t="s">
        <v>20</v>
      </c>
      <c r="E5809" s="27"/>
      <c r="F5809" s="49" t="s">
        <v>522</v>
      </c>
      <c r="G5809" s="28" t="str">
        <f t="shared" si="109"/>
        <v/>
      </c>
      <c r="H5809" s="29"/>
      <c r="I5809" s="30"/>
      <c r="J5809" s="102">
        <v>0</v>
      </c>
    </row>
    <row r="5810" spans="1:10" hidden="1" x14ac:dyDescent="0.25">
      <c r="A5810" s="235"/>
      <c r="B5810" s="222"/>
      <c r="C5810" s="111"/>
      <c r="D5810" s="111"/>
      <c r="E5810" s="112"/>
      <c r="F5810" s="54" t="s">
        <v>522</v>
      </c>
      <c r="G5810" s="54" t="str">
        <f t="shared" si="109"/>
        <v/>
      </c>
      <c r="H5810" s="73"/>
      <c r="I5810" s="74"/>
      <c r="J5810" s="102">
        <v>0</v>
      </c>
    </row>
    <row r="5811" spans="1:10" ht="38.25" hidden="1" x14ac:dyDescent="0.25">
      <c r="A5811" s="235"/>
      <c r="B5811" s="222"/>
      <c r="C5811" s="36" t="s">
        <v>1729</v>
      </c>
      <c r="D5811" s="105" t="s">
        <v>20</v>
      </c>
      <c r="E5811" s="106">
        <v>1</v>
      </c>
      <c r="F5811" s="31">
        <v>44.687999999999995</v>
      </c>
      <c r="G5811" s="54">
        <f t="shared" si="109"/>
        <v>44.687999999999995</v>
      </c>
      <c r="H5811" s="39">
        <f>SUM(G5811:G5811)</f>
        <v>44.687999999999995</v>
      </c>
      <c r="I5811" s="40"/>
      <c r="J5811" s="102">
        <v>0</v>
      </c>
    </row>
    <row r="5812" spans="1:10" ht="15.75" hidden="1" thickBot="1" x14ac:dyDescent="0.3">
      <c r="A5812" s="236"/>
      <c r="B5812" s="223"/>
      <c r="C5812" s="55"/>
      <c r="D5812" s="108"/>
      <c r="E5812" s="66"/>
      <c r="F5812" s="76" t="s">
        <v>522</v>
      </c>
      <c r="G5812" s="76" t="str">
        <f t="shared" si="109"/>
        <v/>
      </c>
      <c r="H5812" s="77"/>
      <c r="I5812" s="74"/>
      <c r="J5812" s="102">
        <v>0</v>
      </c>
    </row>
    <row r="5813" spans="1:10" ht="15.75" hidden="1" thickBot="1" x14ac:dyDescent="0.3">
      <c r="A5813" s="232" t="s">
        <v>2160</v>
      </c>
      <c r="B5813" s="221" t="e">
        <f>INDEX(#REF!,MATCH(Composições!A5813,#REF!,0),2)</f>
        <v>#REF!</v>
      </c>
      <c r="C5813" s="41"/>
      <c r="D5813" s="26" t="s">
        <v>20</v>
      </c>
      <c r="E5813" s="27"/>
      <c r="F5813" s="49" t="s">
        <v>522</v>
      </c>
      <c r="G5813" s="28" t="str">
        <f t="shared" si="109"/>
        <v/>
      </c>
      <c r="H5813" s="29"/>
      <c r="I5813" s="30"/>
      <c r="J5813" s="102">
        <v>0</v>
      </c>
    </row>
    <row r="5814" spans="1:10" hidden="1" x14ac:dyDescent="0.25">
      <c r="A5814" s="235"/>
      <c r="B5814" s="222"/>
      <c r="C5814" s="111"/>
      <c r="D5814" s="111"/>
      <c r="E5814" s="112"/>
      <c r="F5814" s="54" t="s">
        <v>522</v>
      </c>
      <c r="G5814" s="54" t="str">
        <f t="shared" si="109"/>
        <v/>
      </c>
      <c r="H5814" s="73"/>
      <c r="I5814" s="74"/>
      <c r="J5814" s="102">
        <v>0</v>
      </c>
    </row>
    <row r="5815" spans="1:10" ht="25.5" hidden="1" x14ac:dyDescent="0.25">
      <c r="A5815" s="235"/>
      <c r="B5815" s="222"/>
      <c r="C5815" s="36" t="s">
        <v>1788</v>
      </c>
      <c r="D5815" s="105" t="s">
        <v>20</v>
      </c>
      <c r="E5815" s="106">
        <v>1</v>
      </c>
      <c r="F5815" s="31">
        <v>9.1009999999999991</v>
      </c>
      <c r="G5815" s="54">
        <f t="shared" si="109"/>
        <v>9.1009999999999991</v>
      </c>
      <c r="H5815" s="39">
        <f>SUM(G5815:G5815)</f>
        <v>9.1009999999999991</v>
      </c>
      <c r="I5815" s="40"/>
      <c r="J5815" s="102">
        <v>0</v>
      </c>
    </row>
    <row r="5816" spans="1:10" ht="15.75" hidden="1" thickBot="1" x14ac:dyDescent="0.3">
      <c r="A5816" s="236"/>
      <c r="B5816" s="223"/>
      <c r="C5816" s="55"/>
      <c r="D5816" s="108"/>
      <c r="E5816" s="66"/>
      <c r="F5816" s="76" t="s">
        <v>522</v>
      </c>
      <c r="G5816" s="76" t="str">
        <f t="shared" si="109"/>
        <v/>
      </c>
      <c r="H5816" s="77"/>
      <c r="I5816" s="74"/>
      <c r="J5816" s="102">
        <v>0</v>
      </c>
    </row>
    <row r="5817" spans="1:10" ht="15.75" hidden="1" thickBot="1" x14ac:dyDescent="0.3">
      <c r="A5817" s="232" t="s">
        <v>2161</v>
      </c>
      <c r="B5817" s="221" t="e">
        <f>INDEX(#REF!,MATCH(Composições!A5817,#REF!,0),2)</f>
        <v>#REF!</v>
      </c>
      <c r="C5817" s="41"/>
      <c r="D5817" s="26" t="s">
        <v>20</v>
      </c>
      <c r="E5817" s="27"/>
      <c r="F5817" s="49" t="s">
        <v>522</v>
      </c>
      <c r="G5817" s="28" t="str">
        <f t="shared" si="109"/>
        <v/>
      </c>
      <c r="H5817" s="29"/>
      <c r="I5817" s="30"/>
      <c r="J5817" s="102">
        <v>0</v>
      </c>
    </row>
    <row r="5818" spans="1:10" hidden="1" x14ac:dyDescent="0.25">
      <c r="A5818" s="235"/>
      <c r="B5818" s="222"/>
      <c r="C5818" s="111"/>
      <c r="D5818" s="111"/>
      <c r="E5818" s="112"/>
      <c r="F5818" s="54" t="s">
        <v>522</v>
      </c>
      <c r="G5818" s="54" t="str">
        <f t="shared" si="109"/>
        <v/>
      </c>
      <c r="H5818" s="73"/>
      <c r="I5818" s="74"/>
      <c r="J5818" s="102">
        <v>0</v>
      </c>
    </row>
    <row r="5819" spans="1:10" ht="25.5" hidden="1" x14ac:dyDescent="0.25">
      <c r="A5819" s="235"/>
      <c r="B5819" s="222"/>
      <c r="C5819" s="36" t="s">
        <v>1752</v>
      </c>
      <c r="D5819" s="105" t="s">
        <v>20</v>
      </c>
      <c r="E5819" s="106">
        <v>1</v>
      </c>
      <c r="F5819" s="31">
        <v>32.148000000000003</v>
      </c>
      <c r="G5819" s="54">
        <f t="shared" si="109"/>
        <v>32.148000000000003</v>
      </c>
      <c r="H5819" s="39">
        <f>SUM(G5819:G5819)</f>
        <v>32.148000000000003</v>
      </c>
      <c r="I5819" s="40"/>
      <c r="J5819" s="102">
        <v>0</v>
      </c>
    </row>
    <row r="5820" spans="1:10" ht="15.75" hidden="1" thickBot="1" x14ac:dyDescent="0.3">
      <c r="A5820" s="236"/>
      <c r="B5820" s="223"/>
      <c r="C5820" s="55"/>
      <c r="D5820" s="108"/>
      <c r="E5820" s="66"/>
      <c r="F5820" s="76" t="s">
        <v>522</v>
      </c>
      <c r="G5820" s="76" t="str">
        <f t="shared" si="109"/>
        <v/>
      </c>
      <c r="H5820" s="77"/>
      <c r="I5820" s="74"/>
      <c r="J5820" s="102">
        <v>0</v>
      </c>
    </row>
    <row r="5821" spans="1:10" ht="15.75" hidden="1" thickBot="1" x14ac:dyDescent="0.3">
      <c r="A5821" s="232" t="s">
        <v>2162</v>
      </c>
      <c r="B5821" s="221" t="e">
        <f>INDEX(#REF!,MATCH(Composições!A5821,#REF!,0),2)</f>
        <v>#REF!</v>
      </c>
      <c r="C5821" s="41"/>
      <c r="D5821" s="26" t="s">
        <v>20</v>
      </c>
      <c r="E5821" s="27"/>
      <c r="F5821" s="49" t="s">
        <v>522</v>
      </c>
      <c r="G5821" s="28" t="str">
        <f t="shared" si="109"/>
        <v/>
      </c>
      <c r="H5821" s="29"/>
      <c r="I5821" s="30"/>
      <c r="J5821" s="102">
        <v>0</v>
      </c>
    </row>
    <row r="5822" spans="1:10" hidden="1" x14ac:dyDescent="0.25">
      <c r="A5822" s="235"/>
      <c r="B5822" s="222"/>
      <c r="C5822" s="111"/>
      <c r="D5822" s="111"/>
      <c r="E5822" s="112"/>
      <c r="F5822" s="54" t="s">
        <v>522</v>
      </c>
      <c r="G5822" s="54" t="str">
        <f t="shared" si="109"/>
        <v/>
      </c>
      <c r="H5822" s="73"/>
      <c r="I5822" s="74"/>
      <c r="J5822" s="102">
        <v>0</v>
      </c>
    </row>
    <row r="5823" spans="1:10" ht="38.25" hidden="1" x14ac:dyDescent="0.25">
      <c r="A5823" s="235"/>
      <c r="B5823" s="222"/>
      <c r="C5823" s="36" t="s">
        <v>1728</v>
      </c>
      <c r="D5823" s="105" t="s">
        <v>20</v>
      </c>
      <c r="E5823" s="106">
        <v>1</v>
      </c>
      <c r="F5823" s="31">
        <v>104.9845</v>
      </c>
      <c r="G5823" s="54">
        <f t="shared" si="109"/>
        <v>104.9845</v>
      </c>
      <c r="H5823" s="39">
        <f>SUM(G5823:G5823)</f>
        <v>104.9845</v>
      </c>
      <c r="I5823" s="40"/>
      <c r="J5823" s="102">
        <v>0</v>
      </c>
    </row>
    <row r="5824" spans="1:10" ht="15.75" hidden="1" thickBot="1" x14ac:dyDescent="0.3">
      <c r="A5824" s="236"/>
      <c r="B5824" s="223"/>
      <c r="C5824" s="55"/>
      <c r="D5824" s="108"/>
      <c r="E5824" s="66"/>
      <c r="F5824" s="76" t="s">
        <v>522</v>
      </c>
      <c r="G5824" s="76" t="str">
        <f t="shared" si="109"/>
        <v/>
      </c>
      <c r="H5824" s="77"/>
      <c r="I5824" s="74"/>
      <c r="J5824" s="102">
        <v>0</v>
      </c>
    </row>
    <row r="5825" spans="1:10" ht="15.75" hidden="1" thickBot="1" x14ac:dyDescent="0.3">
      <c r="A5825" s="232" t="s">
        <v>2163</v>
      </c>
      <c r="B5825" s="221" t="e">
        <f>INDEX(#REF!,MATCH(Composições!A5825,#REF!,0),2)</f>
        <v>#REF!</v>
      </c>
      <c r="C5825" s="41"/>
      <c r="D5825" s="26" t="s">
        <v>20</v>
      </c>
      <c r="E5825" s="27"/>
      <c r="F5825" s="49" t="s">
        <v>522</v>
      </c>
      <c r="G5825" s="28" t="str">
        <f t="shared" si="109"/>
        <v/>
      </c>
      <c r="H5825" s="29"/>
      <c r="I5825" s="30"/>
      <c r="J5825" s="102">
        <v>0</v>
      </c>
    </row>
    <row r="5826" spans="1:10" hidden="1" x14ac:dyDescent="0.25">
      <c r="A5826" s="235"/>
      <c r="B5826" s="222"/>
      <c r="C5826" s="111"/>
      <c r="D5826" s="111"/>
      <c r="E5826" s="112"/>
      <c r="F5826" s="54" t="s">
        <v>522</v>
      </c>
      <c r="G5826" s="54" t="str">
        <f t="shared" si="109"/>
        <v/>
      </c>
      <c r="H5826" s="73"/>
      <c r="I5826" s="74"/>
      <c r="J5826" s="102">
        <v>0</v>
      </c>
    </row>
    <row r="5827" spans="1:10" ht="25.5" hidden="1" x14ac:dyDescent="0.25">
      <c r="A5827" s="235"/>
      <c r="B5827" s="222"/>
      <c r="C5827" s="36" t="s">
        <v>1789</v>
      </c>
      <c r="D5827" s="105" t="s">
        <v>20</v>
      </c>
      <c r="E5827" s="106">
        <v>1</v>
      </c>
      <c r="F5827" s="31">
        <v>13.281000000000001</v>
      </c>
      <c r="G5827" s="54">
        <f t="shared" si="109"/>
        <v>13.281000000000001</v>
      </c>
      <c r="H5827" s="39">
        <f>SUM(G5827:G5827)</f>
        <v>13.281000000000001</v>
      </c>
      <c r="I5827" s="40"/>
      <c r="J5827" s="102">
        <v>0</v>
      </c>
    </row>
    <row r="5828" spans="1:10" ht="15.75" hidden="1" thickBot="1" x14ac:dyDescent="0.3">
      <c r="A5828" s="236"/>
      <c r="B5828" s="223"/>
      <c r="C5828" s="55"/>
      <c r="D5828" s="108"/>
      <c r="E5828" s="66"/>
      <c r="F5828" s="76" t="s">
        <v>522</v>
      </c>
      <c r="G5828" s="76" t="str">
        <f t="shared" si="109"/>
        <v/>
      </c>
      <c r="H5828" s="77"/>
      <c r="I5828" s="74"/>
      <c r="J5828" s="102">
        <v>0</v>
      </c>
    </row>
    <row r="5829" spans="1:10" ht="15.75" hidden="1" thickBot="1" x14ac:dyDescent="0.3">
      <c r="A5829" s="232" t="s">
        <v>2164</v>
      </c>
      <c r="B5829" s="221" t="e">
        <f>INDEX(#REF!,MATCH(Composições!A5829,#REF!,0),2)</f>
        <v>#REF!</v>
      </c>
      <c r="C5829" s="41"/>
      <c r="D5829" s="26" t="s">
        <v>20</v>
      </c>
      <c r="E5829" s="27"/>
      <c r="F5829" s="49" t="s">
        <v>522</v>
      </c>
      <c r="G5829" s="28" t="str">
        <f t="shared" si="109"/>
        <v/>
      </c>
      <c r="H5829" s="29"/>
      <c r="I5829" s="30"/>
      <c r="J5829" s="102">
        <v>0</v>
      </c>
    </row>
    <row r="5830" spans="1:10" hidden="1" x14ac:dyDescent="0.25">
      <c r="A5830" s="235"/>
      <c r="B5830" s="222"/>
      <c r="C5830" s="111"/>
      <c r="D5830" s="111"/>
      <c r="E5830" s="112"/>
      <c r="F5830" s="54" t="s">
        <v>522</v>
      </c>
      <c r="G5830" s="54" t="str">
        <f t="shared" si="109"/>
        <v/>
      </c>
      <c r="H5830" s="73"/>
      <c r="I5830" s="74"/>
      <c r="J5830" s="102">
        <v>0</v>
      </c>
    </row>
    <row r="5831" spans="1:10" ht="25.5" hidden="1" x14ac:dyDescent="0.25">
      <c r="A5831" s="235"/>
      <c r="B5831" s="222"/>
      <c r="C5831" s="36" t="s">
        <v>1753</v>
      </c>
      <c r="D5831" s="105" t="s">
        <v>20</v>
      </c>
      <c r="E5831" s="106">
        <v>1</v>
      </c>
      <c r="F5831" s="31">
        <v>81.405499999999989</v>
      </c>
      <c r="G5831" s="54">
        <f t="shared" si="109"/>
        <v>81.405499999999989</v>
      </c>
      <c r="H5831" s="39">
        <f>SUM(G5831:G5831)</f>
        <v>81.405499999999989</v>
      </c>
      <c r="I5831" s="40"/>
      <c r="J5831" s="102">
        <v>0</v>
      </c>
    </row>
    <row r="5832" spans="1:10" ht="15.75" hidden="1" thickBot="1" x14ac:dyDescent="0.3">
      <c r="A5832" s="236"/>
      <c r="B5832" s="223"/>
      <c r="C5832" s="55"/>
      <c r="D5832" s="108"/>
      <c r="E5832" s="66"/>
      <c r="F5832" s="76" t="s">
        <v>522</v>
      </c>
      <c r="G5832" s="76" t="str">
        <f t="shared" si="109"/>
        <v/>
      </c>
      <c r="H5832" s="77"/>
      <c r="I5832" s="74"/>
      <c r="J5832" s="102">
        <v>0</v>
      </c>
    </row>
    <row r="5833" spans="1:10" ht="15.75" hidden="1" thickBot="1" x14ac:dyDescent="0.3">
      <c r="A5833" s="232" t="s">
        <v>2165</v>
      </c>
      <c r="B5833" s="221" t="e">
        <f>INDEX(#REF!,MATCH(Composições!A5833,#REF!,0),2)</f>
        <v>#REF!</v>
      </c>
      <c r="C5833" s="41"/>
      <c r="D5833" s="26" t="s">
        <v>20</v>
      </c>
      <c r="E5833" s="27"/>
      <c r="F5833" s="49" t="s">
        <v>522</v>
      </c>
      <c r="G5833" s="28" t="str">
        <f t="shared" si="109"/>
        <v/>
      </c>
      <c r="H5833" s="29"/>
      <c r="I5833" s="30"/>
      <c r="J5833" s="102">
        <v>0</v>
      </c>
    </row>
    <row r="5834" spans="1:10" hidden="1" x14ac:dyDescent="0.25">
      <c r="A5834" s="235"/>
      <c r="B5834" s="222"/>
      <c r="C5834" s="111"/>
      <c r="D5834" s="111"/>
      <c r="E5834" s="112"/>
      <c r="F5834" s="54" t="s">
        <v>522</v>
      </c>
      <c r="G5834" s="54" t="str">
        <f t="shared" si="109"/>
        <v/>
      </c>
      <c r="H5834" s="73"/>
      <c r="I5834" s="74"/>
      <c r="J5834" s="102">
        <v>0</v>
      </c>
    </row>
    <row r="5835" spans="1:10" ht="38.25" hidden="1" x14ac:dyDescent="0.25">
      <c r="A5835" s="235"/>
      <c r="B5835" s="222"/>
      <c r="C5835" s="36" t="s">
        <v>1738</v>
      </c>
      <c r="D5835" s="105" t="s">
        <v>20</v>
      </c>
      <c r="E5835" s="106">
        <v>1</v>
      </c>
      <c r="F5835" s="31">
        <v>28.851499999999998</v>
      </c>
      <c r="G5835" s="54">
        <f t="shared" si="109"/>
        <v>28.851499999999998</v>
      </c>
      <c r="H5835" s="39">
        <f>SUM(G5835:G5835)</f>
        <v>28.851499999999998</v>
      </c>
      <c r="I5835" s="40"/>
      <c r="J5835" s="102">
        <v>0</v>
      </c>
    </row>
    <row r="5836" spans="1:10" ht="15.75" hidden="1" thickBot="1" x14ac:dyDescent="0.3">
      <c r="A5836" s="236"/>
      <c r="B5836" s="223"/>
      <c r="C5836" s="55"/>
      <c r="D5836" s="108"/>
      <c r="E5836" s="66"/>
      <c r="F5836" s="76" t="s">
        <v>522</v>
      </c>
      <c r="G5836" s="76" t="str">
        <f t="shared" si="109"/>
        <v/>
      </c>
      <c r="H5836" s="77"/>
      <c r="I5836" s="74"/>
      <c r="J5836" s="102">
        <v>0</v>
      </c>
    </row>
    <row r="5837" spans="1:10" ht="15.75" hidden="1" thickBot="1" x14ac:dyDescent="0.3">
      <c r="A5837" s="232" t="s">
        <v>2166</v>
      </c>
      <c r="B5837" s="221" t="e">
        <f>INDEX(#REF!,MATCH(Composições!A5837,#REF!,0),2)</f>
        <v>#REF!</v>
      </c>
      <c r="C5837" s="41"/>
      <c r="D5837" s="26" t="s">
        <v>20</v>
      </c>
      <c r="E5837" s="27"/>
      <c r="F5837" s="49" t="s">
        <v>522</v>
      </c>
      <c r="G5837" s="28" t="str">
        <f t="shared" si="109"/>
        <v/>
      </c>
      <c r="H5837" s="29"/>
      <c r="I5837" s="30"/>
      <c r="J5837" s="102">
        <v>0</v>
      </c>
    </row>
    <row r="5838" spans="1:10" hidden="1" x14ac:dyDescent="0.25">
      <c r="A5838" s="235"/>
      <c r="B5838" s="222"/>
      <c r="C5838" s="111"/>
      <c r="D5838" s="111"/>
      <c r="E5838" s="112"/>
      <c r="F5838" s="54" t="s">
        <v>522</v>
      </c>
      <c r="G5838" s="54" t="str">
        <f t="shared" si="109"/>
        <v/>
      </c>
      <c r="H5838" s="73"/>
      <c r="I5838" s="74"/>
      <c r="J5838" s="102">
        <v>0</v>
      </c>
    </row>
    <row r="5839" spans="1:10" ht="38.25" hidden="1" x14ac:dyDescent="0.25">
      <c r="A5839" s="235"/>
      <c r="B5839" s="222"/>
      <c r="C5839" s="36" t="s">
        <v>1731</v>
      </c>
      <c r="D5839" s="105" t="s">
        <v>20</v>
      </c>
      <c r="E5839" s="106">
        <v>1</v>
      </c>
      <c r="F5839" s="31">
        <v>126.59699999999998</v>
      </c>
      <c r="G5839" s="54">
        <f t="shared" si="109"/>
        <v>126.59699999999998</v>
      </c>
      <c r="H5839" s="39">
        <f>SUM(G5839:G5839)</f>
        <v>126.59699999999998</v>
      </c>
      <c r="I5839" s="40"/>
      <c r="J5839" s="102">
        <v>0</v>
      </c>
    </row>
    <row r="5840" spans="1:10" ht="15.75" hidden="1" thickBot="1" x14ac:dyDescent="0.3">
      <c r="A5840" s="236"/>
      <c r="B5840" s="223"/>
      <c r="C5840" s="55"/>
      <c r="D5840" s="108"/>
      <c r="E5840" s="66"/>
      <c r="F5840" s="76" t="s">
        <v>522</v>
      </c>
      <c r="G5840" s="76" t="str">
        <f t="shared" si="109"/>
        <v/>
      </c>
      <c r="H5840" s="77"/>
      <c r="I5840" s="74"/>
      <c r="J5840" s="102">
        <v>0</v>
      </c>
    </row>
    <row r="5841" spans="1:10" ht="15.75" hidden="1" thickBot="1" x14ac:dyDescent="0.3">
      <c r="A5841" s="232" t="s">
        <v>2167</v>
      </c>
      <c r="B5841" s="221" t="e">
        <f>INDEX(#REF!,MATCH(Composições!A5841,#REF!,0),2)</f>
        <v>#REF!</v>
      </c>
      <c r="C5841" s="41"/>
      <c r="D5841" s="26" t="s">
        <v>20</v>
      </c>
      <c r="E5841" s="27"/>
      <c r="F5841" s="49" t="s">
        <v>522</v>
      </c>
      <c r="G5841" s="28" t="str">
        <f t="shared" si="109"/>
        <v/>
      </c>
      <c r="H5841" s="29"/>
      <c r="I5841" s="30"/>
      <c r="J5841" s="102">
        <v>0</v>
      </c>
    </row>
    <row r="5842" spans="1:10" hidden="1" x14ac:dyDescent="0.25">
      <c r="A5842" s="235"/>
      <c r="B5842" s="222"/>
      <c r="C5842" s="111"/>
      <c r="D5842" s="111"/>
      <c r="E5842" s="112"/>
      <c r="F5842" s="54" t="s">
        <v>522</v>
      </c>
      <c r="G5842" s="54" t="str">
        <f t="shared" si="109"/>
        <v/>
      </c>
      <c r="H5842" s="73"/>
      <c r="I5842" s="74"/>
      <c r="J5842" s="102">
        <v>0</v>
      </c>
    </row>
    <row r="5843" spans="1:10" ht="25.5" hidden="1" x14ac:dyDescent="0.25">
      <c r="A5843" s="235"/>
      <c r="B5843" s="222"/>
      <c r="C5843" s="36" t="s">
        <v>1790</v>
      </c>
      <c r="D5843" s="105" t="s">
        <v>20</v>
      </c>
      <c r="E5843" s="106">
        <v>1</v>
      </c>
      <c r="F5843" s="31">
        <v>20.225499999999997</v>
      </c>
      <c r="G5843" s="54">
        <f t="shared" si="109"/>
        <v>20.225499999999997</v>
      </c>
      <c r="H5843" s="39">
        <f>SUM(G5843:G5843)</f>
        <v>20.225499999999997</v>
      </c>
      <c r="I5843" s="40"/>
      <c r="J5843" s="102">
        <v>0</v>
      </c>
    </row>
    <row r="5844" spans="1:10" ht="15.75" hidden="1" thickBot="1" x14ac:dyDescent="0.3">
      <c r="A5844" s="236"/>
      <c r="B5844" s="223"/>
      <c r="C5844" s="55"/>
      <c r="D5844" s="108"/>
      <c r="E5844" s="66"/>
      <c r="F5844" s="76" t="s">
        <v>522</v>
      </c>
      <c r="G5844" s="76" t="str">
        <f t="shared" si="109"/>
        <v/>
      </c>
      <c r="H5844" s="77"/>
      <c r="I5844" s="74"/>
      <c r="J5844" s="102">
        <v>0</v>
      </c>
    </row>
    <row r="5845" spans="1:10" ht="15.75" hidden="1" thickBot="1" x14ac:dyDescent="0.3">
      <c r="A5845" s="232" t="s">
        <v>2168</v>
      </c>
      <c r="B5845" s="221" t="e">
        <f>INDEX(#REF!,MATCH(Composições!A5845,#REF!,0),2)</f>
        <v>#REF!</v>
      </c>
      <c r="C5845" s="41"/>
      <c r="D5845" s="26" t="s">
        <v>20</v>
      </c>
      <c r="E5845" s="27"/>
      <c r="F5845" s="49" t="s">
        <v>522</v>
      </c>
      <c r="G5845" s="28" t="str">
        <f t="shared" si="109"/>
        <v/>
      </c>
      <c r="H5845" s="29"/>
      <c r="I5845" s="30"/>
      <c r="J5845" s="102">
        <v>0</v>
      </c>
    </row>
    <row r="5846" spans="1:10" hidden="1" x14ac:dyDescent="0.25">
      <c r="A5846" s="235"/>
      <c r="B5846" s="222"/>
      <c r="C5846" s="111"/>
      <c r="D5846" s="111"/>
      <c r="E5846" s="112"/>
      <c r="F5846" s="54" t="s">
        <v>522</v>
      </c>
      <c r="G5846" s="54" t="str">
        <f t="shared" si="109"/>
        <v/>
      </c>
      <c r="H5846" s="73"/>
      <c r="I5846" s="74"/>
      <c r="J5846" s="102">
        <v>0</v>
      </c>
    </row>
    <row r="5847" spans="1:10" ht="25.5" hidden="1" x14ac:dyDescent="0.25">
      <c r="A5847" s="235"/>
      <c r="B5847" s="222"/>
      <c r="C5847" s="36" t="s">
        <v>1754</v>
      </c>
      <c r="D5847" s="105" t="s">
        <v>20</v>
      </c>
      <c r="E5847" s="106">
        <v>1</v>
      </c>
      <c r="F5847" s="31">
        <v>106.875</v>
      </c>
      <c r="G5847" s="54">
        <f t="shared" si="109"/>
        <v>106.875</v>
      </c>
      <c r="H5847" s="39">
        <f>SUM(G5847:G5847)</f>
        <v>106.875</v>
      </c>
      <c r="I5847" s="40"/>
      <c r="J5847" s="102">
        <v>0</v>
      </c>
    </row>
    <row r="5848" spans="1:10" ht="15.75" hidden="1" thickBot="1" x14ac:dyDescent="0.3">
      <c r="A5848" s="236"/>
      <c r="B5848" s="223"/>
      <c r="C5848" s="55"/>
      <c r="D5848" s="108"/>
      <c r="E5848" s="66"/>
      <c r="F5848" s="76" t="s">
        <v>522</v>
      </c>
      <c r="G5848" s="76" t="str">
        <f t="shared" si="109"/>
        <v/>
      </c>
      <c r="H5848" s="77"/>
      <c r="I5848" s="74"/>
      <c r="J5848" s="102">
        <v>0</v>
      </c>
    </row>
    <row r="5849" spans="1:10" ht="15.75" hidden="1" thickBot="1" x14ac:dyDescent="0.3">
      <c r="A5849" s="232" t="s">
        <v>2169</v>
      </c>
      <c r="B5849" s="221" t="e">
        <f>INDEX(#REF!,MATCH(Composições!A5849,#REF!,0),2)</f>
        <v>#REF!</v>
      </c>
      <c r="C5849" s="41"/>
      <c r="D5849" s="26" t="s">
        <v>20</v>
      </c>
      <c r="E5849" s="27"/>
      <c r="F5849" s="49" t="s">
        <v>522</v>
      </c>
      <c r="G5849" s="28" t="str">
        <f t="shared" si="109"/>
        <v/>
      </c>
      <c r="H5849" s="29"/>
      <c r="I5849" s="30"/>
      <c r="J5849" s="102">
        <v>0</v>
      </c>
    </row>
    <row r="5850" spans="1:10" hidden="1" x14ac:dyDescent="0.25">
      <c r="A5850" s="235"/>
      <c r="B5850" s="222"/>
      <c r="C5850" s="111"/>
      <c r="D5850" s="111"/>
      <c r="E5850" s="112"/>
      <c r="F5850" s="54" t="s">
        <v>522</v>
      </c>
      <c r="G5850" s="54" t="str">
        <f t="shared" si="109"/>
        <v/>
      </c>
      <c r="H5850" s="73"/>
      <c r="I5850" s="74"/>
      <c r="J5850" s="102">
        <v>0</v>
      </c>
    </row>
    <row r="5851" spans="1:10" ht="38.25" hidden="1" x14ac:dyDescent="0.25">
      <c r="A5851" s="235"/>
      <c r="B5851" s="222"/>
      <c r="C5851" s="36" t="s">
        <v>1739</v>
      </c>
      <c r="D5851" s="105" t="s">
        <v>20</v>
      </c>
      <c r="E5851" s="106">
        <v>1</v>
      </c>
      <c r="F5851" s="31">
        <v>45.22</v>
      </c>
      <c r="G5851" s="54">
        <f t="shared" si="109"/>
        <v>45.22</v>
      </c>
      <c r="H5851" s="39">
        <f>SUM(G5851:G5851)</f>
        <v>45.22</v>
      </c>
      <c r="I5851" s="40"/>
      <c r="J5851" s="102">
        <v>0</v>
      </c>
    </row>
    <row r="5852" spans="1:10" ht="15.75" hidden="1" thickBot="1" x14ac:dyDescent="0.3">
      <c r="A5852" s="236"/>
      <c r="B5852" s="223"/>
      <c r="C5852" s="55"/>
      <c r="D5852" s="108"/>
      <c r="E5852" s="66"/>
      <c r="F5852" s="76" t="s">
        <v>522</v>
      </c>
      <c r="G5852" s="76" t="str">
        <f t="shared" si="109"/>
        <v/>
      </c>
      <c r="H5852" s="77"/>
      <c r="I5852" s="74"/>
      <c r="J5852" s="102">
        <v>0</v>
      </c>
    </row>
    <row r="5853" spans="1:10" ht="15.75" hidden="1" thickBot="1" x14ac:dyDescent="0.3">
      <c r="A5853" s="232" t="s">
        <v>2170</v>
      </c>
      <c r="B5853" s="221" t="e">
        <f>INDEX(#REF!,MATCH(Composições!A5853,#REF!,0),2)</f>
        <v>#REF!</v>
      </c>
      <c r="C5853" s="41"/>
      <c r="D5853" s="26" t="s">
        <v>20</v>
      </c>
      <c r="E5853" s="27"/>
      <c r="F5853" s="49" t="s">
        <v>522</v>
      </c>
      <c r="G5853" s="28" t="str">
        <f t="shared" si="109"/>
        <v/>
      </c>
      <c r="H5853" s="29"/>
      <c r="I5853" s="30"/>
      <c r="J5853" s="102">
        <v>0</v>
      </c>
    </row>
    <row r="5854" spans="1:10" hidden="1" x14ac:dyDescent="0.25">
      <c r="A5854" s="235"/>
      <c r="B5854" s="222"/>
      <c r="C5854" s="111"/>
      <c r="D5854" s="111"/>
      <c r="E5854" s="112"/>
      <c r="F5854" s="54" t="s">
        <v>522</v>
      </c>
      <c r="G5854" s="54" t="str">
        <f t="shared" ref="G5854:G5917" si="110">IF(ISNUMBER(F5854),E5854*F5854,"")</f>
        <v/>
      </c>
      <c r="H5854" s="73"/>
      <c r="I5854" s="74"/>
      <c r="J5854" s="102">
        <v>0</v>
      </c>
    </row>
    <row r="5855" spans="1:10" ht="38.25" hidden="1" x14ac:dyDescent="0.25">
      <c r="A5855" s="235"/>
      <c r="B5855" s="222"/>
      <c r="C5855" s="36" t="s">
        <v>1732</v>
      </c>
      <c r="D5855" s="105" t="s">
        <v>20</v>
      </c>
      <c r="E5855" s="106">
        <v>1</v>
      </c>
      <c r="F5855" s="31">
        <v>232.99699999999999</v>
      </c>
      <c r="G5855" s="54">
        <f t="shared" si="110"/>
        <v>232.99699999999999</v>
      </c>
      <c r="H5855" s="39">
        <f>SUM(G5855:G5855)</f>
        <v>232.99699999999999</v>
      </c>
      <c r="I5855" s="40"/>
      <c r="J5855" s="102">
        <v>0</v>
      </c>
    </row>
    <row r="5856" spans="1:10" ht="15.75" hidden="1" thickBot="1" x14ac:dyDescent="0.3">
      <c r="A5856" s="236"/>
      <c r="B5856" s="223"/>
      <c r="C5856" s="55"/>
      <c r="D5856" s="108"/>
      <c r="E5856" s="66"/>
      <c r="F5856" s="76" t="s">
        <v>522</v>
      </c>
      <c r="G5856" s="76" t="str">
        <f t="shared" si="110"/>
        <v/>
      </c>
      <c r="H5856" s="77"/>
      <c r="I5856" s="74"/>
      <c r="J5856" s="102">
        <v>0</v>
      </c>
    </row>
    <row r="5857" spans="1:10" ht="15.75" hidden="1" thickBot="1" x14ac:dyDescent="0.3">
      <c r="A5857" s="232" t="s">
        <v>2171</v>
      </c>
      <c r="B5857" s="221" t="e">
        <f>INDEX(#REF!,MATCH(Composições!A5857,#REF!,0),2)</f>
        <v>#REF!</v>
      </c>
      <c r="C5857" s="41"/>
      <c r="D5857" s="26" t="s">
        <v>20</v>
      </c>
      <c r="E5857" s="27"/>
      <c r="F5857" s="49" t="s">
        <v>522</v>
      </c>
      <c r="G5857" s="28" t="str">
        <f t="shared" si="110"/>
        <v/>
      </c>
      <c r="H5857" s="29"/>
      <c r="I5857" s="30"/>
      <c r="J5857" s="102">
        <v>0</v>
      </c>
    </row>
    <row r="5858" spans="1:10" hidden="1" x14ac:dyDescent="0.25">
      <c r="A5858" s="235"/>
      <c r="B5858" s="222"/>
      <c r="C5858" s="111"/>
      <c r="D5858" s="111"/>
      <c r="E5858" s="112"/>
      <c r="F5858" s="54" t="s">
        <v>522</v>
      </c>
      <c r="G5858" s="54" t="str">
        <f t="shared" si="110"/>
        <v/>
      </c>
      <c r="H5858" s="73"/>
      <c r="I5858" s="74"/>
      <c r="J5858" s="102">
        <v>0</v>
      </c>
    </row>
    <row r="5859" spans="1:10" ht="25.5" hidden="1" x14ac:dyDescent="0.25">
      <c r="A5859" s="235"/>
      <c r="B5859" s="222"/>
      <c r="C5859" s="36" t="s">
        <v>1782</v>
      </c>
      <c r="D5859" s="105" t="s">
        <v>20</v>
      </c>
      <c r="E5859" s="106">
        <v>1</v>
      </c>
      <c r="F5859" s="31">
        <v>31.910500000000003</v>
      </c>
      <c r="G5859" s="54">
        <f t="shared" si="110"/>
        <v>31.910500000000003</v>
      </c>
      <c r="H5859" s="39">
        <f>SUM(G5859:G5859)</f>
        <v>31.910500000000003</v>
      </c>
      <c r="I5859" s="40"/>
      <c r="J5859" s="102">
        <v>0</v>
      </c>
    </row>
    <row r="5860" spans="1:10" ht="15.75" hidden="1" thickBot="1" x14ac:dyDescent="0.3">
      <c r="A5860" s="236"/>
      <c r="B5860" s="223"/>
      <c r="C5860" s="55"/>
      <c r="D5860" s="108"/>
      <c r="E5860" s="66"/>
      <c r="F5860" s="76" t="s">
        <v>522</v>
      </c>
      <c r="G5860" s="76" t="str">
        <f t="shared" si="110"/>
        <v/>
      </c>
      <c r="H5860" s="77"/>
      <c r="I5860" s="74"/>
      <c r="J5860" s="102">
        <v>0</v>
      </c>
    </row>
    <row r="5861" spans="1:10" ht="15.75" hidden="1" thickBot="1" x14ac:dyDescent="0.3">
      <c r="A5861" s="232" t="s">
        <v>2172</v>
      </c>
      <c r="B5861" s="221" t="e">
        <f>INDEX(#REF!,MATCH(Composições!A5861,#REF!,0),2)</f>
        <v>#REF!</v>
      </c>
      <c r="C5861" s="41"/>
      <c r="D5861" s="26" t="s">
        <v>20</v>
      </c>
      <c r="E5861" s="27"/>
      <c r="F5861" s="49" t="s">
        <v>522</v>
      </c>
      <c r="G5861" s="28" t="str">
        <f t="shared" si="110"/>
        <v/>
      </c>
      <c r="H5861" s="29"/>
      <c r="I5861" s="30"/>
      <c r="J5861" s="102">
        <v>0</v>
      </c>
    </row>
    <row r="5862" spans="1:10" hidden="1" x14ac:dyDescent="0.25">
      <c r="A5862" s="235"/>
      <c r="B5862" s="222"/>
      <c r="C5862" s="111"/>
      <c r="D5862" s="111"/>
      <c r="E5862" s="112"/>
      <c r="F5862" s="54" t="s">
        <v>522</v>
      </c>
      <c r="G5862" s="54" t="str">
        <f t="shared" si="110"/>
        <v/>
      </c>
      <c r="H5862" s="73"/>
      <c r="I5862" s="74"/>
      <c r="J5862" s="102">
        <v>0</v>
      </c>
    </row>
    <row r="5863" spans="1:10" ht="25.5" hidden="1" x14ac:dyDescent="0.25">
      <c r="A5863" s="235"/>
      <c r="B5863" s="222"/>
      <c r="C5863" s="36" t="s">
        <v>1746</v>
      </c>
      <c r="D5863" s="105" t="s">
        <v>20</v>
      </c>
      <c r="E5863" s="106">
        <v>1</v>
      </c>
      <c r="F5863" s="31">
        <v>181.26</v>
      </c>
      <c r="G5863" s="54">
        <f t="shared" si="110"/>
        <v>181.26</v>
      </c>
      <c r="H5863" s="39">
        <f>SUM(G5863:G5863)</f>
        <v>181.26</v>
      </c>
      <c r="I5863" s="40"/>
      <c r="J5863" s="102">
        <v>0</v>
      </c>
    </row>
    <row r="5864" spans="1:10" ht="15.75" hidden="1" thickBot="1" x14ac:dyDescent="0.3">
      <c r="A5864" s="236"/>
      <c r="B5864" s="223"/>
      <c r="C5864" s="55"/>
      <c r="D5864" s="108"/>
      <c r="E5864" s="66"/>
      <c r="F5864" s="76" t="s">
        <v>522</v>
      </c>
      <c r="G5864" s="76" t="str">
        <f t="shared" si="110"/>
        <v/>
      </c>
      <c r="H5864" s="77"/>
      <c r="I5864" s="74"/>
      <c r="J5864" s="102">
        <v>0</v>
      </c>
    </row>
    <row r="5865" spans="1:10" ht="15.75" hidden="1" thickBot="1" x14ac:dyDescent="0.3">
      <c r="A5865" s="232" t="s">
        <v>2173</v>
      </c>
      <c r="B5865" s="221" t="e">
        <f>INDEX(#REF!,MATCH(Composições!A5865,#REF!,0),2)</f>
        <v>#REF!</v>
      </c>
      <c r="C5865" s="41"/>
      <c r="D5865" s="26" t="s">
        <v>93</v>
      </c>
      <c r="E5865" s="27"/>
      <c r="F5865" s="49" t="s">
        <v>522</v>
      </c>
      <c r="G5865" s="28" t="str">
        <f t="shared" si="110"/>
        <v/>
      </c>
      <c r="H5865" s="29"/>
      <c r="I5865" s="30"/>
      <c r="J5865" s="102">
        <v>0</v>
      </c>
    </row>
    <row r="5866" spans="1:10" hidden="1" x14ac:dyDescent="0.25">
      <c r="A5866" s="235"/>
      <c r="B5866" s="222"/>
      <c r="C5866" s="111"/>
      <c r="D5866" s="111"/>
      <c r="E5866" s="112"/>
      <c r="F5866" s="54" t="s">
        <v>522</v>
      </c>
      <c r="G5866" s="54" t="str">
        <f t="shared" si="110"/>
        <v/>
      </c>
      <c r="H5866" s="73"/>
      <c r="I5866" s="74"/>
      <c r="J5866" s="102">
        <v>0</v>
      </c>
    </row>
    <row r="5867" spans="1:10" ht="25.5" hidden="1" x14ac:dyDescent="0.25">
      <c r="A5867" s="235"/>
      <c r="B5867" s="222"/>
      <c r="C5867" s="36" t="s">
        <v>1765</v>
      </c>
      <c r="D5867" s="105" t="s">
        <v>93</v>
      </c>
      <c r="E5867" s="106">
        <v>1</v>
      </c>
      <c r="F5867" s="31">
        <v>3.762</v>
      </c>
      <c r="G5867" s="54">
        <f t="shared" si="110"/>
        <v>3.762</v>
      </c>
      <c r="H5867" s="39">
        <f>SUM(G5867:G5867)</f>
        <v>3.762</v>
      </c>
      <c r="I5867" s="40"/>
      <c r="J5867" s="102">
        <v>0</v>
      </c>
    </row>
    <row r="5868" spans="1:10" ht="15.75" hidden="1" thickBot="1" x14ac:dyDescent="0.3">
      <c r="A5868" s="236"/>
      <c r="B5868" s="223"/>
      <c r="C5868" s="55"/>
      <c r="D5868" s="108"/>
      <c r="E5868" s="66"/>
      <c r="F5868" s="76" t="s">
        <v>522</v>
      </c>
      <c r="G5868" s="76" t="str">
        <f t="shared" si="110"/>
        <v/>
      </c>
      <c r="H5868" s="77"/>
      <c r="I5868" s="74"/>
      <c r="J5868" s="102">
        <v>0</v>
      </c>
    </row>
    <row r="5869" spans="1:10" ht="15.75" hidden="1" thickBot="1" x14ac:dyDescent="0.3">
      <c r="A5869" s="232" t="s">
        <v>2174</v>
      </c>
      <c r="B5869" s="221" t="e">
        <f>INDEX(#REF!,MATCH(Composições!A5869,#REF!,0),2)</f>
        <v>#REF!</v>
      </c>
      <c r="C5869" s="41"/>
      <c r="D5869" s="26" t="s">
        <v>93</v>
      </c>
      <c r="E5869" s="27"/>
      <c r="F5869" s="49" t="s">
        <v>522</v>
      </c>
      <c r="G5869" s="28" t="str">
        <f t="shared" si="110"/>
        <v/>
      </c>
      <c r="H5869" s="29"/>
      <c r="I5869" s="30"/>
      <c r="J5869" s="102">
        <v>0</v>
      </c>
    </row>
    <row r="5870" spans="1:10" hidden="1" x14ac:dyDescent="0.25">
      <c r="A5870" s="235"/>
      <c r="B5870" s="222"/>
      <c r="C5870" s="111"/>
      <c r="D5870" s="111"/>
      <c r="E5870" s="112"/>
      <c r="F5870" s="54" t="s">
        <v>522</v>
      </c>
      <c r="G5870" s="54" t="str">
        <f t="shared" si="110"/>
        <v/>
      </c>
      <c r="H5870" s="73"/>
      <c r="I5870" s="74"/>
      <c r="J5870" s="102">
        <v>0</v>
      </c>
    </row>
    <row r="5871" spans="1:10" ht="25.5" hidden="1" x14ac:dyDescent="0.25">
      <c r="A5871" s="235"/>
      <c r="B5871" s="222"/>
      <c r="C5871" s="36" t="s">
        <v>1766</v>
      </c>
      <c r="D5871" s="105" t="s">
        <v>93</v>
      </c>
      <c r="E5871" s="106">
        <v>1</v>
      </c>
      <c r="F5871" s="31">
        <v>7.2389999999999999</v>
      </c>
      <c r="G5871" s="54">
        <f t="shared" si="110"/>
        <v>7.2389999999999999</v>
      </c>
      <c r="H5871" s="39">
        <f>SUM(G5871:G5871)</f>
        <v>7.2389999999999999</v>
      </c>
      <c r="I5871" s="40"/>
      <c r="J5871" s="102">
        <v>0</v>
      </c>
    </row>
    <row r="5872" spans="1:10" ht="15.75" hidden="1" thickBot="1" x14ac:dyDescent="0.3">
      <c r="A5872" s="236"/>
      <c r="B5872" s="223"/>
      <c r="C5872" s="55"/>
      <c r="D5872" s="108"/>
      <c r="E5872" s="66"/>
      <c r="F5872" s="76" t="s">
        <v>522</v>
      </c>
      <c r="G5872" s="76" t="str">
        <f t="shared" si="110"/>
        <v/>
      </c>
      <c r="H5872" s="77"/>
      <c r="I5872" s="74"/>
      <c r="J5872" s="102">
        <v>0</v>
      </c>
    </row>
    <row r="5873" spans="1:10" ht="15.75" hidden="1" thickBot="1" x14ac:dyDescent="0.3">
      <c r="A5873" s="232" t="s">
        <v>2175</v>
      </c>
      <c r="B5873" s="221" t="e">
        <f>INDEX(#REF!,MATCH(Composições!A5873,#REF!,0),2)</f>
        <v>#REF!</v>
      </c>
      <c r="C5873" s="41"/>
      <c r="D5873" s="26" t="s">
        <v>93</v>
      </c>
      <c r="E5873" s="27"/>
      <c r="F5873" s="49" t="s">
        <v>522</v>
      </c>
      <c r="G5873" s="28" t="str">
        <f t="shared" si="110"/>
        <v/>
      </c>
      <c r="H5873" s="29"/>
      <c r="I5873" s="30"/>
      <c r="J5873" s="102">
        <v>0</v>
      </c>
    </row>
    <row r="5874" spans="1:10" hidden="1" x14ac:dyDescent="0.25">
      <c r="A5874" s="235"/>
      <c r="B5874" s="222"/>
      <c r="C5874" s="111"/>
      <c r="D5874" s="111"/>
      <c r="E5874" s="112"/>
      <c r="F5874" s="54" t="s">
        <v>522</v>
      </c>
      <c r="G5874" s="54" t="str">
        <f t="shared" si="110"/>
        <v/>
      </c>
      <c r="H5874" s="73"/>
      <c r="I5874" s="74"/>
      <c r="J5874" s="102">
        <v>0</v>
      </c>
    </row>
    <row r="5875" spans="1:10" ht="38.25" hidden="1" x14ac:dyDescent="0.25">
      <c r="A5875" s="235"/>
      <c r="B5875" s="222"/>
      <c r="C5875" s="36" t="s">
        <v>1761</v>
      </c>
      <c r="D5875" s="105" t="s">
        <v>93</v>
      </c>
      <c r="E5875" s="106">
        <v>1</v>
      </c>
      <c r="F5875" s="31">
        <v>13.176499999999999</v>
      </c>
      <c r="G5875" s="54">
        <f t="shared" si="110"/>
        <v>13.176499999999999</v>
      </c>
      <c r="H5875" s="39">
        <f>SUM(G5875:G5875)</f>
        <v>13.176499999999999</v>
      </c>
      <c r="I5875" s="40"/>
      <c r="J5875" s="102">
        <v>0</v>
      </c>
    </row>
    <row r="5876" spans="1:10" ht="15.75" hidden="1" thickBot="1" x14ac:dyDescent="0.3">
      <c r="A5876" s="236"/>
      <c r="B5876" s="223"/>
      <c r="C5876" s="55"/>
      <c r="D5876" s="108"/>
      <c r="E5876" s="66"/>
      <c r="F5876" s="76" t="s">
        <v>522</v>
      </c>
      <c r="G5876" s="76" t="str">
        <f t="shared" si="110"/>
        <v/>
      </c>
      <c r="H5876" s="77"/>
      <c r="I5876" s="74"/>
      <c r="J5876" s="102">
        <v>0</v>
      </c>
    </row>
    <row r="5877" spans="1:10" ht="15.75" hidden="1" thickBot="1" x14ac:dyDescent="0.3">
      <c r="A5877" s="232" t="s">
        <v>2176</v>
      </c>
      <c r="B5877" s="221" t="e">
        <f>INDEX(#REF!,MATCH(Composições!A5877,#REF!,0),2)</f>
        <v>#REF!</v>
      </c>
      <c r="C5877" s="41"/>
      <c r="D5877" s="26" t="s">
        <v>93</v>
      </c>
      <c r="E5877" s="27"/>
      <c r="F5877" s="49" t="s">
        <v>522</v>
      </c>
      <c r="G5877" s="28" t="str">
        <f t="shared" si="110"/>
        <v/>
      </c>
      <c r="H5877" s="29"/>
      <c r="I5877" s="30"/>
      <c r="J5877" s="102">
        <v>0</v>
      </c>
    </row>
    <row r="5878" spans="1:10" hidden="1" x14ac:dyDescent="0.25">
      <c r="A5878" s="235"/>
      <c r="B5878" s="222"/>
      <c r="C5878" s="111"/>
      <c r="D5878" s="111"/>
      <c r="E5878" s="112"/>
      <c r="F5878" s="54" t="s">
        <v>522</v>
      </c>
      <c r="G5878" s="54" t="str">
        <f t="shared" si="110"/>
        <v/>
      </c>
      <c r="H5878" s="73"/>
      <c r="I5878" s="74"/>
      <c r="J5878" s="102">
        <v>0</v>
      </c>
    </row>
    <row r="5879" spans="1:10" ht="38.25" hidden="1" x14ac:dyDescent="0.25">
      <c r="A5879" s="235"/>
      <c r="B5879" s="222"/>
      <c r="C5879" s="36" t="s">
        <v>1762</v>
      </c>
      <c r="D5879" s="105" t="s">
        <v>93</v>
      </c>
      <c r="E5879" s="106">
        <v>1</v>
      </c>
      <c r="F5879" s="31">
        <v>17.2805</v>
      </c>
      <c r="G5879" s="54">
        <f t="shared" si="110"/>
        <v>17.2805</v>
      </c>
      <c r="H5879" s="39">
        <f>SUM(G5879:G5879)</f>
        <v>17.2805</v>
      </c>
      <c r="I5879" s="40"/>
      <c r="J5879" s="102">
        <v>0</v>
      </c>
    </row>
    <row r="5880" spans="1:10" ht="15.75" hidden="1" thickBot="1" x14ac:dyDescent="0.3">
      <c r="A5880" s="236"/>
      <c r="B5880" s="223"/>
      <c r="C5880" s="55"/>
      <c r="D5880" s="108"/>
      <c r="E5880" s="66"/>
      <c r="F5880" s="76" t="s">
        <v>522</v>
      </c>
      <c r="G5880" s="76" t="str">
        <f t="shared" si="110"/>
        <v/>
      </c>
      <c r="H5880" s="77"/>
      <c r="I5880" s="74"/>
      <c r="J5880" s="102">
        <v>0</v>
      </c>
    </row>
    <row r="5881" spans="1:10" ht="15.75" hidden="1" thickBot="1" x14ac:dyDescent="0.3">
      <c r="A5881" s="232" t="s">
        <v>2177</v>
      </c>
      <c r="B5881" s="221" t="e">
        <f>INDEX(#REF!,MATCH(Composições!A5881,#REF!,0),2)</f>
        <v>#REF!</v>
      </c>
      <c r="C5881" s="41"/>
      <c r="D5881" s="26" t="s">
        <v>93</v>
      </c>
      <c r="E5881" s="27"/>
      <c r="F5881" s="49" t="s">
        <v>522</v>
      </c>
      <c r="G5881" s="28" t="str">
        <f t="shared" si="110"/>
        <v/>
      </c>
      <c r="H5881" s="29"/>
      <c r="I5881" s="30"/>
      <c r="J5881" s="102">
        <v>0</v>
      </c>
    </row>
    <row r="5882" spans="1:10" hidden="1" x14ac:dyDescent="0.25">
      <c r="A5882" s="235"/>
      <c r="B5882" s="222"/>
      <c r="C5882" s="111"/>
      <c r="D5882" s="111"/>
      <c r="E5882" s="112"/>
      <c r="F5882" s="54" t="s">
        <v>522</v>
      </c>
      <c r="G5882" s="54" t="str">
        <f t="shared" si="110"/>
        <v/>
      </c>
      <c r="H5882" s="73"/>
      <c r="I5882" s="74"/>
      <c r="J5882" s="102">
        <v>0</v>
      </c>
    </row>
    <row r="5883" spans="1:10" ht="38.25" hidden="1" x14ac:dyDescent="0.25">
      <c r="A5883" s="235"/>
      <c r="B5883" s="222"/>
      <c r="C5883" s="36" t="s">
        <v>1763</v>
      </c>
      <c r="D5883" s="105" t="s">
        <v>93</v>
      </c>
      <c r="E5883" s="106">
        <v>1</v>
      </c>
      <c r="F5883" s="31">
        <v>26.068000000000001</v>
      </c>
      <c r="G5883" s="54">
        <f t="shared" si="110"/>
        <v>26.068000000000001</v>
      </c>
      <c r="H5883" s="39">
        <f>SUM(G5883:G5883)</f>
        <v>26.068000000000001</v>
      </c>
      <c r="I5883" s="40"/>
      <c r="J5883" s="102">
        <v>0</v>
      </c>
    </row>
    <row r="5884" spans="1:10" ht="15.75" hidden="1" thickBot="1" x14ac:dyDescent="0.3">
      <c r="A5884" s="236"/>
      <c r="B5884" s="223"/>
      <c r="C5884" s="55"/>
      <c r="D5884" s="108"/>
      <c r="E5884" s="66"/>
      <c r="F5884" s="76" t="s">
        <v>522</v>
      </c>
      <c r="G5884" s="76" t="str">
        <f t="shared" si="110"/>
        <v/>
      </c>
      <c r="H5884" s="77"/>
      <c r="I5884" s="74"/>
      <c r="J5884" s="102">
        <v>0</v>
      </c>
    </row>
    <row r="5885" spans="1:10" ht="15.75" hidden="1" thickBot="1" x14ac:dyDescent="0.3">
      <c r="A5885" s="232" t="s">
        <v>2178</v>
      </c>
      <c r="B5885" s="221" t="e">
        <f>INDEX(#REF!,MATCH(Composições!A5885,#REF!,0),2)</f>
        <v>#REF!</v>
      </c>
      <c r="C5885" s="41"/>
      <c r="D5885" s="26" t="s">
        <v>93</v>
      </c>
      <c r="E5885" s="27"/>
      <c r="F5885" s="49" t="s">
        <v>522</v>
      </c>
      <c r="G5885" s="28" t="str">
        <f t="shared" si="110"/>
        <v/>
      </c>
      <c r="H5885" s="29"/>
      <c r="I5885" s="30"/>
      <c r="J5885" s="102">
        <v>0</v>
      </c>
    </row>
    <row r="5886" spans="1:10" hidden="1" x14ac:dyDescent="0.25">
      <c r="A5886" s="235"/>
      <c r="B5886" s="222"/>
      <c r="C5886" s="111"/>
      <c r="D5886" s="111"/>
      <c r="E5886" s="112"/>
      <c r="F5886" s="54" t="s">
        <v>522</v>
      </c>
      <c r="G5886" s="54" t="str">
        <f t="shared" si="110"/>
        <v/>
      </c>
      <c r="H5886" s="73"/>
      <c r="I5886" s="74"/>
      <c r="J5886" s="102">
        <v>0</v>
      </c>
    </row>
    <row r="5887" spans="1:10" ht="38.25" hidden="1" x14ac:dyDescent="0.25">
      <c r="A5887" s="235"/>
      <c r="B5887" s="222"/>
      <c r="C5887" s="36" t="s">
        <v>1210</v>
      </c>
      <c r="D5887" s="105" t="s">
        <v>93</v>
      </c>
      <c r="E5887" s="106">
        <v>1</v>
      </c>
      <c r="F5887" s="31">
        <v>33.554000000000002</v>
      </c>
      <c r="G5887" s="54">
        <f t="shared" si="110"/>
        <v>33.554000000000002</v>
      </c>
      <c r="H5887" s="39">
        <f>SUM(G5887:G5887)</f>
        <v>33.554000000000002</v>
      </c>
      <c r="I5887" s="40"/>
      <c r="J5887" s="102">
        <v>0</v>
      </c>
    </row>
    <row r="5888" spans="1:10" ht="15.75" hidden="1" thickBot="1" x14ac:dyDescent="0.3">
      <c r="A5888" s="236"/>
      <c r="B5888" s="223"/>
      <c r="C5888" s="55"/>
      <c r="D5888" s="108"/>
      <c r="E5888" s="66"/>
      <c r="F5888" s="76" t="s">
        <v>522</v>
      </c>
      <c r="G5888" s="76" t="str">
        <f t="shared" si="110"/>
        <v/>
      </c>
      <c r="H5888" s="77"/>
      <c r="I5888" s="74"/>
      <c r="J5888" s="102">
        <v>0</v>
      </c>
    </row>
    <row r="5889" spans="1:10" ht="15.75" hidden="1" thickBot="1" x14ac:dyDescent="0.3">
      <c r="A5889" s="232" t="s">
        <v>2179</v>
      </c>
      <c r="B5889" s="221" t="e">
        <f>INDEX(#REF!,MATCH(Composições!A5889,#REF!,0),2)</f>
        <v>#REF!</v>
      </c>
      <c r="C5889" s="41"/>
      <c r="D5889" s="26" t="s">
        <v>93</v>
      </c>
      <c r="E5889" s="27"/>
      <c r="F5889" s="49" t="s">
        <v>522</v>
      </c>
      <c r="G5889" s="28" t="str">
        <f t="shared" si="110"/>
        <v/>
      </c>
      <c r="H5889" s="29"/>
      <c r="I5889" s="30"/>
      <c r="J5889" s="102">
        <v>0</v>
      </c>
    </row>
    <row r="5890" spans="1:10" hidden="1" x14ac:dyDescent="0.25">
      <c r="A5890" s="235"/>
      <c r="B5890" s="222"/>
      <c r="C5890" s="111"/>
      <c r="D5890" s="111"/>
      <c r="E5890" s="112"/>
      <c r="F5890" s="54" t="s">
        <v>522</v>
      </c>
      <c r="G5890" s="54" t="str">
        <f t="shared" si="110"/>
        <v/>
      </c>
      <c r="H5890" s="73"/>
      <c r="I5890" s="74"/>
      <c r="J5890" s="102">
        <v>0</v>
      </c>
    </row>
    <row r="5891" spans="1:10" ht="38.25" hidden="1" x14ac:dyDescent="0.25">
      <c r="A5891" s="235"/>
      <c r="B5891" s="222"/>
      <c r="C5891" s="36" t="s">
        <v>1764</v>
      </c>
      <c r="D5891" s="105" t="s">
        <v>93</v>
      </c>
      <c r="E5891" s="106">
        <v>1</v>
      </c>
      <c r="F5891" s="31">
        <v>44.697499999999998</v>
      </c>
      <c r="G5891" s="54">
        <f t="shared" si="110"/>
        <v>44.697499999999998</v>
      </c>
      <c r="H5891" s="39">
        <f>SUM(G5891:G5891)</f>
        <v>44.697499999999998</v>
      </c>
      <c r="I5891" s="40"/>
      <c r="J5891" s="102">
        <v>0</v>
      </c>
    </row>
    <row r="5892" spans="1:10" ht="15.75" hidden="1" thickBot="1" x14ac:dyDescent="0.3">
      <c r="A5892" s="236"/>
      <c r="B5892" s="223"/>
      <c r="C5892" s="55"/>
      <c r="D5892" s="108"/>
      <c r="E5892" s="66"/>
      <c r="F5892" s="76" t="s">
        <v>522</v>
      </c>
      <c r="G5892" s="76" t="str">
        <f t="shared" si="110"/>
        <v/>
      </c>
      <c r="H5892" s="77"/>
      <c r="I5892" s="74"/>
      <c r="J5892" s="102">
        <v>0</v>
      </c>
    </row>
    <row r="5893" spans="1:10" ht="15.75" hidden="1" thickBot="1" x14ac:dyDescent="0.3">
      <c r="A5893" s="232" t="s">
        <v>2180</v>
      </c>
      <c r="B5893" s="221" t="e">
        <f>INDEX(#REF!,MATCH(Composições!A5893,#REF!,0),2)</f>
        <v>#REF!</v>
      </c>
      <c r="C5893" s="41"/>
      <c r="D5893" s="26" t="s">
        <v>93</v>
      </c>
      <c r="E5893" s="27"/>
      <c r="F5893" s="49" t="s">
        <v>522</v>
      </c>
      <c r="G5893" s="28" t="str">
        <f t="shared" si="110"/>
        <v/>
      </c>
      <c r="H5893" s="29"/>
      <c r="I5893" s="30"/>
      <c r="J5893" s="102">
        <v>0</v>
      </c>
    </row>
    <row r="5894" spans="1:10" hidden="1" x14ac:dyDescent="0.25">
      <c r="A5894" s="235"/>
      <c r="B5894" s="222"/>
      <c r="C5894" s="111"/>
      <c r="D5894" s="111"/>
      <c r="E5894" s="112"/>
      <c r="F5894" s="54" t="s">
        <v>522</v>
      </c>
      <c r="G5894" s="54" t="str">
        <f t="shared" si="110"/>
        <v/>
      </c>
      <c r="H5894" s="73"/>
      <c r="I5894" s="74"/>
      <c r="J5894" s="102">
        <v>0</v>
      </c>
    </row>
    <row r="5895" spans="1:10" ht="38.25" hidden="1" x14ac:dyDescent="0.25">
      <c r="A5895" s="235"/>
      <c r="B5895" s="222"/>
      <c r="C5895" s="36" t="s">
        <v>2500</v>
      </c>
      <c r="D5895" s="105" t="s">
        <v>93</v>
      </c>
      <c r="E5895" s="106">
        <v>1</v>
      </c>
      <c r="F5895" s="31">
        <v>3.4390000000000001</v>
      </c>
      <c r="G5895" s="54">
        <f t="shared" si="110"/>
        <v>3.4390000000000001</v>
      </c>
      <c r="H5895" s="39">
        <f>SUM(G5895:G5895)</f>
        <v>3.4390000000000001</v>
      </c>
      <c r="I5895" s="40"/>
      <c r="J5895" s="102">
        <v>0</v>
      </c>
    </row>
    <row r="5896" spans="1:10" ht="15.75" hidden="1" thickBot="1" x14ac:dyDescent="0.3">
      <c r="A5896" s="236"/>
      <c r="B5896" s="223"/>
      <c r="C5896" s="55"/>
      <c r="D5896" s="108"/>
      <c r="E5896" s="66"/>
      <c r="F5896" s="76" t="s">
        <v>522</v>
      </c>
      <c r="G5896" s="76" t="str">
        <f t="shared" si="110"/>
        <v/>
      </c>
      <c r="H5896" s="77"/>
      <c r="I5896" s="74"/>
      <c r="J5896" s="102">
        <v>0</v>
      </c>
    </row>
    <row r="5897" spans="1:10" ht="15.75" hidden="1" thickBot="1" x14ac:dyDescent="0.3">
      <c r="A5897" s="232" t="s">
        <v>2181</v>
      </c>
      <c r="B5897" s="221" t="e">
        <f>INDEX(#REF!,MATCH(Composições!A5897,#REF!,0),2)</f>
        <v>#REF!</v>
      </c>
      <c r="C5897" s="41"/>
      <c r="D5897" s="26" t="s">
        <v>20</v>
      </c>
      <c r="E5897" s="27"/>
      <c r="F5897" s="49" t="s">
        <v>522</v>
      </c>
      <c r="G5897" s="28" t="str">
        <f t="shared" si="110"/>
        <v/>
      </c>
      <c r="H5897" s="29"/>
      <c r="I5897" s="30"/>
      <c r="J5897" s="102">
        <v>0</v>
      </c>
    </row>
    <row r="5898" spans="1:10" hidden="1" x14ac:dyDescent="0.25">
      <c r="A5898" s="235"/>
      <c r="B5898" s="222"/>
      <c r="C5898" s="111"/>
      <c r="D5898" s="111"/>
      <c r="E5898" s="112"/>
      <c r="F5898" s="54" t="s">
        <v>522</v>
      </c>
      <c r="G5898" s="54" t="str">
        <f t="shared" si="110"/>
        <v/>
      </c>
      <c r="H5898" s="73"/>
      <c r="I5898" s="74"/>
      <c r="J5898" s="102">
        <v>0</v>
      </c>
    </row>
    <row r="5899" spans="1:10" ht="25.5" hidden="1" x14ac:dyDescent="0.25">
      <c r="A5899" s="235"/>
      <c r="B5899" s="222"/>
      <c r="C5899" s="36" t="s">
        <v>1810</v>
      </c>
      <c r="D5899" s="105" t="s">
        <v>20</v>
      </c>
      <c r="E5899" s="106">
        <v>1</v>
      </c>
      <c r="F5899" s="31">
        <v>5.7189999999999994</v>
      </c>
      <c r="G5899" s="54">
        <f t="shared" si="110"/>
        <v>5.7189999999999994</v>
      </c>
      <c r="H5899" s="39">
        <f>SUM(G5899:G5899)</f>
        <v>5.7189999999999994</v>
      </c>
      <c r="I5899" s="40"/>
      <c r="J5899" s="102">
        <v>0</v>
      </c>
    </row>
    <row r="5900" spans="1:10" ht="15.75" hidden="1" thickBot="1" x14ac:dyDescent="0.3">
      <c r="A5900" s="236"/>
      <c r="B5900" s="223"/>
      <c r="C5900" s="55"/>
      <c r="D5900" s="108"/>
      <c r="E5900" s="66"/>
      <c r="F5900" s="76" t="s">
        <v>522</v>
      </c>
      <c r="G5900" s="76" t="str">
        <f t="shared" si="110"/>
        <v/>
      </c>
      <c r="H5900" s="77"/>
      <c r="I5900" s="74"/>
      <c r="J5900" s="102">
        <v>0</v>
      </c>
    </row>
    <row r="5901" spans="1:10" ht="15.75" hidden="1" thickBot="1" x14ac:dyDescent="0.3">
      <c r="A5901" s="232" t="s">
        <v>2182</v>
      </c>
      <c r="B5901" s="221" t="e">
        <f>INDEX(#REF!,MATCH(Composições!A5901,#REF!,0),2)</f>
        <v>#REF!</v>
      </c>
      <c r="C5901" s="41"/>
      <c r="D5901" s="26" t="s">
        <v>93</v>
      </c>
      <c r="E5901" s="27"/>
      <c r="F5901" s="49" t="s">
        <v>522</v>
      </c>
      <c r="G5901" s="28" t="str">
        <f t="shared" si="110"/>
        <v/>
      </c>
      <c r="H5901" s="29"/>
      <c r="I5901" s="30"/>
      <c r="J5901" s="102">
        <v>0</v>
      </c>
    </row>
    <row r="5902" spans="1:10" hidden="1" x14ac:dyDescent="0.25">
      <c r="A5902" s="235"/>
      <c r="B5902" s="222"/>
      <c r="C5902" s="111"/>
      <c r="D5902" s="111"/>
      <c r="E5902" s="112"/>
      <c r="F5902" s="54" t="s">
        <v>522</v>
      </c>
      <c r="G5902" s="54" t="str">
        <f t="shared" si="110"/>
        <v/>
      </c>
      <c r="H5902" s="73"/>
      <c r="I5902" s="74"/>
      <c r="J5902" s="102">
        <v>0</v>
      </c>
    </row>
    <row r="5903" spans="1:10" ht="38.25" hidden="1" x14ac:dyDescent="0.25">
      <c r="A5903" s="235"/>
      <c r="B5903" s="222"/>
      <c r="C5903" s="36" t="s">
        <v>2397</v>
      </c>
      <c r="D5903" s="105" t="s">
        <v>93</v>
      </c>
      <c r="E5903" s="106">
        <v>1</v>
      </c>
      <c r="F5903" s="31">
        <v>5.6714999999999991</v>
      </c>
      <c r="G5903" s="54">
        <f t="shared" si="110"/>
        <v>5.6714999999999991</v>
      </c>
      <c r="H5903" s="39">
        <f>SUM(G5903:G5903)</f>
        <v>5.6714999999999991</v>
      </c>
      <c r="I5903" s="40"/>
      <c r="J5903" s="102">
        <v>0</v>
      </c>
    </row>
    <row r="5904" spans="1:10" ht="15.75" hidden="1" thickBot="1" x14ac:dyDescent="0.3">
      <c r="A5904" s="236"/>
      <c r="B5904" s="223"/>
      <c r="C5904" s="55"/>
      <c r="D5904" s="108"/>
      <c r="E5904" s="66"/>
      <c r="F5904" s="76" t="s">
        <v>522</v>
      </c>
      <c r="G5904" s="76" t="str">
        <f t="shared" si="110"/>
        <v/>
      </c>
      <c r="H5904" s="77"/>
      <c r="I5904" s="74"/>
      <c r="J5904" s="102">
        <v>0</v>
      </c>
    </row>
    <row r="5905" spans="1:10" ht="15.75" hidden="1" thickBot="1" x14ac:dyDescent="0.3">
      <c r="A5905" s="232" t="s">
        <v>2183</v>
      </c>
      <c r="B5905" s="221" t="e">
        <f>INDEX(#REF!,MATCH(Composições!A5905,#REF!,0),2)</f>
        <v>#REF!</v>
      </c>
      <c r="C5905" s="41"/>
      <c r="D5905" s="26" t="s">
        <v>20</v>
      </c>
      <c r="E5905" s="27"/>
      <c r="F5905" s="49" t="s">
        <v>522</v>
      </c>
      <c r="G5905" s="28" t="str">
        <f t="shared" si="110"/>
        <v/>
      </c>
      <c r="H5905" s="29"/>
      <c r="I5905" s="30"/>
      <c r="J5905" s="102">
        <v>0</v>
      </c>
    </row>
    <row r="5906" spans="1:10" hidden="1" x14ac:dyDescent="0.25">
      <c r="A5906" s="235"/>
      <c r="B5906" s="222"/>
      <c r="C5906" s="111"/>
      <c r="D5906" s="111"/>
      <c r="E5906" s="112"/>
      <c r="F5906" s="54" t="s">
        <v>522</v>
      </c>
      <c r="G5906" s="54" t="str">
        <f t="shared" si="110"/>
        <v/>
      </c>
      <c r="H5906" s="73"/>
      <c r="I5906" s="74"/>
      <c r="J5906" s="102">
        <v>0</v>
      </c>
    </row>
    <row r="5907" spans="1:10" ht="25.5" hidden="1" x14ac:dyDescent="0.25">
      <c r="A5907" s="235"/>
      <c r="B5907" s="222"/>
      <c r="C5907" s="36" t="s">
        <v>1811</v>
      </c>
      <c r="D5907" s="105" t="s">
        <v>20</v>
      </c>
      <c r="E5907" s="106">
        <v>1</v>
      </c>
      <c r="F5907" s="31">
        <v>6.5359999999999996</v>
      </c>
      <c r="G5907" s="54">
        <f t="shared" si="110"/>
        <v>6.5359999999999996</v>
      </c>
      <c r="H5907" s="39">
        <f>SUM(G5907:G5907)</f>
        <v>6.5359999999999996</v>
      </c>
      <c r="I5907" s="40"/>
      <c r="J5907" s="102">
        <v>0</v>
      </c>
    </row>
    <row r="5908" spans="1:10" ht="15.75" hidden="1" thickBot="1" x14ac:dyDescent="0.3">
      <c r="A5908" s="236"/>
      <c r="B5908" s="223"/>
      <c r="C5908" s="55"/>
      <c r="D5908" s="108"/>
      <c r="E5908" s="66"/>
      <c r="F5908" s="76" t="s">
        <v>522</v>
      </c>
      <c r="G5908" s="76" t="str">
        <f t="shared" si="110"/>
        <v/>
      </c>
      <c r="H5908" s="77"/>
      <c r="I5908" s="74"/>
      <c r="J5908" s="102">
        <v>0</v>
      </c>
    </row>
    <row r="5909" spans="1:10" ht="15.75" hidden="1" thickBot="1" x14ac:dyDescent="0.3">
      <c r="A5909" s="232" t="s">
        <v>2184</v>
      </c>
      <c r="B5909" s="221" t="e">
        <f>INDEX(#REF!,MATCH(Composições!A5909,#REF!,0),2)</f>
        <v>#REF!</v>
      </c>
      <c r="C5909" s="41"/>
      <c r="D5909" s="26" t="s">
        <v>93</v>
      </c>
      <c r="E5909" s="27"/>
      <c r="F5909" s="49" t="s">
        <v>522</v>
      </c>
      <c r="G5909" s="28" t="str">
        <f t="shared" si="110"/>
        <v/>
      </c>
      <c r="H5909" s="29"/>
      <c r="I5909" s="30"/>
      <c r="J5909" s="102">
        <v>0</v>
      </c>
    </row>
    <row r="5910" spans="1:10" hidden="1" x14ac:dyDescent="0.25">
      <c r="A5910" s="235"/>
      <c r="B5910" s="222"/>
      <c r="C5910" s="111"/>
      <c r="D5910" s="111"/>
      <c r="E5910" s="112"/>
      <c r="F5910" s="54" t="s">
        <v>522</v>
      </c>
      <c r="G5910" s="54" t="str">
        <f t="shared" si="110"/>
        <v/>
      </c>
      <c r="H5910" s="73"/>
      <c r="I5910" s="74"/>
      <c r="J5910" s="102">
        <v>0</v>
      </c>
    </row>
    <row r="5911" spans="1:10" ht="38.25" hidden="1" x14ac:dyDescent="0.25">
      <c r="A5911" s="235"/>
      <c r="B5911" s="222"/>
      <c r="C5911" s="36" t="s">
        <v>2393</v>
      </c>
      <c r="D5911" s="105" t="s">
        <v>93</v>
      </c>
      <c r="E5911" s="106">
        <v>1</v>
      </c>
      <c r="F5911" s="31">
        <v>7.9419999999999993</v>
      </c>
      <c r="G5911" s="54">
        <f t="shared" si="110"/>
        <v>7.9419999999999993</v>
      </c>
      <c r="H5911" s="39">
        <f>SUM(G5911:G5911)</f>
        <v>7.9419999999999993</v>
      </c>
      <c r="I5911" s="40"/>
      <c r="J5911" s="102">
        <v>0</v>
      </c>
    </row>
    <row r="5912" spans="1:10" ht="15.75" hidden="1" thickBot="1" x14ac:dyDescent="0.3">
      <c r="A5912" s="236"/>
      <c r="B5912" s="223"/>
      <c r="C5912" s="55"/>
      <c r="D5912" s="108"/>
      <c r="E5912" s="66"/>
      <c r="F5912" s="76" t="s">
        <v>522</v>
      </c>
      <c r="G5912" s="76" t="str">
        <f t="shared" si="110"/>
        <v/>
      </c>
      <c r="H5912" s="77"/>
      <c r="I5912" s="74"/>
      <c r="J5912" s="102">
        <v>0</v>
      </c>
    </row>
    <row r="5913" spans="1:10" ht="15.75" hidden="1" thickBot="1" x14ac:dyDescent="0.3">
      <c r="A5913" s="232" t="s">
        <v>2185</v>
      </c>
      <c r="B5913" s="221" t="e">
        <f>INDEX(#REF!,MATCH(Composições!A5913,#REF!,0),2)</f>
        <v>#REF!</v>
      </c>
      <c r="C5913" s="41"/>
      <c r="D5913" s="26" t="s">
        <v>20</v>
      </c>
      <c r="E5913" s="27"/>
      <c r="F5913" s="49" t="s">
        <v>522</v>
      </c>
      <c r="G5913" s="28" t="str">
        <f t="shared" si="110"/>
        <v/>
      </c>
      <c r="H5913" s="29"/>
      <c r="I5913" s="30"/>
      <c r="J5913" s="102">
        <v>0</v>
      </c>
    </row>
    <row r="5914" spans="1:10" hidden="1" x14ac:dyDescent="0.25">
      <c r="A5914" s="235"/>
      <c r="B5914" s="222"/>
      <c r="C5914" s="111"/>
      <c r="D5914" s="111"/>
      <c r="E5914" s="112"/>
      <c r="F5914" s="54" t="s">
        <v>522</v>
      </c>
      <c r="G5914" s="54" t="str">
        <f t="shared" si="110"/>
        <v/>
      </c>
      <c r="H5914" s="73"/>
      <c r="I5914" s="74"/>
      <c r="J5914" s="102">
        <v>0</v>
      </c>
    </row>
    <row r="5915" spans="1:10" ht="25.5" hidden="1" x14ac:dyDescent="0.25">
      <c r="A5915" s="235"/>
      <c r="B5915" s="222"/>
      <c r="C5915" s="36" t="s">
        <v>1812</v>
      </c>
      <c r="D5915" s="105" t="s">
        <v>20</v>
      </c>
      <c r="E5915" s="106">
        <v>1</v>
      </c>
      <c r="F5915" s="31">
        <v>9.6425000000000001</v>
      </c>
      <c r="G5915" s="54">
        <f t="shared" si="110"/>
        <v>9.6425000000000001</v>
      </c>
      <c r="H5915" s="39">
        <f>SUM(G5915:G5915)</f>
        <v>9.6425000000000001</v>
      </c>
      <c r="I5915" s="40"/>
      <c r="J5915" s="102">
        <v>0</v>
      </c>
    </row>
    <row r="5916" spans="1:10" ht="15.75" hidden="1" thickBot="1" x14ac:dyDescent="0.3">
      <c r="A5916" s="236"/>
      <c r="B5916" s="223"/>
      <c r="C5916" s="55"/>
      <c r="D5916" s="108"/>
      <c r="E5916" s="66"/>
      <c r="F5916" s="76" t="s">
        <v>522</v>
      </c>
      <c r="G5916" s="76" t="str">
        <f t="shared" si="110"/>
        <v/>
      </c>
      <c r="H5916" s="77"/>
      <c r="I5916" s="74"/>
      <c r="J5916" s="102">
        <v>0</v>
      </c>
    </row>
    <row r="5917" spans="1:10" ht="15.75" hidden="1" thickBot="1" x14ac:dyDescent="0.3">
      <c r="A5917" s="232" t="s">
        <v>2186</v>
      </c>
      <c r="B5917" s="221" t="e">
        <f>INDEX(#REF!,MATCH(Composições!A5917,#REF!,0),2)</f>
        <v>#REF!</v>
      </c>
      <c r="C5917" s="41"/>
      <c r="D5917" s="26" t="s">
        <v>93</v>
      </c>
      <c r="E5917" s="27"/>
      <c r="F5917" s="49" t="s">
        <v>522</v>
      </c>
      <c r="G5917" s="28" t="str">
        <f t="shared" si="110"/>
        <v/>
      </c>
      <c r="H5917" s="29"/>
      <c r="I5917" s="30"/>
      <c r="J5917" s="102">
        <v>0</v>
      </c>
    </row>
    <row r="5918" spans="1:10" hidden="1" x14ac:dyDescent="0.25">
      <c r="A5918" s="235"/>
      <c r="B5918" s="222"/>
      <c r="C5918" s="111"/>
      <c r="D5918" s="111"/>
      <c r="E5918" s="112"/>
      <c r="F5918" s="54" t="s">
        <v>522</v>
      </c>
      <c r="G5918" s="54" t="str">
        <f t="shared" ref="G5918:G5981" si="111">IF(ISNUMBER(F5918),E5918*F5918,"")</f>
        <v/>
      </c>
      <c r="H5918" s="73"/>
      <c r="I5918" s="74"/>
      <c r="J5918" s="102">
        <v>0</v>
      </c>
    </row>
    <row r="5919" spans="1:10" hidden="1" x14ac:dyDescent="0.25">
      <c r="A5919" s="235"/>
      <c r="B5919" s="222"/>
      <c r="C5919" s="36" t="s">
        <v>1760</v>
      </c>
      <c r="D5919" s="105" t="s">
        <v>93</v>
      </c>
      <c r="E5919" s="106">
        <v>1</v>
      </c>
      <c r="F5919" s="31">
        <v>4.6930000000000005</v>
      </c>
      <c r="G5919" s="54">
        <f t="shared" si="111"/>
        <v>4.6930000000000005</v>
      </c>
      <c r="H5919" s="39">
        <f>SUM(G5919:G5919)</f>
        <v>4.6930000000000005</v>
      </c>
      <c r="I5919" s="40"/>
      <c r="J5919" s="102">
        <v>0</v>
      </c>
    </row>
    <row r="5920" spans="1:10" ht="15.75" hidden="1" thickBot="1" x14ac:dyDescent="0.3">
      <c r="A5920" s="236"/>
      <c r="B5920" s="223"/>
      <c r="C5920" s="55"/>
      <c r="D5920" s="108"/>
      <c r="E5920" s="66"/>
      <c r="F5920" s="76" t="s">
        <v>522</v>
      </c>
      <c r="G5920" s="76" t="str">
        <f t="shared" si="111"/>
        <v/>
      </c>
      <c r="H5920" s="77"/>
      <c r="I5920" s="74"/>
      <c r="J5920" s="102">
        <v>0</v>
      </c>
    </row>
    <row r="5921" spans="1:10" ht="15.75" hidden="1" thickBot="1" x14ac:dyDescent="0.3">
      <c r="A5921" s="232" t="s">
        <v>2187</v>
      </c>
      <c r="B5921" s="221" t="e">
        <f>INDEX(#REF!,MATCH(Composições!A5921,#REF!,0),2)</f>
        <v>#REF!</v>
      </c>
      <c r="C5921" s="41"/>
      <c r="D5921" s="26" t="s">
        <v>20</v>
      </c>
      <c r="E5921" s="27"/>
      <c r="F5921" s="49" t="s">
        <v>522</v>
      </c>
      <c r="G5921" s="28" t="str">
        <f t="shared" si="111"/>
        <v/>
      </c>
      <c r="H5921" s="29"/>
      <c r="I5921" s="30"/>
      <c r="J5921" s="102">
        <v>0</v>
      </c>
    </row>
    <row r="5922" spans="1:10" hidden="1" x14ac:dyDescent="0.25">
      <c r="A5922" s="235"/>
      <c r="B5922" s="222"/>
      <c r="C5922" s="111"/>
      <c r="D5922" s="111"/>
      <c r="E5922" s="112"/>
      <c r="F5922" s="54" t="s">
        <v>522</v>
      </c>
      <c r="G5922" s="54" t="str">
        <f t="shared" si="111"/>
        <v/>
      </c>
      <c r="H5922" s="73"/>
      <c r="I5922" s="74"/>
      <c r="J5922" s="102">
        <v>0</v>
      </c>
    </row>
    <row r="5923" spans="1:10" hidden="1" x14ac:dyDescent="0.25">
      <c r="A5923" s="235"/>
      <c r="B5923" s="222"/>
      <c r="C5923" s="36" t="s">
        <v>1780</v>
      </c>
      <c r="D5923" s="105" t="s">
        <v>20</v>
      </c>
      <c r="E5923" s="106">
        <v>1</v>
      </c>
      <c r="F5923" s="31">
        <v>1.653</v>
      </c>
      <c r="G5923" s="54">
        <f t="shared" si="111"/>
        <v>1.653</v>
      </c>
      <c r="H5923" s="39">
        <f>SUM(G5923:G5923)</f>
        <v>1.653</v>
      </c>
      <c r="I5923" s="40"/>
      <c r="J5923" s="102">
        <v>0</v>
      </c>
    </row>
    <row r="5924" spans="1:10" ht="15.75" hidden="1" thickBot="1" x14ac:dyDescent="0.3">
      <c r="A5924" s="236"/>
      <c r="B5924" s="223"/>
      <c r="C5924" s="55"/>
      <c r="D5924" s="108"/>
      <c r="E5924" s="66"/>
      <c r="F5924" s="76" t="s">
        <v>522</v>
      </c>
      <c r="G5924" s="76" t="str">
        <f t="shared" si="111"/>
        <v/>
      </c>
      <c r="H5924" s="77"/>
      <c r="I5924" s="74"/>
      <c r="J5924" s="102">
        <v>0</v>
      </c>
    </row>
    <row r="5925" spans="1:10" ht="15.75" hidden="1" thickBot="1" x14ac:dyDescent="0.3">
      <c r="A5925" s="232" t="s">
        <v>2188</v>
      </c>
      <c r="B5925" s="221" t="e">
        <f>INDEX(#REF!,MATCH(Composições!A5925,#REF!,0),2)</f>
        <v>#REF!</v>
      </c>
      <c r="C5925" s="41"/>
      <c r="D5925" s="26" t="s">
        <v>20</v>
      </c>
      <c r="E5925" s="27"/>
      <c r="F5925" s="49" t="s">
        <v>522</v>
      </c>
      <c r="G5925" s="28" t="str">
        <f t="shared" si="111"/>
        <v/>
      </c>
      <c r="H5925" s="29"/>
      <c r="I5925" s="30"/>
      <c r="J5925" s="102">
        <v>0</v>
      </c>
    </row>
    <row r="5926" spans="1:10" hidden="1" x14ac:dyDescent="0.25">
      <c r="A5926" s="235"/>
      <c r="B5926" s="222"/>
      <c r="C5926" s="111"/>
      <c r="D5926" s="111"/>
      <c r="E5926" s="112"/>
      <c r="F5926" s="54" t="s">
        <v>522</v>
      </c>
      <c r="G5926" s="54" t="str">
        <f t="shared" si="111"/>
        <v/>
      </c>
      <c r="H5926" s="73"/>
      <c r="I5926" s="74"/>
      <c r="J5926" s="102">
        <v>0</v>
      </c>
    </row>
    <row r="5927" spans="1:10" ht="25.5" hidden="1" x14ac:dyDescent="0.25">
      <c r="A5927" s="235"/>
      <c r="B5927" s="222"/>
      <c r="C5927" s="36" t="s">
        <v>1741</v>
      </c>
      <c r="D5927" s="105" t="s">
        <v>20</v>
      </c>
      <c r="E5927" s="106">
        <v>1</v>
      </c>
      <c r="F5927" s="31">
        <v>3.5625</v>
      </c>
      <c r="G5927" s="54">
        <f t="shared" si="111"/>
        <v>3.5625</v>
      </c>
      <c r="H5927" s="39">
        <f>SUM(G5927:G5927)</f>
        <v>3.5625</v>
      </c>
      <c r="I5927" s="40"/>
      <c r="J5927" s="102">
        <v>0</v>
      </c>
    </row>
    <row r="5928" spans="1:10" ht="15.75" hidden="1" thickBot="1" x14ac:dyDescent="0.3">
      <c r="A5928" s="236"/>
      <c r="B5928" s="223"/>
      <c r="C5928" s="55"/>
      <c r="D5928" s="108"/>
      <c r="E5928" s="66"/>
      <c r="F5928" s="76" t="s">
        <v>522</v>
      </c>
      <c r="G5928" s="76" t="str">
        <f t="shared" si="111"/>
        <v/>
      </c>
      <c r="H5928" s="77"/>
      <c r="I5928" s="74"/>
      <c r="J5928" s="102">
        <v>0</v>
      </c>
    </row>
    <row r="5929" spans="1:10" ht="15.75" hidden="1" thickBot="1" x14ac:dyDescent="0.3">
      <c r="A5929" s="232" t="s">
        <v>2189</v>
      </c>
      <c r="B5929" s="221" t="e">
        <f>INDEX(#REF!,MATCH(Composições!A5929,#REF!,0),2)</f>
        <v>#REF!</v>
      </c>
      <c r="C5929" s="41"/>
      <c r="D5929" s="26" t="s">
        <v>93</v>
      </c>
      <c r="E5929" s="27"/>
      <c r="F5929" s="49" t="s">
        <v>522</v>
      </c>
      <c r="G5929" s="28" t="str">
        <f t="shared" si="111"/>
        <v/>
      </c>
      <c r="H5929" s="29"/>
      <c r="I5929" s="30"/>
      <c r="J5929" s="102">
        <v>0</v>
      </c>
    </row>
    <row r="5930" spans="1:10" hidden="1" x14ac:dyDescent="0.25">
      <c r="A5930" s="235"/>
      <c r="B5930" s="222"/>
      <c r="C5930" s="111"/>
      <c r="D5930" s="111"/>
      <c r="E5930" s="112"/>
      <c r="F5930" s="54" t="s">
        <v>522</v>
      </c>
      <c r="G5930" s="54" t="str">
        <f t="shared" si="111"/>
        <v/>
      </c>
      <c r="H5930" s="73"/>
      <c r="I5930" s="74"/>
      <c r="J5930" s="102">
        <v>0</v>
      </c>
    </row>
    <row r="5931" spans="1:10" hidden="1" x14ac:dyDescent="0.25">
      <c r="A5931" s="235"/>
      <c r="B5931" s="222"/>
      <c r="C5931" s="36" t="s">
        <v>1755</v>
      </c>
      <c r="D5931" s="105" t="s">
        <v>93</v>
      </c>
      <c r="E5931" s="106">
        <v>1</v>
      </c>
      <c r="F5931" s="31">
        <v>7.3339999999999996</v>
      </c>
      <c r="G5931" s="54">
        <f t="shared" si="111"/>
        <v>7.3339999999999996</v>
      </c>
      <c r="H5931" s="39">
        <f>SUM(G5931:G5931)</f>
        <v>7.3339999999999996</v>
      </c>
      <c r="I5931" s="40"/>
      <c r="J5931" s="102">
        <v>0</v>
      </c>
    </row>
    <row r="5932" spans="1:10" ht="15.75" hidden="1" thickBot="1" x14ac:dyDescent="0.3">
      <c r="A5932" s="236"/>
      <c r="B5932" s="223"/>
      <c r="C5932" s="55"/>
      <c r="D5932" s="108"/>
      <c r="E5932" s="66"/>
      <c r="F5932" s="76" t="s">
        <v>522</v>
      </c>
      <c r="G5932" s="76" t="str">
        <f t="shared" si="111"/>
        <v/>
      </c>
      <c r="H5932" s="77"/>
      <c r="I5932" s="74"/>
      <c r="J5932" s="102">
        <v>0</v>
      </c>
    </row>
    <row r="5933" spans="1:10" ht="15.75" hidden="1" thickBot="1" x14ac:dyDescent="0.3">
      <c r="A5933" s="232" t="s">
        <v>2190</v>
      </c>
      <c r="B5933" s="221" t="e">
        <f>INDEX(#REF!,MATCH(Composições!A5933,#REF!,0),2)</f>
        <v>#REF!</v>
      </c>
      <c r="C5933" s="41"/>
      <c r="D5933" s="26" t="s">
        <v>20</v>
      </c>
      <c r="E5933" s="27"/>
      <c r="F5933" s="49" t="s">
        <v>522</v>
      </c>
      <c r="G5933" s="28" t="str">
        <f t="shared" si="111"/>
        <v/>
      </c>
      <c r="H5933" s="29"/>
      <c r="I5933" s="30"/>
      <c r="J5933" s="102">
        <v>0</v>
      </c>
    </row>
    <row r="5934" spans="1:10" hidden="1" x14ac:dyDescent="0.25">
      <c r="A5934" s="235"/>
      <c r="B5934" s="222"/>
      <c r="C5934" s="111"/>
      <c r="D5934" s="111"/>
      <c r="E5934" s="112"/>
      <c r="F5934" s="54" t="s">
        <v>522</v>
      </c>
      <c r="G5934" s="54" t="str">
        <f t="shared" si="111"/>
        <v/>
      </c>
      <c r="H5934" s="73"/>
      <c r="I5934" s="74"/>
      <c r="J5934" s="102">
        <v>0</v>
      </c>
    </row>
    <row r="5935" spans="1:10" hidden="1" x14ac:dyDescent="0.25">
      <c r="A5935" s="235"/>
      <c r="B5935" s="222"/>
      <c r="C5935" s="36" t="s">
        <v>1778</v>
      </c>
      <c r="D5935" s="105" t="s">
        <v>20</v>
      </c>
      <c r="E5935" s="106">
        <v>1</v>
      </c>
      <c r="F5935" s="31">
        <v>2.2989999999999999</v>
      </c>
      <c r="G5935" s="54">
        <f t="shared" si="111"/>
        <v>2.2989999999999999</v>
      </c>
      <c r="H5935" s="39">
        <f>SUM(G5935:G5935)</f>
        <v>2.2989999999999999</v>
      </c>
      <c r="I5935" s="40"/>
      <c r="J5935" s="102">
        <v>0</v>
      </c>
    </row>
    <row r="5936" spans="1:10" ht="15.75" hidden="1" thickBot="1" x14ac:dyDescent="0.3">
      <c r="A5936" s="236"/>
      <c r="B5936" s="223"/>
      <c r="C5936" s="55"/>
      <c r="D5936" s="108"/>
      <c r="E5936" s="66"/>
      <c r="F5936" s="76" t="s">
        <v>522</v>
      </c>
      <c r="G5936" s="76" t="str">
        <f t="shared" si="111"/>
        <v/>
      </c>
      <c r="H5936" s="77"/>
      <c r="I5936" s="74"/>
      <c r="J5936" s="102">
        <v>0</v>
      </c>
    </row>
    <row r="5937" spans="1:10" ht="15.75" hidden="1" thickBot="1" x14ac:dyDescent="0.3">
      <c r="A5937" s="232" t="s">
        <v>2191</v>
      </c>
      <c r="B5937" s="221" t="e">
        <f>INDEX(#REF!,MATCH(Composições!A5937,#REF!,0),2)</f>
        <v>#REF!</v>
      </c>
      <c r="C5937" s="41"/>
      <c r="D5937" s="26" t="s">
        <v>20</v>
      </c>
      <c r="E5937" s="27"/>
      <c r="F5937" s="49" t="s">
        <v>522</v>
      </c>
      <c r="G5937" s="28" t="str">
        <f t="shared" si="111"/>
        <v/>
      </c>
      <c r="H5937" s="29"/>
      <c r="I5937" s="30"/>
      <c r="J5937" s="102">
        <v>0</v>
      </c>
    </row>
    <row r="5938" spans="1:10" hidden="1" x14ac:dyDescent="0.25">
      <c r="A5938" s="235"/>
      <c r="B5938" s="222"/>
      <c r="C5938" s="111"/>
      <c r="D5938" s="111"/>
      <c r="E5938" s="112"/>
      <c r="F5938" s="54" t="s">
        <v>522</v>
      </c>
      <c r="G5938" s="54" t="str">
        <f t="shared" si="111"/>
        <v/>
      </c>
      <c r="H5938" s="73"/>
      <c r="I5938" s="74"/>
      <c r="J5938" s="102">
        <v>0</v>
      </c>
    </row>
    <row r="5939" spans="1:10" ht="25.5" hidden="1" x14ac:dyDescent="0.25">
      <c r="A5939" s="235"/>
      <c r="B5939" s="222"/>
      <c r="C5939" s="36" t="s">
        <v>1740</v>
      </c>
      <c r="D5939" s="105" t="s">
        <v>20</v>
      </c>
      <c r="E5939" s="106">
        <v>1</v>
      </c>
      <c r="F5939" s="31">
        <v>4.9209999999999994</v>
      </c>
      <c r="G5939" s="54">
        <f t="shared" si="111"/>
        <v>4.9209999999999994</v>
      </c>
      <c r="H5939" s="39">
        <f>SUM(G5939:G5939)</f>
        <v>4.9209999999999994</v>
      </c>
      <c r="I5939" s="40"/>
      <c r="J5939" s="102">
        <v>0</v>
      </c>
    </row>
    <row r="5940" spans="1:10" ht="15.75" hidden="1" thickBot="1" x14ac:dyDescent="0.3">
      <c r="A5940" s="236"/>
      <c r="B5940" s="223"/>
      <c r="C5940" s="55"/>
      <c r="D5940" s="108"/>
      <c r="E5940" s="66"/>
      <c r="F5940" s="76" t="s">
        <v>522</v>
      </c>
      <c r="G5940" s="76" t="str">
        <f t="shared" si="111"/>
        <v/>
      </c>
      <c r="H5940" s="77"/>
      <c r="I5940" s="74"/>
      <c r="J5940" s="102">
        <v>0</v>
      </c>
    </row>
    <row r="5941" spans="1:10" ht="15.75" hidden="1" thickBot="1" x14ac:dyDescent="0.3">
      <c r="A5941" s="232" t="s">
        <v>2192</v>
      </c>
      <c r="B5941" s="221" t="e">
        <f>INDEX(#REF!,MATCH(Composições!A5941,#REF!,0),2)</f>
        <v>#REF!</v>
      </c>
      <c r="C5941" s="41"/>
      <c r="D5941" s="26" t="s">
        <v>93</v>
      </c>
      <c r="E5941" s="27"/>
      <c r="F5941" s="49" t="s">
        <v>522</v>
      </c>
      <c r="G5941" s="28" t="str">
        <f t="shared" si="111"/>
        <v/>
      </c>
      <c r="H5941" s="29"/>
      <c r="I5941" s="30"/>
      <c r="J5941" s="102">
        <v>0</v>
      </c>
    </row>
    <row r="5942" spans="1:10" hidden="1" x14ac:dyDescent="0.25">
      <c r="A5942" s="235"/>
      <c r="B5942" s="222"/>
      <c r="C5942" s="111"/>
      <c r="D5942" s="111"/>
      <c r="E5942" s="112"/>
      <c r="F5942" s="54" t="s">
        <v>522</v>
      </c>
      <c r="G5942" s="54" t="str">
        <f t="shared" si="111"/>
        <v/>
      </c>
      <c r="H5942" s="73"/>
      <c r="I5942" s="74"/>
      <c r="J5942" s="102">
        <v>0</v>
      </c>
    </row>
    <row r="5943" spans="1:10" hidden="1" x14ac:dyDescent="0.25">
      <c r="A5943" s="235"/>
      <c r="B5943" s="222"/>
      <c r="C5943" s="36" t="s">
        <v>1757</v>
      </c>
      <c r="D5943" s="105" t="s">
        <v>93</v>
      </c>
      <c r="E5943" s="106">
        <v>1</v>
      </c>
      <c r="F5943" s="31">
        <v>9.7659999999999982</v>
      </c>
      <c r="G5943" s="54">
        <f t="shared" si="111"/>
        <v>9.7659999999999982</v>
      </c>
      <c r="H5943" s="39">
        <f>SUM(G5943:G5943)</f>
        <v>9.7659999999999982</v>
      </c>
      <c r="I5943" s="40"/>
      <c r="J5943" s="102">
        <v>0</v>
      </c>
    </row>
    <row r="5944" spans="1:10" ht="15.75" hidden="1" thickBot="1" x14ac:dyDescent="0.3">
      <c r="A5944" s="236"/>
      <c r="B5944" s="223"/>
      <c r="C5944" s="55"/>
      <c r="D5944" s="108"/>
      <c r="E5944" s="66"/>
      <c r="F5944" s="76" t="s">
        <v>522</v>
      </c>
      <c r="G5944" s="76" t="str">
        <f t="shared" si="111"/>
        <v/>
      </c>
      <c r="H5944" s="77"/>
      <c r="I5944" s="74"/>
      <c r="J5944" s="102">
        <v>0</v>
      </c>
    </row>
    <row r="5945" spans="1:10" ht="15.75" hidden="1" thickBot="1" x14ac:dyDescent="0.3">
      <c r="A5945" s="232" t="s">
        <v>2193</v>
      </c>
      <c r="B5945" s="221" t="e">
        <f>INDEX(#REF!,MATCH(Composições!A5945,#REF!,0),2)</f>
        <v>#REF!</v>
      </c>
      <c r="C5945" s="41"/>
      <c r="D5945" s="26" t="s">
        <v>20</v>
      </c>
      <c r="E5945" s="27"/>
      <c r="F5945" s="49" t="s">
        <v>522</v>
      </c>
      <c r="G5945" s="28" t="str">
        <f t="shared" si="111"/>
        <v/>
      </c>
      <c r="H5945" s="29"/>
      <c r="I5945" s="30"/>
      <c r="J5945" s="102">
        <v>0</v>
      </c>
    </row>
    <row r="5946" spans="1:10" hidden="1" x14ac:dyDescent="0.25">
      <c r="A5946" s="235"/>
      <c r="B5946" s="222"/>
      <c r="C5946" s="111"/>
      <c r="D5946" s="111"/>
      <c r="E5946" s="112"/>
      <c r="F5946" s="54" t="s">
        <v>522</v>
      </c>
      <c r="G5946" s="54" t="str">
        <f t="shared" si="111"/>
        <v/>
      </c>
      <c r="H5946" s="73"/>
      <c r="I5946" s="74"/>
      <c r="J5946" s="102">
        <v>0</v>
      </c>
    </row>
    <row r="5947" spans="1:10" hidden="1" x14ac:dyDescent="0.25">
      <c r="A5947" s="235"/>
      <c r="B5947" s="222"/>
      <c r="C5947" s="36" t="s">
        <v>1777</v>
      </c>
      <c r="D5947" s="105" t="s">
        <v>20</v>
      </c>
      <c r="E5947" s="106">
        <v>1</v>
      </c>
      <c r="F5947" s="31">
        <v>3.5719999999999996</v>
      </c>
      <c r="G5947" s="54">
        <f t="shared" si="111"/>
        <v>3.5719999999999996</v>
      </c>
      <c r="H5947" s="39">
        <f>SUM(G5947:G5947)</f>
        <v>3.5719999999999996</v>
      </c>
      <c r="I5947" s="40"/>
      <c r="J5947" s="102">
        <v>0</v>
      </c>
    </row>
    <row r="5948" spans="1:10" ht="15.75" hidden="1" thickBot="1" x14ac:dyDescent="0.3">
      <c r="A5948" s="236"/>
      <c r="B5948" s="223"/>
      <c r="C5948" s="55"/>
      <c r="D5948" s="108"/>
      <c r="E5948" s="66"/>
      <c r="F5948" s="76" t="s">
        <v>522</v>
      </c>
      <c r="G5948" s="76" t="str">
        <f t="shared" si="111"/>
        <v/>
      </c>
      <c r="H5948" s="77"/>
      <c r="I5948" s="74"/>
      <c r="J5948" s="102">
        <v>0</v>
      </c>
    </row>
    <row r="5949" spans="1:10" ht="15.75" hidden="1" thickBot="1" x14ac:dyDescent="0.3">
      <c r="A5949" s="232" t="s">
        <v>2194</v>
      </c>
      <c r="B5949" s="221" t="e">
        <f>INDEX(#REF!,MATCH(Composições!A5949,#REF!,0),2)</f>
        <v>#REF!</v>
      </c>
      <c r="C5949" s="41"/>
      <c r="D5949" s="26" t="s">
        <v>20</v>
      </c>
      <c r="E5949" s="27"/>
      <c r="F5949" s="49" t="s">
        <v>522</v>
      </c>
      <c r="G5949" s="28" t="str">
        <f t="shared" si="111"/>
        <v/>
      </c>
      <c r="H5949" s="29"/>
      <c r="I5949" s="30"/>
      <c r="J5949" s="102">
        <v>0</v>
      </c>
    </row>
    <row r="5950" spans="1:10" hidden="1" x14ac:dyDescent="0.25">
      <c r="A5950" s="235"/>
      <c r="B5950" s="222"/>
      <c r="C5950" s="111"/>
      <c r="D5950" s="111"/>
      <c r="E5950" s="112"/>
      <c r="F5950" s="54" t="s">
        <v>522</v>
      </c>
      <c r="G5950" s="54" t="str">
        <f t="shared" si="111"/>
        <v/>
      </c>
      <c r="H5950" s="73"/>
      <c r="I5950" s="74"/>
      <c r="J5950" s="102">
        <v>0</v>
      </c>
    </row>
    <row r="5951" spans="1:10" ht="25.5" hidden="1" x14ac:dyDescent="0.25">
      <c r="A5951" s="235"/>
      <c r="B5951" s="222"/>
      <c r="C5951" s="36" t="s">
        <v>1743</v>
      </c>
      <c r="D5951" s="105" t="s">
        <v>20</v>
      </c>
      <c r="E5951" s="106">
        <v>1</v>
      </c>
      <c r="F5951" s="31">
        <v>6.4979999999999993</v>
      </c>
      <c r="G5951" s="54">
        <f t="shared" si="111"/>
        <v>6.4979999999999993</v>
      </c>
      <c r="H5951" s="39">
        <f>SUM(G5951:G5951)</f>
        <v>6.4979999999999993</v>
      </c>
      <c r="I5951" s="40"/>
      <c r="J5951" s="102">
        <v>0</v>
      </c>
    </row>
    <row r="5952" spans="1:10" ht="15.75" hidden="1" thickBot="1" x14ac:dyDescent="0.3">
      <c r="A5952" s="236"/>
      <c r="B5952" s="223"/>
      <c r="C5952" s="55"/>
      <c r="D5952" s="108"/>
      <c r="E5952" s="66"/>
      <c r="F5952" s="76" t="s">
        <v>522</v>
      </c>
      <c r="G5952" s="76" t="str">
        <f t="shared" si="111"/>
        <v/>
      </c>
      <c r="H5952" s="77"/>
      <c r="I5952" s="74"/>
      <c r="J5952" s="102">
        <v>0</v>
      </c>
    </row>
    <row r="5953" spans="1:10" ht="15.75" hidden="1" thickBot="1" x14ac:dyDescent="0.3">
      <c r="A5953" s="232" t="s">
        <v>2195</v>
      </c>
      <c r="B5953" s="221" t="e">
        <f>INDEX(#REF!,MATCH(Composições!A5953,#REF!,0),2)</f>
        <v>#REF!</v>
      </c>
      <c r="C5953" s="41"/>
      <c r="D5953" s="26" t="s">
        <v>93</v>
      </c>
      <c r="E5953" s="27"/>
      <c r="F5953" s="49" t="s">
        <v>522</v>
      </c>
      <c r="G5953" s="28" t="str">
        <f t="shared" si="111"/>
        <v/>
      </c>
      <c r="H5953" s="29"/>
      <c r="I5953" s="30"/>
      <c r="J5953" s="102">
        <v>0</v>
      </c>
    </row>
    <row r="5954" spans="1:10" hidden="1" x14ac:dyDescent="0.25">
      <c r="A5954" s="235"/>
      <c r="B5954" s="222"/>
      <c r="C5954" s="111"/>
      <c r="D5954" s="111"/>
      <c r="E5954" s="112"/>
      <c r="F5954" s="54" t="s">
        <v>522</v>
      </c>
      <c r="G5954" s="54" t="str">
        <f t="shared" si="111"/>
        <v/>
      </c>
      <c r="H5954" s="73"/>
      <c r="I5954" s="74"/>
      <c r="J5954" s="102">
        <v>0</v>
      </c>
    </row>
    <row r="5955" spans="1:10" hidden="1" x14ac:dyDescent="0.25">
      <c r="A5955" s="235"/>
      <c r="B5955" s="222"/>
      <c r="C5955" s="36" t="s">
        <v>1756</v>
      </c>
      <c r="D5955" s="105" t="s">
        <v>93</v>
      </c>
      <c r="E5955" s="106">
        <v>1</v>
      </c>
      <c r="F5955" s="31">
        <v>10.734999999999999</v>
      </c>
      <c r="G5955" s="54">
        <f t="shared" si="111"/>
        <v>10.734999999999999</v>
      </c>
      <c r="H5955" s="39">
        <f>SUM(G5955:G5955)</f>
        <v>10.734999999999999</v>
      </c>
      <c r="I5955" s="40"/>
      <c r="J5955" s="102">
        <v>0</v>
      </c>
    </row>
    <row r="5956" spans="1:10" ht="15.75" hidden="1" thickBot="1" x14ac:dyDescent="0.3">
      <c r="A5956" s="236"/>
      <c r="B5956" s="223"/>
      <c r="C5956" s="55"/>
      <c r="D5956" s="108"/>
      <c r="E5956" s="66"/>
      <c r="F5956" s="76" t="s">
        <v>522</v>
      </c>
      <c r="G5956" s="76" t="str">
        <f t="shared" si="111"/>
        <v/>
      </c>
      <c r="H5956" s="77"/>
      <c r="I5956" s="74"/>
      <c r="J5956" s="102">
        <v>0</v>
      </c>
    </row>
    <row r="5957" spans="1:10" ht="15.75" hidden="1" thickBot="1" x14ac:dyDescent="0.3">
      <c r="A5957" s="232" t="s">
        <v>2196</v>
      </c>
      <c r="B5957" s="221" t="e">
        <f>INDEX(#REF!,MATCH(Composições!A5957,#REF!,0),2)</f>
        <v>#REF!</v>
      </c>
      <c r="C5957" s="41"/>
      <c r="D5957" s="26" t="s">
        <v>20</v>
      </c>
      <c r="E5957" s="27"/>
      <c r="F5957" s="49" t="s">
        <v>522</v>
      </c>
      <c r="G5957" s="28" t="str">
        <f t="shared" si="111"/>
        <v/>
      </c>
      <c r="H5957" s="29"/>
      <c r="I5957" s="30"/>
      <c r="J5957" s="102">
        <v>0</v>
      </c>
    </row>
    <row r="5958" spans="1:10" hidden="1" x14ac:dyDescent="0.25">
      <c r="A5958" s="235"/>
      <c r="B5958" s="222"/>
      <c r="C5958" s="111"/>
      <c r="D5958" s="111"/>
      <c r="E5958" s="112"/>
      <c r="F5958" s="54" t="s">
        <v>522</v>
      </c>
      <c r="G5958" s="54" t="str">
        <f t="shared" si="111"/>
        <v/>
      </c>
      <c r="H5958" s="73"/>
      <c r="I5958" s="74"/>
      <c r="J5958" s="102">
        <v>0</v>
      </c>
    </row>
    <row r="5959" spans="1:10" hidden="1" x14ac:dyDescent="0.25">
      <c r="A5959" s="235"/>
      <c r="B5959" s="222"/>
      <c r="C5959" s="36" t="s">
        <v>1776</v>
      </c>
      <c r="D5959" s="105" t="s">
        <v>20</v>
      </c>
      <c r="E5959" s="106">
        <v>1</v>
      </c>
      <c r="F5959" s="31">
        <v>4.9114999999999993</v>
      </c>
      <c r="G5959" s="54">
        <f t="shared" si="111"/>
        <v>4.9114999999999993</v>
      </c>
      <c r="H5959" s="39">
        <f>SUM(G5959:G5959)</f>
        <v>4.9114999999999993</v>
      </c>
      <c r="I5959" s="40"/>
      <c r="J5959" s="102">
        <v>0</v>
      </c>
    </row>
    <row r="5960" spans="1:10" ht="15.75" hidden="1" thickBot="1" x14ac:dyDescent="0.3">
      <c r="A5960" s="236"/>
      <c r="B5960" s="223"/>
      <c r="C5960" s="55"/>
      <c r="D5960" s="108"/>
      <c r="E5960" s="66"/>
      <c r="F5960" s="76" t="s">
        <v>522</v>
      </c>
      <c r="G5960" s="76" t="str">
        <f t="shared" si="111"/>
        <v/>
      </c>
      <c r="H5960" s="77"/>
      <c r="I5960" s="74"/>
      <c r="J5960" s="102">
        <v>0</v>
      </c>
    </row>
    <row r="5961" spans="1:10" ht="15.75" hidden="1" thickBot="1" x14ac:dyDescent="0.3">
      <c r="A5961" s="232" t="s">
        <v>2197</v>
      </c>
      <c r="B5961" s="221" t="e">
        <f>INDEX(#REF!,MATCH(Composições!A5961,#REF!,0),2)</f>
        <v>#REF!</v>
      </c>
      <c r="C5961" s="41"/>
      <c r="D5961" s="26" t="s">
        <v>20</v>
      </c>
      <c r="E5961" s="27"/>
      <c r="F5961" s="49" t="s">
        <v>522</v>
      </c>
      <c r="G5961" s="28" t="str">
        <f t="shared" si="111"/>
        <v/>
      </c>
      <c r="H5961" s="29"/>
      <c r="I5961" s="30"/>
      <c r="J5961" s="102">
        <v>0</v>
      </c>
    </row>
    <row r="5962" spans="1:10" hidden="1" x14ac:dyDescent="0.25">
      <c r="A5962" s="235"/>
      <c r="B5962" s="222"/>
      <c r="C5962" s="111"/>
      <c r="D5962" s="111"/>
      <c r="E5962" s="112"/>
      <c r="F5962" s="54" t="s">
        <v>522</v>
      </c>
      <c r="G5962" s="54" t="str">
        <f t="shared" si="111"/>
        <v/>
      </c>
      <c r="H5962" s="73"/>
      <c r="I5962" s="74"/>
      <c r="J5962" s="102">
        <v>0</v>
      </c>
    </row>
    <row r="5963" spans="1:10" ht="25.5" hidden="1" x14ac:dyDescent="0.25">
      <c r="A5963" s="235"/>
      <c r="B5963" s="222"/>
      <c r="C5963" s="36" t="s">
        <v>1742</v>
      </c>
      <c r="D5963" s="105" t="s">
        <v>20</v>
      </c>
      <c r="E5963" s="106">
        <v>1</v>
      </c>
      <c r="F5963" s="31">
        <v>7.8659999999999988</v>
      </c>
      <c r="G5963" s="54">
        <f t="shared" si="111"/>
        <v>7.8659999999999988</v>
      </c>
      <c r="H5963" s="39">
        <f>SUM(G5963:G5963)</f>
        <v>7.8659999999999988</v>
      </c>
      <c r="I5963" s="40"/>
      <c r="J5963" s="102">
        <v>0</v>
      </c>
    </row>
    <row r="5964" spans="1:10" ht="15.75" hidden="1" thickBot="1" x14ac:dyDescent="0.3">
      <c r="A5964" s="236"/>
      <c r="B5964" s="223"/>
      <c r="C5964" s="55"/>
      <c r="D5964" s="108"/>
      <c r="E5964" s="66"/>
      <c r="F5964" s="76" t="s">
        <v>522</v>
      </c>
      <c r="G5964" s="76" t="str">
        <f t="shared" si="111"/>
        <v/>
      </c>
      <c r="H5964" s="77"/>
      <c r="I5964" s="74"/>
      <c r="J5964" s="102">
        <v>0</v>
      </c>
    </row>
    <row r="5965" spans="1:10" ht="15.75" hidden="1" thickBot="1" x14ac:dyDescent="0.3">
      <c r="A5965" s="232" t="s">
        <v>2198</v>
      </c>
      <c r="B5965" s="221" t="e">
        <f>INDEX(#REF!,MATCH(Composições!A5965,#REF!,0),2)</f>
        <v>#REF!</v>
      </c>
      <c r="C5965" s="41"/>
      <c r="D5965" s="26" t="s">
        <v>93</v>
      </c>
      <c r="E5965" s="27"/>
      <c r="F5965" s="49" t="s">
        <v>522</v>
      </c>
      <c r="G5965" s="28" t="str">
        <f t="shared" si="111"/>
        <v/>
      </c>
      <c r="H5965" s="29"/>
      <c r="I5965" s="30"/>
      <c r="J5965" s="102">
        <v>0</v>
      </c>
    </row>
    <row r="5966" spans="1:10" hidden="1" x14ac:dyDescent="0.25">
      <c r="A5966" s="235"/>
      <c r="B5966" s="222"/>
      <c r="C5966" s="111"/>
      <c r="D5966" s="111"/>
      <c r="E5966" s="112"/>
      <c r="F5966" s="54" t="s">
        <v>522</v>
      </c>
      <c r="G5966" s="54" t="str">
        <f t="shared" si="111"/>
        <v/>
      </c>
      <c r="H5966" s="73"/>
      <c r="I5966" s="74"/>
      <c r="J5966" s="102">
        <v>0</v>
      </c>
    </row>
    <row r="5967" spans="1:10" hidden="1" x14ac:dyDescent="0.25">
      <c r="A5967" s="235"/>
      <c r="B5967" s="222"/>
      <c r="C5967" s="36" t="s">
        <v>1758</v>
      </c>
      <c r="D5967" s="105" t="s">
        <v>93</v>
      </c>
      <c r="E5967" s="106">
        <v>1</v>
      </c>
      <c r="F5967" s="31">
        <v>17.546499999999998</v>
      </c>
      <c r="G5967" s="54">
        <f t="shared" si="111"/>
        <v>17.546499999999998</v>
      </c>
      <c r="H5967" s="39">
        <f>SUM(G5967:G5967)</f>
        <v>17.546499999999998</v>
      </c>
      <c r="I5967" s="40"/>
      <c r="J5967" s="102">
        <v>0</v>
      </c>
    </row>
    <row r="5968" spans="1:10" ht="15.75" hidden="1" thickBot="1" x14ac:dyDescent="0.3">
      <c r="A5968" s="236"/>
      <c r="B5968" s="223"/>
      <c r="C5968" s="55"/>
      <c r="D5968" s="108"/>
      <c r="E5968" s="66"/>
      <c r="F5968" s="76" t="s">
        <v>522</v>
      </c>
      <c r="G5968" s="76" t="str">
        <f t="shared" si="111"/>
        <v/>
      </c>
      <c r="H5968" s="77"/>
      <c r="I5968" s="74"/>
      <c r="J5968" s="102">
        <v>0</v>
      </c>
    </row>
    <row r="5969" spans="1:10" ht="15.75" hidden="1" thickBot="1" x14ac:dyDescent="0.3">
      <c r="A5969" s="232" t="s">
        <v>2199</v>
      </c>
      <c r="B5969" s="221" t="e">
        <f>INDEX(#REF!,MATCH(Composições!A5969,#REF!,0),2)</f>
        <v>#REF!</v>
      </c>
      <c r="C5969" s="41"/>
      <c r="D5969" s="26" t="s">
        <v>20</v>
      </c>
      <c r="E5969" s="27"/>
      <c r="F5969" s="49" t="s">
        <v>522</v>
      </c>
      <c r="G5969" s="28" t="str">
        <f t="shared" si="111"/>
        <v/>
      </c>
      <c r="H5969" s="29"/>
      <c r="I5969" s="30"/>
      <c r="J5969" s="102">
        <v>0</v>
      </c>
    </row>
    <row r="5970" spans="1:10" hidden="1" x14ac:dyDescent="0.25">
      <c r="A5970" s="235"/>
      <c r="B5970" s="222"/>
      <c r="C5970" s="111"/>
      <c r="D5970" s="111"/>
      <c r="E5970" s="112"/>
      <c r="F5970" s="54" t="s">
        <v>522</v>
      </c>
      <c r="G5970" s="54" t="str">
        <f t="shared" si="111"/>
        <v/>
      </c>
      <c r="H5970" s="73"/>
      <c r="I5970" s="74"/>
      <c r="J5970" s="102">
        <v>0</v>
      </c>
    </row>
    <row r="5971" spans="1:10" hidden="1" x14ac:dyDescent="0.25">
      <c r="A5971" s="235"/>
      <c r="B5971" s="222"/>
      <c r="C5971" s="36" t="s">
        <v>1779</v>
      </c>
      <c r="D5971" s="105" t="s">
        <v>20</v>
      </c>
      <c r="E5971" s="106">
        <v>1</v>
      </c>
      <c r="F5971" s="31">
        <v>7.1059999999999999</v>
      </c>
      <c r="G5971" s="54">
        <f t="shared" si="111"/>
        <v>7.1059999999999999</v>
      </c>
      <c r="H5971" s="39">
        <f>SUM(G5971:G5971)</f>
        <v>7.1059999999999999</v>
      </c>
      <c r="I5971" s="40"/>
      <c r="J5971" s="102">
        <v>0</v>
      </c>
    </row>
    <row r="5972" spans="1:10" ht="15.75" hidden="1" thickBot="1" x14ac:dyDescent="0.3">
      <c r="A5972" s="236"/>
      <c r="B5972" s="223"/>
      <c r="C5972" s="55"/>
      <c r="D5972" s="108"/>
      <c r="E5972" s="66"/>
      <c r="F5972" s="76" t="s">
        <v>522</v>
      </c>
      <c r="G5972" s="76" t="str">
        <f t="shared" si="111"/>
        <v/>
      </c>
      <c r="H5972" s="77"/>
      <c r="I5972" s="74"/>
      <c r="J5972" s="102">
        <v>0</v>
      </c>
    </row>
    <row r="5973" spans="1:10" ht="15.75" hidden="1" thickBot="1" x14ac:dyDescent="0.3">
      <c r="A5973" s="232" t="s">
        <v>2200</v>
      </c>
      <c r="B5973" s="221" t="e">
        <f>INDEX(#REF!,MATCH(Composições!A5973,#REF!,0),2)</f>
        <v>#REF!</v>
      </c>
      <c r="C5973" s="41"/>
      <c r="D5973" s="26" t="s">
        <v>20</v>
      </c>
      <c r="E5973" s="27"/>
      <c r="F5973" s="49" t="s">
        <v>522</v>
      </c>
      <c r="G5973" s="28" t="str">
        <f t="shared" si="111"/>
        <v/>
      </c>
      <c r="H5973" s="29"/>
      <c r="I5973" s="30"/>
      <c r="J5973" s="102">
        <v>0</v>
      </c>
    </row>
    <row r="5974" spans="1:10" hidden="1" x14ac:dyDescent="0.25">
      <c r="A5974" s="235"/>
      <c r="B5974" s="222"/>
      <c r="C5974" s="111"/>
      <c r="D5974" s="111"/>
      <c r="E5974" s="112"/>
      <c r="F5974" s="54" t="s">
        <v>522</v>
      </c>
      <c r="G5974" s="54" t="str">
        <f t="shared" si="111"/>
        <v/>
      </c>
      <c r="H5974" s="73"/>
      <c r="I5974" s="74"/>
      <c r="J5974" s="102">
        <v>0</v>
      </c>
    </row>
    <row r="5975" spans="1:10" ht="25.5" hidden="1" x14ac:dyDescent="0.25">
      <c r="A5975" s="235"/>
      <c r="B5975" s="222"/>
      <c r="C5975" s="36" t="s">
        <v>1744</v>
      </c>
      <c r="D5975" s="105" t="s">
        <v>20</v>
      </c>
      <c r="E5975" s="106">
        <v>1</v>
      </c>
      <c r="F5975" s="31">
        <v>12.787000000000001</v>
      </c>
      <c r="G5975" s="54">
        <f t="shared" si="111"/>
        <v>12.787000000000001</v>
      </c>
      <c r="H5975" s="39">
        <f>SUM(G5975:G5975)</f>
        <v>12.787000000000001</v>
      </c>
      <c r="I5975" s="40"/>
      <c r="J5975" s="102">
        <v>0</v>
      </c>
    </row>
    <row r="5976" spans="1:10" ht="15.75" hidden="1" thickBot="1" x14ac:dyDescent="0.3">
      <c r="A5976" s="236"/>
      <c r="B5976" s="223"/>
      <c r="C5976" s="55"/>
      <c r="D5976" s="108"/>
      <c r="E5976" s="66"/>
      <c r="F5976" s="76" t="s">
        <v>522</v>
      </c>
      <c r="G5976" s="76" t="str">
        <f t="shared" si="111"/>
        <v/>
      </c>
      <c r="H5976" s="77"/>
      <c r="I5976" s="74"/>
      <c r="J5976" s="102">
        <v>0</v>
      </c>
    </row>
    <row r="5977" spans="1:10" ht="15.75" hidden="1" thickBot="1" x14ac:dyDescent="0.3">
      <c r="A5977" s="232" t="s">
        <v>2201</v>
      </c>
      <c r="B5977" s="221" t="e">
        <f>INDEX(#REF!,MATCH(Composições!A5977,#REF!,0),2)</f>
        <v>#REF!</v>
      </c>
      <c r="C5977" s="41"/>
      <c r="D5977" s="26" t="s">
        <v>93</v>
      </c>
      <c r="E5977" s="27"/>
      <c r="F5977" s="49" t="s">
        <v>522</v>
      </c>
      <c r="G5977" s="28" t="str">
        <f t="shared" si="111"/>
        <v/>
      </c>
      <c r="H5977" s="29"/>
      <c r="I5977" s="30"/>
      <c r="J5977" s="102">
        <v>0</v>
      </c>
    </row>
    <row r="5978" spans="1:10" hidden="1" x14ac:dyDescent="0.25">
      <c r="A5978" s="235"/>
      <c r="B5978" s="222"/>
      <c r="C5978" s="111"/>
      <c r="D5978" s="111"/>
      <c r="E5978" s="112"/>
      <c r="F5978" s="54" t="s">
        <v>522</v>
      </c>
      <c r="G5978" s="54" t="str">
        <f t="shared" si="111"/>
        <v/>
      </c>
      <c r="H5978" s="73"/>
      <c r="I5978" s="74"/>
      <c r="J5978" s="102">
        <v>0</v>
      </c>
    </row>
    <row r="5979" spans="1:10" hidden="1" x14ac:dyDescent="0.25">
      <c r="A5979" s="235"/>
      <c r="B5979" s="222"/>
      <c r="C5979" s="36" t="s">
        <v>1759</v>
      </c>
      <c r="D5979" s="105" t="s">
        <v>93</v>
      </c>
      <c r="E5979" s="106">
        <v>1</v>
      </c>
      <c r="F5979" s="31">
        <v>32.109999999999992</v>
      </c>
      <c r="G5979" s="54">
        <f t="shared" si="111"/>
        <v>32.109999999999992</v>
      </c>
      <c r="H5979" s="39">
        <f>SUM(G5979:G5979)</f>
        <v>32.109999999999992</v>
      </c>
      <c r="I5979" s="40"/>
      <c r="J5979" s="102">
        <v>0</v>
      </c>
    </row>
    <row r="5980" spans="1:10" ht="15.75" hidden="1" thickBot="1" x14ac:dyDescent="0.3">
      <c r="A5980" s="236"/>
      <c r="B5980" s="223"/>
      <c r="C5980" s="55"/>
      <c r="D5980" s="108"/>
      <c r="E5980" s="66"/>
      <c r="F5980" s="76" t="s">
        <v>522</v>
      </c>
      <c r="G5980" s="76" t="str">
        <f t="shared" si="111"/>
        <v/>
      </c>
      <c r="H5980" s="77"/>
      <c r="I5980" s="74"/>
      <c r="J5980" s="102">
        <v>0</v>
      </c>
    </row>
    <row r="5981" spans="1:10" ht="15.75" hidden="1" thickBot="1" x14ac:dyDescent="0.3">
      <c r="A5981" s="232" t="s">
        <v>2202</v>
      </c>
      <c r="B5981" s="221" t="e">
        <f>INDEX(#REF!,MATCH(Composições!A5981,#REF!,0),2)</f>
        <v>#REF!</v>
      </c>
      <c r="C5981" s="41"/>
      <c r="D5981" s="26" t="s">
        <v>20</v>
      </c>
      <c r="E5981" s="27"/>
      <c r="F5981" s="49" t="s">
        <v>522</v>
      </c>
      <c r="G5981" s="28" t="str">
        <f t="shared" si="111"/>
        <v/>
      </c>
      <c r="H5981" s="29"/>
      <c r="I5981" s="30"/>
      <c r="J5981" s="102">
        <v>0</v>
      </c>
    </row>
    <row r="5982" spans="1:10" hidden="1" x14ac:dyDescent="0.25">
      <c r="A5982" s="235"/>
      <c r="B5982" s="222"/>
      <c r="C5982" s="111"/>
      <c r="D5982" s="111"/>
      <c r="E5982" s="112"/>
      <c r="F5982" s="54" t="s">
        <v>522</v>
      </c>
      <c r="G5982" s="54" t="str">
        <f t="shared" ref="G5982:G6045" si="112">IF(ISNUMBER(F5982),E5982*F5982,"")</f>
        <v/>
      </c>
      <c r="H5982" s="73"/>
      <c r="I5982" s="74"/>
      <c r="J5982" s="102">
        <v>0</v>
      </c>
    </row>
    <row r="5983" spans="1:10" hidden="1" x14ac:dyDescent="0.25">
      <c r="A5983" s="235"/>
      <c r="B5983" s="222"/>
      <c r="C5983" s="36" t="s">
        <v>1781</v>
      </c>
      <c r="D5983" s="105" t="s">
        <v>20</v>
      </c>
      <c r="E5983" s="106">
        <v>1</v>
      </c>
      <c r="F5983" s="31">
        <v>21.222999999999999</v>
      </c>
      <c r="G5983" s="54">
        <f t="shared" si="112"/>
        <v>21.222999999999999</v>
      </c>
      <c r="H5983" s="39">
        <f>SUM(G5983:G5983)</f>
        <v>21.222999999999999</v>
      </c>
      <c r="I5983" s="40"/>
      <c r="J5983" s="102">
        <v>0</v>
      </c>
    </row>
    <row r="5984" spans="1:10" ht="15.75" hidden="1" thickBot="1" x14ac:dyDescent="0.3">
      <c r="A5984" s="236"/>
      <c r="B5984" s="223"/>
      <c r="C5984" s="55"/>
      <c r="D5984" s="108"/>
      <c r="E5984" s="66"/>
      <c r="F5984" s="76" t="s">
        <v>522</v>
      </c>
      <c r="G5984" s="76" t="str">
        <f t="shared" si="112"/>
        <v/>
      </c>
      <c r="H5984" s="77"/>
      <c r="I5984" s="74"/>
      <c r="J5984" s="102">
        <v>0</v>
      </c>
    </row>
    <row r="5985" spans="1:10" ht="15.75" hidden="1" thickBot="1" x14ac:dyDescent="0.3">
      <c r="A5985" s="232" t="s">
        <v>2203</v>
      </c>
      <c r="B5985" s="221" t="e">
        <f>INDEX(#REF!,MATCH(Composições!A5985,#REF!,0),2)</f>
        <v>#REF!</v>
      </c>
      <c r="C5985" s="41"/>
      <c r="D5985" s="26" t="s">
        <v>20</v>
      </c>
      <c r="E5985" s="27"/>
      <c r="F5985" s="49" t="s">
        <v>522</v>
      </c>
      <c r="G5985" s="28" t="str">
        <f t="shared" si="112"/>
        <v/>
      </c>
      <c r="H5985" s="29"/>
      <c r="I5985" s="30"/>
      <c r="J5985" s="102">
        <v>0</v>
      </c>
    </row>
    <row r="5986" spans="1:10" hidden="1" x14ac:dyDescent="0.25">
      <c r="A5986" s="235"/>
      <c r="B5986" s="222"/>
      <c r="C5986" s="111"/>
      <c r="D5986" s="111"/>
      <c r="E5986" s="112"/>
      <c r="F5986" s="54" t="s">
        <v>522</v>
      </c>
      <c r="G5986" s="54" t="str">
        <f t="shared" si="112"/>
        <v/>
      </c>
      <c r="H5986" s="73"/>
      <c r="I5986" s="74"/>
      <c r="J5986" s="102">
        <v>0</v>
      </c>
    </row>
    <row r="5987" spans="1:10" ht="25.5" hidden="1" x14ac:dyDescent="0.25">
      <c r="A5987" s="235"/>
      <c r="B5987" s="222"/>
      <c r="C5987" s="36" t="s">
        <v>1745</v>
      </c>
      <c r="D5987" s="105" t="s">
        <v>20</v>
      </c>
      <c r="E5987" s="106">
        <v>1</v>
      </c>
      <c r="F5987" s="31">
        <v>32.670499999999997</v>
      </c>
      <c r="G5987" s="54">
        <f t="shared" si="112"/>
        <v>32.670499999999997</v>
      </c>
      <c r="H5987" s="39">
        <f>SUM(G5987:G5987)</f>
        <v>32.670499999999997</v>
      </c>
      <c r="I5987" s="40"/>
      <c r="J5987" s="102">
        <v>0</v>
      </c>
    </row>
    <row r="5988" spans="1:10" ht="15.75" hidden="1" thickBot="1" x14ac:dyDescent="0.3">
      <c r="A5988" s="236"/>
      <c r="B5988" s="223"/>
      <c r="C5988" s="55"/>
      <c r="D5988" s="108"/>
      <c r="E5988" s="66"/>
      <c r="F5988" s="76" t="s">
        <v>522</v>
      </c>
      <c r="G5988" s="76" t="str">
        <f t="shared" si="112"/>
        <v/>
      </c>
      <c r="H5988" s="77"/>
      <c r="I5988" s="74"/>
      <c r="J5988" s="102">
        <v>0</v>
      </c>
    </row>
    <row r="5989" spans="1:10" ht="15.75" hidden="1" thickBot="1" x14ac:dyDescent="0.3">
      <c r="A5989" s="232" t="s">
        <v>2204</v>
      </c>
      <c r="B5989" s="221" t="e">
        <f>INDEX(#REF!,MATCH(Composições!A5989,#REF!,0),2)</f>
        <v>#REF!</v>
      </c>
      <c r="C5989" s="41"/>
      <c r="D5989" s="26" t="s">
        <v>20</v>
      </c>
      <c r="E5989" s="27"/>
      <c r="F5989" s="49" t="s">
        <v>522</v>
      </c>
      <c r="G5989" s="28" t="str">
        <f t="shared" si="112"/>
        <v/>
      </c>
      <c r="H5989" s="29"/>
      <c r="I5989" s="30"/>
      <c r="J5989" s="102">
        <v>0</v>
      </c>
    </row>
    <row r="5990" spans="1:10" hidden="1" x14ac:dyDescent="0.25">
      <c r="A5990" s="235"/>
      <c r="B5990" s="222"/>
      <c r="C5990" s="111"/>
      <c r="D5990" s="111"/>
      <c r="E5990" s="112"/>
      <c r="F5990" s="54" t="s">
        <v>522</v>
      </c>
      <c r="G5990" s="54" t="str">
        <f t="shared" si="112"/>
        <v/>
      </c>
      <c r="H5990" s="73"/>
      <c r="I5990" s="74"/>
      <c r="J5990" s="102">
        <v>0</v>
      </c>
    </row>
    <row r="5991" spans="1:10" ht="25.5" hidden="1" x14ac:dyDescent="0.25">
      <c r="A5991" s="235"/>
      <c r="B5991" s="222"/>
      <c r="C5991" s="36" t="s">
        <v>2316</v>
      </c>
      <c r="D5991" s="105" t="s">
        <v>20</v>
      </c>
      <c r="E5991" s="106">
        <v>1</v>
      </c>
      <c r="F5991" s="31">
        <v>0</v>
      </c>
      <c r="G5991" s="54">
        <f t="shared" si="112"/>
        <v>0</v>
      </c>
      <c r="H5991" s="39">
        <f>SUM(G5991:G5991)</f>
        <v>0</v>
      </c>
      <c r="I5991" s="40"/>
      <c r="J5991" s="102">
        <v>0</v>
      </c>
    </row>
    <row r="5992" spans="1:10" ht="15.75" hidden="1" thickBot="1" x14ac:dyDescent="0.3">
      <c r="A5992" s="236"/>
      <c r="B5992" s="223"/>
      <c r="C5992" s="55"/>
      <c r="D5992" s="108"/>
      <c r="E5992" s="66"/>
      <c r="F5992" s="76" t="s">
        <v>522</v>
      </c>
      <c r="G5992" s="76" t="str">
        <f t="shared" si="112"/>
        <v/>
      </c>
      <c r="H5992" s="77"/>
      <c r="I5992" s="74"/>
      <c r="J5992" s="102">
        <v>0</v>
      </c>
    </row>
    <row r="5993" spans="1:10" ht="15.75" hidden="1" customHeight="1" thickBot="1" x14ac:dyDescent="0.3">
      <c r="A5993" s="232" t="s">
        <v>2205</v>
      </c>
      <c r="B5993" s="221" t="e">
        <f>INDEX(#REF!,MATCH(Composições!A5993,#REF!,0),2)</f>
        <v>#REF!</v>
      </c>
      <c r="C5993" s="41"/>
      <c r="D5993" s="26" t="s">
        <v>20</v>
      </c>
      <c r="E5993" s="27"/>
      <c r="F5993" s="49" t="s">
        <v>522</v>
      </c>
      <c r="G5993" s="28" t="str">
        <f t="shared" si="112"/>
        <v/>
      </c>
      <c r="H5993" s="29"/>
      <c r="I5993" s="30"/>
      <c r="J5993" s="102">
        <v>0</v>
      </c>
    </row>
    <row r="5994" spans="1:10" hidden="1" x14ac:dyDescent="0.25">
      <c r="A5994" s="235"/>
      <c r="B5994" s="222"/>
      <c r="C5994" s="111"/>
      <c r="D5994" s="111"/>
      <c r="E5994" s="112"/>
      <c r="F5994" s="54" t="s">
        <v>522</v>
      </c>
      <c r="G5994" s="54" t="str">
        <f t="shared" si="112"/>
        <v/>
      </c>
      <c r="H5994" s="73"/>
      <c r="I5994" s="74"/>
      <c r="J5994" s="102">
        <v>0</v>
      </c>
    </row>
    <row r="5995" spans="1:10" ht="25.5" hidden="1" x14ac:dyDescent="0.25">
      <c r="A5995" s="235"/>
      <c r="B5995" s="222"/>
      <c r="C5995" s="36" t="s">
        <v>2317</v>
      </c>
      <c r="D5995" s="105" t="s">
        <v>20</v>
      </c>
      <c r="E5995" s="106">
        <v>1</v>
      </c>
      <c r="F5995" s="31">
        <v>0</v>
      </c>
      <c r="G5995" s="54">
        <f t="shared" si="112"/>
        <v>0</v>
      </c>
      <c r="H5995" s="39">
        <f>SUM(G5995:G5995)</f>
        <v>0</v>
      </c>
      <c r="I5995" s="40"/>
      <c r="J5995" s="102">
        <v>0</v>
      </c>
    </row>
    <row r="5996" spans="1:10" ht="15.75" hidden="1" thickBot="1" x14ac:dyDescent="0.3">
      <c r="A5996" s="236"/>
      <c r="B5996" s="223"/>
      <c r="C5996" s="55"/>
      <c r="D5996" s="108"/>
      <c r="E5996" s="66"/>
      <c r="F5996" s="76" t="s">
        <v>522</v>
      </c>
      <c r="G5996" s="76" t="str">
        <f t="shared" si="112"/>
        <v/>
      </c>
      <c r="H5996" s="77"/>
      <c r="I5996" s="74"/>
      <c r="J5996" s="102">
        <v>0</v>
      </c>
    </row>
    <row r="5997" spans="1:10" ht="15.75" hidden="1" customHeight="1" thickBot="1" x14ac:dyDescent="0.3">
      <c r="A5997" s="232" t="s">
        <v>2206</v>
      </c>
      <c r="B5997" s="221" t="e">
        <f>INDEX(#REF!,MATCH(Composições!A5997,#REF!,0),2)</f>
        <v>#REF!</v>
      </c>
      <c r="C5997" s="41"/>
      <c r="D5997" s="26" t="s">
        <v>20</v>
      </c>
      <c r="E5997" s="27"/>
      <c r="F5997" s="49" t="s">
        <v>522</v>
      </c>
      <c r="G5997" s="28" t="str">
        <f t="shared" si="112"/>
        <v/>
      </c>
      <c r="H5997" s="29"/>
      <c r="I5997" s="30"/>
      <c r="J5997" s="102">
        <v>0</v>
      </c>
    </row>
    <row r="5998" spans="1:10" hidden="1" x14ac:dyDescent="0.25">
      <c r="A5998" s="235"/>
      <c r="B5998" s="222"/>
      <c r="C5998" s="111"/>
      <c r="D5998" s="111"/>
      <c r="E5998" s="112"/>
      <c r="F5998" s="54" t="s">
        <v>522</v>
      </c>
      <c r="G5998" s="54" t="str">
        <f t="shared" si="112"/>
        <v/>
      </c>
      <c r="H5998" s="73"/>
      <c r="I5998" s="74"/>
      <c r="J5998" s="102">
        <v>0</v>
      </c>
    </row>
    <row r="5999" spans="1:10" ht="25.5" hidden="1" x14ac:dyDescent="0.25">
      <c r="A5999" s="235"/>
      <c r="B5999" s="222"/>
      <c r="C5999" s="36" t="s">
        <v>2318</v>
      </c>
      <c r="D5999" s="105" t="s">
        <v>20</v>
      </c>
      <c r="E5999" s="106">
        <v>1</v>
      </c>
      <c r="F5999" s="31">
        <v>0</v>
      </c>
      <c r="G5999" s="54">
        <f t="shared" si="112"/>
        <v>0</v>
      </c>
      <c r="H5999" s="39">
        <f>SUM(G5999:G5999)</f>
        <v>0</v>
      </c>
      <c r="I5999" s="40"/>
      <c r="J5999" s="102">
        <v>0</v>
      </c>
    </row>
    <row r="6000" spans="1:10" ht="15.75" hidden="1" thickBot="1" x14ac:dyDescent="0.3">
      <c r="A6000" s="236"/>
      <c r="B6000" s="223"/>
      <c r="C6000" s="55"/>
      <c r="D6000" s="108"/>
      <c r="E6000" s="66"/>
      <c r="F6000" s="76" t="s">
        <v>522</v>
      </c>
      <c r="G6000" s="76" t="str">
        <f t="shared" si="112"/>
        <v/>
      </c>
      <c r="H6000" s="77"/>
      <c r="I6000" s="74"/>
      <c r="J6000" s="102">
        <v>0</v>
      </c>
    </row>
    <row r="6001" spans="1:10" ht="15.75" hidden="1" thickBot="1" x14ac:dyDescent="0.3">
      <c r="A6001" s="232" t="s">
        <v>2207</v>
      </c>
      <c r="B6001" s="221" t="e">
        <f>INDEX(#REF!,MATCH(Composições!A6001,#REF!,0),2)</f>
        <v>#REF!</v>
      </c>
      <c r="C6001" s="41"/>
      <c r="D6001" s="26" t="s">
        <v>20</v>
      </c>
      <c r="E6001" s="27"/>
      <c r="F6001" s="49" t="s">
        <v>522</v>
      </c>
      <c r="G6001" s="28" t="str">
        <f t="shared" si="112"/>
        <v/>
      </c>
      <c r="H6001" s="29"/>
      <c r="I6001" s="30"/>
      <c r="J6001" s="102">
        <v>0</v>
      </c>
    </row>
    <row r="6002" spans="1:10" hidden="1" x14ac:dyDescent="0.25">
      <c r="A6002" s="235"/>
      <c r="B6002" s="222"/>
      <c r="C6002" s="111"/>
      <c r="D6002" s="111"/>
      <c r="E6002" s="112"/>
      <c r="F6002" s="54" t="s">
        <v>522</v>
      </c>
      <c r="G6002" s="54" t="str">
        <f t="shared" si="112"/>
        <v/>
      </c>
      <c r="H6002" s="73"/>
      <c r="I6002" s="74"/>
      <c r="J6002" s="102">
        <v>0</v>
      </c>
    </row>
    <row r="6003" spans="1:10" ht="25.5" hidden="1" x14ac:dyDescent="0.25">
      <c r="A6003" s="235"/>
      <c r="B6003" s="222"/>
      <c r="C6003" s="36" t="s">
        <v>2319</v>
      </c>
      <c r="D6003" s="105" t="s">
        <v>20</v>
      </c>
      <c r="E6003" s="106">
        <v>1</v>
      </c>
      <c r="F6003" s="31">
        <v>0</v>
      </c>
      <c r="G6003" s="54">
        <f t="shared" si="112"/>
        <v>0</v>
      </c>
      <c r="H6003" s="39">
        <f>SUM(G6003:G6003)</f>
        <v>0</v>
      </c>
      <c r="I6003" s="40"/>
      <c r="J6003" s="102">
        <v>0</v>
      </c>
    </row>
    <row r="6004" spans="1:10" ht="15.75" hidden="1" thickBot="1" x14ac:dyDescent="0.3">
      <c r="A6004" s="236"/>
      <c r="B6004" s="223"/>
      <c r="C6004" s="55"/>
      <c r="D6004" s="108"/>
      <c r="E6004" s="66"/>
      <c r="F6004" s="76" t="s">
        <v>522</v>
      </c>
      <c r="G6004" s="76" t="str">
        <f t="shared" si="112"/>
        <v/>
      </c>
      <c r="H6004" s="77"/>
      <c r="I6004" s="74"/>
      <c r="J6004" s="102">
        <v>0</v>
      </c>
    </row>
    <row r="6005" spans="1:10" ht="15.75" hidden="1" thickBot="1" x14ac:dyDescent="0.3">
      <c r="A6005" s="232" t="s">
        <v>2208</v>
      </c>
      <c r="B6005" s="221" t="e">
        <f>INDEX(#REF!,MATCH(Composições!A6005,#REF!,0),2)</f>
        <v>#REF!</v>
      </c>
      <c r="C6005" s="41"/>
      <c r="D6005" s="26" t="s">
        <v>20</v>
      </c>
      <c r="E6005" s="27"/>
      <c r="F6005" s="49" t="s">
        <v>522</v>
      </c>
      <c r="G6005" s="28" t="str">
        <f t="shared" si="112"/>
        <v/>
      </c>
      <c r="H6005" s="29"/>
      <c r="I6005" s="30"/>
      <c r="J6005" s="102">
        <v>0</v>
      </c>
    </row>
    <row r="6006" spans="1:10" hidden="1" x14ac:dyDescent="0.25">
      <c r="A6006" s="235"/>
      <c r="B6006" s="222"/>
      <c r="C6006" s="111"/>
      <c r="D6006" s="111"/>
      <c r="E6006" s="112"/>
      <c r="F6006" s="54" t="s">
        <v>522</v>
      </c>
      <c r="G6006" s="54" t="str">
        <f t="shared" si="112"/>
        <v/>
      </c>
      <c r="H6006" s="73"/>
      <c r="I6006" s="74"/>
      <c r="J6006" s="102">
        <v>0</v>
      </c>
    </row>
    <row r="6007" spans="1:10" hidden="1" x14ac:dyDescent="0.25">
      <c r="A6007" s="235"/>
      <c r="B6007" s="222"/>
      <c r="C6007" s="36" t="s">
        <v>2320</v>
      </c>
      <c r="D6007" s="105" t="s">
        <v>20</v>
      </c>
      <c r="E6007" s="106">
        <v>1</v>
      </c>
      <c r="F6007" s="31">
        <v>0</v>
      </c>
      <c r="G6007" s="54">
        <f t="shared" si="112"/>
        <v>0</v>
      </c>
      <c r="H6007" s="39">
        <f>SUM(G6007:G6007)</f>
        <v>0</v>
      </c>
      <c r="I6007" s="40"/>
      <c r="J6007" s="102">
        <v>0</v>
      </c>
    </row>
    <row r="6008" spans="1:10" ht="15.75" hidden="1" thickBot="1" x14ac:dyDescent="0.3">
      <c r="A6008" s="236"/>
      <c r="B6008" s="223"/>
      <c r="C6008" s="55"/>
      <c r="D6008" s="108"/>
      <c r="E6008" s="66"/>
      <c r="F6008" s="76" t="s">
        <v>522</v>
      </c>
      <c r="G6008" s="76" t="str">
        <f t="shared" si="112"/>
        <v/>
      </c>
      <c r="H6008" s="77"/>
      <c r="I6008" s="74"/>
      <c r="J6008" s="102">
        <v>0</v>
      </c>
    </row>
    <row r="6009" spans="1:10" ht="15.75" hidden="1" thickBot="1" x14ac:dyDescent="0.3">
      <c r="A6009" s="232" t="s">
        <v>2209</v>
      </c>
      <c r="B6009" s="221" t="e">
        <f>INDEX(#REF!,MATCH(Composições!A6009,#REF!,0),2)</f>
        <v>#REF!</v>
      </c>
      <c r="C6009" s="41"/>
      <c r="D6009" s="26" t="s">
        <v>20</v>
      </c>
      <c r="E6009" s="27"/>
      <c r="F6009" s="49" t="s">
        <v>522</v>
      </c>
      <c r="G6009" s="28" t="str">
        <f t="shared" si="112"/>
        <v/>
      </c>
      <c r="H6009" s="29"/>
      <c r="I6009" s="30"/>
      <c r="J6009" s="102">
        <v>0</v>
      </c>
    </row>
    <row r="6010" spans="1:10" hidden="1" x14ac:dyDescent="0.25">
      <c r="A6010" s="235"/>
      <c r="B6010" s="222"/>
      <c r="C6010" s="111"/>
      <c r="D6010" s="111"/>
      <c r="E6010" s="112"/>
      <c r="F6010" s="54" t="s">
        <v>522</v>
      </c>
      <c r="G6010" s="54" t="str">
        <f t="shared" si="112"/>
        <v/>
      </c>
      <c r="H6010" s="73"/>
      <c r="I6010" s="74"/>
      <c r="J6010" s="102">
        <v>0</v>
      </c>
    </row>
    <row r="6011" spans="1:10" hidden="1" x14ac:dyDescent="0.25">
      <c r="A6011" s="235"/>
      <c r="B6011" s="222"/>
      <c r="C6011" s="36" t="s">
        <v>2321</v>
      </c>
      <c r="D6011" s="105" t="s">
        <v>20</v>
      </c>
      <c r="E6011" s="106">
        <v>1</v>
      </c>
      <c r="F6011" s="31">
        <v>0</v>
      </c>
      <c r="G6011" s="54">
        <f t="shared" si="112"/>
        <v>0</v>
      </c>
      <c r="H6011" s="39">
        <f>SUM(G6011:G6011)</f>
        <v>0</v>
      </c>
      <c r="I6011" s="40"/>
      <c r="J6011" s="102">
        <v>0</v>
      </c>
    </row>
    <row r="6012" spans="1:10" ht="15.75" hidden="1" thickBot="1" x14ac:dyDescent="0.3">
      <c r="A6012" s="236"/>
      <c r="B6012" s="223"/>
      <c r="C6012" s="55"/>
      <c r="D6012" s="108"/>
      <c r="E6012" s="66"/>
      <c r="F6012" s="76" t="s">
        <v>522</v>
      </c>
      <c r="G6012" s="76" t="str">
        <f t="shared" si="112"/>
        <v/>
      </c>
      <c r="H6012" s="77"/>
      <c r="I6012" s="74"/>
      <c r="J6012" s="102">
        <v>0</v>
      </c>
    </row>
    <row r="6013" spans="1:10" ht="15.75" hidden="1" thickBot="1" x14ac:dyDescent="0.3">
      <c r="A6013" s="232" t="s">
        <v>2210</v>
      </c>
      <c r="B6013" s="221" t="e">
        <f>INDEX(#REF!,MATCH(Composições!A6013,#REF!,0),2)</f>
        <v>#REF!</v>
      </c>
      <c r="C6013" s="41"/>
      <c r="D6013" s="26" t="s">
        <v>20</v>
      </c>
      <c r="E6013" s="27"/>
      <c r="F6013" s="49" t="s">
        <v>522</v>
      </c>
      <c r="G6013" s="28" t="str">
        <f t="shared" si="112"/>
        <v/>
      </c>
      <c r="H6013" s="29"/>
      <c r="I6013" s="30"/>
      <c r="J6013" s="102">
        <v>0</v>
      </c>
    </row>
    <row r="6014" spans="1:10" hidden="1" x14ac:dyDescent="0.25">
      <c r="A6014" s="235"/>
      <c r="B6014" s="222"/>
      <c r="C6014" s="111"/>
      <c r="D6014" s="111"/>
      <c r="E6014" s="112"/>
      <c r="F6014" s="54" t="s">
        <v>522</v>
      </c>
      <c r="G6014" s="54" t="str">
        <f t="shared" si="112"/>
        <v/>
      </c>
      <c r="H6014" s="73"/>
      <c r="I6014" s="74"/>
      <c r="J6014" s="102">
        <v>0</v>
      </c>
    </row>
    <row r="6015" spans="1:10" hidden="1" x14ac:dyDescent="0.25">
      <c r="A6015" s="235"/>
      <c r="B6015" s="222"/>
      <c r="C6015" s="36" t="s">
        <v>2322</v>
      </c>
      <c r="D6015" s="105" t="s">
        <v>20</v>
      </c>
      <c r="E6015" s="106">
        <v>1</v>
      </c>
      <c r="F6015" s="31">
        <v>0</v>
      </c>
      <c r="G6015" s="54">
        <f t="shared" si="112"/>
        <v>0</v>
      </c>
      <c r="H6015" s="39">
        <f>SUM(G6015:G6015)</f>
        <v>0</v>
      </c>
      <c r="I6015" s="40"/>
      <c r="J6015" s="102">
        <v>0</v>
      </c>
    </row>
    <row r="6016" spans="1:10" ht="15.75" hidden="1" thickBot="1" x14ac:dyDescent="0.3">
      <c r="A6016" s="236"/>
      <c r="B6016" s="223"/>
      <c r="C6016" s="55"/>
      <c r="D6016" s="108"/>
      <c r="E6016" s="66"/>
      <c r="F6016" s="76" t="s">
        <v>522</v>
      </c>
      <c r="G6016" s="76" t="str">
        <f t="shared" si="112"/>
        <v/>
      </c>
      <c r="H6016" s="77"/>
      <c r="I6016" s="74"/>
      <c r="J6016" s="102">
        <v>0</v>
      </c>
    </row>
    <row r="6017" spans="1:10" ht="15.75" hidden="1" thickBot="1" x14ac:dyDescent="0.3">
      <c r="A6017" s="232" t="s">
        <v>2211</v>
      </c>
      <c r="B6017" s="221" t="e">
        <f>INDEX(#REF!,MATCH(Composições!A6017,#REF!,0),2)</f>
        <v>#REF!</v>
      </c>
      <c r="C6017" s="41"/>
      <c r="D6017" s="26" t="s">
        <v>20</v>
      </c>
      <c r="E6017" s="27"/>
      <c r="F6017" s="49" t="s">
        <v>522</v>
      </c>
      <c r="G6017" s="28" t="str">
        <f t="shared" si="112"/>
        <v/>
      </c>
      <c r="H6017" s="29"/>
      <c r="I6017" s="30"/>
      <c r="J6017" s="102">
        <v>0</v>
      </c>
    </row>
    <row r="6018" spans="1:10" hidden="1" x14ac:dyDescent="0.25">
      <c r="A6018" s="235"/>
      <c r="B6018" s="222"/>
      <c r="C6018" s="111"/>
      <c r="D6018" s="111"/>
      <c r="E6018" s="112"/>
      <c r="F6018" s="54" t="s">
        <v>522</v>
      </c>
      <c r="G6018" s="54" t="str">
        <f t="shared" si="112"/>
        <v/>
      </c>
      <c r="H6018" s="73"/>
      <c r="I6018" s="74"/>
      <c r="J6018" s="102">
        <v>0</v>
      </c>
    </row>
    <row r="6019" spans="1:10" hidden="1" x14ac:dyDescent="0.25">
      <c r="A6019" s="235"/>
      <c r="B6019" s="222"/>
      <c r="C6019" s="36" t="s">
        <v>2323</v>
      </c>
      <c r="D6019" s="105" t="s">
        <v>20</v>
      </c>
      <c r="E6019" s="106">
        <v>1</v>
      </c>
      <c r="F6019" s="31">
        <v>0</v>
      </c>
      <c r="G6019" s="54">
        <f t="shared" si="112"/>
        <v>0</v>
      </c>
      <c r="H6019" s="39">
        <f>SUM(G6019:G6019)</f>
        <v>0</v>
      </c>
      <c r="I6019" s="40"/>
      <c r="J6019" s="102">
        <v>0</v>
      </c>
    </row>
    <row r="6020" spans="1:10" ht="15.75" hidden="1" thickBot="1" x14ac:dyDescent="0.3">
      <c r="A6020" s="236"/>
      <c r="B6020" s="223"/>
      <c r="C6020" s="55"/>
      <c r="D6020" s="108"/>
      <c r="E6020" s="66"/>
      <c r="F6020" s="76" t="s">
        <v>522</v>
      </c>
      <c r="G6020" s="76" t="str">
        <f t="shared" si="112"/>
        <v/>
      </c>
      <c r="H6020" s="77"/>
      <c r="I6020" s="74"/>
      <c r="J6020" s="102">
        <v>0</v>
      </c>
    </row>
    <row r="6021" spans="1:10" ht="15.75" hidden="1" thickBot="1" x14ac:dyDescent="0.3">
      <c r="A6021" s="232" t="s">
        <v>2212</v>
      </c>
      <c r="B6021" s="221" t="e">
        <f>INDEX(#REF!,MATCH(Composições!A6021,#REF!,0),2)</f>
        <v>#REF!</v>
      </c>
      <c r="C6021" s="41"/>
      <c r="D6021" s="26" t="s">
        <v>20</v>
      </c>
      <c r="E6021" s="27"/>
      <c r="F6021" s="49" t="s">
        <v>522</v>
      </c>
      <c r="G6021" s="28" t="str">
        <f t="shared" si="112"/>
        <v/>
      </c>
      <c r="H6021" s="29"/>
      <c r="I6021" s="30"/>
      <c r="J6021" s="102">
        <v>0</v>
      </c>
    </row>
    <row r="6022" spans="1:10" hidden="1" x14ac:dyDescent="0.25">
      <c r="A6022" s="235"/>
      <c r="B6022" s="222"/>
      <c r="C6022" s="111"/>
      <c r="D6022" s="111"/>
      <c r="E6022" s="112"/>
      <c r="F6022" s="54" t="s">
        <v>522</v>
      </c>
      <c r="G6022" s="54" t="str">
        <f t="shared" si="112"/>
        <v/>
      </c>
      <c r="H6022" s="73"/>
      <c r="I6022" s="74"/>
      <c r="J6022" s="102">
        <v>0</v>
      </c>
    </row>
    <row r="6023" spans="1:10" ht="25.5" hidden="1" x14ac:dyDescent="0.25">
      <c r="A6023" s="235"/>
      <c r="B6023" s="222"/>
      <c r="C6023" s="36" t="s">
        <v>1770</v>
      </c>
      <c r="D6023" s="105" t="s">
        <v>20</v>
      </c>
      <c r="E6023" s="106">
        <v>1</v>
      </c>
      <c r="F6023" s="31">
        <v>3.2965</v>
      </c>
      <c r="G6023" s="54">
        <f t="shared" si="112"/>
        <v>3.2965</v>
      </c>
      <c r="H6023" s="39">
        <f>SUM(G6023:G6023)</f>
        <v>3.2965</v>
      </c>
      <c r="I6023" s="40"/>
      <c r="J6023" s="102">
        <v>0</v>
      </c>
    </row>
    <row r="6024" spans="1:10" ht="15.75" hidden="1" thickBot="1" x14ac:dyDescent="0.3">
      <c r="A6024" s="236"/>
      <c r="B6024" s="223"/>
      <c r="C6024" s="55"/>
      <c r="D6024" s="108"/>
      <c r="E6024" s="66"/>
      <c r="F6024" s="76" t="s">
        <v>522</v>
      </c>
      <c r="G6024" s="76" t="str">
        <f t="shared" si="112"/>
        <v/>
      </c>
      <c r="H6024" s="77"/>
      <c r="I6024" s="74"/>
      <c r="J6024" s="102">
        <v>0</v>
      </c>
    </row>
    <row r="6025" spans="1:10" ht="15.75" hidden="1" thickBot="1" x14ac:dyDescent="0.3">
      <c r="A6025" s="232" t="s">
        <v>2213</v>
      </c>
      <c r="B6025" s="221" t="e">
        <f>INDEX(#REF!,MATCH(Composições!A6025,#REF!,0),2)</f>
        <v>#REF!</v>
      </c>
      <c r="C6025" s="41"/>
      <c r="D6025" s="26" t="s">
        <v>20</v>
      </c>
      <c r="E6025" s="27"/>
      <c r="F6025" s="49" t="s">
        <v>522</v>
      </c>
      <c r="G6025" s="28" t="str">
        <f t="shared" si="112"/>
        <v/>
      </c>
      <c r="H6025" s="29"/>
      <c r="I6025" s="30"/>
      <c r="J6025" s="102">
        <v>0</v>
      </c>
    </row>
    <row r="6026" spans="1:10" hidden="1" x14ac:dyDescent="0.25">
      <c r="A6026" s="235"/>
      <c r="B6026" s="222"/>
      <c r="C6026" s="111"/>
      <c r="D6026" s="111"/>
      <c r="E6026" s="112"/>
      <c r="F6026" s="54" t="s">
        <v>522</v>
      </c>
      <c r="G6026" s="54" t="str">
        <f t="shared" si="112"/>
        <v/>
      </c>
      <c r="H6026" s="73"/>
      <c r="I6026" s="74"/>
      <c r="J6026" s="102">
        <v>0</v>
      </c>
    </row>
    <row r="6027" spans="1:10" ht="25.5" hidden="1" x14ac:dyDescent="0.25">
      <c r="A6027" s="235"/>
      <c r="B6027" s="222"/>
      <c r="C6027" s="36" t="s">
        <v>3362</v>
      </c>
      <c r="D6027" s="105" t="s">
        <v>20</v>
      </c>
      <c r="E6027" s="106">
        <v>1</v>
      </c>
      <c r="F6027" s="31">
        <v>549.404</v>
      </c>
      <c r="G6027" s="54">
        <f t="shared" si="112"/>
        <v>549.404</v>
      </c>
      <c r="H6027" s="39">
        <f>SUM(G6027:G6027)</f>
        <v>549.404</v>
      </c>
      <c r="I6027" s="40"/>
      <c r="J6027" s="102">
        <v>0</v>
      </c>
    </row>
    <row r="6028" spans="1:10" ht="15.75" hidden="1" thickBot="1" x14ac:dyDescent="0.3">
      <c r="A6028" s="236"/>
      <c r="B6028" s="223"/>
      <c r="C6028" s="55"/>
      <c r="D6028" s="108"/>
      <c r="E6028" s="66"/>
      <c r="F6028" s="76" t="s">
        <v>522</v>
      </c>
      <c r="G6028" s="76" t="str">
        <f t="shared" si="112"/>
        <v/>
      </c>
      <c r="H6028" s="77"/>
      <c r="I6028" s="74"/>
      <c r="J6028" s="102">
        <v>0</v>
      </c>
    </row>
    <row r="6029" spans="1:10" ht="15.75" hidden="1" thickBot="1" x14ac:dyDescent="0.3">
      <c r="A6029" s="232" t="s">
        <v>2214</v>
      </c>
      <c r="B6029" s="221" t="e">
        <f>INDEX(#REF!,MATCH(Composições!A6029,#REF!,0),2)</f>
        <v>#REF!</v>
      </c>
      <c r="C6029" s="41"/>
      <c r="D6029" s="26" t="s">
        <v>20</v>
      </c>
      <c r="E6029" s="27"/>
      <c r="F6029" s="49" t="s">
        <v>522</v>
      </c>
      <c r="G6029" s="28" t="str">
        <f t="shared" si="112"/>
        <v/>
      </c>
      <c r="H6029" s="29"/>
      <c r="I6029" s="30"/>
      <c r="J6029" s="102">
        <v>0</v>
      </c>
    </row>
    <row r="6030" spans="1:10" hidden="1" x14ac:dyDescent="0.25">
      <c r="A6030" s="235"/>
      <c r="B6030" s="222"/>
      <c r="C6030" s="111"/>
      <c r="D6030" s="111"/>
      <c r="E6030" s="112"/>
      <c r="F6030" s="54" t="s">
        <v>522</v>
      </c>
      <c r="G6030" s="54" t="str">
        <f t="shared" si="112"/>
        <v/>
      </c>
      <c r="H6030" s="73"/>
      <c r="I6030" s="74"/>
      <c r="J6030" s="102">
        <v>0</v>
      </c>
    </row>
    <row r="6031" spans="1:10" ht="25.5" hidden="1" x14ac:dyDescent="0.25">
      <c r="A6031" s="235"/>
      <c r="B6031" s="222"/>
      <c r="C6031" s="36" t="s">
        <v>2400</v>
      </c>
      <c r="D6031" s="105" t="s">
        <v>20</v>
      </c>
      <c r="E6031" s="106">
        <v>1</v>
      </c>
      <c r="F6031" s="31">
        <v>2132.4459999999999</v>
      </c>
      <c r="G6031" s="54">
        <f t="shared" si="112"/>
        <v>2132.4459999999999</v>
      </c>
      <c r="H6031" s="39">
        <f>SUM(G6031:G6031)</f>
        <v>2132.4459999999999</v>
      </c>
      <c r="I6031" s="40"/>
      <c r="J6031" s="102">
        <v>0</v>
      </c>
    </row>
    <row r="6032" spans="1:10" ht="15.75" hidden="1" thickBot="1" x14ac:dyDescent="0.3">
      <c r="A6032" s="236"/>
      <c r="B6032" s="223"/>
      <c r="C6032" s="55"/>
      <c r="D6032" s="108"/>
      <c r="E6032" s="66"/>
      <c r="F6032" s="76" t="s">
        <v>522</v>
      </c>
      <c r="G6032" s="76" t="str">
        <f t="shared" si="112"/>
        <v/>
      </c>
      <c r="H6032" s="77"/>
      <c r="I6032" s="74"/>
      <c r="J6032" s="102">
        <v>0</v>
      </c>
    </row>
    <row r="6033" spans="1:10" ht="15.75" hidden="1" thickBot="1" x14ac:dyDescent="0.3">
      <c r="A6033" s="232" t="s">
        <v>2215</v>
      </c>
      <c r="B6033" s="221" t="e">
        <f>INDEX(#REF!,MATCH(Composições!A6033,#REF!,0),2)</f>
        <v>#REF!</v>
      </c>
      <c r="C6033" s="41"/>
      <c r="D6033" s="26" t="s">
        <v>20</v>
      </c>
      <c r="E6033" s="27"/>
      <c r="F6033" s="49" t="s">
        <v>522</v>
      </c>
      <c r="G6033" s="28" t="str">
        <f t="shared" si="112"/>
        <v/>
      </c>
      <c r="H6033" s="29"/>
      <c r="I6033" s="30"/>
      <c r="J6033" s="102">
        <v>0</v>
      </c>
    </row>
    <row r="6034" spans="1:10" hidden="1" x14ac:dyDescent="0.25">
      <c r="A6034" s="235"/>
      <c r="B6034" s="222"/>
      <c r="C6034" s="111"/>
      <c r="D6034" s="111"/>
      <c r="E6034" s="112"/>
      <c r="F6034" s="54" t="s">
        <v>522</v>
      </c>
      <c r="G6034" s="54" t="str">
        <f t="shared" si="112"/>
        <v/>
      </c>
      <c r="H6034" s="73"/>
      <c r="I6034" s="74"/>
      <c r="J6034" s="102">
        <v>0</v>
      </c>
    </row>
    <row r="6035" spans="1:10" ht="25.5" hidden="1" x14ac:dyDescent="0.25">
      <c r="A6035" s="235"/>
      <c r="B6035" s="222"/>
      <c r="C6035" s="36" t="s">
        <v>2401</v>
      </c>
      <c r="D6035" s="105" t="s">
        <v>20</v>
      </c>
      <c r="E6035" s="106">
        <v>1</v>
      </c>
      <c r="F6035" s="31">
        <v>2510.9735000000001</v>
      </c>
      <c r="G6035" s="54">
        <f t="shared" si="112"/>
        <v>2510.9735000000001</v>
      </c>
      <c r="H6035" s="39">
        <f>SUM(G6035:G6035)</f>
        <v>2510.9735000000001</v>
      </c>
      <c r="I6035" s="40"/>
      <c r="J6035" s="102">
        <v>0</v>
      </c>
    </row>
    <row r="6036" spans="1:10" ht="15.75" hidden="1" thickBot="1" x14ac:dyDescent="0.3">
      <c r="A6036" s="236"/>
      <c r="B6036" s="223"/>
      <c r="C6036" s="55"/>
      <c r="D6036" s="108"/>
      <c r="E6036" s="66"/>
      <c r="F6036" s="76" t="s">
        <v>522</v>
      </c>
      <c r="G6036" s="76" t="str">
        <f t="shared" si="112"/>
        <v/>
      </c>
      <c r="H6036" s="77"/>
      <c r="I6036" s="74"/>
      <c r="J6036" s="102">
        <v>0</v>
      </c>
    </row>
    <row r="6037" spans="1:10" ht="15.75" hidden="1" thickBot="1" x14ac:dyDescent="0.3">
      <c r="A6037" s="232" t="s">
        <v>2216</v>
      </c>
      <c r="B6037" s="221" t="e">
        <f>INDEX(#REF!,MATCH(Composições!A6037,#REF!,0),2)</f>
        <v>#REF!</v>
      </c>
      <c r="C6037" s="41"/>
      <c r="D6037" s="26" t="s">
        <v>20</v>
      </c>
      <c r="E6037" s="27"/>
      <c r="F6037" s="49" t="s">
        <v>522</v>
      </c>
      <c r="G6037" s="28" t="str">
        <f t="shared" si="112"/>
        <v/>
      </c>
      <c r="H6037" s="29"/>
      <c r="I6037" s="30"/>
      <c r="J6037" s="102">
        <v>0</v>
      </c>
    </row>
    <row r="6038" spans="1:10" hidden="1" x14ac:dyDescent="0.25">
      <c r="A6038" s="235"/>
      <c r="B6038" s="222"/>
      <c r="C6038" s="111"/>
      <c r="D6038" s="111"/>
      <c r="E6038" s="112"/>
      <c r="F6038" s="54" t="s">
        <v>522</v>
      </c>
      <c r="G6038" s="54" t="str">
        <f t="shared" si="112"/>
        <v/>
      </c>
      <c r="H6038" s="73"/>
      <c r="I6038" s="74"/>
      <c r="J6038" s="102">
        <v>0</v>
      </c>
    </row>
    <row r="6039" spans="1:10" hidden="1" x14ac:dyDescent="0.25">
      <c r="A6039" s="235"/>
      <c r="B6039" s="222"/>
      <c r="C6039" s="36" t="s">
        <v>1698</v>
      </c>
      <c r="D6039" s="105" t="s">
        <v>20</v>
      </c>
      <c r="E6039" s="106">
        <v>1</v>
      </c>
      <c r="F6039" s="31">
        <v>21.564999999999998</v>
      </c>
      <c r="G6039" s="54">
        <f t="shared" si="112"/>
        <v>21.564999999999998</v>
      </c>
      <c r="H6039" s="39">
        <f>SUM(G6039:G6039)</f>
        <v>21.564999999999998</v>
      </c>
      <c r="I6039" s="40"/>
      <c r="J6039" s="102">
        <v>0</v>
      </c>
    </row>
    <row r="6040" spans="1:10" ht="15.75" hidden="1" thickBot="1" x14ac:dyDescent="0.3">
      <c r="A6040" s="236"/>
      <c r="B6040" s="223"/>
      <c r="C6040" s="55"/>
      <c r="D6040" s="108"/>
      <c r="E6040" s="66"/>
      <c r="F6040" s="76" t="s">
        <v>522</v>
      </c>
      <c r="G6040" s="76" t="str">
        <f t="shared" si="112"/>
        <v/>
      </c>
      <c r="H6040" s="77"/>
      <c r="I6040" s="74"/>
      <c r="J6040" s="102">
        <v>0</v>
      </c>
    </row>
    <row r="6041" spans="1:10" ht="15.75" hidden="1" thickBot="1" x14ac:dyDescent="0.3">
      <c r="A6041" s="232" t="s">
        <v>2217</v>
      </c>
      <c r="B6041" s="221" t="e">
        <f>INDEX(#REF!,MATCH(Composições!A6041,#REF!,0),2)</f>
        <v>#REF!</v>
      </c>
      <c r="C6041" s="41"/>
      <c r="D6041" s="26" t="s">
        <v>20</v>
      </c>
      <c r="E6041" s="27"/>
      <c r="F6041" s="49" t="s">
        <v>522</v>
      </c>
      <c r="G6041" s="28" t="str">
        <f t="shared" si="112"/>
        <v/>
      </c>
      <c r="H6041" s="29"/>
      <c r="I6041" s="30"/>
      <c r="J6041" s="102">
        <v>0</v>
      </c>
    </row>
    <row r="6042" spans="1:10" hidden="1" x14ac:dyDescent="0.25">
      <c r="A6042" s="235"/>
      <c r="B6042" s="222"/>
      <c r="C6042" s="111"/>
      <c r="D6042" s="111"/>
      <c r="E6042" s="112"/>
      <c r="F6042" s="54" t="s">
        <v>522</v>
      </c>
      <c r="G6042" s="54" t="str">
        <f t="shared" si="112"/>
        <v/>
      </c>
      <c r="H6042" s="73"/>
      <c r="I6042" s="74"/>
      <c r="J6042" s="102">
        <v>0</v>
      </c>
    </row>
    <row r="6043" spans="1:10" hidden="1" x14ac:dyDescent="0.25">
      <c r="A6043" s="235"/>
      <c r="B6043" s="222"/>
      <c r="C6043" s="36" t="s">
        <v>3228</v>
      </c>
      <c r="D6043" s="105" t="s">
        <v>20</v>
      </c>
      <c r="E6043" s="106">
        <v>1</v>
      </c>
      <c r="F6043" s="31">
        <v>1.1779999999999999</v>
      </c>
      <c r="G6043" s="54">
        <f t="shared" si="112"/>
        <v>1.1779999999999999</v>
      </c>
      <c r="H6043" s="39">
        <f>SUM(G6043:G6043)</f>
        <v>1.1779999999999999</v>
      </c>
      <c r="I6043" s="40"/>
      <c r="J6043" s="102">
        <v>0</v>
      </c>
    </row>
    <row r="6044" spans="1:10" ht="15.75" hidden="1" thickBot="1" x14ac:dyDescent="0.3">
      <c r="A6044" s="236"/>
      <c r="B6044" s="223"/>
      <c r="C6044" s="55"/>
      <c r="D6044" s="108"/>
      <c r="E6044" s="66"/>
      <c r="F6044" s="76" t="s">
        <v>522</v>
      </c>
      <c r="G6044" s="76" t="str">
        <f t="shared" si="112"/>
        <v/>
      </c>
      <c r="H6044" s="77"/>
      <c r="I6044" s="74"/>
      <c r="J6044" s="102">
        <v>0</v>
      </c>
    </row>
    <row r="6045" spans="1:10" ht="15.75" hidden="1" thickBot="1" x14ac:dyDescent="0.3">
      <c r="A6045" s="232" t="s">
        <v>2219</v>
      </c>
      <c r="B6045" s="221" t="e">
        <f>INDEX(#REF!,MATCH(Composições!A6045,#REF!,0),2)</f>
        <v>#REF!</v>
      </c>
      <c r="C6045" s="41"/>
      <c r="D6045" s="26" t="s">
        <v>20</v>
      </c>
      <c r="E6045" s="27"/>
      <c r="F6045" s="49" t="s">
        <v>522</v>
      </c>
      <c r="G6045" s="28" t="str">
        <f t="shared" si="112"/>
        <v/>
      </c>
      <c r="H6045" s="29"/>
      <c r="I6045" s="30"/>
      <c r="J6045" s="102">
        <v>0</v>
      </c>
    </row>
    <row r="6046" spans="1:10" hidden="1" x14ac:dyDescent="0.25">
      <c r="A6046" s="235"/>
      <c r="B6046" s="222"/>
      <c r="C6046" s="111"/>
      <c r="D6046" s="111"/>
      <c r="E6046" s="112"/>
      <c r="F6046" s="54" t="s">
        <v>522</v>
      </c>
      <c r="G6046" s="54" t="str">
        <f t="shared" ref="G6046:G6109" si="113">IF(ISNUMBER(F6046),E6046*F6046,"")</f>
        <v/>
      </c>
      <c r="H6046" s="73"/>
      <c r="I6046" s="74"/>
      <c r="J6046" s="102">
        <v>0</v>
      </c>
    </row>
    <row r="6047" spans="1:10" ht="25.5" hidden="1" x14ac:dyDescent="0.25">
      <c r="A6047" s="235"/>
      <c r="B6047" s="222"/>
      <c r="C6047" s="36" t="s">
        <v>1706</v>
      </c>
      <c r="D6047" s="105" t="s">
        <v>20</v>
      </c>
      <c r="E6047" s="106">
        <v>1</v>
      </c>
      <c r="F6047" s="31">
        <v>6.5170000000000003</v>
      </c>
      <c r="G6047" s="54">
        <f t="shared" si="113"/>
        <v>6.5170000000000003</v>
      </c>
      <c r="H6047" s="39">
        <f>SUM(G6047:G6047)</f>
        <v>6.5170000000000003</v>
      </c>
      <c r="I6047" s="40"/>
      <c r="J6047" s="102">
        <v>0</v>
      </c>
    </row>
    <row r="6048" spans="1:10" ht="15.75" hidden="1" thickBot="1" x14ac:dyDescent="0.3">
      <c r="A6048" s="236"/>
      <c r="B6048" s="223"/>
      <c r="C6048" s="55"/>
      <c r="D6048" s="108"/>
      <c r="E6048" s="66"/>
      <c r="F6048" s="76" t="s">
        <v>522</v>
      </c>
      <c r="G6048" s="76" t="str">
        <f t="shared" si="113"/>
        <v/>
      </c>
      <c r="H6048" s="77"/>
      <c r="I6048" s="74"/>
      <c r="J6048" s="102">
        <v>0</v>
      </c>
    </row>
    <row r="6049" spans="1:10" ht="15.75" hidden="1" thickBot="1" x14ac:dyDescent="0.3">
      <c r="A6049" s="232" t="s">
        <v>2218</v>
      </c>
      <c r="B6049" s="221" t="e">
        <f>INDEX(#REF!,MATCH(Composições!A6049,#REF!,0),2)</f>
        <v>#REF!</v>
      </c>
      <c r="C6049" s="41"/>
      <c r="D6049" s="26" t="s">
        <v>20</v>
      </c>
      <c r="E6049" s="27"/>
      <c r="F6049" s="49" t="s">
        <v>522</v>
      </c>
      <c r="G6049" s="28" t="str">
        <f t="shared" si="113"/>
        <v/>
      </c>
      <c r="H6049" s="29"/>
      <c r="I6049" s="30"/>
      <c r="J6049" s="102">
        <v>0</v>
      </c>
    </row>
    <row r="6050" spans="1:10" hidden="1" x14ac:dyDescent="0.25">
      <c r="A6050" s="235"/>
      <c r="B6050" s="222"/>
      <c r="C6050" s="111"/>
      <c r="D6050" s="111"/>
      <c r="E6050" s="112"/>
      <c r="F6050" s="54" t="s">
        <v>522</v>
      </c>
      <c r="G6050" s="54" t="str">
        <f t="shared" si="113"/>
        <v/>
      </c>
      <c r="H6050" s="73"/>
      <c r="I6050" s="74"/>
      <c r="J6050" s="102">
        <v>0</v>
      </c>
    </row>
    <row r="6051" spans="1:10" ht="25.5" hidden="1" x14ac:dyDescent="0.25">
      <c r="A6051" s="235"/>
      <c r="B6051" s="222"/>
      <c r="C6051" s="36" t="s">
        <v>1705</v>
      </c>
      <c r="D6051" s="105" t="s">
        <v>20</v>
      </c>
      <c r="E6051" s="106">
        <v>1</v>
      </c>
      <c r="F6051" s="31">
        <v>3.2774999999999999</v>
      </c>
      <c r="G6051" s="54">
        <f t="shared" si="113"/>
        <v>3.2774999999999999</v>
      </c>
      <c r="H6051" s="39">
        <f>SUM(G6051:G6051)</f>
        <v>3.2774999999999999</v>
      </c>
      <c r="I6051" s="40"/>
      <c r="J6051" s="102">
        <v>0</v>
      </c>
    </row>
    <row r="6052" spans="1:10" ht="15.75" hidden="1" thickBot="1" x14ac:dyDescent="0.3">
      <c r="A6052" s="236"/>
      <c r="B6052" s="223"/>
      <c r="C6052" s="55"/>
      <c r="D6052" s="108"/>
      <c r="E6052" s="66"/>
      <c r="F6052" s="76" t="s">
        <v>522</v>
      </c>
      <c r="G6052" s="76" t="str">
        <f t="shared" si="113"/>
        <v/>
      </c>
      <c r="H6052" s="77"/>
      <c r="I6052" s="74"/>
      <c r="J6052" s="102">
        <v>0</v>
      </c>
    </row>
    <row r="6053" spans="1:10" ht="15.75" hidden="1" thickBot="1" x14ac:dyDescent="0.3">
      <c r="A6053" s="232" t="s">
        <v>2219</v>
      </c>
      <c r="B6053" s="221" t="e">
        <f>INDEX(#REF!,MATCH(Composições!A6053,#REF!,0),2)</f>
        <v>#REF!</v>
      </c>
      <c r="C6053" s="41"/>
      <c r="D6053" s="26" t="s">
        <v>20</v>
      </c>
      <c r="E6053" s="27"/>
      <c r="F6053" s="49" t="s">
        <v>522</v>
      </c>
      <c r="G6053" s="28" t="str">
        <f t="shared" si="113"/>
        <v/>
      </c>
      <c r="H6053" s="29"/>
      <c r="I6053" s="30"/>
      <c r="J6053" s="102">
        <v>0</v>
      </c>
    </row>
    <row r="6054" spans="1:10" hidden="1" x14ac:dyDescent="0.25">
      <c r="A6054" s="235"/>
      <c r="B6054" s="222"/>
      <c r="C6054" s="111"/>
      <c r="D6054" s="111"/>
      <c r="E6054" s="112"/>
      <c r="F6054" s="54" t="s">
        <v>522</v>
      </c>
      <c r="G6054" s="54" t="str">
        <f t="shared" si="113"/>
        <v/>
      </c>
      <c r="H6054" s="73"/>
      <c r="I6054" s="74"/>
      <c r="J6054" s="102">
        <v>0</v>
      </c>
    </row>
    <row r="6055" spans="1:10" ht="25.5" hidden="1" x14ac:dyDescent="0.25">
      <c r="A6055" s="235"/>
      <c r="B6055" s="222"/>
      <c r="C6055" s="36" t="s">
        <v>1706</v>
      </c>
      <c r="D6055" s="105" t="s">
        <v>20</v>
      </c>
      <c r="E6055" s="106">
        <v>1</v>
      </c>
      <c r="F6055" s="31">
        <v>6.5170000000000003</v>
      </c>
      <c r="G6055" s="54">
        <f t="shared" si="113"/>
        <v>6.5170000000000003</v>
      </c>
      <c r="H6055" s="39">
        <f>SUM(G6055:G6055)</f>
        <v>6.5170000000000003</v>
      </c>
      <c r="I6055" s="40"/>
      <c r="J6055" s="102">
        <v>0</v>
      </c>
    </row>
    <row r="6056" spans="1:10" ht="15.75" hidden="1" thickBot="1" x14ac:dyDescent="0.3">
      <c r="A6056" s="236"/>
      <c r="B6056" s="223"/>
      <c r="C6056" s="55"/>
      <c r="D6056" s="108"/>
      <c r="E6056" s="66"/>
      <c r="F6056" s="76" t="s">
        <v>522</v>
      </c>
      <c r="G6056" s="76" t="str">
        <f t="shared" si="113"/>
        <v/>
      </c>
      <c r="H6056" s="77"/>
      <c r="I6056" s="74"/>
      <c r="J6056" s="102">
        <v>0</v>
      </c>
    </row>
    <row r="6057" spans="1:10" ht="15.75" hidden="1" thickBot="1" x14ac:dyDescent="0.3">
      <c r="A6057" s="232" t="s">
        <v>2220</v>
      </c>
      <c r="B6057" s="221" t="e">
        <f>INDEX(#REF!,MATCH(Composições!A6057,#REF!,0),2)</f>
        <v>#REF!</v>
      </c>
      <c r="C6057" s="41"/>
      <c r="D6057" s="26" t="s">
        <v>20</v>
      </c>
      <c r="E6057" s="27"/>
      <c r="F6057" s="49" t="s">
        <v>522</v>
      </c>
      <c r="G6057" s="28" t="str">
        <f t="shared" si="113"/>
        <v/>
      </c>
      <c r="H6057" s="29"/>
      <c r="I6057" s="30"/>
      <c r="J6057" s="102">
        <v>0</v>
      </c>
    </row>
    <row r="6058" spans="1:10" hidden="1" x14ac:dyDescent="0.25">
      <c r="A6058" s="235"/>
      <c r="B6058" s="222"/>
      <c r="C6058" s="111"/>
      <c r="D6058" s="111"/>
      <c r="E6058" s="112"/>
      <c r="F6058" s="54" t="s">
        <v>522</v>
      </c>
      <c r="G6058" s="54" t="str">
        <f t="shared" si="113"/>
        <v/>
      </c>
      <c r="H6058" s="73"/>
      <c r="I6058" s="74"/>
      <c r="J6058" s="102">
        <v>0</v>
      </c>
    </row>
    <row r="6059" spans="1:10" ht="25.5" hidden="1" x14ac:dyDescent="0.25">
      <c r="A6059" s="235"/>
      <c r="B6059" s="222"/>
      <c r="C6059" s="36" t="s">
        <v>2324</v>
      </c>
      <c r="D6059" s="105" t="s">
        <v>20</v>
      </c>
      <c r="E6059" s="106">
        <v>1</v>
      </c>
      <c r="F6059" s="31">
        <v>0</v>
      </c>
      <c r="G6059" s="54">
        <f t="shared" si="113"/>
        <v>0</v>
      </c>
      <c r="H6059" s="39">
        <f>SUM(G6059:G6059)</f>
        <v>0</v>
      </c>
      <c r="I6059" s="40"/>
      <c r="J6059" s="102">
        <v>0</v>
      </c>
    </row>
    <row r="6060" spans="1:10" ht="15.75" hidden="1" thickBot="1" x14ac:dyDescent="0.3">
      <c r="A6060" s="236"/>
      <c r="B6060" s="223"/>
      <c r="C6060" s="55"/>
      <c r="D6060" s="108"/>
      <c r="E6060" s="66"/>
      <c r="F6060" s="76" t="s">
        <v>522</v>
      </c>
      <c r="G6060" s="76" t="str">
        <f t="shared" si="113"/>
        <v/>
      </c>
      <c r="H6060" s="77"/>
      <c r="I6060" s="74"/>
      <c r="J6060" s="102">
        <v>0</v>
      </c>
    </row>
    <row r="6061" spans="1:10" ht="15.75" hidden="1" thickBot="1" x14ac:dyDescent="0.3">
      <c r="A6061" s="232" t="s">
        <v>2221</v>
      </c>
      <c r="B6061" s="221" t="e">
        <f>INDEX(#REF!,MATCH(Composições!A6061,#REF!,0),2)</f>
        <v>#REF!</v>
      </c>
      <c r="C6061" s="41"/>
      <c r="D6061" s="26" t="s">
        <v>20</v>
      </c>
      <c r="E6061" s="27"/>
      <c r="F6061" s="49" t="s">
        <v>522</v>
      </c>
      <c r="G6061" s="28" t="str">
        <f t="shared" si="113"/>
        <v/>
      </c>
      <c r="H6061" s="29"/>
      <c r="I6061" s="30"/>
      <c r="J6061" s="102">
        <v>0</v>
      </c>
    </row>
    <row r="6062" spans="1:10" hidden="1" x14ac:dyDescent="0.25">
      <c r="A6062" s="235"/>
      <c r="B6062" s="222"/>
      <c r="C6062" s="111"/>
      <c r="D6062" s="111"/>
      <c r="E6062" s="112"/>
      <c r="F6062" s="54" t="s">
        <v>522</v>
      </c>
      <c r="G6062" s="54" t="str">
        <f t="shared" si="113"/>
        <v/>
      </c>
      <c r="H6062" s="73"/>
      <c r="I6062" s="74"/>
      <c r="J6062" s="102">
        <v>0</v>
      </c>
    </row>
    <row r="6063" spans="1:10" ht="25.5" hidden="1" x14ac:dyDescent="0.25">
      <c r="A6063" s="235"/>
      <c r="B6063" s="222"/>
      <c r="C6063" s="36" t="s">
        <v>3203</v>
      </c>
      <c r="D6063" s="105" t="s">
        <v>20</v>
      </c>
      <c r="E6063" s="106">
        <v>1</v>
      </c>
      <c r="F6063" s="31">
        <v>5.6050000000000004</v>
      </c>
      <c r="G6063" s="54">
        <f t="shared" si="113"/>
        <v>5.6050000000000004</v>
      </c>
      <c r="H6063" s="39">
        <f>SUM(G6063:G6063)</f>
        <v>5.6050000000000004</v>
      </c>
      <c r="I6063" s="40"/>
      <c r="J6063" s="102">
        <v>0</v>
      </c>
    </row>
    <row r="6064" spans="1:10" ht="15.75" hidden="1" thickBot="1" x14ac:dyDescent="0.3">
      <c r="A6064" s="236"/>
      <c r="B6064" s="223"/>
      <c r="C6064" s="55"/>
      <c r="D6064" s="108"/>
      <c r="E6064" s="66"/>
      <c r="F6064" s="76" t="s">
        <v>522</v>
      </c>
      <c r="G6064" s="76" t="str">
        <f t="shared" si="113"/>
        <v/>
      </c>
      <c r="H6064" s="77"/>
      <c r="I6064" s="74"/>
      <c r="J6064" s="102">
        <v>0</v>
      </c>
    </row>
    <row r="6065" spans="1:10" ht="15.75" hidden="1" thickBot="1" x14ac:dyDescent="0.3">
      <c r="A6065" s="232" t="s">
        <v>2222</v>
      </c>
      <c r="B6065" s="221" t="e">
        <f>INDEX(#REF!,MATCH(Composições!A6065,#REF!,0),2)</f>
        <v>#REF!</v>
      </c>
      <c r="C6065" s="41"/>
      <c r="D6065" s="26" t="s">
        <v>20</v>
      </c>
      <c r="E6065" s="27"/>
      <c r="F6065" s="49" t="s">
        <v>522</v>
      </c>
      <c r="G6065" s="28" t="str">
        <f t="shared" si="113"/>
        <v/>
      </c>
      <c r="H6065" s="29"/>
      <c r="I6065" s="30"/>
      <c r="J6065" s="102">
        <v>0</v>
      </c>
    </row>
    <row r="6066" spans="1:10" hidden="1" x14ac:dyDescent="0.25">
      <c r="A6066" s="235"/>
      <c r="B6066" s="222"/>
      <c r="C6066" s="111"/>
      <c r="D6066" s="111"/>
      <c r="E6066" s="112"/>
      <c r="F6066" s="54" t="s">
        <v>522</v>
      </c>
      <c r="G6066" s="54" t="str">
        <f t="shared" si="113"/>
        <v/>
      </c>
      <c r="H6066" s="73"/>
      <c r="I6066" s="74"/>
      <c r="J6066" s="102">
        <v>0</v>
      </c>
    </row>
    <row r="6067" spans="1:10" hidden="1" x14ac:dyDescent="0.25">
      <c r="A6067" s="235"/>
      <c r="B6067" s="222"/>
      <c r="C6067" s="36" t="s">
        <v>2325</v>
      </c>
      <c r="D6067" s="105" t="s">
        <v>20</v>
      </c>
      <c r="E6067" s="106">
        <v>1</v>
      </c>
      <c r="F6067" s="31">
        <v>2.9354999999999998</v>
      </c>
      <c r="G6067" s="54">
        <f t="shared" si="113"/>
        <v>2.9354999999999998</v>
      </c>
      <c r="H6067" s="39">
        <f>SUM(G6067:G6067)</f>
        <v>2.9354999999999998</v>
      </c>
      <c r="I6067" s="40"/>
      <c r="J6067" s="102">
        <v>0</v>
      </c>
    </row>
    <row r="6068" spans="1:10" ht="15.75" hidden="1" thickBot="1" x14ac:dyDescent="0.3">
      <c r="A6068" s="236"/>
      <c r="B6068" s="223"/>
      <c r="C6068" s="55"/>
      <c r="D6068" s="108"/>
      <c r="E6068" s="66"/>
      <c r="F6068" s="76" t="s">
        <v>522</v>
      </c>
      <c r="G6068" s="76" t="str">
        <f t="shared" si="113"/>
        <v/>
      </c>
      <c r="H6068" s="77"/>
      <c r="I6068" s="74"/>
      <c r="J6068" s="102">
        <v>0</v>
      </c>
    </row>
    <row r="6069" spans="1:10" ht="15.75" hidden="1" thickBot="1" x14ac:dyDescent="0.3">
      <c r="A6069" s="232" t="s">
        <v>2223</v>
      </c>
      <c r="B6069" s="221" t="e">
        <f>INDEX(#REF!,MATCH(Composições!A6069,#REF!,0),2)</f>
        <v>#REF!</v>
      </c>
      <c r="C6069" s="41"/>
      <c r="D6069" s="26" t="s">
        <v>20</v>
      </c>
      <c r="E6069" s="27"/>
      <c r="F6069" s="49" t="s">
        <v>522</v>
      </c>
      <c r="G6069" s="28" t="str">
        <f t="shared" si="113"/>
        <v/>
      </c>
      <c r="H6069" s="29"/>
      <c r="I6069" s="30"/>
      <c r="J6069" s="102">
        <v>0</v>
      </c>
    </row>
    <row r="6070" spans="1:10" hidden="1" x14ac:dyDescent="0.25">
      <c r="A6070" s="235"/>
      <c r="B6070" s="222"/>
      <c r="C6070" s="111"/>
      <c r="D6070" s="111"/>
      <c r="E6070" s="112"/>
      <c r="F6070" s="54" t="s">
        <v>522</v>
      </c>
      <c r="G6070" s="54" t="str">
        <f t="shared" si="113"/>
        <v/>
      </c>
      <c r="H6070" s="73"/>
      <c r="I6070" s="74"/>
      <c r="J6070" s="102">
        <v>0</v>
      </c>
    </row>
    <row r="6071" spans="1:10" ht="25.5" hidden="1" x14ac:dyDescent="0.25">
      <c r="A6071" s="235"/>
      <c r="B6071" s="222"/>
      <c r="C6071" s="36" t="s">
        <v>1795</v>
      </c>
      <c r="D6071" s="105" t="s">
        <v>20</v>
      </c>
      <c r="E6071" s="106">
        <v>1</v>
      </c>
      <c r="F6071" s="31">
        <v>29.6875</v>
      </c>
      <c r="G6071" s="54">
        <f t="shared" si="113"/>
        <v>29.6875</v>
      </c>
      <c r="H6071" s="39">
        <f>SUM(G6071:G6071)</f>
        <v>29.6875</v>
      </c>
      <c r="I6071" s="40"/>
      <c r="J6071" s="102">
        <v>0</v>
      </c>
    </row>
    <row r="6072" spans="1:10" ht="15.75" hidden="1" thickBot="1" x14ac:dyDescent="0.3">
      <c r="A6072" s="236"/>
      <c r="B6072" s="223"/>
      <c r="C6072" s="55"/>
      <c r="D6072" s="108"/>
      <c r="E6072" s="66"/>
      <c r="F6072" s="76" t="s">
        <v>522</v>
      </c>
      <c r="G6072" s="76" t="str">
        <f t="shared" si="113"/>
        <v/>
      </c>
      <c r="H6072" s="77"/>
      <c r="I6072" s="74"/>
      <c r="J6072" s="102">
        <v>0</v>
      </c>
    </row>
    <row r="6073" spans="1:10" ht="15.75" hidden="1" thickBot="1" x14ac:dyDescent="0.3">
      <c r="A6073" s="232" t="s">
        <v>2224</v>
      </c>
      <c r="B6073" s="221" t="e">
        <f>INDEX(#REF!,MATCH(Composições!A6073,#REF!,0),2)</f>
        <v>#REF!</v>
      </c>
      <c r="C6073" s="41"/>
      <c r="D6073" s="26" t="s">
        <v>20</v>
      </c>
      <c r="E6073" s="27"/>
      <c r="F6073" s="49" t="s">
        <v>522</v>
      </c>
      <c r="G6073" s="28" t="str">
        <f t="shared" si="113"/>
        <v/>
      </c>
      <c r="H6073" s="29"/>
      <c r="I6073" s="30"/>
      <c r="J6073" s="102">
        <v>0</v>
      </c>
    </row>
    <row r="6074" spans="1:10" hidden="1" x14ac:dyDescent="0.25">
      <c r="A6074" s="235"/>
      <c r="B6074" s="222"/>
      <c r="C6074" s="111"/>
      <c r="D6074" s="111"/>
      <c r="E6074" s="112"/>
      <c r="F6074" s="54" t="s">
        <v>522</v>
      </c>
      <c r="G6074" s="54" t="str">
        <f t="shared" si="113"/>
        <v/>
      </c>
      <c r="H6074" s="73"/>
      <c r="I6074" s="74"/>
      <c r="J6074" s="102">
        <v>0</v>
      </c>
    </row>
    <row r="6075" spans="1:10" ht="38.25" hidden="1" x14ac:dyDescent="0.25">
      <c r="A6075" s="235"/>
      <c r="B6075" s="222"/>
      <c r="C6075" s="36" t="s">
        <v>1802</v>
      </c>
      <c r="D6075" s="105" t="s">
        <v>20</v>
      </c>
      <c r="E6075" s="106">
        <v>1</v>
      </c>
      <c r="F6075" s="31">
        <v>157.61449999999999</v>
      </c>
      <c r="G6075" s="54">
        <f t="shared" si="113"/>
        <v>157.61449999999999</v>
      </c>
      <c r="H6075" s="39">
        <f>SUM(G6075:G6075)</f>
        <v>157.61449999999999</v>
      </c>
      <c r="I6075" s="40"/>
      <c r="J6075" s="102">
        <v>0</v>
      </c>
    </row>
    <row r="6076" spans="1:10" ht="15.75" hidden="1" thickBot="1" x14ac:dyDescent="0.3">
      <c r="A6076" s="236"/>
      <c r="B6076" s="223"/>
      <c r="C6076" s="55"/>
      <c r="D6076" s="108"/>
      <c r="E6076" s="66"/>
      <c r="F6076" s="76" t="s">
        <v>522</v>
      </c>
      <c r="G6076" s="76" t="str">
        <f t="shared" si="113"/>
        <v/>
      </c>
      <c r="H6076" s="77"/>
      <c r="I6076" s="74"/>
      <c r="J6076" s="102">
        <v>0</v>
      </c>
    </row>
    <row r="6077" spans="1:10" ht="15.75" hidden="1" thickBot="1" x14ac:dyDescent="0.3">
      <c r="A6077" s="232" t="s">
        <v>2225</v>
      </c>
      <c r="B6077" s="221" t="e">
        <f>INDEX(#REF!,MATCH(Composições!A6077,#REF!,0),2)</f>
        <v>#REF!</v>
      </c>
      <c r="C6077" s="41"/>
      <c r="D6077" s="26" t="s">
        <v>20</v>
      </c>
      <c r="E6077" s="27"/>
      <c r="F6077" s="49" t="s">
        <v>522</v>
      </c>
      <c r="G6077" s="28" t="str">
        <f t="shared" si="113"/>
        <v/>
      </c>
      <c r="H6077" s="29"/>
      <c r="I6077" s="30"/>
      <c r="J6077" s="102">
        <v>0</v>
      </c>
    </row>
    <row r="6078" spans="1:10" hidden="1" x14ac:dyDescent="0.25">
      <c r="A6078" s="235"/>
      <c r="B6078" s="222"/>
      <c r="C6078" s="111"/>
      <c r="D6078" s="111"/>
      <c r="E6078" s="112"/>
      <c r="F6078" s="54" t="s">
        <v>522</v>
      </c>
      <c r="G6078" s="54" t="str">
        <f t="shared" si="113"/>
        <v/>
      </c>
      <c r="H6078" s="73"/>
      <c r="I6078" s="74"/>
      <c r="J6078" s="102">
        <v>0</v>
      </c>
    </row>
    <row r="6079" spans="1:10" ht="38.25" hidden="1" x14ac:dyDescent="0.25">
      <c r="A6079" s="235"/>
      <c r="B6079" s="222"/>
      <c r="C6079" s="36" t="s">
        <v>1803</v>
      </c>
      <c r="D6079" s="105" t="s">
        <v>20</v>
      </c>
      <c r="E6079" s="106">
        <v>1</v>
      </c>
      <c r="F6079" s="31">
        <v>292.02049999999997</v>
      </c>
      <c r="G6079" s="54">
        <f t="shared" si="113"/>
        <v>292.02049999999997</v>
      </c>
      <c r="H6079" s="39">
        <f>SUM(G6079:G6079)</f>
        <v>292.02049999999997</v>
      </c>
      <c r="I6079" s="40"/>
      <c r="J6079" s="102">
        <v>0</v>
      </c>
    </row>
    <row r="6080" spans="1:10" ht="15.75" hidden="1" thickBot="1" x14ac:dyDescent="0.3">
      <c r="A6080" s="236"/>
      <c r="B6080" s="223"/>
      <c r="C6080" s="55"/>
      <c r="D6080" s="108"/>
      <c r="E6080" s="66"/>
      <c r="F6080" s="76" t="s">
        <v>522</v>
      </c>
      <c r="G6080" s="76" t="str">
        <f t="shared" si="113"/>
        <v/>
      </c>
      <c r="H6080" s="77"/>
      <c r="I6080" s="74"/>
      <c r="J6080" s="102">
        <v>0</v>
      </c>
    </row>
    <row r="6081" spans="1:10" ht="15.75" hidden="1" thickBot="1" x14ac:dyDescent="0.3">
      <c r="A6081" s="232" t="s">
        <v>2226</v>
      </c>
      <c r="B6081" s="221" t="e">
        <f>INDEX(#REF!,MATCH(Composições!A6081,#REF!,0),2)</f>
        <v>#REF!</v>
      </c>
      <c r="C6081" s="41"/>
      <c r="D6081" s="26" t="s">
        <v>20</v>
      </c>
      <c r="E6081" s="27"/>
      <c r="F6081" s="49" t="s">
        <v>522</v>
      </c>
      <c r="G6081" s="28" t="str">
        <f t="shared" si="113"/>
        <v/>
      </c>
      <c r="H6081" s="29"/>
      <c r="I6081" s="30"/>
      <c r="J6081" s="102">
        <v>0</v>
      </c>
    </row>
    <row r="6082" spans="1:10" hidden="1" x14ac:dyDescent="0.25">
      <c r="A6082" s="235"/>
      <c r="B6082" s="222"/>
      <c r="C6082" s="111"/>
      <c r="D6082" s="111"/>
      <c r="E6082" s="112"/>
      <c r="F6082" s="54" t="s">
        <v>522</v>
      </c>
      <c r="G6082" s="54" t="str">
        <f t="shared" si="113"/>
        <v/>
      </c>
      <c r="H6082" s="73"/>
      <c r="I6082" s="74"/>
      <c r="J6082" s="102">
        <v>0</v>
      </c>
    </row>
    <row r="6083" spans="1:10" ht="38.25" hidden="1" x14ac:dyDescent="0.25">
      <c r="A6083" s="235"/>
      <c r="B6083" s="222"/>
      <c r="C6083" s="36" t="s">
        <v>1804</v>
      </c>
      <c r="D6083" s="105" t="s">
        <v>20</v>
      </c>
      <c r="E6083" s="106">
        <v>1</v>
      </c>
      <c r="F6083" s="31">
        <v>632.87099999999987</v>
      </c>
      <c r="G6083" s="54">
        <f t="shared" si="113"/>
        <v>632.87099999999987</v>
      </c>
      <c r="H6083" s="39">
        <f>SUM(G6083:G6083)</f>
        <v>632.87099999999987</v>
      </c>
      <c r="I6083" s="40"/>
      <c r="J6083" s="102">
        <v>0</v>
      </c>
    </row>
    <row r="6084" spans="1:10" ht="15.75" hidden="1" thickBot="1" x14ac:dyDescent="0.3">
      <c r="A6084" s="236"/>
      <c r="B6084" s="223"/>
      <c r="C6084" s="55"/>
      <c r="D6084" s="108"/>
      <c r="E6084" s="66"/>
      <c r="F6084" s="76" t="s">
        <v>522</v>
      </c>
      <c r="G6084" s="76" t="str">
        <f t="shared" si="113"/>
        <v/>
      </c>
      <c r="H6084" s="77"/>
      <c r="I6084" s="74"/>
      <c r="J6084" s="102">
        <v>0</v>
      </c>
    </row>
    <row r="6085" spans="1:10" ht="15.75" hidden="1" thickBot="1" x14ac:dyDescent="0.3">
      <c r="A6085" s="232" t="s">
        <v>2227</v>
      </c>
      <c r="B6085" s="221" t="e">
        <f>INDEX(#REF!,MATCH(Composições!A6085,#REF!,0),2)</f>
        <v>#REF!</v>
      </c>
      <c r="C6085" s="41"/>
      <c r="D6085" s="26" t="s">
        <v>20</v>
      </c>
      <c r="E6085" s="27"/>
      <c r="F6085" s="49" t="s">
        <v>522</v>
      </c>
      <c r="G6085" s="28" t="str">
        <f t="shared" si="113"/>
        <v/>
      </c>
      <c r="H6085" s="29"/>
      <c r="I6085" s="30"/>
      <c r="J6085" s="102">
        <v>0</v>
      </c>
    </row>
    <row r="6086" spans="1:10" hidden="1" x14ac:dyDescent="0.25">
      <c r="A6086" s="235"/>
      <c r="B6086" s="222"/>
      <c r="C6086" s="111"/>
      <c r="D6086" s="111"/>
      <c r="E6086" s="112"/>
      <c r="F6086" s="54" t="s">
        <v>522</v>
      </c>
      <c r="G6086" s="54" t="str">
        <f t="shared" si="113"/>
        <v/>
      </c>
      <c r="H6086" s="73"/>
      <c r="I6086" s="74"/>
      <c r="J6086" s="102">
        <v>0</v>
      </c>
    </row>
    <row r="6087" spans="1:10" ht="38.25" hidden="1" x14ac:dyDescent="0.25">
      <c r="A6087" s="235"/>
      <c r="B6087" s="222"/>
      <c r="C6087" s="36" t="s">
        <v>1806</v>
      </c>
      <c r="D6087" s="105" t="s">
        <v>20</v>
      </c>
      <c r="E6087" s="106">
        <v>1</v>
      </c>
      <c r="F6087" s="31">
        <v>38.399000000000001</v>
      </c>
      <c r="G6087" s="54">
        <f t="shared" si="113"/>
        <v>38.399000000000001</v>
      </c>
      <c r="H6087" s="39">
        <f>SUM(G6087:G6087)</f>
        <v>38.399000000000001</v>
      </c>
      <c r="I6087" s="40"/>
      <c r="J6087" s="102">
        <v>0</v>
      </c>
    </row>
    <row r="6088" spans="1:10" ht="15.75" hidden="1" thickBot="1" x14ac:dyDescent="0.3">
      <c r="A6088" s="236"/>
      <c r="B6088" s="223"/>
      <c r="C6088" s="55"/>
      <c r="D6088" s="108"/>
      <c r="E6088" s="66"/>
      <c r="F6088" s="76" t="s">
        <v>522</v>
      </c>
      <c r="G6088" s="76" t="str">
        <f t="shared" si="113"/>
        <v/>
      </c>
      <c r="H6088" s="77"/>
      <c r="I6088" s="74"/>
      <c r="J6088" s="102">
        <v>0</v>
      </c>
    </row>
    <row r="6089" spans="1:10" ht="15.75" hidden="1" thickBot="1" x14ac:dyDescent="0.3">
      <c r="A6089" s="232" t="s">
        <v>2228</v>
      </c>
      <c r="B6089" s="221" t="e">
        <f>INDEX(#REF!,MATCH(Composições!A6089,#REF!,0),2)</f>
        <v>#REF!</v>
      </c>
      <c r="C6089" s="41"/>
      <c r="D6089" s="26" t="s">
        <v>20</v>
      </c>
      <c r="E6089" s="27"/>
      <c r="F6089" s="49" t="s">
        <v>522</v>
      </c>
      <c r="G6089" s="28" t="str">
        <f t="shared" si="113"/>
        <v/>
      </c>
      <c r="H6089" s="29"/>
      <c r="I6089" s="30"/>
      <c r="J6089" s="102">
        <v>0</v>
      </c>
    </row>
    <row r="6090" spans="1:10" hidden="1" x14ac:dyDescent="0.25">
      <c r="A6090" s="235"/>
      <c r="B6090" s="222"/>
      <c r="C6090" s="111"/>
      <c r="D6090" s="111"/>
      <c r="E6090" s="112"/>
      <c r="F6090" s="54" t="s">
        <v>522</v>
      </c>
      <c r="G6090" s="54" t="str">
        <f t="shared" si="113"/>
        <v/>
      </c>
      <c r="H6090" s="73"/>
      <c r="I6090" s="74"/>
      <c r="J6090" s="102">
        <v>0</v>
      </c>
    </row>
    <row r="6091" spans="1:10" ht="25.5" hidden="1" x14ac:dyDescent="0.25">
      <c r="A6091" s="235"/>
      <c r="B6091" s="222"/>
      <c r="C6091" s="36" t="s">
        <v>2402</v>
      </c>
      <c r="D6091" s="105" t="s">
        <v>20</v>
      </c>
      <c r="E6091" s="106">
        <v>1</v>
      </c>
      <c r="F6091" s="31">
        <v>41.011499999999998</v>
      </c>
      <c r="G6091" s="54">
        <f t="shared" si="113"/>
        <v>41.011499999999998</v>
      </c>
      <c r="H6091" s="39">
        <f>SUM(G6091:G6091)</f>
        <v>41.011499999999998</v>
      </c>
      <c r="I6091" s="40"/>
      <c r="J6091" s="102">
        <v>0</v>
      </c>
    </row>
    <row r="6092" spans="1:10" ht="15.75" hidden="1" thickBot="1" x14ac:dyDescent="0.3">
      <c r="A6092" s="236"/>
      <c r="B6092" s="223"/>
      <c r="C6092" s="55"/>
      <c r="D6092" s="108"/>
      <c r="E6092" s="66"/>
      <c r="F6092" s="76" t="s">
        <v>522</v>
      </c>
      <c r="G6092" s="76" t="str">
        <f t="shared" si="113"/>
        <v/>
      </c>
      <c r="H6092" s="77"/>
      <c r="I6092" s="74"/>
      <c r="J6092" s="102">
        <v>0</v>
      </c>
    </row>
    <row r="6093" spans="1:10" ht="15.75" hidden="1" thickBot="1" x14ac:dyDescent="0.3">
      <c r="A6093" s="232" t="s">
        <v>2229</v>
      </c>
      <c r="B6093" s="221" t="e">
        <f>INDEX(#REF!,MATCH(Composições!A6093,#REF!,0),2)</f>
        <v>#REF!</v>
      </c>
      <c r="C6093" s="41"/>
      <c r="D6093" s="26" t="s">
        <v>20</v>
      </c>
      <c r="E6093" s="27"/>
      <c r="F6093" s="49" t="s">
        <v>522</v>
      </c>
      <c r="G6093" s="28" t="str">
        <f t="shared" si="113"/>
        <v/>
      </c>
      <c r="H6093" s="29"/>
      <c r="I6093" s="30"/>
      <c r="J6093" s="102">
        <v>0</v>
      </c>
    </row>
    <row r="6094" spans="1:10" hidden="1" x14ac:dyDescent="0.25">
      <c r="A6094" s="235"/>
      <c r="B6094" s="222"/>
      <c r="C6094" s="111"/>
      <c r="D6094" s="111"/>
      <c r="E6094" s="112"/>
      <c r="F6094" s="54" t="s">
        <v>522</v>
      </c>
      <c r="G6094" s="54" t="str">
        <f t="shared" si="113"/>
        <v/>
      </c>
      <c r="H6094" s="73"/>
      <c r="I6094" s="74"/>
      <c r="J6094" s="102">
        <v>0</v>
      </c>
    </row>
    <row r="6095" spans="1:10" ht="38.25" hidden="1" x14ac:dyDescent="0.25">
      <c r="A6095" s="235"/>
      <c r="B6095" s="222"/>
      <c r="C6095" s="36" t="s">
        <v>1792</v>
      </c>
      <c r="D6095" s="105" t="s">
        <v>20</v>
      </c>
      <c r="E6095" s="106">
        <v>1</v>
      </c>
      <c r="F6095" s="31">
        <v>97.678999999999988</v>
      </c>
      <c r="G6095" s="54">
        <f t="shared" si="113"/>
        <v>97.678999999999988</v>
      </c>
      <c r="H6095" s="39">
        <f>SUM(G6095:G6095)</f>
        <v>97.678999999999988</v>
      </c>
      <c r="I6095" s="40"/>
      <c r="J6095" s="102">
        <v>0</v>
      </c>
    </row>
    <row r="6096" spans="1:10" ht="15.75" hidden="1" thickBot="1" x14ac:dyDescent="0.3">
      <c r="A6096" s="236"/>
      <c r="B6096" s="223"/>
      <c r="C6096" s="55"/>
      <c r="D6096" s="108"/>
      <c r="E6096" s="66"/>
      <c r="F6096" s="76" t="s">
        <v>522</v>
      </c>
      <c r="G6096" s="76" t="str">
        <f t="shared" si="113"/>
        <v/>
      </c>
      <c r="H6096" s="77"/>
      <c r="I6096" s="74"/>
      <c r="J6096" s="102">
        <v>0</v>
      </c>
    </row>
    <row r="6097" spans="1:10" ht="15.75" hidden="1" thickBot="1" x14ac:dyDescent="0.3">
      <c r="A6097" s="232" t="s">
        <v>2230</v>
      </c>
      <c r="B6097" s="221" t="e">
        <f>INDEX(#REF!,MATCH(Composições!A6097,#REF!,0),2)</f>
        <v>#REF!</v>
      </c>
      <c r="C6097" s="41"/>
      <c r="D6097" s="26" t="s">
        <v>20</v>
      </c>
      <c r="E6097" s="27"/>
      <c r="F6097" s="49" t="s">
        <v>522</v>
      </c>
      <c r="G6097" s="28" t="str">
        <f t="shared" si="113"/>
        <v/>
      </c>
      <c r="H6097" s="29"/>
      <c r="I6097" s="30"/>
      <c r="J6097" s="102">
        <v>0</v>
      </c>
    </row>
    <row r="6098" spans="1:10" hidden="1" x14ac:dyDescent="0.25">
      <c r="A6098" s="235"/>
      <c r="B6098" s="222"/>
      <c r="C6098" s="111"/>
      <c r="D6098" s="111"/>
      <c r="E6098" s="112"/>
      <c r="F6098" s="54" t="s">
        <v>522</v>
      </c>
      <c r="G6098" s="54" t="str">
        <f t="shared" si="113"/>
        <v/>
      </c>
      <c r="H6098" s="73"/>
      <c r="I6098" s="74"/>
      <c r="J6098" s="102">
        <v>0</v>
      </c>
    </row>
    <row r="6099" spans="1:10" hidden="1" x14ac:dyDescent="0.25">
      <c r="A6099" s="235"/>
      <c r="B6099" s="222"/>
      <c r="C6099" s="36" t="s">
        <v>2428</v>
      </c>
      <c r="D6099" s="105" t="s">
        <v>93</v>
      </c>
      <c r="E6099" s="106">
        <v>3</v>
      </c>
      <c r="F6099" s="31">
        <v>46.578499999999998</v>
      </c>
      <c r="G6099" s="54">
        <f t="shared" si="113"/>
        <v>139.7355</v>
      </c>
      <c r="H6099" s="39">
        <f>SUM(G6099:G6099)</f>
        <v>139.7355</v>
      </c>
      <c r="I6099" s="40"/>
      <c r="J6099" s="102">
        <v>0</v>
      </c>
    </row>
    <row r="6100" spans="1:10" ht="15.75" hidden="1" thickBot="1" x14ac:dyDescent="0.3">
      <c r="A6100" s="236"/>
      <c r="B6100" s="223"/>
      <c r="C6100" s="55"/>
      <c r="D6100" s="108"/>
      <c r="E6100" s="66"/>
      <c r="F6100" s="76" t="s">
        <v>522</v>
      </c>
      <c r="G6100" s="76" t="str">
        <f t="shared" si="113"/>
        <v/>
      </c>
      <c r="H6100" s="77"/>
      <c r="I6100" s="74"/>
      <c r="J6100" s="102">
        <v>0</v>
      </c>
    </row>
    <row r="6101" spans="1:10" ht="15.75" hidden="1" thickBot="1" x14ac:dyDescent="0.3">
      <c r="A6101" s="232" t="s">
        <v>2231</v>
      </c>
      <c r="B6101" s="221" t="e">
        <f>INDEX(#REF!,MATCH(Composições!A6101,#REF!,0),2)</f>
        <v>#REF!</v>
      </c>
      <c r="C6101" s="41"/>
      <c r="D6101" s="26" t="s">
        <v>2080</v>
      </c>
      <c r="E6101" s="27"/>
      <c r="F6101" s="49" t="s">
        <v>522</v>
      </c>
      <c r="G6101" s="28" t="str">
        <f t="shared" si="113"/>
        <v/>
      </c>
      <c r="H6101" s="29"/>
      <c r="I6101" s="30"/>
      <c r="J6101" s="102">
        <v>0</v>
      </c>
    </row>
    <row r="6102" spans="1:10" hidden="1" x14ac:dyDescent="0.25">
      <c r="A6102" s="235"/>
      <c r="B6102" s="222"/>
      <c r="C6102" s="111"/>
      <c r="D6102" s="111"/>
      <c r="E6102" s="112"/>
      <c r="F6102" s="54" t="s">
        <v>522</v>
      </c>
      <c r="G6102" s="54" t="str">
        <f t="shared" si="113"/>
        <v/>
      </c>
      <c r="H6102" s="73"/>
      <c r="I6102" s="74"/>
      <c r="J6102" s="102">
        <v>0</v>
      </c>
    </row>
    <row r="6103" spans="1:10" ht="25.5" hidden="1" x14ac:dyDescent="0.25">
      <c r="A6103" s="235"/>
      <c r="B6103" s="222"/>
      <c r="C6103" s="36" t="s">
        <v>776</v>
      </c>
      <c r="D6103" s="105" t="s">
        <v>42</v>
      </c>
      <c r="E6103" s="106">
        <v>1</v>
      </c>
      <c r="F6103" s="31">
        <v>47.205499999999994</v>
      </c>
      <c r="G6103" s="54">
        <f t="shared" si="113"/>
        <v>47.205499999999994</v>
      </c>
      <c r="H6103" s="39">
        <f>SUM(G6103:G6103)</f>
        <v>47.205499999999994</v>
      </c>
      <c r="I6103" s="40"/>
      <c r="J6103" s="102">
        <v>0</v>
      </c>
    </row>
    <row r="6104" spans="1:10" ht="15.75" hidden="1" thickBot="1" x14ac:dyDescent="0.3">
      <c r="A6104" s="236"/>
      <c r="B6104" s="223"/>
      <c r="C6104" s="55"/>
      <c r="D6104" s="108"/>
      <c r="E6104" s="66"/>
      <c r="F6104" s="76" t="s">
        <v>522</v>
      </c>
      <c r="G6104" s="76" t="str">
        <f t="shared" si="113"/>
        <v/>
      </c>
      <c r="H6104" s="77"/>
      <c r="I6104" s="74"/>
      <c r="J6104" s="102">
        <v>0</v>
      </c>
    </row>
    <row r="6105" spans="1:10" ht="15.75" hidden="1" thickBot="1" x14ac:dyDescent="0.3">
      <c r="A6105" s="232" t="s">
        <v>2232</v>
      </c>
      <c r="B6105" s="221" t="e">
        <f>INDEX(#REF!,MATCH(Composições!A6105,#REF!,0),2)</f>
        <v>#REF!</v>
      </c>
      <c r="C6105" s="41"/>
      <c r="D6105" s="26" t="s">
        <v>20</v>
      </c>
      <c r="E6105" s="27"/>
      <c r="F6105" s="49" t="s">
        <v>522</v>
      </c>
      <c r="G6105" s="28" t="str">
        <f t="shared" si="113"/>
        <v/>
      </c>
      <c r="H6105" s="29"/>
      <c r="I6105" s="30"/>
      <c r="J6105" s="102">
        <v>0</v>
      </c>
    </row>
    <row r="6106" spans="1:10" hidden="1" x14ac:dyDescent="0.25">
      <c r="A6106" s="235"/>
      <c r="B6106" s="222"/>
      <c r="C6106" s="111"/>
      <c r="D6106" s="111"/>
      <c r="E6106" s="112"/>
      <c r="F6106" s="54" t="s">
        <v>522</v>
      </c>
      <c r="G6106" s="54" t="str">
        <f t="shared" si="113"/>
        <v/>
      </c>
      <c r="H6106" s="73"/>
      <c r="I6106" s="74"/>
      <c r="J6106" s="102">
        <v>0</v>
      </c>
    </row>
    <row r="6107" spans="1:10" ht="38.25" hidden="1" x14ac:dyDescent="0.25">
      <c r="A6107" s="235"/>
      <c r="B6107" s="222"/>
      <c r="C6107" s="36" t="s">
        <v>3358</v>
      </c>
      <c r="D6107" s="105" t="s">
        <v>20</v>
      </c>
      <c r="E6107" s="106">
        <v>1</v>
      </c>
      <c r="F6107" s="31">
        <v>640.68949999999995</v>
      </c>
      <c r="G6107" s="54">
        <f t="shared" si="113"/>
        <v>640.68949999999995</v>
      </c>
      <c r="H6107" s="39">
        <f>SUM(G6107:G6107)</f>
        <v>640.68949999999995</v>
      </c>
      <c r="I6107" s="40"/>
      <c r="J6107" s="102">
        <v>0</v>
      </c>
    </row>
    <row r="6108" spans="1:10" ht="15.75" hidden="1" thickBot="1" x14ac:dyDescent="0.3">
      <c r="A6108" s="236"/>
      <c r="B6108" s="223"/>
      <c r="C6108" s="55"/>
      <c r="D6108" s="108"/>
      <c r="E6108" s="66"/>
      <c r="F6108" s="76" t="s">
        <v>522</v>
      </c>
      <c r="G6108" s="76" t="str">
        <f t="shared" si="113"/>
        <v/>
      </c>
      <c r="H6108" s="77"/>
      <c r="I6108" s="74"/>
      <c r="J6108" s="102">
        <v>0</v>
      </c>
    </row>
    <row r="6109" spans="1:10" ht="15.75" hidden="1" thickBot="1" x14ac:dyDescent="0.3">
      <c r="A6109" s="232" t="s">
        <v>2233</v>
      </c>
      <c r="B6109" s="221" t="e">
        <f>INDEX(#REF!,MATCH(Composições!A6109,#REF!,0),2)</f>
        <v>#REF!</v>
      </c>
      <c r="C6109" s="41"/>
      <c r="D6109" s="26" t="s">
        <v>20</v>
      </c>
      <c r="E6109" s="27"/>
      <c r="F6109" s="49" t="s">
        <v>522</v>
      </c>
      <c r="G6109" s="28" t="str">
        <f t="shared" si="113"/>
        <v/>
      </c>
      <c r="H6109" s="29"/>
      <c r="I6109" s="30"/>
      <c r="J6109" s="102">
        <v>0</v>
      </c>
    </row>
    <row r="6110" spans="1:10" hidden="1" x14ac:dyDescent="0.25">
      <c r="A6110" s="235"/>
      <c r="B6110" s="222"/>
      <c r="C6110" s="111"/>
      <c r="D6110" s="111"/>
      <c r="E6110" s="112"/>
      <c r="F6110" s="54" t="s">
        <v>522</v>
      </c>
      <c r="G6110" s="54" t="str">
        <f t="shared" ref="G6110:G6127" si="114">IF(ISNUMBER(F6110),E6110*F6110,"")</f>
        <v/>
      </c>
      <c r="H6110" s="73"/>
      <c r="I6110" s="74"/>
      <c r="J6110" s="102">
        <v>0</v>
      </c>
    </row>
    <row r="6111" spans="1:10" ht="38.25" hidden="1" x14ac:dyDescent="0.25">
      <c r="A6111" s="235"/>
      <c r="B6111" s="222"/>
      <c r="C6111" s="36" t="s">
        <v>3357</v>
      </c>
      <c r="D6111" s="105" t="s">
        <v>20</v>
      </c>
      <c r="E6111" s="106">
        <v>1</v>
      </c>
      <c r="F6111" s="31">
        <v>522.86099999999999</v>
      </c>
      <c r="G6111" s="54">
        <f t="shared" si="114"/>
        <v>522.86099999999999</v>
      </c>
      <c r="H6111" s="39">
        <f>SUM(G6111:G6111)</f>
        <v>522.86099999999999</v>
      </c>
      <c r="I6111" s="40"/>
      <c r="J6111" s="102">
        <v>0</v>
      </c>
    </row>
    <row r="6112" spans="1:10" ht="15.75" hidden="1" thickBot="1" x14ac:dyDescent="0.3">
      <c r="A6112" s="236"/>
      <c r="B6112" s="223"/>
      <c r="C6112" s="55"/>
      <c r="D6112" s="108"/>
      <c r="E6112" s="66"/>
      <c r="F6112" s="76" t="s">
        <v>522</v>
      </c>
      <c r="G6112" s="76" t="str">
        <f t="shared" si="114"/>
        <v/>
      </c>
      <c r="H6112" s="77"/>
      <c r="I6112" s="74"/>
      <c r="J6112" s="102">
        <v>0</v>
      </c>
    </row>
    <row r="6113" spans="1:10" ht="15.75" hidden="1" thickBot="1" x14ac:dyDescent="0.3">
      <c r="A6113" s="232" t="s">
        <v>2234</v>
      </c>
      <c r="B6113" s="221" t="e">
        <f>INDEX(#REF!,MATCH(Composições!A6113,#REF!,0),2)</f>
        <v>#REF!</v>
      </c>
      <c r="C6113" s="41"/>
      <c r="D6113" s="26" t="s">
        <v>20</v>
      </c>
      <c r="E6113" s="27"/>
      <c r="F6113" s="49" t="s">
        <v>522</v>
      </c>
      <c r="G6113" s="28" t="str">
        <f t="shared" si="114"/>
        <v/>
      </c>
      <c r="H6113" s="29"/>
      <c r="I6113" s="30"/>
      <c r="J6113" s="102">
        <v>0</v>
      </c>
    </row>
    <row r="6114" spans="1:10" hidden="1" x14ac:dyDescent="0.25">
      <c r="A6114" s="235"/>
      <c r="B6114" s="222"/>
      <c r="C6114" s="111"/>
      <c r="D6114" s="111"/>
      <c r="E6114" s="112"/>
      <c r="F6114" s="54" t="s">
        <v>522</v>
      </c>
      <c r="G6114" s="54" t="str">
        <f t="shared" si="114"/>
        <v/>
      </c>
      <c r="H6114" s="73"/>
      <c r="I6114" s="74"/>
      <c r="J6114" s="102">
        <v>0</v>
      </c>
    </row>
    <row r="6115" spans="1:10" ht="25.5" hidden="1" x14ac:dyDescent="0.25">
      <c r="A6115" s="235"/>
      <c r="B6115" s="222"/>
      <c r="C6115" s="36" t="s">
        <v>3359</v>
      </c>
      <c r="D6115" s="105" t="s">
        <v>20</v>
      </c>
      <c r="E6115" s="106">
        <v>1</v>
      </c>
      <c r="F6115" s="31">
        <v>267.32049999999998</v>
      </c>
      <c r="G6115" s="54">
        <f t="shared" si="114"/>
        <v>267.32049999999998</v>
      </c>
      <c r="H6115" s="39">
        <f>SUM(G6115:G6115)</f>
        <v>267.32049999999998</v>
      </c>
      <c r="I6115" s="40"/>
      <c r="J6115" s="102">
        <v>0</v>
      </c>
    </row>
    <row r="6116" spans="1:10" ht="15.75" hidden="1" thickBot="1" x14ac:dyDescent="0.3">
      <c r="A6116" s="236"/>
      <c r="B6116" s="223"/>
      <c r="C6116" s="55"/>
      <c r="D6116" s="108"/>
      <c r="E6116" s="66"/>
      <c r="F6116" s="76" t="s">
        <v>522</v>
      </c>
      <c r="G6116" s="76" t="str">
        <f t="shared" si="114"/>
        <v/>
      </c>
      <c r="H6116" s="77"/>
      <c r="I6116" s="74"/>
      <c r="J6116" s="102">
        <v>0</v>
      </c>
    </row>
    <row r="6117" spans="1:10" ht="15.75" hidden="1" thickBot="1" x14ac:dyDescent="0.3">
      <c r="A6117" s="232" t="s">
        <v>2235</v>
      </c>
      <c r="B6117" s="221" t="e">
        <f>INDEX(#REF!,MATCH(Composições!A6117,#REF!,0),2)</f>
        <v>#REF!</v>
      </c>
      <c r="C6117" s="41"/>
      <c r="D6117" s="26" t="s">
        <v>20</v>
      </c>
      <c r="E6117" s="27"/>
      <c r="F6117" s="49" t="s">
        <v>522</v>
      </c>
      <c r="G6117" s="28" t="str">
        <f t="shared" si="114"/>
        <v/>
      </c>
      <c r="H6117" s="29"/>
      <c r="I6117" s="30"/>
      <c r="J6117" s="102">
        <v>0</v>
      </c>
    </row>
    <row r="6118" spans="1:10" hidden="1" x14ac:dyDescent="0.25">
      <c r="A6118" s="235"/>
      <c r="B6118" s="222"/>
      <c r="C6118" s="111"/>
      <c r="D6118" s="111"/>
      <c r="E6118" s="112"/>
      <c r="F6118" s="54" t="s">
        <v>522</v>
      </c>
      <c r="G6118" s="54" t="str">
        <f t="shared" si="114"/>
        <v/>
      </c>
      <c r="H6118" s="73"/>
      <c r="I6118" s="74"/>
      <c r="J6118" s="102">
        <v>0</v>
      </c>
    </row>
    <row r="6119" spans="1:10" ht="51" hidden="1" x14ac:dyDescent="0.25">
      <c r="A6119" s="235"/>
      <c r="B6119" s="222"/>
      <c r="C6119" s="36" t="s">
        <v>3266</v>
      </c>
      <c r="D6119" s="105" t="s">
        <v>20</v>
      </c>
      <c r="E6119" s="106">
        <f>1/0.13/0.26</f>
        <v>29.585798816568044</v>
      </c>
      <c r="F6119" s="31">
        <v>19</v>
      </c>
      <c r="G6119" s="54">
        <f t="shared" si="114"/>
        <v>562.13017751479288</v>
      </c>
      <c r="H6119" s="39">
        <f>SUM(G6119:G6119)</f>
        <v>562.13017751479288</v>
      </c>
      <c r="I6119" s="40"/>
      <c r="J6119" s="102">
        <v>0</v>
      </c>
    </row>
    <row r="6120" spans="1:10" ht="15.75" hidden="1" thickBot="1" x14ac:dyDescent="0.3">
      <c r="A6120" s="236"/>
      <c r="B6120" s="223"/>
      <c r="C6120" s="55"/>
      <c r="D6120" s="108"/>
      <c r="E6120" s="66"/>
      <c r="F6120" s="76" t="s">
        <v>522</v>
      </c>
      <c r="G6120" s="76" t="str">
        <f t="shared" si="114"/>
        <v/>
      </c>
      <c r="H6120" s="77"/>
      <c r="I6120" s="74"/>
      <c r="J6120" s="102">
        <v>0</v>
      </c>
    </row>
    <row r="6121" spans="1:10" ht="15.75" hidden="1" thickBot="1" x14ac:dyDescent="0.3">
      <c r="A6121" s="218" t="s">
        <v>2236</v>
      </c>
      <c r="B6121" s="221" t="e">
        <f>INDEX(#REF!,MATCH(Composições!A6121,#REF!,0),2)</f>
        <v>#REF!</v>
      </c>
      <c r="C6121" s="41"/>
      <c r="D6121" s="26" t="s">
        <v>20</v>
      </c>
      <c r="E6121" s="27"/>
      <c r="F6121" s="49" t="s">
        <v>522</v>
      </c>
      <c r="G6121" s="28" t="str">
        <f t="shared" si="114"/>
        <v/>
      </c>
      <c r="H6121" s="29"/>
      <c r="I6121" s="30"/>
      <c r="J6121" s="102">
        <v>0</v>
      </c>
    </row>
    <row r="6122" spans="1:10" hidden="1" x14ac:dyDescent="0.25">
      <c r="A6122" s="224"/>
      <c r="B6122" s="222"/>
      <c r="C6122" s="111"/>
      <c r="D6122" s="111"/>
      <c r="E6122" s="112"/>
      <c r="F6122" s="54" t="s">
        <v>522</v>
      </c>
      <c r="G6122" s="54" t="str">
        <f t="shared" si="114"/>
        <v/>
      </c>
      <c r="H6122" s="73"/>
      <c r="I6122" s="74"/>
      <c r="J6122" s="102">
        <v>0</v>
      </c>
    </row>
    <row r="6123" spans="1:10" hidden="1" x14ac:dyDescent="0.25">
      <c r="A6123" s="224"/>
      <c r="B6123" s="222"/>
      <c r="C6123" s="36" t="s">
        <v>1160</v>
      </c>
      <c r="D6123" s="105" t="s">
        <v>12</v>
      </c>
      <c r="E6123" s="106">
        <v>0.08</v>
      </c>
      <c r="F6123" s="31">
        <v>21.688499999999998</v>
      </c>
      <c r="G6123" s="54">
        <f t="shared" si="114"/>
        <v>1.73508</v>
      </c>
      <c r="H6123" s="39">
        <f>SUM(G6123:G6127)</f>
        <v>3.0293600000000001</v>
      </c>
      <c r="I6123" s="40"/>
      <c r="J6123" s="102">
        <v>0</v>
      </c>
    </row>
    <row r="6124" spans="1:10" hidden="1" x14ac:dyDescent="0.25">
      <c r="A6124" s="224"/>
      <c r="B6124" s="222"/>
      <c r="C6124" s="36" t="s">
        <v>704</v>
      </c>
      <c r="D6124" s="105" t="s">
        <v>12</v>
      </c>
      <c r="E6124" s="106">
        <v>0.08</v>
      </c>
      <c r="F6124" s="31">
        <v>16.1785</v>
      </c>
      <c r="G6124" s="54">
        <f t="shared" si="114"/>
        <v>1.2942800000000001</v>
      </c>
      <c r="H6124" s="44"/>
      <c r="I6124" s="40"/>
      <c r="J6124" s="102">
        <v>0</v>
      </c>
    </row>
    <row r="6125" spans="1:10" hidden="1" x14ac:dyDescent="0.25">
      <c r="A6125" s="224"/>
      <c r="B6125" s="222"/>
      <c r="C6125" s="36" t="s">
        <v>2326</v>
      </c>
      <c r="D6125" s="105" t="s">
        <v>20</v>
      </c>
      <c r="E6125" s="106">
        <v>1</v>
      </c>
      <c r="F6125" s="31">
        <v>0</v>
      </c>
      <c r="G6125" s="54">
        <f t="shared" si="114"/>
        <v>0</v>
      </c>
      <c r="H6125" s="44"/>
      <c r="I6125" s="40"/>
      <c r="J6125" s="102">
        <v>0</v>
      </c>
    </row>
    <row r="6126" spans="1:10" hidden="1" x14ac:dyDescent="0.25">
      <c r="A6126" s="224"/>
      <c r="B6126" s="222"/>
      <c r="C6126" s="36" t="s">
        <v>2327</v>
      </c>
      <c r="D6126" s="105" t="s">
        <v>20</v>
      </c>
      <c r="E6126" s="106">
        <v>1</v>
      </c>
      <c r="F6126" s="31">
        <v>0</v>
      </c>
      <c r="G6126" s="54">
        <f t="shared" si="114"/>
        <v>0</v>
      </c>
      <c r="H6126" s="44"/>
      <c r="I6126" s="40"/>
      <c r="J6126" s="102">
        <v>0</v>
      </c>
    </row>
    <row r="6127" spans="1:10" hidden="1" x14ac:dyDescent="0.25">
      <c r="A6127" s="224"/>
      <c r="B6127" s="222"/>
      <c r="C6127" s="36" t="s">
        <v>2328</v>
      </c>
      <c r="D6127" s="105" t="s">
        <v>20</v>
      </c>
      <c r="E6127" s="106">
        <v>0.04</v>
      </c>
      <c r="F6127" s="31">
        <v>0</v>
      </c>
      <c r="G6127" s="54">
        <f t="shared" si="114"/>
        <v>0</v>
      </c>
      <c r="H6127" s="44"/>
      <c r="I6127" s="40"/>
      <c r="J6127" s="102">
        <v>0</v>
      </c>
    </row>
    <row r="6128" spans="1:10" ht="15.75" hidden="1" thickBot="1" x14ac:dyDescent="0.3">
      <c r="A6128" s="225"/>
      <c r="B6128" s="223"/>
      <c r="C6128" s="36"/>
      <c r="D6128" s="105"/>
      <c r="E6128" s="106"/>
      <c r="F6128" s="31" t="s">
        <v>522</v>
      </c>
      <c r="G6128" s="54"/>
      <c r="H6128" s="44"/>
      <c r="I6128" s="40"/>
      <c r="J6128" s="102">
        <v>0</v>
      </c>
    </row>
    <row r="6129" spans="1:10" ht="15.75" hidden="1" thickBot="1" x14ac:dyDescent="0.3">
      <c r="A6129" s="232" t="s">
        <v>2237</v>
      </c>
      <c r="B6129" s="221" t="e">
        <f>INDEX(#REF!,MATCH(Composições!A6129,#REF!,0),2)</f>
        <v>#REF!</v>
      </c>
      <c r="C6129" s="41"/>
      <c r="D6129" s="26" t="s">
        <v>20</v>
      </c>
      <c r="E6129" s="27"/>
      <c r="F6129" s="49" t="s">
        <v>522</v>
      </c>
      <c r="G6129" s="28" t="str">
        <f t="shared" ref="G6129:G6168" si="115">IF(ISNUMBER(F6129),E6129*F6129,"")</f>
        <v/>
      </c>
      <c r="H6129" s="29"/>
      <c r="I6129" s="30"/>
      <c r="J6129" s="102">
        <v>0</v>
      </c>
    </row>
    <row r="6130" spans="1:10" hidden="1" x14ac:dyDescent="0.25">
      <c r="A6130" s="235"/>
      <c r="B6130" s="222"/>
      <c r="C6130" s="111"/>
      <c r="D6130" s="111"/>
      <c r="E6130" s="112"/>
      <c r="F6130" s="54" t="s">
        <v>522</v>
      </c>
      <c r="G6130" s="54" t="str">
        <f t="shared" si="115"/>
        <v/>
      </c>
      <c r="H6130" s="73"/>
      <c r="I6130" s="74"/>
      <c r="J6130" s="102">
        <v>0</v>
      </c>
    </row>
    <row r="6131" spans="1:10" ht="25.5" hidden="1" x14ac:dyDescent="0.25">
      <c r="A6131" s="235"/>
      <c r="B6131" s="222"/>
      <c r="C6131" s="36" t="s">
        <v>1724</v>
      </c>
      <c r="D6131" s="105" t="s">
        <v>20</v>
      </c>
      <c r="E6131" s="106">
        <v>1</v>
      </c>
      <c r="F6131" s="31">
        <v>42.75</v>
      </c>
      <c r="G6131" s="54">
        <f t="shared" si="115"/>
        <v>42.75</v>
      </c>
      <c r="H6131" s="39">
        <f>SUM(G6131:G6131)</f>
        <v>42.75</v>
      </c>
      <c r="I6131" s="40"/>
      <c r="J6131" s="102">
        <v>0</v>
      </c>
    </row>
    <row r="6132" spans="1:10" ht="15.75" hidden="1" thickBot="1" x14ac:dyDescent="0.3">
      <c r="A6132" s="236"/>
      <c r="B6132" s="223"/>
      <c r="C6132" s="55"/>
      <c r="D6132" s="108"/>
      <c r="E6132" s="66"/>
      <c r="F6132" s="76" t="s">
        <v>522</v>
      </c>
      <c r="G6132" s="76" t="str">
        <f t="shared" si="115"/>
        <v/>
      </c>
      <c r="H6132" s="77"/>
      <c r="I6132" s="74"/>
      <c r="J6132" s="102">
        <v>0</v>
      </c>
    </row>
    <row r="6133" spans="1:10" ht="15.75" hidden="1" thickBot="1" x14ac:dyDescent="0.3">
      <c r="A6133" s="232" t="s">
        <v>2238</v>
      </c>
      <c r="B6133" s="221" t="e">
        <f>INDEX(#REF!,MATCH(Composições!A6133,#REF!,0),2)</f>
        <v>#REF!</v>
      </c>
      <c r="C6133" s="41"/>
      <c r="D6133" s="26" t="s">
        <v>20</v>
      </c>
      <c r="E6133" s="27"/>
      <c r="F6133" s="49" t="s">
        <v>522</v>
      </c>
      <c r="G6133" s="28" t="str">
        <f t="shared" si="115"/>
        <v/>
      </c>
      <c r="H6133" s="29"/>
      <c r="I6133" s="30"/>
      <c r="J6133" s="102">
        <v>0</v>
      </c>
    </row>
    <row r="6134" spans="1:10" hidden="1" x14ac:dyDescent="0.25">
      <c r="A6134" s="235"/>
      <c r="B6134" s="222"/>
      <c r="C6134" s="111"/>
      <c r="D6134" s="111"/>
      <c r="E6134" s="112"/>
      <c r="F6134" s="54" t="s">
        <v>522</v>
      </c>
      <c r="G6134" s="54" t="str">
        <f t="shared" si="115"/>
        <v/>
      </c>
      <c r="H6134" s="73"/>
      <c r="I6134" s="74"/>
      <c r="J6134" s="102">
        <v>0</v>
      </c>
    </row>
    <row r="6135" spans="1:10" hidden="1" x14ac:dyDescent="0.25">
      <c r="A6135" s="235"/>
      <c r="B6135" s="222"/>
      <c r="C6135" s="36" t="s">
        <v>1696</v>
      </c>
      <c r="D6135" s="105" t="s">
        <v>20</v>
      </c>
      <c r="E6135" s="106">
        <v>1</v>
      </c>
      <c r="F6135" s="31">
        <v>121.19149999999999</v>
      </c>
      <c r="G6135" s="54">
        <f t="shared" si="115"/>
        <v>121.19149999999999</v>
      </c>
      <c r="H6135" s="39">
        <f>SUM(G6135:G6135)</f>
        <v>121.19149999999999</v>
      </c>
      <c r="I6135" s="40"/>
      <c r="J6135" s="102">
        <v>0</v>
      </c>
    </row>
    <row r="6136" spans="1:10" ht="15.75" hidden="1" thickBot="1" x14ac:dyDescent="0.3">
      <c r="A6136" s="236"/>
      <c r="B6136" s="223"/>
      <c r="C6136" s="55"/>
      <c r="D6136" s="108"/>
      <c r="E6136" s="66"/>
      <c r="F6136" s="76" t="s">
        <v>522</v>
      </c>
      <c r="G6136" s="76" t="str">
        <f t="shared" si="115"/>
        <v/>
      </c>
      <c r="H6136" s="77"/>
      <c r="I6136" s="74"/>
      <c r="J6136" s="102">
        <v>0</v>
      </c>
    </row>
    <row r="6137" spans="1:10" ht="15.75" hidden="1" thickBot="1" x14ac:dyDescent="0.3">
      <c r="A6137" s="232" t="s">
        <v>2246</v>
      </c>
      <c r="B6137" s="221" t="e">
        <f>INDEX(#REF!,MATCH(Composições!A6137,#REF!,0),2)</f>
        <v>#REF!</v>
      </c>
      <c r="C6137" s="41"/>
      <c r="D6137" s="26" t="s">
        <v>20</v>
      </c>
      <c r="E6137" s="27"/>
      <c r="F6137" s="49" t="s">
        <v>522</v>
      </c>
      <c r="G6137" s="28" t="str">
        <f t="shared" si="115"/>
        <v/>
      </c>
      <c r="H6137" s="29"/>
      <c r="I6137" s="30"/>
      <c r="J6137" s="102">
        <v>0</v>
      </c>
    </row>
    <row r="6138" spans="1:10" hidden="1" x14ac:dyDescent="0.25">
      <c r="A6138" s="235"/>
      <c r="B6138" s="222"/>
      <c r="C6138" s="111"/>
      <c r="D6138" s="111"/>
      <c r="E6138" s="112"/>
      <c r="F6138" s="54" t="s">
        <v>522</v>
      </c>
      <c r="G6138" s="54" t="str">
        <f t="shared" si="115"/>
        <v/>
      </c>
      <c r="H6138" s="73"/>
      <c r="I6138" s="74"/>
      <c r="J6138" s="102">
        <v>0</v>
      </c>
    </row>
    <row r="6139" spans="1:10" hidden="1" x14ac:dyDescent="0.25">
      <c r="A6139" s="235"/>
      <c r="B6139" s="222"/>
      <c r="C6139" s="36" t="s">
        <v>1799</v>
      </c>
      <c r="D6139" s="105" t="s">
        <v>20</v>
      </c>
      <c r="E6139" s="106">
        <v>0.5</v>
      </c>
      <c r="F6139" s="31">
        <v>248.71</v>
      </c>
      <c r="G6139" s="54">
        <f t="shared" si="115"/>
        <v>124.355</v>
      </c>
      <c r="H6139" s="39">
        <f>SUM(G6139:G6139)</f>
        <v>124.355</v>
      </c>
      <c r="I6139" s="40"/>
      <c r="J6139" s="102">
        <v>0</v>
      </c>
    </row>
    <row r="6140" spans="1:10" ht="15.75" hidden="1" thickBot="1" x14ac:dyDescent="0.3">
      <c r="A6140" s="236"/>
      <c r="B6140" s="223"/>
      <c r="C6140" s="55"/>
      <c r="D6140" s="108"/>
      <c r="E6140" s="66"/>
      <c r="F6140" s="76" t="s">
        <v>522</v>
      </c>
      <c r="G6140" s="76" t="str">
        <f t="shared" si="115"/>
        <v/>
      </c>
      <c r="H6140" s="77"/>
      <c r="I6140" s="74"/>
      <c r="J6140" s="102">
        <v>0</v>
      </c>
    </row>
    <row r="6141" spans="1:10" ht="15.75" hidden="1" thickBot="1" x14ac:dyDescent="0.3">
      <c r="A6141" s="232" t="s">
        <v>2247</v>
      </c>
      <c r="B6141" s="229" t="e">
        <f>INDEX(#REF!,MATCH(Composições!A6141,#REF!,0),2)</f>
        <v>#REF!</v>
      </c>
      <c r="C6141" s="41"/>
      <c r="D6141" s="26" t="s">
        <v>95</v>
      </c>
      <c r="E6141" s="27"/>
      <c r="F6141" s="42" t="s">
        <v>522</v>
      </c>
      <c r="G6141" s="28" t="str">
        <f t="shared" si="115"/>
        <v/>
      </c>
      <c r="H6141" s="29"/>
      <c r="I6141" s="30"/>
      <c r="J6141" s="102">
        <v>0</v>
      </c>
    </row>
    <row r="6142" spans="1:10" hidden="1" x14ac:dyDescent="0.25">
      <c r="A6142" s="233"/>
      <c r="B6142" s="230"/>
      <c r="C6142" s="32"/>
      <c r="D6142" s="32"/>
      <c r="E6142" s="33"/>
      <c r="F6142" s="43" t="s">
        <v>522</v>
      </c>
      <c r="G6142" s="31" t="str">
        <f t="shared" si="115"/>
        <v/>
      </c>
      <c r="H6142" s="35"/>
      <c r="I6142" s="31"/>
      <c r="J6142" s="102">
        <v>0</v>
      </c>
    </row>
    <row r="6143" spans="1:10" hidden="1" x14ac:dyDescent="0.25">
      <c r="A6143" s="233"/>
      <c r="B6143" s="230"/>
      <c r="C6143" s="36" t="s">
        <v>711</v>
      </c>
      <c r="D6143" s="36" t="s">
        <v>703</v>
      </c>
      <c r="E6143" s="37">
        <f>0.1*1.3</f>
        <v>0.13</v>
      </c>
      <c r="F6143" s="31">
        <v>21.479499999999998</v>
      </c>
      <c r="G6143" s="34">
        <f t="shared" si="115"/>
        <v>2.792335</v>
      </c>
      <c r="H6143" s="39">
        <f>SUM(G6143:G6150)</f>
        <v>13.310639999999999</v>
      </c>
      <c r="I6143" s="40"/>
      <c r="J6143" s="102">
        <v>0</v>
      </c>
    </row>
    <row r="6144" spans="1:10" hidden="1" x14ac:dyDescent="0.25">
      <c r="A6144" s="233"/>
      <c r="B6144" s="230"/>
      <c r="C6144" s="36" t="s">
        <v>704</v>
      </c>
      <c r="D6144" s="36" t="s">
        <v>703</v>
      </c>
      <c r="E6144" s="37">
        <f>0.1*1.3</f>
        <v>0.13</v>
      </c>
      <c r="F6144" s="31">
        <v>16.1785</v>
      </c>
      <c r="G6144" s="34">
        <f t="shared" si="115"/>
        <v>2.103205</v>
      </c>
      <c r="H6144" s="35"/>
      <c r="I6144" s="31"/>
      <c r="J6144" s="102">
        <v>0</v>
      </c>
    </row>
    <row r="6145" spans="1:10" hidden="1" x14ac:dyDescent="0.25">
      <c r="A6145" s="233"/>
      <c r="B6145" s="230"/>
      <c r="C6145" s="36" t="s">
        <v>2366</v>
      </c>
      <c r="D6145" s="36" t="s">
        <v>898</v>
      </c>
      <c r="E6145" s="37">
        <v>0.1</v>
      </c>
      <c r="F6145" s="34" t="s">
        <v>522</v>
      </c>
      <c r="G6145" s="31" t="str">
        <f t="shared" si="115"/>
        <v/>
      </c>
      <c r="H6145" s="35"/>
      <c r="I6145" s="31"/>
      <c r="J6145" s="102">
        <v>0</v>
      </c>
    </row>
    <row r="6146" spans="1:10" ht="25.5" hidden="1" x14ac:dyDescent="0.25">
      <c r="A6146" s="233"/>
      <c r="B6146" s="230"/>
      <c r="C6146" s="36" t="s">
        <v>2367</v>
      </c>
      <c r="D6146" s="36" t="s">
        <v>95</v>
      </c>
      <c r="E6146" s="37">
        <v>1.1000000000000001</v>
      </c>
      <c r="F6146" s="31" t="s">
        <v>522</v>
      </c>
      <c r="G6146" s="34" t="str">
        <f t="shared" si="115"/>
        <v/>
      </c>
      <c r="H6146" s="35"/>
      <c r="I6146" s="40"/>
      <c r="J6146" s="102">
        <v>0</v>
      </c>
    </row>
    <row r="6147" spans="1:10" hidden="1" x14ac:dyDescent="0.25">
      <c r="A6147" s="233"/>
      <c r="B6147" s="230"/>
      <c r="C6147" s="36" t="s">
        <v>711</v>
      </c>
      <c r="D6147" s="36" t="s">
        <v>703</v>
      </c>
      <c r="E6147" s="37">
        <v>0.2</v>
      </c>
      <c r="F6147" s="31">
        <v>21.479499999999998</v>
      </c>
      <c r="G6147" s="34">
        <f t="shared" si="115"/>
        <v>4.2958999999999996</v>
      </c>
      <c r="H6147" s="35"/>
      <c r="I6147" s="31"/>
      <c r="J6147" s="102">
        <v>0</v>
      </c>
    </row>
    <row r="6148" spans="1:10" hidden="1" x14ac:dyDescent="0.25">
      <c r="A6148" s="233"/>
      <c r="B6148" s="230"/>
      <c r="C6148" s="36" t="s">
        <v>704</v>
      </c>
      <c r="D6148" s="36" t="s">
        <v>703</v>
      </c>
      <c r="E6148" s="37">
        <v>0.2</v>
      </c>
      <c r="F6148" s="34">
        <v>16.1785</v>
      </c>
      <c r="G6148" s="31">
        <f t="shared" si="115"/>
        <v>3.2357</v>
      </c>
      <c r="H6148" s="35"/>
      <c r="I6148" s="31"/>
      <c r="J6148" s="102">
        <v>0</v>
      </c>
    </row>
    <row r="6149" spans="1:10" hidden="1" x14ac:dyDescent="0.25">
      <c r="A6149" s="233"/>
      <c r="B6149" s="230"/>
      <c r="C6149" s="36" t="s">
        <v>748</v>
      </c>
      <c r="D6149" s="36" t="s">
        <v>898</v>
      </c>
      <c r="E6149" s="37">
        <v>1.5</v>
      </c>
      <c r="F6149" s="31">
        <v>0.58899999999999997</v>
      </c>
      <c r="G6149" s="34">
        <f t="shared" si="115"/>
        <v>0.88349999999999995</v>
      </c>
      <c r="H6149" s="35"/>
      <c r="I6149" s="40"/>
      <c r="J6149" s="102">
        <v>0</v>
      </c>
    </row>
    <row r="6150" spans="1:10" hidden="1" x14ac:dyDescent="0.25">
      <c r="A6150" s="233"/>
      <c r="B6150" s="230"/>
      <c r="C6150" s="36" t="s">
        <v>1410</v>
      </c>
      <c r="D6150" s="36" t="s">
        <v>898</v>
      </c>
      <c r="E6150" s="37">
        <f>ROUND(E6149*0.1,2)</f>
        <v>0.15</v>
      </c>
      <c r="F6150" s="31" t="s">
        <v>522</v>
      </c>
      <c r="G6150" s="34" t="str">
        <f t="shared" si="115"/>
        <v/>
      </c>
      <c r="H6150" s="35"/>
      <c r="I6150" s="31"/>
      <c r="J6150" s="102">
        <v>0</v>
      </c>
    </row>
    <row r="6151" spans="1:10" ht="15.75" hidden="1" thickBot="1" x14ac:dyDescent="0.3">
      <c r="A6151" s="234"/>
      <c r="B6151" s="231"/>
      <c r="C6151" s="36"/>
      <c r="D6151" s="36"/>
      <c r="E6151" s="37"/>
      <c r="F6151" s="31" t="s">
        <v>522</v>
      </c>
      <c r="G6151" s="31" t="str">
        <f t="shared" si="115"/>
        <v/>
      </c>
      <c r="H6151" s="35"/>
      <c r="I6151" s="31"/>
      <c r="J6151" s="102">
        <v>0</v>
      </c>
    </row>
    <row r="6152" spans="1:10" ht="15.75" hidden="1" thickBot="1" x14ac:dyDescent="0.3">
      <c r="A6152" s="232" t="s">
        <v>2248</v>
      </c>
      <c r="B6152" s="229" t="e">
        <f>INDEX(#REF!,MATCH(Composições!A6152,#REF!,0),2)</f>
        <v>#REF!</v>
      </c>
      <c r="C6152" s="41"/>
      <c r="D6152" s="26" t="s">
        <v>95</v>
      </c>
      <c r="E6152" s="27"/>
      <c r="F6152" s="42" t="s">
        <v>522</v>
      </c>
      <c r="G6152" s="28" t="str">
        <f t="shared" si="115"/>
        <v/>
      </c>
      <c r="H6152" s="29"/>
      <c r="I6152" s="30"/>
      <c r="J6152" s="102">
        <v>0</v>
      </c>
    </row>
    <row r="6153" spans="1:10" hidden="1" x14ac:dyDescent="0.25">
      <c r="A6153" s="233"/>
      <c r="B6153" s="230"/>
      <c r="C6153" s="32"/>
      <c r="D6153" s="32"/>
      <c r="E6153" s="33"/>
      <c r="F6153" s="43" t="s">
        <v>522</v>
      </c>
      <c r="G6153" s="31" t="str">
        <f t="shared" si="115"/>
        <v/>
      </c>
      <c r="H6153" s="35"/>
      <c r="I6153" s="31"/>
      <c r="J6153" s="102">
        <v>0</v>
      </c>
    </row>
    <row r="6154" spans="1:10" hidden="1" x14ac:dyDescent="0.25">
      <c r="A6154" s="233"/>
      <c r="B6154" s="230"/>
      <c r="C6154" s="36" t="s">
        <v>711</v>
      </c>
      <c r="D6154" s="36" t="s">
        <v>703</v>
      </c>
      <c r="E6154" s="37">
        <v>0.1</v>
      </c>
      <c r="F6154" s="31">
        <v>21.479499999999998</v>
      </c>
      <c r="G6154" s="34">
        <f t="shared" si="115"/>
        <v>2.1479499999999998</v>
      </c>
      <c r="H6154" s="39">
        <f>SUM(G6154:G6161)</f>
        <v>12.180899999999998</v>
      </c>
      <c r="I6154" s="40"/>
      <c r="J6154" s="102">
        <v>0</v>
      </c>
    </row>
    <row r="6155" spans="1:10" hidden="1" x14ac:dyDescent="0.25">
      <c r="A6155" s="233"/>
      <c r="B6155" s="230"/>
      <c r="C6155" s="36" t="s">
        <v>704</v>
      </c>
      <c r="D6155" s="36" t="s">
        <v>703</v>
      </c>
      <c r="E6155" s="37">
        <v>0.1</v>
      </c>
      <c r="F6155" s="31">
        <v>16.1785</v>
      </c>
      <c r="G6155" s="34">
        <f t="shared" si="115"/>
        <v>1.61785</v>
      </c>
      <c r="H6155" s="35"/>
      <c r="I6155" s="31"/>
      <c r="J6155" s="102">
        <v>0</v>
      </c>
    </row>
    <row r="6156" spans="1:10" hidden="1" x14ac:dyDescent="0.25">
      <c r="A6156" s="233"/>
      <c r="B6156" s="230"/>
      <c r="C6156" s="36" t="s">
        <v>2366</v>
      </c>
      <c r="D6156" s="36" t="s">
        <v>898</v>
      </c>
      <c r="E6156" s="37">
        <v>0.1</v>
      </c>
      <c r="F6156" s="34" t="s">
        <v>522</v>
      </c>
      <c r="G6156" s="31" t="str">
        <f t="shared" si="115"/>
        <v/>
      </c>
      <c r="H6156" s="35"/>
      <c r="I6156" s="31"/>
      <c r="J6156" s="102">
        <v>0</v>
      </c>
    </row>
    <row r="6157" spans="1:10" ht="25.5" hidden="1" x14ac:dyDescent="0.25">
      <c r="A6157" s="233"/>
      <c r="B6157" s="230"/>
      <c r="C6157" s="36" t="s">
        <v>2368</v>
      </c>
      <c r="D6157" s="36" t="s">
        <v>95</v>
      </c>
      <c r="E6157" s="37">
        <v>1.1000000000000001</v>
      </c>
      <c r="F6157" s="31" t="s">
        <v>522</v>
      </c>
      <c r="G6157" s="34" t="str">
        <f t="shared" si="115"/>
        <v/>
      </c>
      <c r="H6157" s="35"/>
      <c r="I6157" s="40"/>
      <c r="J6157" s="102">
        <v>0</v>
      </c>
    </row>
    <row r="6158" spans="1:10" hidden="1" x14ac:dyDescent="0.25">
      <c r="A6158" s="233"/>
      <c r="B6158" s="230"/>
      <c r="C6158" s="36" t="s">
        <v>711</v>
      </c>
      <c r="D6158" s="36" t="s">
        <v>703</v>
      </c>
      <c r="E6158" s="37">
        <v>0.2</v>
      </c>
      <c r="F6158" s="31">
        <v>21.479499999999998</v>
      </c>
      <c r="G6158" s="34">
        <f t="shared" si="115"/>
        <v>4.2958999999999996</v>
      </c>
      <c r="H6158" s="35"/>
      <c r="I6158" s="31"/>
      <c r="J6158" s="102">
        <v>0</v>
      </c>
    </row>
    <row r="6159" spans="1:10" hidden="1" x14ac:dyDescent="0.25">
      <c r="A6159" s="233"/>
      <c r="B6159" s="230"/>
      <c r="C6159" s="36" t="s">
        <v>704</v>
      </c>
      <c r="D6159" s="36" t="s">
        <v>703</v>
      </c>
      <c r="E6159" s="37">
        <v>0.2</v>
      </c>
      <c r="F6159" s="34">
        <v>16.1785</v>
      </c>
      <c r="G6159" s="31">
        <f t="shared" si="115"/>
        <v>3.2357</v>
      </c>
      <c r="H6159" s="35"/>
      <c r="I6159" s="31"/>
      <c r="J6159" s="102">
        <v>0</v>
      </c>
    </row>
    <row r="6160" spans="1:10" hidden="1" x14ac:dyDescent="0.25">
      <c r="A6160" s="233"/>
      <c r="B6160" s="230"/>
      <c r="C6160" s="36" t="s">
        <v>748</v>
      </c>
      <c r="D6160" s="36" t="s">
        <v>898</v>
      </c>
      <c r="E6160" s="37">
        <v>1.5</v>
      </c>
      <c r="F6160" s="31">
        <v>0.58899999999999997</v>
      </c>
      <c r="G6160" s="34">
        <f t="shared" si="115"/>
        <v>0.88349999999999995</v>
      </c>
      <c r="H6160" s="35"/>
      <c r="I6160" s="40"/>
      <c r="J6160" s="102">
        <v>0</v>
      </c>
    </row>
    <row r="6161" spans="1:10" hidden="1" x14ac:dyDescent="0.25">
      <c r="A6161" s="233"/>
      <c r="B6161" s="230"/>
      <c r="C6161" s="36" t="s">
        <v>1410</v>
      </c>
      <c r="D6161" s="36" t="s">
        <v>898</v>
      </c>
      <c r="E6161" s="37">
        <f>ROUND(E6160*0.1,2)</f>
        <v>0.15</v>
      </c>
      <c r="F6161" s="31" t="s">
        <v>522</v>
      </c>
      <c r="G6161" s="34" t="str">
        <f t="shared" si="115"/>
        <v/>
      </c>
      <c r="H6161" s="35"/>
      <c r="I6161" s="31"/>
      <c r="J6161" s="102">
        <v>0</v>
      </c>
    </row>
    <row r="6162" spans="1:10" ht="15.75" hidden="1" thickBot="1" x14ac:dyDescent="0.3">
      <c r="A6162" s="234"/>
      <c r="B6162" s="231"/>
      <c r="C6162" s="36"/>
      <c r="D6162" s="36"/>
      <c r="E6162" s="37"/>
      <c r="F6162" s="31" t="s">
        <v>522</v>
      </c>
      <c r="G6162" s="31" t="str">
        <f t="shared" si="115"/>
        <v/>
      </c>
      <c r="H6162" s="35"/>
      <c r="I6162" s="31"/>
      <c r="J6162" s="102">
        <v>0</v>
      </c>
    </row>
    <row r="6163" spans="1:10" ht="15.75" hidden="1" thickBot="1" x14ac:dyDescent="0.3">
      <c r="A6163" s="218" t="s">
        <v>2249</v>
      </c>
      <c r="B6163" s="221" t="e">
        <f>INDEX(#REF!,MATCH(Composições!A6163,#REF!,0),2)</f>
        <v>#REF!</v>
      </c>
      <c r="C6163" s="41"/>
      <c r="D6163" s="26" t="s">
        <v>93</v>
      </c>
      <c r="E6163" s="27"/>
      <c r="F6163" s="49" t="s">
        <v>522</v>
      </c>
      <c r="G6163" s="28" t="str">
        <f t="shared" si="115"/>
        <v/>
      </c>
      <c r="H6163" s="29"/>
      <c r="I6163" s="30"/>
      <c r="J6163" s="102">
        <v>0</v>
      </c>
    </row>
    <row r="6164" spans="1:10" hidden="1" x14ac:dyDescent="0.25">
      <c r="A6164" s="224"/>
      <c r="B6164" s="222"/>
      <c r="C6164" s="111"/>
      <c r="D6164" s="111"/>
      <c r="E6164" s="112"/>
      <c r="F6164" s="54" t="s">
        <v>522</v>
      </c>
      <c r="G6164" s="54" t="str">
        <f t="shared" si="115"/>
        <v/>
      </c>
      <c r="H6164" s="73"/>
      <c r="I6164" s="74"/>
      <c r="J6164" s="102">
        <v>0</v>
      </c>
    </row>
    <row r="6165" spans="1:10" ht="25.5" hidden="1" x14ac:dyDescent="0.25">
      <c r="A6165" s="224"/>
      <c r="B6165" s="222"/>
      <c r="C6165" s="36" t="s">
        <v>133</v>
      </c>
      <c r="D6165" s="105" t="s">
        <v>109</v>
      </c>
      <c r="E6165" s="106">
        <v>0.23</v>
      </c>
      <c r="F6165" s="31">
        <v>10.402499999999998</v>
      </c>
      <c r="G6165" s="54">
        <f t="shared" si="115"/>
        <v>2.3925749999999995</v>
      </c>
      <c r="H6165" s="39">
        <f>SUM(G6165:G6168)</f>
        <v>9.6068578999999996</v>
      </c>
      <c r="I6165" s="40"/>
      <c r="J6165" s="102">
        <v>0</v>
      </c>
    </row>
    <row r="6166" spans="1:10" ht="38.25" hidden="1" x14ac:dyDescent="0.25">
      <c r="A6166" s="224"/>
      <c r="B6166" s="222"/>
      <c r="C6166" s="36" t="s">
        <v>3353</v>
      </c>
      <c r="D6166" s="105" t="s">
        <v>42</v>
      </c>
      <c r="E6166" s="106">
        <v>3.2000000000000001E-2</v>
      </c>
      <c r="F6166" s="31">
        <v>47.5</v>
      </c>
      <c r="G6166" s="54">
        <f t="shared" si="115"/>
        <v>1.52</v>
      </c>
      <c r="H6166" s="44"/>
      <c r="I6166" s="40"/>
      <c r="J6166" s="102">
        <v>0</v>
      </c>
    </row>
    <row r="6167" spans="1:10" hidden="1" x14ac:dyDescent="0.25">
      <c r="A6167" s="224"/>
      <c r="B6167" s="222"/>
      <c r="C6167" s="36" t="s">
        <v>618</v>
      </c>
      <c r="D6167" s="105" t="s">
        <v>703</v>
      </c>
      <c r="E6167" s="106">
        <v>9.2700000000000005E-2</v>
      </c>
      <c r="F6167" s="31">
        <v>17.156999999999996</v>
      </c>
      <c r="G6167" s="54">
        <f t="shared" si="115"/>
        <v>1.5904538999999998</v>
      </c>
      <c r="H6167" s="44"/>
      <c r="I6167" s="40"/>
      <c r="J6167" s="102">
        <v>0</v>
      </c>
    </row>
    <row r="6168" spans="1:10" hidden="1" x14ac:dyDescent="0.25">
      <c r="A6168" s="224"/>
      <c r="B6168" s="222"/>
      <c r="C6168" s="36" t="s">
        <v>1686</v>
      </c>
      <c r="D6168" s="105" t="s">
        <v>703</v>
      </c>
      <c r="E6168" s="106">
        <v>0.18540000000000001</v>
      </c>
      <c r="F6168" s="31">
        <v>22.134999999999998</v>
      </c>
      <c r="G6168" s="54">
        <f t="shared" si="115"/>
        <v>4.1038290000000002</v>
      </c>
      <c r="H6168" s="44"/>
      <c r="I6168" s="40"/>
      <c r="J6168" s="102">
        <v>0</v>
      </c>
    </row>
    <row r="6169" spans="1:10" ht="15.75" hidden="1" thickBot="1" x14ac:dyDescent="0.3">
      <c r="A6169" s="225"/>
      <c r="B6169" s="223"/>
      <c r="C6169" s="36"/>
      <c r="D6169" s="105"/>
      <c r="E6169" s="106"/>
      <c r="F6169" s="31" t="s">
        <v>522</v>
      </c>
      <c r="G6169" s="54"/>
      <c r="H6169" s="44"/>
      <c r="I6169" s="40"/>
      <c r="J6169" s="102">
        <v>0</v>
      </c>
    </row>
    <row r="6170" spans="1:10" ht="15.75" hidden="1" thickBot="1" x14ac:dyDescent="0.3">
      <c r="A6170" s="218" t="s">
        <v>2250</v>
      </c>
      <c r="B6170" s="221" t="e">
        <f>INDEX(#REF!,MATCH(Composições!A6170,#REF!,0),2)</f>
        <v>#REF!</v>
      </c>
      <c r="C6170" s="41"/>
      <c r="D6170" s="26" t="s">
        <v>95</v>
      </c>
      <c r="E6170" s="27"/>
      <c r="F6170" s="49" t="s">
        <v>522</v>
      </c>
      <c r="G6170" s="28" t="str">
        <f>IF(ISNUMBER(F6170),E6170*F6170,"")</f>
        <v/>
      </c>
      <c r="H6170" s="29"/>
      <c r="I6170" s="30"/>
      <c r="J6170" s="102">
        <v>0</v>
      </c>
    </row>
    <row r="6171" spans="1:10" hidden="1" x14ac:dyDescent="0.25">
      <c r="A6171" s="224"/>
      <c r="B6171" s="222"/>
      <c r="C6171" s="111"/>
      <c r="D6171" s="111"/>
      <c r="E6171" s="112"/>
      <c r="F6171" s="54" t="s">
        <v>522</v>
      </c>
      <c r="G6171" s="54" t="str">
        <f>IF(ISNUMBER(F6171),E6171*F6171,"")</f>
        <v/>
      </c>
      <c r="H6171" s="73"/>
      <c r="I6171" s="74"/>
      <c r="J6171" s="102">
        <v>0</v>
      </c>
    </row>
    <row r="6172" spans="1:10" hidden="1" x14ac:dyDescent="0.25">
      <c r="A6172" s="224"/>
      <c r="B6172" s="222"/>
      <c r="C6172" s="36" t="s">
        <v>711</v>
      </c>
      <c r="D6172" s="36" t="s">
        <v>703</v>
      </c>
      <c r="E6172" s="37">
        <v>0.5</v>
      </c>
      <c r="F6172" s="31">
        <v>21.479499999999998</v>
      </c>
      <c r="G6172" s="34">
        <f>IF(ISNUMBER(F6172),E6172*F6172,"")</f>
        <v>10.739749999999999</v>
      </c>
      <c r="H6172" s="39">
        <f>SUM(G6172:G6173)</f>
        <v>26.91825</v>
      </c>
      <c r="I6172" s="40"/>
      <c r="J6172" s="102">
        <v>0</v>
      </c>
    </row>
    <row r="6173" spans="1:10" hidden="1" x14ac:dyDescent="0.25">
      <c r="A6173" s="224"/>
      <c r="B6173" s="222"/>
      <c r="C6173" s="36" t="s">
        <v>704</v>
      </c>
      <c r="D6173" s="36" t="s">
        <v>703</v>
      </c>
      <c r="E6173" s="37">
        <v>1</v>
      </c>
      <c r="F6173" s="34">
        <v>16.1785</v>
      </c>
      <c r="G6173" s="31">
        <f>IF(ISNUMBER(F6173),E6173*F6173,"")</f>
        <v>16.1785</v>
      </c>
      <c r="H6173" s="44"/>
      <c r="I6173" s="40"/>
      <c r="J6173" s="102">
        <v>0</v>
      </c>
    </row>
    <row r="6174" spans="1:10" ht="15.75" hidden="1" thickBot="1" x14ac:dyDescent="0.3">
      <c r="A6174" s="225"/>
      <c r="B6174" s="223"/>
      <c r="C6174" s="36"/>
      <c r="D6174" s="105"/>
      <c r="E6174" s="106"/>
      <c r="F6174" s="31" t="s">
        <v>522</v>
      </c>
      <c r="G6174" s="54"/>
      <c r="H6174" s="44"/>
      <c r="I6174" s="40"/>
      <c r="J6174" s="102">
        <v>0</v>
      </c>
    </row>
    <row r="6175" spans="1:10" ht="15.75" hidden="1" thickBot="1" x14ac:dyDescent="0.3">
      <c r="A6175" s="218" t="s">
        <v>2251</v>
      </c>
      <c r="B6175" s="221" t="e">
        <f>INDEX(#REF!,MATCH(Composições!A6175,#REF!,0),2)</f>
        <v>#REF!</v>
      </c>
      <c r="C6175" s="41"/>
      <c r="D6175" s="26" t="s">
        <v>95</v>
      </c>
      <c r="E6175" s="27"/>
      <c r="F6175" s="49" t="s">
        <v>522</v>
      </c>
      <c r="G6175" s="28" t="str">
        <f>IF(ISNUMBER(F6175),E6175*F6175,"")</f>
        <v/>
      </c>
      <c r="H6175" s="29"/>
      <c r="I6175" s="30"/>
      <c r="J6175" s="102">
        <v>0</v>
      </c>
    </row>
    <row r="6176" spans="1:10" hidden="1" x14ac:dyDescent="0.25">
      <c r="A6176" s="224"/>
      <c r="B6176" s="222"/>
      <c r="C6176" s="111"/>
      <c r="D6176" s="111"/>
      <c r="E6176" s="112"/>
      <c r="F6176" s="54" t="s">
        <v>522</v>
      </c>
      <c r="G6176" s="54" t="str">
        <f>IF(ISNUMBER(F6176),E6176*F6176,"")</f>
        <v/>
      </c>
      <c r="H6176" s="73"/>
      <c r="I6176" s="74"/>
      <c r="J6176" s="102">
        <v>0</v>
      </c>
    </row>
    <row r="6177" spans="1:10" hidden="1" x14ac:dyDescent="0.25">
      <c r="A6177" s="224"/>
      <c r="B6177" s="222"/>
      <c r="C6177" s="36" t="s">
        <v>711</v>
      </c>
      <c r="D6177" s="36" t="s">
        <v>703</v>
      </c>
      <c r="E6177" s="37">
        <v>1.5</v>
      </c>
      <c r="F6177" s="31">
        <v>21.479499999999998</v>
      </c>
      <c r="G6177" s="34">
        <f>IF(ISNUMBER(F6177),E6177*F6177,"")</f>
        <v>32.219249999999995</v>
      </c>
      <c r="H6177" s="39">
        <f>SUM(G6177:G6178)</f>
        <v>48.397749999999995</v>
      </c>
      <c r="I6177" s="40"/>
      <c r="J6177" s="102">
        <v>0</v>
      </c>
    </row>
    <row r="6178" spans="1:10" hidden="1" x14ac:dyDescent="0.25">
      <c r="A6178" s="224"/>
      <c r="B6178" s="222"/>
      <c r="C6178" s="36" t="s">
        <v>704</v>
      </c>
      <c r="D6178" s="36" t="s">
        <v>703</v>
      </c>
      <c r="E6178" s="37">
        <v>1</v>
      </c>
      <c r="F6178" s="34">
        <v>16.1785</v>
      </c>
      <c r="G6178" s="31">
        <f>IF(ISNUMBER(F6178),E6178*F6178,"")</f>
        <v>16.1785</v>
      </c>
      <c r="H6178" s="44"/>
      <c r="I6178" s="40"/>
      <c r="J6178" s="102">
        <v>0</v>
      </c>
    </row>
    <row r="6179" spans="1:10" ht="15.75" hidden="1" thickBot="1" x14ac:dyDescent="0.3">
      <c r="A6179" s="225"/>
      <c r="B6179" s="223"/>
      <c r="C6179" s="36"/>
      <c r="D6179" s="105"/>
      <c r="E6179" s="106"/>
      <c r="F6179" s="31" t="s">
        <v>522</v>
      </c>
      <c r="G6179" s="54"/>
      <c r="H6179" s="44"/>
      <c r="I6179" s="40"/>
      <c r="J6179" s="102">
        <v>0</v>
      </c>
    </row>
    <row r="6180" spans="1:10" ht="15.75" hidden="1" thickBot="1" x14ac:dyDescent="0.3">
      <c r="A6180" s="218" t="s">
        <v>2252</v>
      </c>
      <c r="B6180" s="221" t="e">
        <f>INDEX(#REF!,MATCH(Composições!A6180,#REF!,0),2)</f>
        <v>#REF!</v>
      </c>
      <c r="C6180" s="41"/>
      <c r="D6180" s="26" t="s">
        <v>109</v>
      </c>
      <c r="E6180" s="27"/>
      <c r="F6180" s="49" t="s">
        <v>522</v>
      </c>
      <c r="G6180" s="28" t="str">
        <f>IF(ISNUMBER(F6180),E6180*F6180,"")</f>
        <v/>
      </c>
      <c r="H6180" s="29"/>
      <c r="I6180" s="30"/>
      <c r="J6180" s="102">
        <v>0</v>
      </c>
    </row>
    <row r="6181" spans="1:10" hidden="1" x14ac:dyDescent="0.25">
      <c r="A6181" s="224"/>
      <c r="B6181" s="222"/>
      <c r="C6181" s="111"/>
      <c r="D6181" s="111"/>
      <c r="E6181" s="112"/>
      <c r="F6181" s="54" t="s">
        <v>522</v>
      </c>
      <c r="G6181" s="54" t="str">
        <f>IF(ISNUMBER(F6181),E6181*F6181,"")</f>
        <v/>
      </c>
      <c r="H6181" s="73"/>
      <c r="I6181" s="74"/>
      <c r="J6181" s="102">
        <v>0</v>
      </c>
    </row>
    <row r="6182" spans="1:10" hidden="1" x14ac:dyDescent="0.25">
      <c r="A6182" s="224"/>
      <c r="B6182" s="222"/>
      <c r="C6182" s="36" t="s">
        <v>711</v>
      </c>
      <c r="D6182" s="105" t="s">
        <v>703</v>
      </c>
      <c r="E6182" s="106">
        <v>0.74148000000000003</v>
      </c>
      <c r="F6182" s="31">
        <v>21.479499999999998</v>
      </c>
      <c r="G6182" s="54">
        <f>IF(ISNUMBER(F6182),E6182*F6182,"")</f>
        <v>15.926619659999998</v>
      </c>
      <c r="H6182" s="39">
        <f>SUM(G6182:G6184)</f>
        <v>95.900180860000006</v>
      </c>
      <c r="I6182" s="40"/>
      <c r="J6182" s="102">
        <v>0</v>
      </c>
    </row>
    <row r="6183" spans="1:10" hidden="1" x14ac:dyDescent="0.25">
      <c r="A6183" s="224"/>
      <c r="B6183" s="222"/>
      <c r="C6183" s="36" t="s">
        <v>704</v>
      </c>
      <c r="D6183" s="105" t="s">
        <v>703</v>
      </c>
      <c r="E6183" s="106">
        <v>4.9432</v>
      </c>
      <c r="F6183" s="31">
        <v>16.1785</v>
      </c>
      <c r="G6183" s="54">
        <f>IF(ISNUMBER(F6183),E6183*F6183,"")</f>
        <v>79.973561200000006</v>
      </c>
      <c r="H6183" s="44"/>
      <c r="I6183" s="40"/>
      <c r="J6183" s="102">
        <v>0</v>
      </c>
    </row>
    <row r="6184" spans="1:10" hidden="1" x14ac:dyDescent="0.25">
      <c r="A6184" s="224"/>
      <c r="B6184" s="222"/>
      <c r="C6184" s="36" t="s">
        <v>2369</v>
      </c>
      <c r="D6184" s="105" t="s">
        <v>42</v>
      </c>
      <c r="E6184" s="106">
        <f>1.203*2000</f>
        <v>2406</v>
      </c>
      <c r="F6184" s="31" t="s">
        <v>522</v>
      </c>
      <c r="G6184" s="54" t="str">
        <f>IF(ISNUMBER(F6184),E6184*F6184,"")</f>
        <v/>
      </c>
      <c r="H6184" s="44"/>
      <c r="I6184" s="40"/>
      <c r="J6184" s="102">
        <v>0</v>
      </c>
    </row>
    <row r="6185" spans="1:10" hidden="1" x14ac:dyDescent="0.25">
      <c r="A6185" s="224"/>
      <c r="B6185" s="222"/>
      <c r="C6185" s="36"/>
      <c r="D6185" s="105"/>
      <c r="E6185" s="106"/>
      <c r="F6185" s="31" t="s">
        <v>522</v>
      </c>
      <c r="G6185" s="54"/>
      <c r="H6185" s="44"/>
      <c r="I6185" s="40"/>
      <c r="J6185" s="102">
        <v>0</v>
      </c>
    </row>
    <row r="6186" spans="1:10" hidden="1" x14ac:dyDescent="0.25">
      <c r="A6186" s="224"/>
      <c r="B6186" s="222"/>
      <c r="C6186" s="2" t="s">
        <v>2370</v>
      </c>
      <c r="D6186" s="105"/>
      <c r="E6186" s="106"/>
      <c r="F6186" s="31" t="s">
        <v>522</v>
      </c>
      <c r="G6186" s="54"/>
      <c r="H6186" s="44"/>
      <c r="I6186" s="40"/>
      <c r="J6186" s="102">
        <v>0</v>
      </c>
    </row>
    <row r="6187" spans="1:10" ht="15.75" hidden="1" thickBot="1" x14ac:dyDescent="0.3">
      <c r="A6187" s="225"/>
      <c r="B6187" s="223"/>
      <c r="C6187" s="36"/>
      <c r="D6187" s="105"/>
      <c r="E6187" s="106"/>
      <c r="F6187" s="31" t="s">
        <v>522</v>
      </c>
      <c r="G6187" s="54"/>
      <c r="H6187" s="44"/>
      <c r="I6187" s="40"/>
      <c r="J6187" s="102">
        <v>0</v>
      </c>
    </row>
    <row r="6188" spans="1:10" ht="15.75" hidden="1" thickBot="1" x14ac:dyDescent="0.3">
      <c r="A6188" s="218" t="s">
        <v>2253</v>
      </c>
      <c r="B6188" s="221" t="e">
        <f>INDEX(#REF!,MATCH(Composições!A6188,#REF!,0),2)</f>
        <v>#REF!</v>
      </c>
      <c r="C6188" s="41"/>
      <c r="D6188" s="26" t="s">
        <v>42</v>
      </c>
      <c r="E6188" s="27"/>
      <c r="F6188" s="49" t="s">
        <v>522</v>
      </c>
      <c r="G6188" s="28" t="str">
        <f t="shared" ref="G6188:G6194" si="116">IF(ISNUMBER(F6188),E6188*F6188,"")</f>
        <v/>
      </c>
      <c r="H6188" s="29"/>
      <c r="I6188" s="30"/>
      <c r="J6188" s="102">
        <v>0</v>
      </c>
    </row>
    <row r="6189" spans="1:10" hidden="1" x14ac:dyDescent="0.25">
      <c r="A6189" s="224"/>
      <c r="B6189" s="222"/>
      <c r="C6189" s="111"/>
      <c r="D6189" s="111"/>
      <c r="E6189" s="112"/>
      <c r="F6189" s="54" t="s">
        <v>522</v>
      </c>
      <c r="G6189" s="54" t="str">
        <f t="shared" si="116"/>
        <v/>
      </c>
      <c r="H6189" s="73"/>
      <c r="I6189" s="74"/>
      <c r="J6189" s="102">
        <v>0</v>
      </c>
    </row>
    <row r="6190" spans="1:10" ht="38.25" hidden="1" x14ac:dyDescent="0.25">
      <c r="A6190" s="224"/>
      <c r="B6190" s="222"/>
      <c r="C6190" s="36" t="s">
        <v>899</v>
      </c>
      <c r="D6190" s="105" t="s">
        <v>279</v>
      </c>
      <c r="E6190" s="106">
        <v>0.21199999999999999</v>
      </c>
      <c r="F6190" s="31">
        <v>0.20899999999999999</v>
      </c>
      <c r="G6190" s="54">
        <f t="shared" si="116"/>
        <v>4.4308E-2</v>
      </c>
      <c r="H6190" s="39">
        <f>SUM(G6190:G6194)</f>
        <v>13.938739150000002</v>
      </c>
      <c r="I6190" s="40"/>
      <c r="J6190" s="102">
        <v>0</v>
      </c>
    </row>
    <row r="6191" spans="1:10" ht="25.5" hidden="1" x14ac:dyDescent="0.25">
      <c r="A6191" s="224"/>
      <c r="B6191" s="222"/>
      <c r="C6191" s="36" t="s">
        <v>1897</v>
      </c>
      <c r="D6191" s="105" t="s">
        <v>898</v>
      </c>
      <c r="E6191" s="106">
        <v>2.5000000000000001E-2</v>
      </c>
      <c r="F6191" s="31">
        <v>24.738</v>
      </c>
      <c r="G6191" s="54">
        <f t="shared" si="116"/>
        <v>0.61845000000000006</v>
      </c>
      <c r="H6191" s="44"/>
      <c r="I6191" s="40"/>
      <c r="J6191" s="102">
        <v>0</v>
      </c>
    </row>
    <row r="6192" spans="1:10" hidden="1" x14ac:dyDescent="0.25">
      <c r="A6192" s="224"/>
      <c r="B6192" s="222"/>
      <c r="C6192" s="36" t="s">
        <v>900</v>
      </c>
      <c r="D6192" s="105" t="s">
        <v>703</v>
      </c>
      <c r="E6192" s="106">
        <v>4.3E-3</v>
      </c>
      <c r="F6192" s="31">
        <v>16.197500000000002</v>
      </c>
      <c r="G6192" s="54">
        <f t="shared" si="116"/>
        <v>6.964925000000001E-2</v>
      </c>
      <c r="H6192" s="44"/>
      <c r="I6192" s="40"/>
      <c r="J6192" s="102">
        <v>0</v>
      </c>
    </row>
    <row r="6193" spans="1:10" hidden="1" x14ac:dyDescent="0.25">
      <c r="A6193" s="224"/>
      <c r="B6193" s="222"/>
      <c r="C6193" s="36" t="s">
        <v>901</v>
      </c>
      <c r="D6193" s="105" t="s">
        <v>703</v>
      </c>
      <c r="E6193" s="106">
        <v>2.6100000000000002E-2</v>
      </c>
      <c r="F6193" s="31">
        <v>21.365499999999997</v>
      </c>
      <c r="G6193" s="54">
        <f t="shared" si="116"/>
        <v>0.55763954999999998</v>
      </c>
      <c r="H6193" s="44"/>
      <c r="I6193" s="40"/>
      <c r="J6193" s="102">
        <v>0</v>
      </c>
    </row>
    <row r="6194" spans="1:10" hidden="1" x14ac:dyDescent="0.25">
      <c r="A6194" s="224"/>
      <c r="B6194" s="222"/>
      <c r="C6194" s="36" t="s">
        <v>1673</v>
      </c>
      <c r="D6194" s="105" t="s">
        <v>898</v>
      </c>
      <c r="E6194" s="106">
        <v>1</v>
      </c>
      <c r="F6194" s="31">
        <v>12.648692350000001</v>
      </c>
      <c r="G6194" s="54">
        <f t="shared" si="116"/>
        <v>12.648692350000001</v>
      </c>
      <c r="H6194" s="44"/>
      <c r="I6194" s="40"/>
      <c r="J6194" s="102">
        <v>0</v>
      </c>
    </row>
    <row r="6195" spans="1:10" ht="15.75" hidden="1" thickBot="1" x14ac:dyDescent="0.3">
      <c r="A6195" s="225"/>
      <c r="B6195" s="223"/>
      <c r="C6195" s="36"/>
      <c r="D6195" s="105"/>
      <c r="E6195" s="106"/>
      <c r="F6195" s="31" t="s">
        <v>522</v>
      </c>
      <c r="G6195" s="54"/>
      <c r="H6195" s="44"/>
      <c r="I6195" s="40"/>
      <c r="J6195" s="102">
        <v>0</v>
      </c>
    </row>
    <row r="6196" spans="1:10" ht="15.75" hidden="1" thickBot="1" x14ac:dyDescent="0.3">
      <c r="A6196" s="218" t="s">
        <v>2254</v>
      </c>
      <c r="B6196" s="221" t="e">
        <f>INDEX(#REF!,MATCH(Composições!A6196,#REF!,0),2)</f>
        <v>#REF!</v>
      </c>
      <c r="C6196" s="41"/>
      <c r="D6196" s="26" t="s">
        <v>109</v>
      </c>
      <c r="E6196" s="27"/>
      <c r="F6196" s="49" t="s">
        <v>522</v>
      </c>
      <c r="G6196" s="28" t="str">
        <f t="shared" ref="G6196:G6203" si="117">IF(ISNUMBER(F6196),E6196*F6196,"")</f>
        <v/>
      </c>
      <c r="H6196" s="29"/>
      <c r="I6196" s="30"/>
      <c r="J6196" s="102">
        <v>0</v>
      </c>
    </row>
    <row r="6197" spans="1:10" hidden="1" x14ac:dyDescent="0.25">
      <c r="A6197" s="224"/>
      <c r="B6197" s="222"/>
      <c r="C6197" s="111"/>
      <c r="D6197" s="111"/>
      <c r="E6197" s="112"/>
      <c r="F6197" s="54" t="s">
        <v>522</v>
      </c>
      <c r="G6197" s="54" t="str">
        <f t="shared" si="117"/>
        <v/>
      </c>
      <c r="H6197" s="73"/>
      <c r="I6197" s="74"/>
      <c r="J6197" s="102">
        <v>0</v>
      </c>
    </row>
    <row r="6198" spans="1:10" ht="25.5" hidden="1" x14ac:dyDescent="0.25">
      <c r="A6198" s="224"/>
      <c r="B6198" s="222"/>
      <c r="C6198" s="36" t="s">
        <v>1674</v>
      </c>
      <c r="D6198" s="105" t="s">
        <v>120</v>
      </c>
      <c r="E6198" s="106">
        <v>1.103</v>
      </c>
      <c r="F6198" s="31">
        <v>514.85858651642991</v>
      </c>
      <c r="G6198" s="54">
        <f t="shared" si="117"/>
        <v>567.88902092762214</v>
      </c>
      <c r="H6198" s="39">
        <f>SUM(G6198:G6203)</f>
        <v>807.11983542762209</v>
      </c>
      <c r="I6198" s="40"/>
      <c r="J6198" s="102">
        <v>0</v>
      </c>
    </row>
    <row r="6199" spans="1:10" hidden="1" x14ac:dyDescent="0.25">
      <c r="A6199" s="224"/>
      <c r="B6199" s="222"/>
      <c r="C6199" s="36" t="s">
        <v>993</v>
      </c>
      <c r="D6199" s="105" t="s">
        <v>703</v>
      </c>
      <c r="E6199" s="106">
        <v>1.19</v>
      </c>
      <c r="F6199" s="31">
        <v>21.2515</v>
      </c>
      <c r="G6199" s="54">
        <f t="shared" si="117"/>
        <v>25.289285</v>
      </c>
      <c r="H6199" s="44"/>
      <c r="I6199" s="40"/>
      <c r="J6199" s="102">
        <v>0</v>
      </c>
    </row>
    <row r="6200" spans="1:10" hidden="1" x14ac:dyDescent="0.25">
      <c r="A6200" s="224"/>
      <c r="B6200" s="222"/>
      <c r="C6200" s="36" t="s">
        <v>711</v>
      </c>
      <c r="D6200" s="105" t="s">
        <v>703</v>
      </c>
      <c r="E6200" s="106">
        <v>3.5710000000000002</v>
      </c>
      <c r="F6200" s="31">
        <v>21.479499999999998</v>
      </c>
      <c r="G6200" s="54">
        <f t="shared" si="117"/>
        <v>76.703294499999998</v>
      </c>
      <c r="H6200" s="44"/>
      <c r="I6200" s="40"/>
      <c r="J6200" s="102">
        <v>0</v>
      </c>
    </row>
    <row r="6201" spans="1:10" hidden="1" x14ac:dyDescent="0.25">
      <c r="A6201" s="224"/>
      <c r="B6201" s="222"/>
      <c r="C6201" s="36" t="s">
        <v>704</v>
      </c>
      <c r="D6201" s="105" t="s">
        <v>703</v>
      </c>
      <c r="E6201" s="106">
        <v>8.407</v>
      </c>
      <c r="F6201" s="31">
        <v>16.1785</v>
      </c>
      <c r="G6201" s="54">
        <f t="shared" si="117"/>
        <v>136.01264950000001</v>
      </c>
      <c r="H6201" s="44"/>
      <c r="I6201" s="40"/>
      <c r="J6201" s="102">
        <v>0</v>
      </c>
    </row>
    <row r="6202" spans="1:10" ht="25.5" hidden="1" x14ac:dyDescent="0.25">
      <c r="A6202" s="224"/>
      <c r="B6202" s="222"/>
      <c r="C6202" s="36" t="s">
        <v>1153</v>
      </c>
      <c r="D6202" s="105" t="s">
        <v>942</v>
      </c>
      <c r="E6202" s="106">
        <v>0.94199999999999995</v>
      </c>
      <c r="F6202" s="31">
        <v>1.1779999999999999</v>
      </c>
      <c r="G6202" s="54">
        <f t="shared" si="117"/>
        <v>1.1096759999999999</v>
      </c>
      <c r="H6202" s="44"/>
      <c r="I6202" s="40"/>
      <c r="J6202" s="102">
        <v>0</v>
      </c>
    </row>
    <row r="6203" spans="1:10" ht="25.5" hidden="1" x14ac:dyDescent="0.25">
      <c r="A6203" s="224"/>
      <c r="B6203" s="222"/>
      <c r="C6203" s="36" t="s">
        <v>1154</v>
      </c>
      <c r="D6203" s="105" t="s">
        <v>944</v>
      </c>
      <c r="E6203" s="106">
        <v>0.249</v>
      </c>
      <c r="F6203" s="31">
        <v>0.46549999999999997</v>
      </c>
      <c r="G6203" s="54">
        <f t="shared" si="117"/>
        <v>0.1159095</v>
      </c>
      <c r="H6203" s="44"/>
      <c r="I6203" s="40"/>
      <c r="J6203" s="102">
        <v>0</v>
      </c>
    </row>
    <row r="6204" spans="1:10" ht="15.75" hidden="1" thickBot="1" x14ac:dyDescent="0.3">
      <c r="A6204" s="225"/>
      <c r="B6204" s="223"/>
      <c r="C6204" s="36"/>
      <c r="D6204" s="105"/>
      <c r="E6204" s="106"/>
      <c r="F6204" s="31" t="s">
        <v>522</v>
      </c>
      <c r="G6204" s="54"/>
      <c r="H6204" s="44"/>
      <c r="I6204" s="40"/>
      <c r="J6204" s="102">
        <v>0</v>
      </c>
    </row>
    <row r="6205" spans="1:10" ht="15.75" hidden="1" thickBot="1" x14ac:dyDescent="0.3">
      <c r="A6205" s="218" t="s">
        <v>2255</v>
      </c>
      <c r="B6205" s="221" t="e">
        <f>INDEX(#REF!,MATCH(Composições!A6205,#REF!,0),2)</f>
        <v>#REF!</v>
      </c>
      <c r="C6205" s="41"/>
      <c r="D6205" s="26" t="s">
        <v>20</v>
      </c>
      <c r="E6205" s="27"/>
      <c r="F6205" s="49" t="s">
        <v>522</v>
      </c>
      <c r="G6205" s="28" t="str">
        <f t="shared" ref="G6205:G6210" si="118">IF(ISNUMBER(F6205),E6205*F6205,"")</f>
        <v/>
      </c>
      <c r="H6205" s="29"/>
      <c r="I6205" s="30"/>
      <c r="J6205" s="102">
        <v>0</v>
      </c>
    </row>
    <row r="6206" spans="1:10" hidden="1" x14ac:dyDescent="0.25">
      <c r="A6206" s="224"/>
      <c r="B6206" s="222"/>
      <c r="C6206" s="111"/>
      <c r="D6206" s="111"/>
      <c r="E6206" s="112"/>
      <c r="F6206" s="54" t="s">
        <v>522</v>
      </c>
      <c r="G6206" s="54" t="str">
        <f t="shared" si="118"/>
        <v/>
      </c>
      <c r="H6206" s="73"/>
      <c r="I6206" s="74"/>
      <c r="J6206" s="102">
        <v>0</v>
      </c>
    </row>
    <row r="6207" spans="1:10" ht="25.5" hidden="1" x14ac:dyDescent="0.25">
      <c r="A6207" s="224"/>
      <c r="B6207" s="222"/>
      <c r="C6207" s="36" t="s">
        <v>1108</v>
      </c>
      <c r="D6207" s="105" t="s">
        <v>942</v>
      </c>
      <c r="E6207" s="106">
        <v>0.36699999999999999</v>
      </c>
      <c r="F6207" s="31">
        <v>19.3705</v>
      </c>
      <c r="G6207" s="54">
        <f t="shared" si="118"/>
        <v>7.1089734999999994</v>
      </c>
      <c r="H6207" s="39">
        <f>SUM(G6207:G6210)</f>
        <v>49.276860999999997</v>
      </c>
      <c r="I6207" s="40"/>
      <c r="J6207" s="102">
        <v>0</v>
      </c>
    </row>
    <row r="6208" spans="1:10" ht="25.5" hidden="1" x14ac:dyDescent="0.25">
      <c r="A6208" s="224"/>
      <c r="B6208" s="222"/>
      <c r="C6208" s="36" t="s">
        <v>1109</v>
      </c>
      <c r="D6208" s="105" t="s">
        <v>944</v>
      </c>
      <c r="E6208" s="106">
        <v>0.80500000000000005</v>
      </c>
      <c r="F6208" s="31">
        <v>18.164000000000001</v>
      </c>
      <c r="G6208" s="54">
        <f t="shared" si="118"/>
        <v>14.622020000000003</v>
      </c>
      <c r="H6208" s="44"/>
      <c r="I6208" s="40"/>
      <c r="J6208" s="102">
        <v>0</v>
      </c>
    </row>
    <row r="6209" spans="1:10" ht="25.5" hidden="1" x14ac:dyDescent="0.25">
      <c r="A6209" s="224"/>
      <c r="B6209" s="222"/>
      <c r="C6209" s="36" t="s">
        <v>953</v>
      </c>
      <c r="D6209" s="105" t="s">
        <v>703</v>
      </c>
      <c r="E6209" s="106">
        <v>0.183</v>
      </c>
      <c r="F6209" s="31">
        <v>16.672499999999999</v>
      </c>
      <c r="G6209" s="54">
        <f t="shared" si="118"/>
        <v>3.0510674999999998</v>
      </c>
      <c r="H6209" s="44"/>
      <c r="I6209" s="40"/>
      <c r="J6209" s="102">
        <v>0</v>
      </c>
    </row>
    <row r="6210" spans="1:10" ht="25.5" hidden="1" x14ac:dyDescent="0.25">
      <c r="A6210" s="224"/>
      <c r="B6210" s="222"/>
      <c r="C6210" s="36" t="s">
        <v>954</v>
      </c>
      <c r="D6210" s="105" t="s">
        <v>703</v>
      </c>
      <c r="E6210" s="106">
        <v>1.1719999999999999</v>
      </c>
      <c r="F6210" s="31">
        <v>20.9</v>
      </c>
      <c r="G6210" s="54">
        <f t="shared" si="118"/>
        <v>24.494799999999998</v>
      </c>
      <c r="H6210" s="44"/>
      <c r="I6210" s="40"/>
      <c r="J6210" s="102">
        <v>0</v>
      </c>
    </row>
    <row r="6211" spans="1:10" ht="15.75" hidden="1" thickBot="1" x14ac:dyDescent="0.3">
      <c r="A6211" s="225"/>
      <c r="B6211" s="223"/>
      <c r="C6211" s="36"/>
      <c r="D6211" s="105"/>
      <c r="E6211" s="106"/>
      <c r="F6211" s="31" t="s">
        <v>522</v>
      </c>
      <c r="G6211" s="54"/>
      <c r="H6211" s="44"/>
      <c r="I6211" s="40"/>
      <c r="J6211" s="102">
        <v>0</v>
      </c>
    </row>
    <row r="6212" spans="1:10" ht="15.75" hidden="1" thickBot="1" x14ac:dyDescent="0.3">
      <c r="A6212" s="218" t="s">
        <v>2256</v>
      </c>
      <c r="B6212" s="226" t="e">
        <f>INDEX(#REF!,MATCH(Composições!A6212,#REF!,0),2)</f>
        <v>#REF!</v>
      </c>
      <c r="C6212" s="41"/>
      <c r="D6212" s="26" t="s">
        <v>95</v>
      </c>
      <c r="E6212" s="27"/>
      <c r="F6212" s="49" t="s">
        <v>522</v>
      </c>
      <c r="G6212" s="28" t="str">
        <f>IF(ISNUMBER(F6212),E6212*F6212,"")</f>
        <v/>
      </c>
      <c r="H6212" s="29"/>
      <c r="I6212" s="30"/>
      <c r="J6212" s="102">
        <v>0</v>
      </c>
    </row>
    <row r="6213" spans="1:10" hidden="1" x14ac:dyDescent="0.25">
      <c r="A6213" s="224"/>
      <c r="B6213" s="227"/>
      <c r="C6213" s="111"/>
      <c r="D6213" s="111"/>
      <c r="E6213" s="112"/>
      <c r="F6213" s="54" t="s">
        <v>522</v>
      </c>
      <c r="G6213" s="54" t="str">
        <f>IF(ISNUMBER(F6213),E6213*F6213,"")</f>
        <v/>
      </c>
      <c r="H6213" s="73"/>
      <c r="I6213" s="74"/>
      <c r="J6213" s="102">
        <v>0</v>
      </c>
    </row>
    <row r="6214" spans="1:10" hidden="1" x14ac:dyDescent="0.25">
      <c r="A6214" s="224"/>
      <c r="B6214" s="227"/>
      <c r="C6214" s="36" t="s">
        <v>711</v>
      </c>
      <c r="D6214" s="105" t="s">
        <v>703</v>
      </c>
      <c r="E6214" s="106">
        <v>0.2</v>
      </c>
      <c r="F6214" s="31">
        <v>21.479499999999998</v>
      </c>
      <c r="G6214" s="54">
        <f>IF(ISNUMBER(F6214),E6214*F6214,"")</f>
        <v>4.2958999999999996</v>
      </c>
      <c r="H6214" s="39">
        <f>SUM(G6214:G6216)</f>
        <v>62.726599999999998</v>
      </c>
      <c r="I6214" s="40"/>
      <c r="J6214" s="102">
        <v>0</v>
      </c>
    </row>
    <row r="6215" spans="1:10" hidden="1" x14ac:dyDescent="0.25">
      <c r="A6215" s="224"/>
      <c r="B6215" s="227"/>
      <c r="C6215" s="36" t="s">
        <v>704</v>
      </c>
      <c r="D6215" s="105" t="s">
        <v>703</v>
      </c>
      <c r="E6215" s="106">
        <v>0.2</v>
      </c>
      <c r="F6215" s="31">
        <v>16.1785</v>
      </c>
      <c r="G6215" s="54">
        <f>IF(ISNUMBER(F6215),E6215*F6215,"")</f>
        <v>3.2357</v>
      </c>
      <c r="H6215" s="44"/>
      <c r="I6215" s="40"/>
      <c r="J6215" s="102">
        <v>0</v>
      </c>
    </row>
    <row r="6216" spans="1:10" ht="25.5" hidden="1" x14ac:dyDescent="0.25">
      <c r="A6216" s="224"/>
      <c r="B6216" s="227"/>
      <c r="C6216" s="36" t="s">
        <v>1694</v>
      </c>
      <c r="D6216" s="105" t="s">
        <v>42</v>
      </c>
      <c r="E6216" s="106">
        <v>1</v>
      </c>
      <c r="F6216" s="31">
        <v>55.195</v>
      </c>
      <c r="G6216" s="54">
        <f>IF(ISNUMBER(F6216),E6216*F6216,"")</f>
        <v>55.195</v>
      </c>
      <c r="H6216" s="44"/>
      <c r="I6216" s="40"/>
      <c r="J6216" s="102">
        <v>0</v>
      </c>
    </row>
    <row r="6217" spans="1:10" ht="15.75" hidden="1" thickBot="1" x14ac:dyDescent="0.3">
      <c r="A6217" s="225"/>
      <c r="B6217" s="228"/>
      <c r="C6217" s="36"/>
      <c r="D6217" s="105"/>
      <c r="E6217" s="106"/>
      <c r="F6217" s="31" t="s">
        <v>522</v>
      </c>
      <c r="G6217" s="54"/>
      <c r="H6217" s="44"/>
      <c r="I6217" s="40"/>
      <c r="J6217" s="102">
        <v>0</v>
      </c>
    </row>
    <row r="6218" spans="1:10" ht="15.75" hidden="1" thickBot="1" x14ac:dyDescent="0.3">
      <c r="A6218" s="218" t="s">
        <v>2257</v>
      </c>
      <c r="B6218" s="221" t="e">
        <f>INDEX(#REF!,MATCH(Composições!A6218,#REF!,0),2)</f>
        <v>#REF!</v>
      </c>
      <c r="C6218" s="41"/>
      <c r="D6218" s="26" t="s">
        <v>93</v>
      </c>
      <c r="E6218" s="27"/>
      <c r="F6218" s="49" t="s">
        <v>522</v>
      </c>
      <c r="G6218" s="28" t="str">
        <f t="shared" ref="G6218:G6223" si="119">IF(ISNUMBER(F6218),E6218*F6218,"")</f>
        <v/>
      </c>
      <c r="H6218" s="29"/>
      <c r="I6218" s="30"/>
      <c r="J6218" s="102">
        <v>0</v>
      </c>
    </row>
    <row r="6219" spans="1:10" hidden="1" x14ac:dyDescent="0.25">
      <c r="A6219" s="224"/>
      <c r="B6219" s="222"/>
      <c r="C6219" s="111"/>
      <c r="D6219" s="111"/>
      <c r="E6219" s="112"/>
      <c r="F6219" s="54" t="s">
        <v>522</v>
      </c>
      <c r="G6219" s="54" t="str">
        <f t="shared" si="119"/>
        <v/>
      </c>
      <c r="H6219" s="73"/>
      <c r="I6219" s="74"/>
      <c r="J6219" s="102">
        <v>0</v>
      </c>
    </row>
    <row r="6220" spans="1:10" hidden="1" x14ac:dyDescent="0.25">
      <c r="A6220" s="224"/>
      <c r="B6220" s="222"/>
      <c r="C6220" s="36" t="s">
        <v>711</v>
      </c>
      <c r="D6220" s="105" t="s">
        <v>703</v>
      </c>
      <c r="E6220" s="106">
        <v>1.103</v>
      </c>
      <c r="F6220" s="31">
        <v>21.479499999999998</v>
      </c>
      <c r="G6220" s="54">
        <f t="shared" si="119"/>
        <v>23.691888499999997</v>
      </c>
      <c r="H6220" s="39">
        <f>SUM(G6220:G6223)</f>
        <v>111.35297256341298</v>
      </c>
      <c r="I6220" s="40"/>
      <c r="J6220" s="102">
        <v>0</v>
      </c>
    </row>
    <row r="6221" spans="1:10" hidden="1" x14ac:dyDescent="0.25">
      <c r="A6221" s="224"/>
      <c r="B6221" s="222"/>
      <c r="C6221" s="36" t="s">
        <v>704</v>
      </c>
      <c r="D6221" s="105" t="s">
        <v>703</v>
      </c>
      <c r="E6221" s="106">
        <v>1.33</v>
      </c>
      <c r="F6221" s="31">
        <v>16.1785</v>
      </c>
      <c r="G6221" s="54">
        <f t="shared" si="119"/>
        <v>21.517405</v>
      </c>
      <c r="H6221" s="44"/>
      <c r="I6221" s="40"/>
      <c r="J6221" s="102">
        <v>0</v>
      </c>
    </row>
    <row r="6222" spans="1:10" ht="25.5" hidden="1" x14ac:dyDescent="0.25">
      <c r="A6222" s="224"/>
      <c r="B6222" s="222"/>
      <c r="C6222" s="36" t="s">
        <v>935</v>
      </c>
      <c r="D6222" s="105" t="s">
        <v>898</v>
      </c>
      <c r="E6222" s="106">
        <v>2.1230000000000002</v>
      </c>
      <c r="F6222" s="31">
        <v>10.299500999999998</v>
      </c>
      <c r="G6222" s="54">
        <f t="shared" si="119"/>
        <v>21.865840622999997</v>
      </c>
      <c r="H6222" s="44"/>
      <c r="I6222" s="40"/>
      <c r="J6222" s="102">
        <v>0</v>
      </c>
    </row>
    <row r="6223" spans="1:10" ht="38.25" hidden="1" x14ac:dyDescent="0.25">
      <c r="A6223" s="224"/>
      <c r="B6223" s="222"/>
      <c r="C6223" s="36" t="s">
        <v>2371</v>
      </c>
      <c r="D6223" s="105" t="s">
        <v>120</v>
      </c>
      <c r="E6223" s="106">
        <v>8.5999999999999993E-2</v>
      </c>
      <c r="F6223" s="31">
        <v>514.85858651642991</v>
      </c>
      <c r="G6223" s="54">
        <f t="shared" si="119"/>
        <v>44.277838440412971</v>
      </c>
      <c r="H6223" s="44"/>
      <c r="I6223" s="40"/>
      <c r="J6223" s="102">
        <v>0</v>
      </c>
    </row>
    <row r="6224" spans="1:10" ht="15.75" hidden="1" thickBot="1" x14ac:dyDescent="0.3">
      <c r="A6224" s="225"/>
      <c r="B6224" s="223"/>
      <c r="C6224" s="36"/>
      <c r="D6224" s="105"/>
      <c r="E6224" s="106"/>
      <c r="F6224" s="31" t="s">
        <v>522</v>
      </c>
      <c r="G6224" s="54"/>
      <c r="H6224" s="44"/>
      <c r="I6224" s="40"/>
      <c r="J6224" s="102">
        <v>0</v>
      </c>
    </row>
    <row r="6225" spans="1:10" ht="15.75" hidden="1" thickBot="1" x14ac:dyDescent="0.3">
      <c r="A6225" s="218" t="s">
        <v>2258</v>
      </c>
      <c r="B6225" s="221" t="e">
        <f>INDEX(#REF!,MATCH(Composições!A6225,#REF!,0),2)</f>
        <v>#REF!</v>
      </c>
      <c r="C6225" s="41"/>
      <c r="D6225" s="26" t="s">
        <v>20</v>
      </c>
      <c r="E6225" s="27"/>
      <c r="F6225" s="49" t="s">
        <v>522</v>
      </c>
      <c r="G6225" s="28" t="str">
        <f>IF(ISNUMBER(F6225),E6225*F6225,"")</f>
        <v/>
      </c>
      <c r="H6225" s="29"/>
      <c r="I6225" s="30"/>
      <c r="J6225" s="102">
        <v>0</v>
      </c>
    </row>
    <row r="6226" spans="1:10" hidden="1" x14ac:dyDescent="0.25">
      <c r="A6226" s="224"/>
      <c r="B6226" s="222"/>
      <c r="C6226" s="111"/>
      <c r="D6226" s="111"/>
      <c r="E6226" s="112"/>
      <c r="F6226" s="54" t="s">
        <v>522</v>
      </c>
      <c r="G6226" s="54" t="str">
        <f>IF(ISNUMBER(F6226),E6226*F6226,"")</f>
        <v/>
      </c>
      <c r="H6226" s="73"/>
      <c r="I6226" s="74"/>
      <c r="J6226" s="102">
        <v>0</v>
      </c>
    </row>
    <row r="6227" spans="1:10" hidden="1" x14ac:dyDescent="0.25">
      <c r="A6227" s="224"/>
      <c r="B6227" s="222"/>
      <c r="C6227" s="36" t="s">
        <v>704</v>
      </c>
      <c r="D6227" s="105" t="s">
        <v>703</v>
      </c>
      <c r="E6227" s="106">
        <v>0.36299999999999999</v>
      </c>
      <c r="F6227" s="31">
        <v>16.1785</v>
      </c>
      <c r="G6227" s="54">
        <f>IF(ISNUMBER(F6227),E6227*F6227,"")</f>
        <v>5.8727954999999996</v>
      </c>
      <c r="H6227" s="39">
        <f>SUM(G6227:G6229)</f>
        <v>12.5389398</v>
      </c>
      <c r="I6227" s="40"/>
      <c r="J6227" s="102">
        <v>0</v>
      </c>
    </row>
    <row r="6228" spans="1:10" ht="25.5" hidden="1" x14ac:dyDescent="0.25">
      <c r="A6228" s="224"/>
      <c r="B6228" s="222"/>
      <c r="C6228" s="36" t="s">
        <v>2046</v>
      </c>
      <c r="D6228" s="105" t="s">
        <v>944</v>
      </c>
      <c r="E6228" s="106">
        <v>0.20030000000000001</v>
      </c>
      <c r="F6228" s="31">
        <v>17.546499999999998</v>
      </c>
      <c r="G6228" s="54">
        <f>IF(ISNUMBER(F6228),E6228*F6228,"")</f>
        <v>3.5145639499999999</v>
      </c>
      <c r="H6228" s="44"/>
      <c r="I6228" s="40"/>
      <c r="J6228" s="102">
        <v>0</v>
      </c>
    </row>
    <row r="6229" spans="1:10" ht="25.5" hidden="1" x14ac:dyDescent="0.25">
      <c r="A6229" s="224"/>
      <c r="B6229" s="222"/>
      <c r="C6229" s="36" t="s">
        <v>2045</v>
      </c>
      <c r="D6229" s="105" t="s">
        <v>942</v>
      </c>
      <c r="E6229" s="106">
        <v>0.16270000000000001</v>
      </c>
      <c r="F6229" s="31">
        <v>19.3705</v>
      </c>
      <c r="G6229" s="54">
        <f>IF(ISNUMBER(F6229),E6229*F6229,"")</f>
        <v>3.1515803500000001</v>
      </c>
      <c r="H6229" s="44"/>
      <c r="I6229" s="40"/>
      <c r="J6229" s="102">
        <v>0</v>
      </c>
    </row>
    <row r="6230" spans="1:10" ht="15.75" hidden="1" thickBot="1" x14ac:dyDescent="0.3">
      <c r="A6230" s="225"/>
      <c r="B6230" s="223"/>
      <c r="C6230" s="36"/>
      <c r="D6230" s="105"/>
      <c r="E6230" s="106"/>
      <c r="F6230" s="31" t="s">
        <v>522</v>
      </c>
      <c r="G6230" s="54"/>
      <c r="H6230" s="44"/>
      <c r="I6230" s="40"/>
      <c r="J6230" s="102">
        <v>0</v>
      </c>
    </row>
    <row r="6231" spans="1:10" ht="15.75" hidden="1" thickBot="1" x14ac:dyDescent="0.3">
      <c r="A6231" s="218" t="s">
        <v>2259</v>
      </c>
      <c r="B6231" s="221" t="e">
        <f>INDEX(#REF!,MATCH(Composições!A6231,#REF!,0),2)</f>
        <v>#REF!</v>
      </c>
      <c r="C6231" s="41"/>
      <c r="D6231" s="26" t="s">
        <v>20</v>
      </c>
      <c r="E6231" s="27"/>
      <c r="F6231" s="49" t="s">
        <v>522</v>
      </c>
      <c r="G6231" s="28" t="str">
        <f>IF(ISNUMBER(F6231),E6231*F6231,"")</f>
        <v/>
      </c>
      <c r="H6231" s="29"/>
      <c r="I6231" s="30"/>
      <c r="J6231" s="102">
        <v>0</v>
      </c>
    </row>
    <row r="6232" spans="1:10" hidden="1" x14ac:dyDescent="0.25">
      <c r="A6232" s="224"/>
      <c r="B6232" s="222"/>
      <c r="C6232" s="111"/>
      <c r="D6232" s="111"/>
      <c r="E6232" s="112"/>
      <c r="F6232" s="54" t="s">
        <v>522</v>
      </c>
      <c r="G6232" s="54" t="str">
        <f>IF(ISNUMBER(F6232),E6232*F6232,"")</f>
        <v/>
      </c>
      <c r="H6232" s="73"/>
      <c r="I6232" s="74"/>
      <c r="J6232" s="102">
        <v>0</v>
      </c>
    </row>
    <row r="6233" spans="1:10" ht="38.25" hidden="1" x14ac:dyDescent="0.25">
      <c r="A6233" s="224"/>
      <c r="B6233" s="222"/>
      <c r="C6233" s="36" t="s">
        <v>1801</v>
      </c>
      <c r="D6233" s="105" t="s">
        <v>279</v>
      </c>
      <c r="E6233" s="106">
        <v>1</v>
      </c>
      <c r="F6233" s="31" t="s">
        <v>522</v>
      </c>
      <c r="G6233" s="54" t="str">
        <f>IF(ISNUMBER(F6233),E6233*F6233,"")</f>
        <v/>
      </c>
      <c r="H6233" s="39">
        <f>SUM(G6233:G6235)</f>
        <v>58.970751249999999</v>
      </c>
      <c r="I6233" s="40"/>
      <c r="J6233" s="102">
        <v>0</v>
      </c>
    </row>
    <row r="6234" spans="1:10" hidden="1" x14ac:dyDescent="0.25">
      <c r="A6234" s="224"/>
      <c r="B6234" s="222"/>
      <c r="C6234" s="36" t="s">
        <v>1159</v>
      </c>
      <c r="D6234" s="105" t="s">
        <v>703</v>
      </c>
      <c r="E6234" s="106">
        <v>1.5233000000000001</v>
      </c>
      <c r="F6234" s="31">
        <v>17.024000000000001</v>
      </c>
      <c r="G6234" s="54">
        <f>IF(ISNUMBER(F6234),E6234*F6234,"")</f>
        <v>25.932659200000003</v>
      </c>
      <c r="H6234" s="44"/>
      <c r="I6234" s="40"/>
      <c r="J6234" s="102">
        <v>0</v>
      </c>
    </row>
    <row r="6235" spans="1:10" hidden="1" x14ac:dyDescent="0.25">
      <c r="A6235" s="224"/>
      <c r="B6235" s="222"/>
      <c r="C6235" s="36" t="s">
        <v>1160</v>
      </c>
      <c r="D6235" s="105" t="s">
        <v>703</v>
      </c>
      <c r="E6235" s="106">
        <v>1.5233000000000001</v>
      </c>
      <c r="F6235" s="31">
        <v>21.688499999999998</v>
      </c>
      <c r="G6235" s="54">
        <f>IF(ISNUMBER(F6235),E6235*F6235,"")</f>
        <v>33.038092049999996</v>
      </c>
      <c r="H6235" s="44"/>
      <c r="I6235" s="40"/>
      <c r="J6235" s="102">
        <v>0</v>
      </c>
    </row>
    <row r="6236" spans="1:10" ht="15.75" hidden="1" thickBot="1" x14ac:dyDescent="0.3">
      <c r="A6236" s="225"/>
      <c r="B6236" s="223"/>
      <c r="C6236" s="36"/>
      <c r="D6236" s="105"/>
      <c r="E6236" s="106"/>
      <c r="F6236" s="31" t="s">
        <v>522</v>
      </c>
      <c r="G6236" s="54"/>
      <c r="H6236" s="44"/>
      <c r="I6236" s="40"/>
      <c r="J6236" s="102">
        <v>0</v>
      </c>
    </row>
    <row r="6237" spans="1:10" ht="15.75" hidden="1" thickBot="1" x14ac:dyDescent="0.3">
      <c r="A6237" s="218" t="s">
        <v>2260</v>
      </c>
      <c r="B6237" s="221" t="e">
        <f>INDEX(#REF!,MATCH(Composições!A6237,#REF!,0),2)</f>
        <v>#REF!</v>
      </c>
      <c r="C6237" s="41"/>
      <c r="D6237" s="26" t="s">
        <v>109</v>
      </c>
      <c r="E6237" s="27"/>
      <c r="F6237" s="49" t="s">
        <v>522</v>
      </c>
      <c r="G6237" s="28" t="str">
        <f t="shared" ref="G6237:G6244" si="120">IF(ISNUMBER(F6237),E6237*F6237,"")</f>
        <v/>
      </c>
      <c r="H6237" s="29"/>
      <c r="I6237" s="30"/>
      <c r="J6237" s="102">
        <v>0</v>
      </c>
    </row>
    <row r="6238" spans="1:10" hidden="1" x14ac:dyDescent="0.25">
      <c r="A6238" s="224"/>
      <c r="B6238" s="222"/>
      <c r="C6238" s="111"/>
      <c r="D6238" s="111"/>
      <c r="E6238" s="112"/>
      <c r="F6238" s="54" t="s">
        <v>522</v>
      </c>
      <c r="G6238" s="54" t="str">
        <f t="shared" si="120"/>
        <v/>
      </c>
      <c r="H6238" s="73"/>
      <c r="I6238" s="74"/>
      <c r="J6238" s="102">
        <v>0</v>
      </c>
    </row>
    <row r="6239" spans="1:10" ht="38.25" hidden="1" x14ac:dyDescent="0.25">
      <c r="A6239" s="224"/>
      <c r="B6239" s="222"/>
      <c r="C6239" s="36" t="s">
        <v>1715</v>
      </c>
      <c r="D6239" s="105" t="s">
        <v>120</v>
      </c>
      <c r="E6239" s="106">
        <v>1.103</v>
      </c>
      <c r="F6239" s="31">
        <v>402.10649999999998</v>
      </c>
      <c r="G6239" s="54">
        <f t="shared" si="120"/>
        <v>443.52346949999998</v>
      </c>
      <c r="H6239" s="39">
        <f>SUM(G6239:G6244)</f>
        <v>475.91975200000002</v>
      </c>
      <c r="I6239" s="40"/>
      <c r="J6239" s="102">
        <v>0</v>
      </c>
    </row>
    <row r="6240" spans="1:10" hidden="1" x14ac:dyDescent="0.25">
      <c r="A6240" s="224"/>
      <c r="B6240" s="222"/>
      <c r="C6240" s="36" t="s">
        <v>993</v>
      </c>
      <c r="D6240" s="105" t="s">
        <v>703</v>
      </c>
      <c r="E6240" s="106">
        <v>0.125</v>
      </c>
      <c r="F6240" s="31">
        <v>21.2515</v>
      </c>
      <c r="G6240" s="54">
        <f t="shared" si="120"/>
        <v>2.6564375</v>
      </c>
      <c r="H6240" s="44"/>
      <c r="I6240" s="40"/>
      <c r="J6240" s="102">
        <v>0</v>
      </c>
    </row>
    <row r="6241" spans="1:10" hidden="1" x14ac:dyDescent="0.25">
      <c r="A6241" s="224"/>
      <c r="B6241" s="222"/>
      <c r="C6241" s="36" t="s">
        <v>711</v>
      </c>
      <c r="D6241" s="105" t="s">
        <v>703</v>
      </c>
      <c r="E6241" s="106">
        <v>0.753</v>
      </c>
      <c r="F6241" s="31">
        <v>21.479499999999998</v>
      </c>
      <c r="G6241" s="54">
        <f t="shared" si="120"/>
        <v>16.174063499999999</v>
      </c>
      <c r="H6241" s="44"/>
      <c r="I6241" s="40"/>
      <c r="J6241" s="102">
        <v>0</v>
      </c>
    </row>
    <row r="6242" spans="1:10" hidden="1" x14ac:dyDescent="0.25">
      <c r="A6242" s="224"/>
      <c r="B6242" s="222"/>
      <c r="C6242" s="36" t="s">
        <v>704</v>
      </c>
      <c r="D6242" s="105" t="s">
        <v>703</v>
      </c>
      <c r="E6242" s="106">
        <v>0.82599999999999996</v>
      </c>
      <c r="F6242" s="31">
        <v>16.1785</v>
      </c>
      <c r="G6242" s="54">
        <f t="shared" si="120"/>
        <v>13.363440999999998</v>
      </c>
      <c r="H6242" s="44"/>
      <c r="I6242" s="40"/>
      <c r="J6242" s="102">
        <v>0</v>
      </c>
    </row>
    <row r="6243" spans="1:10" ht="25.5" hidden="1" x14ac:dyDescent="0.25">
      <c r="A6243" s="224"/>
      <c r="B6243" s="222"/>
      <c r="C6243" s="36" t="s">
        <v>1153</v>
      </c>
      <c r="D6243" s="105" t="s">
        <v>942</v>
      </c>
      <c r="E6243" s="106">
        <v>0.12</v>
      </c>
      <c r="F6243" s="31">
        <v>1.1779999999999999</v>
      </c>
      <c r="G6243" s="54">
        <f t="shared" si="120"/>
        <v>0.14135999999999999</v>
      </c>
      <c r="H6243" s="44"/>
      <c r="I6243" s="40"/>
      <c r="J6243" s="102">
        <v>0</v>
      </c>
    </row>
    <row r="6244" spans="1:10" ht="25.5" hidden="1" x14ac:dyDescent="0.25">
      <c r="A6244" s="224"/>
      <c r="B6244" s="222"/>
      <c r="C6244" s="36" t="s">
        <v>1154</v>
      </c>
      <c r="D6244" s="105" t="s">
        <v>944</v>
      </c>
      <c r="E6244" s="106">
        <v>0.13100000000000001</v>
      </c>
      <c r="F6244" s="31">
        <v>0.46549999999999997</v>
      </c>
      <c r="G6244" s="54">
        <f t="shared" si="120"/>
        <v>6.09805E-2</v>
      </c>
      <c r="H6244" s="44"/>
      <c r="I6244" s="40"/>
      <c r="J6244" s="102">
        <v>0</v>
      </c>
    </row>
    <row r="6245" spans="1:10" ht="15.75" hidden="1" thickBot="1" x14ac:dyDescent="0.3">
      <c r="A6245" s="225"/>
      <c r="B6245" s="223"/>
      <c r="C6245" s="36"/>
      <c r="D6245" s="105"/>
      <c r="E6245" s="106"/>
      <c r="F6245" s="31" t="s">
        <v>522</v>
      </c>
      <c r="G6245" s="54"/>
      <c r="H6245" s="44"/>
      <c r="I6245" s="40"/>
      <c r="J6245" s="102">
        <v>0</v>
      </c>
    </row>
    <row r="6246" spans="1:10" ht="15.75" hidden="1" thickBot="1" x14ac:dyDescent="0.3">
      <c r="A6246" s="218" t="s">
        <v>2261</v>
      </c>
      <c r="B6246" s="221" t="e">
        <f>INDEX(#REF!,MATCH(Composições!A6246,#REF!,0),2)</f>
        <v>#REF!</v>
      </c>
      <c r="C6246" s="41"/>
      <c r="D6246" s="26" t="s">
        <v>93</v>
      </c>
      <c r="E6246" s="27"/>
      <c r="F6246" s="49" t="s">
        <v>522</v>
      </c>
      <c r="G6246" s="28" t="str">
        <f t="shared" ref="G6246:G6255" si="121">IF(ISNUMBER(F6246),E6246*F6246,"")</f>
        <v/>
      </c>
      <c r="H6246" s="29"/>
      <c r="I6246" s="30"/>
      <c r="J6246" s="102">
        <v>0</v>
      </c>
    </row>
    <row r="6247" spans="1:10" hidden="1" x14ac:dyDescent="0.25">
      <c r="A6247" s="224"/>
      <c r="B6247" s="222"/>
      <c r="C6247" s="111"/>
      <c r="D6247" s="111"/>
      <c r="E6247" s="112"/>
      <c r="F6247" s="54" t="s">
        <v>522</v>
      </c>
      <c r="G6247" s="54" t="str">
        <f t="shared" si="121"/>
        <v/>
      </c>
      <c r="H6247" s="73"/>
      <c r="I6247" s="74"/>
      <c r="J6247" s="102">
        <v>0</v>
      </c>
    </row>
    <row r="6248" spans="1:10" ht="38.25" hidden="1" x14ac:dyDescent="0.25">
      <c r="A6248" s="224"/>
      <c r="B6248" s="222"/>
      <c r="C6248" s="36" t="s">
        <v>1716</v>
      </c>
      <c r="D6248" s="105" t="s">
        <v>120</v>
      </c>
      <c r="E6248" s="106">
        <v>0.1426</v>
      </c>
      <c r="F6248" s="31">
        <v>385.45299999999997</v>
      </c>
      <c r="G6248" s="54">
        <f t="shared" si="121"/>
        <v>54.965597799999998</v>
      </c>
      <c r="H6248" s="39">
        <f>SUM(G6248:G6255)</f>
        <v>97.294553405204994</v>
      </c>
      <c r="I6248" s="40"/>
      <c r="J6248" s="102">
        <v>0</v>
      </c>
    </row>
    <row r="6249" spans="1:10" hidden="1" x14ac:dyDescent="0.25">
      <c r="A6249" s="224"/>
      <c r="B6249" s="222"/>
      <c r="C6249" s="36" t="s">
        <v>704</v>
      </c>
      <c r="D6249" s="105" t="s">
        <v>703</v>
      </c>
      <c r="E6249" s="106">
        <v>0.27950000000000003</v>
      </c>
      <c r="F6249" s="31">
        <v>16.1785</v>
      </c>
      <c r="G6249" s="54">
        <f t="shared" si="121"/>
        <v>4.5218907500000007</v>
      </c>
      <c r="H6249" s="44"/>
      <c r="I6249" s="40"/>
      <c r="J6249" s="102">
        <v>0</v>
      </c>
    </row>
    <row r="6250" spans="1:10" ht="51" hidden="1" x14ac:dyDescent="0.25">
      <c r="A6250" s="224"/>
      <c r="B6250" s="222"/>
      <c r="C6250" s="36" t="s">
        <v>1663</v>
      </c>
      <c r="D6250" s="105" t="s">
        <v>942</v>
      </c>
      <c r="E6250" s="106">
        <v>3.4200000000000001E-2</v>
      </c>
      <c r="F6250" s="31">
        <v>360.08800000000002</v>
      </c>
      <c r="G6250" s="54">
        <f t="shared" si="121"/>
        <v>12.315009600000002</v>
      </c>
      <c r="H6250" s="44"/>
      <c r="I6250" s="40"/>
      <c r="J6250" s="102">
        <v>0</v>
      </c>
    </row>
    <row r="6251" spans="1:10" ht="51" hidden="1" x14ac:dyDescent="0.25">
      <c r="A6251" s="224"/>
      <c r="B6251" s="222"/>
      <c r="C6251" s="36" t="s">
        <v>1667</v>
      </c>
      <c r="D6251" s="105" t="s">
        <v>944</v>
      </c>
      <c r="E6251" s="106">
        <v>6.1199999999999997E-2</v>
      </c>
      <c r="F6251" s="31">
        <v>137.96849999999998</v>
      </c>
      <c r="G6251" s="54">
        <f t="shared" si="121"/>
        <v>8.4436721999999982</v>
      </c>
      <c r="H6251" s="44"/>
      <c r="I6251" s="40"/>
      <c r="J6251" s="102">
        <v>0</v>
      </c>
    </row>
    <row r="6252" spans="1:10" ht="25.5" hidden="1" x14ac:dyDescent="0.25">
      <c r="A6252" s="224"/>
      <c r="B6252" s="222"/>
      <c r="C6252" s="36" t="s">
        <v>780</v>
      </c>
      <c r="D6252" s="105" t="s">
        <v>703</v>
      </c>
      <c r="E6252" s="106">
        <v>6.4000000000000003E-3</v>
      </c>
      <c r="F6252" s="31">
        <v>85.870499999999993</v>
      </c>
      <c r="G6252" s="54">
        <f t="shared" si="121"/>
        <v>0.54957119999999993</v>
      </c>
      <c r="H6252" s="44"/>
      <c r="I6252" s="40"/>
      <c r="J6252" s="102">
        <v>0</v>
      </c>
    </row>
    <row r="6253" spans="1:10" ht="25.5" hidden="1" x14ac:dyDescent="0.25">
      <c r="A6253" s="224"/>
      <c r="B6253" s="222"/>
      <c r="C6253" s="36" t="s">
        <v>2434</v>
      </c>
      <c r="D6253" s="105" t="s">
        <v>898</v>
      </c>
      <c r="E6253" s="106">
        <v>1.3913</v>
      </c>
      <c r="F6253" s="31">
        <v>10.9680464</v>
      </c>
      <c r="G6253" s="54">
        <f t="shared" si="121"/>
        <v>15.25984295632</v>
      </c>
      <c r="H6253" s="44"/>
      <c r="I6253" s="40"/>
      <c r="J6253" s="102">
        <v>0</v>
      </c>
    </row>
    <row r="6254" spans="1:10" ht="38.25" hidden="1" x14ac:dyDescent="0.25">
      <c r="A6254" s="224"/>
      <c r="B6254" s="222"/>
      <c r="C6254" s="36" t="s">
        <v>1911</v>
      </c>
      <c r="D6254" s="105" t="s">
        <v>1413</v>
      </c>
      <c r="E6254" s="106">
        <v>5.2400000000000002E-2</v>
      </c>
      <c r="F6254" s="31">
        <v>2.5816316499999998</v>
      </c>
      <c r="G6254" s="54">
        <f t="shared" si="121"/>
        <v>0.13527749846000001</v>
      </c>
      <c r="H6254" s="44"/>
      <c r="I6254" s="40"/>
      <c r="J6254" s="102">
        <v>0</v>
      </c>
    </row>
    <row r="6255" spans="1:10" ht="51" hidden="1" x14ac:dyDescent="0.25">
      <c r="A6255" s="224"/>
      <c r="B6255" s="222"/>
      <c r="C6255" s="36" t="s">
        <v>1914</v>
      </c>
      <c r="D6255" s="105" t="s">
        <v>120</v>
      </c>
      <c r="E6255" s="106">
        <v>0.15709999999999999</v>
      </c>
      <c r="F6255" s="31">
        <v>7.0254067499999993</v>
      </c>
      <c r="G6255" s="54">
        <f t="shared" si="121"/>
        <v>1.1036914004249998</v>
      </c>
      <c r="H6255" s="44"/>
      <c r="I6255" s="40"/>
      <c r="J6255" s="102">
        <v>0</v>
      </c>
    </row>
    <row r="6256" spans="1:10" ht="15.75" hidden="1" thickBot="1" x14ac:dyDescent="0.3">
      <c r="A6256" s="225"/>
      <c r="B6256" s="223"/>
      <c r="C6256" s="36"/>
      <c r="D6256" s="105"/>
      <c r="E6256" s="106"/>
      <c r="F6256" s="31" t="s">
        <v>522</v>
      </c>
      <c r="G6256" s="54"/>
      <c r="H6256" s="44"/>
      <c r="I6256" s="40"/>
      <c r="J6256" s="102">
        <v>0</v>
      </c>
    </row>
    <row r="6257" spans="1:10" ht="15.75" hidden="1" thickBot="1" x14ac:dyDescent="0.3">
      <c r="A6257" s="218" t="s">
        <v>2262</v>
      </c>
      <c r="B6257" s="221" t="e">
        <f>INDEX(#REF!,MATCH(Composições!A6257,#REF!,0),2)</f>
        <v>#REF!</v>
      </c>
      <c r="C6257" s="41"/>
      <c r="D6257" s="26" t="s">
        <v>42</v>
      </c>
      <c r="E6257" s="27"/>
      <c r="F6257" s="49" t="s">
        <v>522</v>
      </c>
      <c r="G6257" s="28" t="str">
        <f t="shared" ref="G6257:G6263" si="122">IF(ISNUMBER(F6257),E6257*F6257,"")</f>
        <v/>
      </c>
      <c r="H6257" s="29"/>
      <c r="I6257" s="30"/>
      <c r="J6257" s="102">
        <v>0</v>
      </c>
    </row>
    <row r="6258" spans="1:10" hidden="1" x14ac:dyDescent="0.25">
      <c r="A6258" s="224"/>
      <c r="B6258" s="222"/>
      <c r="C6258" s="111"/>
      <c r="D6258" s="111"/>
      <c r="E6258" s="112"/>
      <c r="F6258" s="54" t="s">
        <v>522</v>
      </c>
      <c r="G6258" s="54" t="str">
        <f t="shared" si="122"/>
        <v/>
      </c>
      <c r="H6258" s="73"/>
      <c r="I6258" s="74"/>
      <c r="J6258" s="102">
        <v>0</v>
      </c>
    </row>
    <row r="6259" spans="1:10" ht="38.25" hidden="1" x14ac:dyDescent="0.25">
      <c r="A6259" s="224"/>
      <c r="B6259" s="222"/>
      <c r="C6259" s="36" t="s">
        <v>899</v>
      </c>
      <c r="D6259" s="105" t="s">
        <v>279</v>
      </c>
      <c r="E6259" s="106">
        <v>1.333</v>
      </c>
      <c r="F6259" s="31">
        <v>0.20899999999999999</v>
      </c>
      <c r="G6259" s="54">
        <f t="shared" si="122"/>
        <v>0.27859699999999998</v>
      </c>
      <c r="H6259" s="39">
        <f>SUM(G6259:G6263)</f>
        <v>16.32855915</v>
      </c>
      <c r="I6259" s="40"/>
      <c r="J6259" s="102">
        <v>0</v>
      </c>
    </row>
    <row r="6260" spans="1:10" ht="25.5" hidden="1" x14ac:dyDescent="0.25">
      <c r="A6260" s="224"/>
      <c r="B6260" s="222"/>
      <c r="C6260" s="36" t="s">
        <v>1897</v>
      </c>
      <c r="D6260" s="105" t="s">
        <v>898</v>
      </c>
      <c r="E6260" s="106">
        <v>2.5000000000000001E-2</v>
      </c>
      <c r="F6260" s="31">
        <v>24.738</v>
      </c>
      <c r="G6260" s="54">
        <f t="shared" si="122"/>
        <v>0.61845000000000006</v>
      </c>
      <c r="H6260" s="44"/>
      <c r="I6260" s="40"/>
      <c r="J6260" s="102">
        <v>0</v>
      </c>
    </row>
    <row r="6261" spans="1:10" hidden="1" x14ac:dyDescent="0.25">
      <c r="A6261" s="224"/>
      <c r="B6261" s="222"/>
      <c r="C6261" s="36" t="s">
        <v>900</v>
      </c>
      <c r="D6261" s="105" t="s">
        <v>703</v>
      </c>
      <c r="E6261" s="106">
        <v>1.9099999999999999E-2</v>
      </c>
      <c r="F6261" s="31">
        <v>16.197500000000002</v>
      </c>
      <c r="G6261" s="54">
        <f t="shared" si="122"/>
        <v>0.30937225000000002</v>
      </c>
      <c r="H6261" s="44"/>
      <c r="I6261" s="40"/>
      <c r="J6261" s="102">
        <v>0</v>
      </c>
    </row>
    <row r="6262" spans="1:10" hidden="1" x14ac:dyDescent="0.25">
      <c r="A6262" s="224"/>
      <c r="B6262" s="222"/>
      <c r="C6262" s="36" t="s">
        <v>901</v>
      </c>
      <c r="D6262" s="105" t="s">
        <v>703</v>
      </c>
      <c r="E6262" s="106">
        <v>0.1168</v>
      </c>
      <c r="F6262" s="31">
        <v>21.365499999999997</v>
      </c>
      <c r="G6262" s="54">
        <f t="shared" si="122"/>
        <v>2.4954903999999996</v>
      </c>
      <c r="H6262" s="44"/>
      <c r="I6262" s="40"/>
      <c r="J6262" s="102">
        <v>0</v>
      </c>
    </row>
    <row r="6263" spans="1:10" ht="25.5" hidden="1" x14ac:dyDescent="0.25">
      <c r="A6263" s="224"/>
      <c r="B6263" s="222"/>
      <c r="C6263" s="36" t="s">
        <v>1672</v>
      </c>
      <c r="D6263" s="105" t="s">
        <v>898</v>
      </c>
      <c r="E6263" s="106">
        <v>1</v>
      </c>
      <c r="F6263" s="31">
        <v>12.626649499999999</v>
      </c>
      <c r="G6263" s="54">
        <f t="shared" si="122"/>
        <v>12.626649499999999</v>
      </c>
      <c r="H6263" s="44"/>
      <c r="I6263" s="40"/>
      <c r="J6263" s="102">
        <v>0</v>
      </c>
    </row>
    <row r="6264" spans="1:10" ht="15.75" hidden="1" thickBot="1" x14ac:dyDescent="0.3">
      <c r="A6264" s="225"/>
      <c r="B6264" s="223"/>
      <c r="C6264" s="36"/>
      <c r="D6264" s="105"/>
      <c r="E6264" s="106"/>
      <c r="F6264" s="31" t="s">
        <v>522</v>
      </c>
      <c r="G6264" s="54"/>
      <c r="H6264" s="44"/>
      <c r="I6264" s="40"/>
      <c r="J6264" s="102">
        <v>0</v>
      </c>
    </row>
    <row r="6265" spans="1:10" ht="15.75" hidden="1" thickBot="1" x14ac:dyDescent="0.3">
      <c r="A6265" s="218" t="s">
        <v>2263</v>
      </c>
      <c r="B6265" s="221" t="e">
        <f>INDEX(#REF!,MATCH(Composições!A6265,#REF!,0),2)</f>
        <v>#REF!</v>
      </c>
      <c r="C6265" s="41"/>
      <c r="D6265" s="26" t="s">
        <v>95</v>
      </c>
      <c r="E6265" s="27"/>
      <c r="F6265" s="49" t="s">
        <v>522</v>
      </c>
      <c r="G6265" s="28" t="str">
        <f t="shared" ref="G6265:G6271" si="123">IF(ISNUMBER(F6265),E6265*F6265,"")</f>
        <v/>
      </c>
      <c r="H6265" s="29"/>
      <c r="I6265" s="30"/>
      <c r="J6265" s="102">
        <v>0</v>
      </c>
    </row>
    <row r="6266" spans="1:10" hidden="1" x14ac:dyDescent="0.25">
      <c r="A6266" s="224"/>
      <c r="B6266" s="222"/>
      <c r="C6266" s="111"/>
      <c r="D6266" s="111"/>
      <c r="E6266" s="112"/>
      <c r="F6266" s="54" t="s">
        <v>522</v>
      </c>
      <c r="G6266" s="54" t="str">
        <f t="shared" si="123"/>
        <v/>
      </c>
      <c r="H6266" s="73"/>
      <c r="I6266" s="74"/>
      <c r="J6266" s="102">
        <v>0</v>
      </c>
    </row>
    <row r="6267" spans="1:10" ht="38.25" hidden="1" x14ac:dyDescent="0.25">
      <c r="A6267" s="224"/>
      <c r="B6267" s="222"/>
      <c r="C6267" s="36" t="s">
        <v>1714</v>
      </c>
      <c r="D6267" s="105" t="s">
        <v>120</v>
      </c>
      <c r="E6267" s="106">
        <v>8.14E-2</v>
      </c>
      <c r="F6267" s="31">
        <v>361</v>
      </c>
      <c r="G6267" s="54">
        <f t="shared" si="123"/>
        <v>29.385400000000001</v>
      </c>
      <c r="H6267" s="39">
        <f>SUM(G6267:G6271)</f>
        <v>69.288418150000012</v>
      </c>
      <c r="I6267" s="40"/>
      <c r="J6267" s="102">
        <v>0</v>
      </c>
    </row>
    <row r="6268" spans="1:10" ht="25.5" hidden="1" x14ac:dyDescent="0.25">
      <c r="A6268" s="224"/>
      <c r="B6268" s="222"/>
      <c r="C6268" s="36" t="s">
        <v>1767</v>
      </c>
      <c r="D6268" s="105" t="s">
        <v>898</v>
      </c>
      <c r="E6268" s="106">
        <v>4</v>
      </c>
      <c r="F6268" s="31">
        <v>9.1675000000000004</v>
      </c>
      <c r="G6268" s="54">
        <f t="shared" si="123"/>
        <v>36.67</v>
      </c>
      <c r="H6268" s="44"/>
      <c r="I6268" s="40"/>
      <c r="J6268" s="102">
        <v>0</v>
      </c>
    </row>
    <row r="6269" spans="1:10" hidden="1" x14ac:dyDescent="0.25">
      <c r="A6269" s="224"/>
      <c r="B6269" s="222"/>
      <c r="C6269" s="36" t="s">
        <v>711</v>
      </c>
      <c r="D6269" s="105" t="s">
        <v>703</v>
      </c>
      <c r="E6269" s="106">
        <v>0.1119</v>
      </c>
      <c r="F6269" s="31">
        <v>21.479499999999998</v>
      </c>
      <c r="G6269" s="54">
        <f t="shared" si="123"/>
        <v>2.4035560499999997</v>
      </c>
      <c r="H6269" s="44"/>
      <c r="I6269" s="40"/>
      <c r="J6269" s="102">
        <v>0</v>
      </c>
    </row>
    <row r="6270" spans="1:10" hidden="1" x14ac:dyDescent="0.25">
      <c r="A6270" s="224"/>
      <c r="B6270" s="222"/>
      <c r="C6270" s="36" t="s">
        <v>704</v>
      </c>
      <c r="D6270" s="105" t="s">
        <v>703</v>
      </c>
      <c r="E6270" s="106">
        <v>4.6600000000000003E-2</v>
      </c>
      <c r="F6270" s="31">
        <v>16.1785</v>
      </c>
      <c r="G6270" s="54">
        <f t="shared" si="123"/>
        <v>0.75391810000000004</v>
      </c>
      <c r="H6270" s="44"/>
      <c r="I6270" s="40"/>
      <c r="J6270" s="102">
        <v>0</v>
      </c>
    </row>
    <row r="6271" spans="1:10" ht="25.5" hidden="1" x14ac:dyDescent="0.25">
      <c r="A6271" s="224"/>
      <c r="B6271" s="222"/>
      <c r="C6271" s="36" t="s">
        <v>1664</v>
      </c>
      <c r="D6271" s="105" t="s">
        <v>942</v>
      </c>
      <c r="E6271" s="106">
        <v>7.0000000000000001E-3</v>
      </c>
      <c r="F6271" s="31">
        <v>10.792</v>
      </c>
      <c r="G6271" s="54">
        <f t="shared" si="123"/>
        <v>7.5544E-2</v>
      </c>
      <c r="H6271" s="44"/>
      <c r="I6271" s="40"/>
      <c r="J6271" s="102">
        <v>0</v>
      </c>
    </row>
    <row r="6272" spans="1:10" ht="15.75" hidden="1" thickBot="1" x14ac:dyDescent="0.3">
      <c r="A6272" s="225"/>
      <c r="B6272" s="223"/>
      <c r="C6272" s="36"/>
      <c r="D6272" s="105"/>
      <c r="E6272" s="106"/>
      <c r="F6272" s="31" t="s">
        <v>522</v>
      </c>
      <c r="G6272" s="54"/>
      <c r="H6272" s="44"/>
      <c r="I6272" s="40"/>
      <c r="J6272" s="102">
        <v>0</v>
      </c>
    </row>
    <row r="6273" spans="1:10" ht="15.75" hidden="1" thickBot="1" x14ac:dyDescent="0.3">
      <c r="A6273" s="218" t="s">
        <v>2264</v>
      </c>
      <c r="B6273" s="221" t="e">
        <f>INDEX(#REF!,MATCH(Composições!A6273,#REF!,0),2)</f>
        <v>#REF!</v>
      </c>
      <c r="C6273" s="41"/>
      <c r="D6273" s="26" t="s">
        <v>93</v>
      </c>
      <c r="E6273" s="27"/>
      <c r="F6273" s="49" t="s">
        <v>522</v>
      </c>
      <c r="G6273" s="28" t="str">
        <f t="shared" ref="G6273:G6280" si="124">IF(ISNUMBER(F6273),E6273*F6273,"")</f>
        <v/>
      </c>
      <c r="H6273" s="29"/>
      <c r="I6273" s="30"/>
      <c r="J6273" s="102">
        <v>0</v>
      </c>
    </row>
    <row r="6274" spans="1:10" hidden="1" x14ac:dyDescent="0.25">
      <c r="A6274" s="224"/>
      <c r="B6274" s="222"/>
      <c r="C6274" s="111"/>
      <c r="D6274" s="111"/>
      <c r="E6274" s="112"/>
      <c r="F6274" s="54" t="s">
        <v>522</v>
      </c>
      <c r="G6274" s="54" t="str">
        <f t="shared" si="124"/>
        <v/>
      </c>
      <c r="H6274" s="73"/>
      <c r="I6274" s="74"/>
      <c r="J6274" s="102">
        <v>0</v>
      </c>
    </row>
    <row r="6275" spans="1:10" hidden="1" x14ac:dyDescent="0.25">
      <c r="A6275" s="224"/>
      <c r="B6275" s="222"/>
      <c r="C6275" s="36" t="s">
        <v>2378</v>
      </c>
      <c r="D6275" s="105" t="s">
        <v>279</v>
      </c>
      <c r="E6275" s="106">
        <v>6.1999999999999998E-3</v>
      </c>
      <c r="F6275" s="31">
        <v>65.711500000000001</v>
      </c>
      <c r="G6275" s="54">
        <f t="shared" si="124"/>
        <v>0.40741129999999998</v>
      </c>
      <c r="H6275" s="39">
        <f>SUM(G6275:G6280)</f>
        <v>98.85621909999999</v>
      </c>
      <c r="I6275" s="40"/>
      <c r="J6275" s="102">
        <v>0</v>
      </c>
    </row>
    <row r="6276" spans="1:10" ht="25.5" hidden="1" x14ac:dyDescent="0.25">
      <c r="A6276" s="224"/>
      <c r="B6276" s="222"/>
      <c r="C6276" s="36" t="s">
        <v>2041</v>
      </c>
      <c r="D6276" s="105" t="s">
        <v>479</v>
      </c>
      <c r="E6276" s="106">
        <v>1.04</v>
      </c>
      <c r="F6276" s="31">
        <v>87.342999999999989</v>
      </c>
      <c r="G6276" s="54">
        <f t="shared" si="124"/>
        <v>90.836719999999985</v>
      </c>
      <c r="H6276" s="44"/>
      <c r="I6276" s="40"/>
      <c r="J6276" s="102">
        <v>0</v>
      </c>
    </row>
    <row r="6277" spans="1:10" ht="25.5" hidden="1" x14ac:dyDescent="0.25">
      <c r="A6277" s="224"/>
      <c r="B6277" s="222"/>
      <c r="C6277" s="36" t="s">
        <v>2379</v>
      </c>
      <c r="D6277" s="105" t="s">
        <v>279</v>
      </c>
      <c r="E6277" s="106">
        <v>1.0200000000000001E-2</v>
      </c>
      <c r="F6277" s="31">
        <v>74.451499999999996</v>
      </c>
      <c r="G6277" s="54">
        <f t="shared" si="124"/>
        <v>0.75940530000000006</v>
      </c>
      <c r="H6277" s="44"/>
      <c r="I6277" s="40"/>
      <c r="J6277" s="102">
        <v>0</v>
      </c>
    </row>
    <row r="6278" spans="1:10" hidden="1" x14ac:dyDescent="0.25">
      <c r="A6278" s="224"/>
      <c r="B6278" s="222"/>
      <c r="C6278" s="36" t="s">
        <v>1193</v>
      </c>
      <c r="D6278" s="105" t="s">
        <v>279</v>
      </c>
      <c r="E6278" s="106">
        <v>3.6999999999999998E-2</v>
      </c>
      <c r="F6278" s="31">
        <v>2.4224999999999999</v>
      </c>
      <c r="G6278" s="54">
        <f t="shared" si="124"/>
        <v>8.963249999999999E-2</v>
      </c>
      <c r="H6278" s="44"/>
      <c r="I6278" s="40"/>
      <c r="J6278" s="102">
        <v>0</v>
      </c>
    </row>
    <row r="6279" spans="1:10" ht="25.5" hidden="1" x14ac:dyDescent="0.25">
      <c r="A6279" s="224"/>
      <c r="B6279" s="222"/>
      <c r="C6279" s="36" t="s">
        <v>953</v>
      </c>
      <c r="D6279" s="105" t="s">
        <v>703</v>
      </c>
      <c r="E6279" s="106">
        <v>0.18</v>
      </c>
      <c r="F6279" s="31">
        <v>16.672499999999999</v>
      </c>
      <c r="G6279" s="54">
        <f t="shared" si="124"/>
        <v>3.0010499999999998</v>
      </c>
      <c r="H6279" s="44"/>
      <c r="I6279" s="40"/>
      <c r="J6279" s="102">
        <v>0</v>
      </c>
    </row>
    <row r="6280" spans="1:10" ht="25.5" hidden="1" x14ac:dyDescent="0.25">
      <c r="A6280" s="224"/>
      <c r="B6280" s="222"/>
      <c r="C6280" s="36" t="s">
        <v>954</v>
      </c>
      <c r="D6280" s="105" t="s">
        <v>703</v>
      </c>
      <c r="E6280" s="106">
        <v>0.18</v>
      </c>
      <c r="F6280" s="31">
        <v>20.9</v>
      </c>
      <c r="G6280" s="54">
        <f t="shared" si="124"/>
        <v>3.7619999999999996</v>
      </c>
      <c r="H6280" s="44"/>
      <c r="I6280" s="40"/>
      <c r="J6280" s="102">
        <v>0</v>
      </c>
    </row>
    <row r="6281" spans="1:10" ht="15.75" hidden="1" thickBot="1" x14ac:dyDescent="0.3">
      <c r="A6281" s="225"/>
      <c r="B6281" s="223"/>
      <c r="C6281" s="36"/>
      <c r="D6281" s="105"/>
      <c r="E6281" s="106"/>
      <c r="F6281" s="31" t="s">
        <v>522</v>
      </c>
      <c r="G6281" s="54"/>
      <c r="H6281" s="44"/>
      <c r="I6281" s="40"/>
      <c r="J6281" s="102">
        <v>0</v>
      </c>
    </row>
    <row r="6282" spans="1:10" ht="15.75" hidden="1" thickBot="1" x14ac:dyDescent="0.3">
      <c r="A6282" s="218" t="s">
        <v>2265</v>
      </c>
      <c r="B6282" s="229" t="e">
        <f>INDEX(#REF!,MATCH(Composições!A6282,#REF!,0),2)</f>
        <v>#REF!</v>
      </c>
      <c r="C6282" s="41"/>
      <c r="D6282" s="26" t="s">
        <v>95</v>
      </c>
      <c r="E6282" s="27"/>
      <c r="F6282" s="49" t="s">
        <v>522</v>
      </c>
      <c r="G6282" s="28" t="str">
        <f t="shared" ref="G6282:G6291" si="125">IF(ISNUMBER(F6282),E6282*F6282,"")</f>
        <v/>
      </c>
      <c r="H6282" s="29"/>
      <c r="I6282" s="30"/>
      <c r="J6282" s="102">
        <v>0</v>
      </c>
    </row>
    <row r="6283" spans="1:10" hidden="1" x14ac:dyDescent="0.25">
      <c r="A6283" s="224"/>
      <c r="B6283" s="230"/>
      <c r="C6283" s="111"/>
      <c r="D6283" s="111"/>
      <c r="E6283" s="112"/>
      <c r="F6283" s="54" t="s">
        <v>522</v>
      </c>
      <c r="G6283" s="54" t="str">
        <f t="shared" si="125"/>
        <v/>
      </c>
      <c r="H6283" s="73"/>
      <c r="I6283" s="74"/>
      <c r="J6283" s="102">
        <v>0</v>
      </c>
    </row>
    <row r="6284" spans="1:10" ht="25.5" hidden="1" x14ac:dyDescent="0.25">
      <c r="A6284" s="224"/>
      <c r="B6284" s="230"/>
      <c r="C6284" s="36" t="s">
        <v>1900</v>
      </c>
      <c r="D6284" s="105" t="s">
        <v>279</v>
      </c>
      <c r="E6284" s="106">
        <v>10.220000000000001</v>
      </c>
      <c r="F6284" s="31">
        <v>3.5909999999999997</v>
      </c>
      <c r="G6284" s="54">
        <f t="shared" si="125"/>
        <v>36.700020000000002</v>
      </c>
      <c r="H6284" s="39">
        <f>SUM(G6284:G6291)</f>
        <v>75.499133375360799</v>
      </c>
      <c r="I6284" s="40"/>
      <c r="J6284" s="102">
        <v>0</v>
      </c>
    </row>
    <row r="6285" spans="1:10" ht="25.5" hidden="1" x14ac:dyDescent="0.25">
      <c r="A6285" s="224"/>
      <c r="B6285" s="230"/>
      <c r="C6285" s="36" t="s">
        <v>2403</v>
      </c>
      <c r="D6285" s="105" t="s">
        <v>479</v>
      </c>
      <c r="E6285" s="106">
        <v>0.87</v>
      </c>
      <c r="F6285" s="31">
        <v>5.4624999999999995</v>
      </c>
      <c r="G6285" s="54">
        <f t="shared" si="125"/>
        <v>4.7523749999999998</v>
      </c>
      <c r="H6285" s="44"/>
      <c r="I6285" s="40"/>
      <c r="J6285" s="102">
        <v>0</v>
      </c>
    </row>
    <row r="6286" spans="1:10" ht="25.5" hidden="1" x14ac:dyDescent="0.25">
      <c r="A6286" s="224"/>
      <c r="B6286" s="230"/>
      <c r="C6286" s="36" t="s">
        <v>1905</v>
      </c>
      <c r="D6286" s="105" t="s">
        <v>279</v>
      </c>
      <c r="E6286" s="106">
        <v>1.46</v>
      </c>
      <c r="F6286" s="31">
        <v>2.052</v>
      </c>
      <c r="G6286" s="54">
        <f t="shared" si="125"/>
        <v>2.9959199999999999</v>
      </c>
      <c r="H6286" s="44"/>
      <c r="I6286" s="40"/>
      <c r="J6286" s="102">
        <v>0</v>
      </c>
    </row>
    <row r="6287" spans="1:10" ht="25.5" hidden="1" x14ac:dyDescent="0.25">
      <c r="A6287" s="224"/>
      <c r="B6287" s="230"/>
      <c r="C6287" s="36" t="s">
        <v>1899</v>
      </c>
      <c r="D6287" s="105" t="s">
        <v>279</v>
      </c>
      <c r="E6287" s="106">
        <v>1.46</v>
      </c>
      <c r="F6287" s="31">
        <v>3.2869999999999999</v>
      </c>
      <c r="G6287" s="54">
        <f t="shared" si="125"/>
        <v>4.7990199999999996</v>
      </c>
      <c r="H6287" s="44"/>
      <c r="I6287" s="40"/>
      <c r="J6287" s="102">
        <v>0</v>
      </c>
    </row>
    <row r="6288" spans="1:10" ht="25.5" hidden="1" x14ac:dyDescent="0.25">
      <c r="A6288" s="224"/>
      <c r="B6288" s="230"/>
      <c r="C6288" s="36" t="s">
        <v>1903</v>
      </c>
      <c r="D6288" s="105" t="s">
        <v>279</v>
      </c>
      <c r="E6288" s="106">
        <v>0.97</v>
      </c>
      <c r="F6288" s="31">
        <v>4.0469999999999997</v>
      </c>
      <c r="G6288" s="54">
        <f t="shared" si="125"/>
        <v>3.9255899999999997</v>
      </c>
      <c r="H6288" s="44"/>
      <c r="I6288" s="40"/>
      <c r="J6288" s="102">
        <v>0</v>
      </c>
    </row>
    <row r="6289" spans="1:10" hidden="1" x14ac:dyDescent="0.25">
      <c r="A6289" s="224"/>
      <c r="B6289" s="230"/>
      <c r="C6289" s="36" t="s">
        <v>711</v>
      </c>
      <c r="D6289" s="105" t="s">
        <v>703</v>
      </c>
      <c r="E6289" s="106">
        <v>0.49</v>
      </c>
      <c r="F6289" s="31">
        <v>21.479499999999998</v>
      </c>
      <c r="G6289" s="54">
        <f t="shared" si="125"/>
        <v>10.524954999999999</v>
      </c>
      <c r="H6289" s="44"/>
      <c r="I6289" s="40"/>
      <c r="J6289" s="102">
        <v>0</v>
      </c>
    </row>
    <row r="6290" spans="1:10" hidden="1" x14ac:dyDescent="0.25">
      <c r="A6290" s="224"/>
      <c r="B6290" s="230"/>
      <c r="C6290" s="36" t="s">
        <v>704</v>
      </c>
      <c r="D6290" s="105" t="s">
        <v>703</v>
      </c>
      <c r="E6290" s="106">
        <v>0.37</v>
      </c>
      <c r="F6290" s="31">
        <v>16.1785</v>
      </c>
      <c r="G6290" s="54">
        <f t="shared" si="125"/>
        <v>5.9860449999999998</v>
      </c>
      <c r="H6290" s="44"/>
      <c r="I6290" s="40"/>
      <c r="J6290" s="102">
        <v>0</v>
      </c>
    </row>
    <row r="6291" spans="1:10" ht="51" hidden="1" x14ac:dyDescent="0.25">
      <c r="A6291" s="224"/>
      <c r="B6291" s="230"/>
      <c r="C6291" s="36" t="s">
        <v>1680</v>
      </c>
      <c r="D6291" s="105" t="s">
        <v>120</v>
      </c>
      <c r="E6291" s="106">
        <v>1.04E-2</v>
      </c>
      <c r="F6291" s="31">
        <v>559.1546514769999</v>
      </c>
      <c r="G6291" s="54">
        <f t="shared" si="125"/>
        <v>5.8152083753607986</v>
      </c>
      <c r="H6291" s="44"/>
      <c r="I6291" s="40"/>
      <c r="J6291" s="102">
        <v>0</v>
      </c>
    </row>
    <row r="6292" spans="1:10" ht="15.75" hidden="1" thickBot="1" x14ac:dyDescent="0.3">
      <c r="A6292" s="225"/>
      <c r="B6292" s="231"/>
      <c r="C6292" s="36"/>
      <c r="D6292" s="105"/>
      <c r="E6292" s="106"/>
      <c r="F6292" s="31" t="s">
        <v>522</v>
      </c>
      <c r="G6292" s="54"/>
      <c r="H6292" s="44"/>
      <c r="I6292" s="40"/>
      <c r="J6292" s="102">
        <v>0</v>
      </c>
    </row>
    <row r="6293" spans="1:10" ht="15.75" hidden="1" thickBot="1" x14ac:dyDescent="0.3">
      <c r="A6293" s="218" t="s">
        <v>2266</v>
      </c>
      <c r="B6293" s="221" t="e">
        <f>INDEX(#REF!,MATCH(Composições!A6293,#REF!,0),2)</f>
        <v>#REF!</v>
      </c>
      <c r="C6293" s="41"/>
      <c r="D6293" s="26" t="s">
        <v>20</v>
      </c>
      <c r="E6293" s="27"/>
      <c r="F6293" s="49" t="s">
        <v>522</v>
      </c>
      <c r="G6293" s="28" t="str">
        <f t="shared" ref="G6293:G6315" si="126">IF(ISNUMBER(F6293),E6293*F6293,"")</f>
        <v/>
      </c>
      <c r="H6293" s="29"/>
      <c r="I6293" s="30"/>
      <c r="J6293" s="102">
        <v>0</v>
      </c>
    </row>
    <row r="6294" spans="1:10" hidden="1" x14ac:dyDescent="0.25">
      <c r="A6294" s="224"/>
      <c r="B6294" s="222"/>
      <c r="C6294" s="111"/>
      <c r="D6294" s="111"/>
      <c r="E6294" s="112"/>
      <c r="F6294" s="54" t="s">
        <v>522</v>
      </c>
      <c r="G6294" s="54" t="str">
        <f t="shared" si="126"/>
        <v/>
      </c>
      <c r="H6294" s="73"/>
      <c r="I6294" s="74"/>
      <c r="J6294" s="102">
        <v>0</v>
      </c>
    </row>
    <row r="6295" spans="1:10" hidden="1" x14ac:dyDescent="0.25">
      <c r="A6295" s="224"/>
      <c r="B6295" s="222"/>
      <c r="C6295" s="36" t="s">
        <v>1904</v>
      </c>
      <c r="D6295" s="105" t="s">
        <v>279</v>
      </c>
      <c r="E6295" s="106">
        <v>21</v>
      </c>
      <c r="F6295" s="31">
        <v>2.7835000000000001</v>
      </c>
      <c r="G6295" s="54">
        <f t="shared" si="126"/>
        <v>58.453500000000005</v>
      </c>
      <c r="H6295" s="39">
        <f>SUM(G6295:G6315)</f>
        <v>1287.5153802638924</v>
      </c>
      <c r="I6295" s="40"/>
      <c r="J6295" s="102">
        <v>0</v>
      </c>
    </row>
    <row r="6296" spans="1:10" ht="25.5" hidden="1" x14ac:dyDescent="0.25">
      <c r="A6296" s="224"/>
      <c r="B6296" s="222"/>
      <c r="C6296" s="36" t="s">
        <v>1151</v>
      </c>
      <c r="D6296" s="105" t="s">
        <v>102</v>
      </c>
      <c r="E6296" s="106">
        <v>8.2000000000000007E-3</v>
      </c>
      <c r="F6296" s="31">
        <v>7.1535000000000002</v>
      </c>
      <c r="G6296" s="54">
        <f t="shared" si="126"/>
        <v>5.8658700000000008E-2</v>
      </c>
      <c r="H6296" s="44"/>
      <c r="I6296" s="40"/>
      <c r="J6296" s="102">
        <v>0</v>
      </c>
    </row>
    <row r="6297" spans="1:10" ht="25.5" hidden="1" x14ac:dyDescent="0.25">
      <c r="A6297" s="224"/>
      <c r="B6297" s="222"/>
      <c r="C6297" s="36" t="s">
        <v>2013</v>
      </c>
      <c r="D6297" s="105" t="s">
        <v>479</v>
      </c>
      <c r="E6297" s="106">
        <v>0.17760000000000001</v>
      </c>
      <c r="F6297" s="31">
        <v>8.5879999999999992</v>
      </c>
      <c r="G6297" s="54">
        <f t="shared" si="126"/>
        <v>1.5252287999999998</v>
      </c>
      <c r="H6297" s="44"/>
      <c r="I6297" s="40"/>
      <c r="J6297" s="102">
        <v>0</v>
      </c>
    </row>
    <row r="6298" spans="1:10" ht="25.5" hidden="1" x14ac:dyDescent="0.25">
      <c r="A6298" s="224"/>
      <c r="B6298" s="222"/>
      <c r="C6298" s="36" t="s">
        <v>2015</v>
      </c>
      <c r="D6298" s="105" t="s">
        <v>479</v>
      </c>
      <c r="E6298" s="106">
        <v>0.2112</v>
      </c>
      <c r="F6298" s="31">
        <v>3.0019999999999998</v>
      </c>
      <c r="G6298" s="54">
        <f t="shared" si="126"/>
        <v>0.63402239999999999</v>
      </c>
      <c r="H6298" s="44"/>
      <c r="I6298" s="40"/>
      <c r="J6298" s="102">
        <v>0</v>
      </c>
    </row>
    <row r="6299" spans="1:10" hidden="1" x14ac:dyDescent="0.25">
      <c r="A6299" s="224"/>
      <c r="B6299" s="222"/>
      <c r="C6299" s="36" t="s">
        <v>1797</v>
      </c>
      <c r="D6299" s="105" t="s">
        <v>898</v>
      </c>
      <c r="E6299" s="106">
        <v>0.187</v>
      </c>
      <c r="F6299" s="31">
        <v>22.552999999999997</v>
      </c>
      <c r="G6299" s="54">
        <f t="shared" si="126"/>
        <v>4.2174109999999994</v>
      </c>
      <c r="H6299" s="44"/>
      <c r="I6299" s="40"/>
      <c r="J6299" s="102">
        <v>0</v>
      </c>
    </row>
    <row r="6300" spans="1:10" ht="63.75" hidden="1" x14ac:dyDescent="0.25">
      <c r="A6300" s="224"/>
      <c r="B6300" s="222"/>
      <c r="C6300" s="36" t="s">
        <v>1661</v>
      </c>
      <c r="D6300" s="105" t="s">
        <v>942</v>
      </c>
      <c r="E6300" s="106">
        <v>3.1300000000000001E-2</v>
      </c>
      <c r="F6300" s="31">
        <v>121.581</v>
      </c>
      <c r="G6300" s="54">
        <f t="shared" si="126"/>
        <v>3.8054853000000004</v>
      </c>
      <c r="H6300" s="44"/>
      <c r="I6300" s="40"/>
      <c r="J6300" s="102">
        <v>0</v>
      </c>
    </row>
    <row r="6301" spans="1:10" ht="63.75" hidden="1" x14ac:dyDescent="0.25">
      <c r="A6301" s="224"/>
      <c r="B6301" s="222"/>
      <c r="C6301" s="36" t="s">
        <v>1666</v>
      </c>
      <c r="D6301" s="105" t="s">
        <v>944</v>
      </c>
      <c r="E6301" s="106">
        <v>6.3700000000000007E-2</v>
      </c>
      <c r="F6301" s="31">
        <v>44.003999999999998</v>
      </c>
      <c r="G6301" s="54">
        <f t="shared" si="126"/>
        <v>2.8030548</v>
      </c>
      <c r="H6301" s="44"/>
      <c r="I6301" s="40"/>
      <c r="J6301" s="102">
        <v>0</v>
      </c>
    </row>
    <row r="6302" spans="1:10" ht="25.5" hidden="1" x14ac:dyDescent="0.25">
      <c r="A6302" s="224"/>
      <c r="B6302" s="222"/>
      <c r="C6302" s="36" t="s">
        <v>2374</v>
      </c>
      <c r="D6302" s="105" t="s">
        <v>479</v>
      </c>
      <c r="E6302" s="106">
        <v>0.66239999999999999</v>
      </c>
      <c r="F6302" s="31">
        <v>19.997499999999999</v>
      </c>
      <c r="G6302" s="54">
        <f t="shared" si="126"/>
        <v>13.246343999999999</v>
      </c>
      <c r="H6302" s="44"/>
      <c r="I6302" s="40"/>
      <c r="J6302" s="102">
        <v>0</v>
      </c>
    </row>
    <row r="6303" spans="1:10" ht="25.5" hidden="1" x14ac:dyDescent="0.25">
      <c r="A6303" s="224"/>
      <c r="B6303" s="222"/>
      <c r="C6303" s="36" t="s">
        <v>1901</v>
      </c>
      <c r="D6303" s="105" t="s">
        <v>279</v>
      </c>
      <c r="E6303" s="106">
        <v>47.175699999999999</v>
      </c>
      <c r="F6303" s="31">
        <v>4.4935</v>
      </c>
      <c r="G6303" s="54">
        <f t="shared" si="126"/>
        <v>211.98400795000001</v>
      </c>
      <c r="H6303" s="44"/>
      <c r="I6303" s="40"/>
      <c r="J6303" s="102">
        <v>0</v>
      </c>
    </row>
    <row r="6304" spans="1:10" ht="25.5" hidden="1" x14ac:dyDescent="0.25">
      <c r="A6304" s="224"/>
      <c r="B6304" s="222"/>
      <c r="C6304" s="36" t="s">
        <v>2404</v>
      </c>
      <c r="D6304" s="105" t="s">
        <v>279</v>
      </c>
      <c r="E6304" s="106">
        <v>1</v>
      </c>
      <c r="F6304" s="31">
        <v>44.023000000000003</v>
      </c>
      <c r="G6304" s="54">
        <f t="shared" si="126"/>
        <v>44.023000000000003</v>
      </c>
      <c r="H6304" s="44"/>
      <c r="I6304" s="40"/>
      <c r="J6304" s="102">
        <v>0</v>
      </c>
    </row>
    <row r="6305" spans="1:10" ht="38.25" hidden="1" x14ac:dyDescent="0.25">
      <c r="A6305" s="224"/>
      <c r="B6305" s="222"/>
      <c r="C6305" s="36" t="s">
        <v>1002</v>
      </c>
      <c r="D6305" s="105" t="s">
        <v>120</v>
      </c>
      <c r="E6305" s="106">
        <v>4.3E-3</v>
      </c>
      <c r="F6305" s="31">
        <v>482.96383126599994</v>
      </c>
      <c r="G6305" s="54">
        <f t="shared" si="126"/>
        <v>2.0767444744437999</v>
      </c>
      <c r="H6305" s="44"/>
      <c r="I6305" s="40"/>
      <c r="J6305" s="102">
        <v>0</v>
      </c>
    </row>
    <row r="6306" spans="1:10" hidden="1" x14ac:dyDescent="0.25">
      <c r="A6306" s="224"/>
      <c r="B6306" s="222"/>
      <c r="C6306" s="36" t="s">
        <v>711</v>
      </c>
      <c r="D6306" s="105" t="s">
        <v>703</v>
      </c>
      <c r="E6306" s="106">
        <v>9.5631000000000004</v>
      </c>
      <c r="F6306" s="31">
        <v>21.479499999999998</v>
      </c>
      <c r="G6306" s="54">
        <f t="shared" si="126"/>
        <v>205.41060644999999</v>
      </c>
      <c r="H6306" s="44"/>
      <c r="I6306" s="40"/>
      <c r="J6306" s="102">
        <v>0</v>
      </c>
    </row>
    <row r="6307" spans="1:10" hidden="1" x14ac:dyDescent="0.25">
      <c r="A6307" s="224"/>
      <c r="B6307" s="222"/>
      <c r="C6307" s="36" t="s">
        <v>704</v>
      </c>
      <c r="D6307" s="105" t="s">
        <v>703</v>
      </c>
      <c r="E6307" s="106">
        <v>7.5138999999999996</v>
      </c>
      <c r="F6307" s="31">
        <v>16.1785</v>
      </c>
      <c r="G6307" s="54">
        <f t="shared" si="126"/>
        <v>121.56363114999999</v>
      </c>
      <c r="H6307" s="44"/>
      <c r="I6307" s="40"/>
      <c r="J6307" s="102">
        <v>0</v>
      </c>
    </row>
    <row r="6308" spans="1:10" ht="25.5" hidden="1" x14ac:dyDescent="0.25">
      <c r="A6308" s="224"/>
      <c r="B6308" s="222"/>
      <c r="C6308" s="36" t="s">
        <v>1679</v>
      </c>
      <c r="D6308" s="105" t="s">
        <v>120</v>
      </c>
      <c r="E6308" s="106">
        <v>0.47460000000000002</v>
      </c>
      <c r="F6308" s="31">
        <v>553.03047868099998</v>
      </c>
      <c r="G6308" s="54">
        <f t="shared" si="126"/>
        <v>262.4682651820026</v>
      </c>
      <c r="H6308" s="44"/>
      <c r="I6308" s="40"/>
      <c r="J6308" s="102">
        <v>0</v>
      </c>
    </row>
    <row r="6309" spans="1:10" ht="25.5" hidden="1" x14ac:dyDescent="0.25">
      <c r="A6309" s="224"/>
      <c r="B6309" s="222"/>
      <c r="C6309" s="36" t="s">
        <v>2435</v>
      </c>
      <c r="D6309" s="105" t="s">
        <v>120</v>
      </c>
      <c r="E6309" s="106">
        <v>2.9899999999999999E-2</v>
      </c>
      <c r="F6309" s="31">
        <v>970.66870977517999</v>
      </c>
      <c r="G6309" s="54">
        <f t="shared" si="126"/>
        <v>29.022994422277883</v>
      </c>
      <c r="H6309" s="44"/>
      <c r="I6309" s="40"/>
      <c r="J6309" s="102">
        <v>0</v>
      </c>
    </row>
    <row r="6310" spans="1:10" ht="25.5" hidden="1" x14ac:dyDescent="0.25">
      <c r="A6310" s="224"/>
      <c r="B6310" s="222"/>
      <c r="C6310" s="36" t="s">
        <v>2436</v>
      </c>
      <c r="D6310" s="105" t="s">
        <v>120</v>
      </c>
      <c r="E6310" s="106">
        <v>6.1499999999999999E-2</v>
      </c>
      <c r="F6310" s="31">
        <v>942.19523947517996</v>
      </c>
      <c r="G6310" s="54">
        <f t="shared" si="126"/>
        <v>57.945007227723565</v>
      </c>
      <c r="H6310" s="44"/>
      <c r="I6310" s="40"/>
      <c r="J6310" s="102">
        <v>0</v>
      </c>
    </row>
    <row r="6311" spans="1:10" ht="25.5" hidden="1" x14ac:dyDescent="0.25">
      <c r="A6311" s="224"/>
      <c r="B6311" s="222"/>
      <c r="C6311" s="36" t="s">
        <v>1669</v>
      </c>
      <c r="D6311" s="105" t="s">
        <v>898</v>
      </c>
      <c r="E6311" s="106">
        <v>0.98719999999999997</v>
      </c>
      <c r="F6311" s="31">
        <v>12.5989722</v>
      </c>
      <c r="G6311" s="54">
        <f t="shared" si="126"/>
        <v>12.43770535584</v>
      </c>
      <c r="H6311" s="44"/>
      <c r="I6311" s="40"/>
      <c r="J6311" s="102">
        <v>0</v>
      </c>
    </row>
    <row r="6312" spans="1:10" ht="25.5" hidden="1" x14ac:dyDescent="0.25">
      <c r="A6312" s="224"/>
      <c r="B6312" s="222"/>
      <c r="C6312" s="36" t="s">
        <v>1670</v>
      </c>
      <c r="D6312" s="105" t="s">
        <v>898</v>
      </c>
      <c r="E6312" s="106">
        <v>2.468</v>
      </c>
      <c r="F6312" s="31">
        <v>12.155303199999999</v>
      </c>
      <c r="G6312" s="54">
        <f t="shared" si="126"/>
        <v>29.999288297599996</v>
      </c>
      <c r="H6312" s="44"/>
      <c r="I6312" s="40"/>
      <c r="J6312" s="102">
        <v>0</v>
      </c>
    </row>
    <row r="6313" spans="1:10" ht="25.5" hidden="1" x14ac:dyDescent="0.25">
      <c r="A6313" s="224"/>
      <c r="B6313" s="222"/>
      <c r="C6313" s="36" t="s">
        <v>1073</v>
      </c>
      <c r="D6313" s="105" t="s">
        <v>120</v>
      </c>
      <c r="E6313" s="106">
        <v>0.1628</v>
      </c>
      <c r="F6313" s="31">
        <v>514.85858651642991</v>
      </c>
      <c r="G6313" s="54">
        <f t="shared" si="126"/>
        <v>83.818977884874784</v>
      </c>
      <c r="H6313" s="44"/>
      <c r="I6313" s="40"/>
      <c r="J6313" s="102">
        <v>0</v>
      </c>
    </row>
    <row r="6314" spans="1:10" ht="25.5" hidden="1" x14ac:dyDescent="0.25">
      <c r="A6314" s="224"/>
      <c r="B6314" s="222"/>
      <c r="C6314" s="36" t="s">
        <v>1676</v>
      </c>
      <c r="D6314" s="105" t="s">
        <v>120</v>
      </c>
      <c r="E6314" s="106">
        <v>6.1600000000000002E-2</v>
      </c>
      <c r="F6314" s="31">
        <v>2260.1914770881458</v>
      </c>
      <c r="G6314" s="54">
        <f t="shared" si="126"/>
        <v>139.2277949886298</v>
      </c>
      <c r="H6314" s="44"/>
      <c r="I6314" s="40"/>
      <c r="J6314" s="102">
        <v>0</v>
      </c>
    </row>
    <row r="6315" spans="1:10" ht="25.5" hidden="1" x14ac:dyDescent="0.25">
      <c r="A6315" s="224"/>
      <c r="B6315" s="222"/>
      <c r="C6315" s="36" t="s">
        <v>2002</v>
      </c>
      <c r="D6315" s="105" t="s">
        <v>992</v>
      </c>
      <c r="E6315" s="106">
        <v>1.17</v>
      </c>
      <c r="F6315" s="31">
        <v>2.3877366499999999</v>
      </c>
      <c r="G6315" s="54">
        <f t="shared" si="126"/>
        <v>2.7936518804999997</v>
      </c>
      <c r="H6315" s="44"/>
      <c r="I6315" s="40"/>
      <c r="J6315" s="102">
        <v>0</v>
      </c>
    </row>
    <row r="6316" spans="1:10" ht="15.75" hidden="1" thickBot="1" x14ac:dyDescent="0.3">
      <c r="A6316" s="225"/>
      <c r="B6316" s="223"/>
      <c r="C6316" s="36"/>
      <c r="D6316" s="105"/>
      <c r="E6316" s="106"/>
      <c r="F6316" s="31" t="s">
        <v>522</v>
      </c>
      <c r="G6316" s="54"/>
      <c r="H6316" s="44"/>
      <c r="I6316" s="40"/>
      <c r="J6316" s="102">
        <v>0</v>
      </c>
    </row>
    <row r="6317" spans="1:10" ht="15.75" hidden="1" thickBot="1" x14ac:dyDescent="0.3">
      <c r="A6317" s="218" t="s">
        <v>2267</v>
      </c>
      <c r="B6317" s="221" t="e">
        <f>INDEX(#REF!,MATCH(Composições!A6317,#REF!,0),2)</f>
        <v>#REF!</v>
      </c>
      <c r="C6317" s="41"/>
      <c r="D6317" s="26" t="s">
        <v>93</v>
      </c>
      <c r="E6317" s="27"/>
      <c r="F6317" s="49" t="s">
        <v>522</v>
      </c>
      <c r="G6317" s="28" t="str">
        <f t="shared" ref="G6317:G6325" si="127">IF(ISNUMBER(F6317),E6317*F6317,"")</f>
        <v/>
      </c>
      <c r="H6317" s="29"/>
      <c r="I6317" s="30"/>
      <c r="J6317" s="102">
        <v>0</v>
      </c>
    </row>
    <row r="6318" spans="1:10" hidden="1" x14ac:dyDescent="0.25">
      <c r="A6318" s="224"/>
      <c r="B6318" s="222"/>
      <c r="C6318" s="111"/>
      <c r="D6318" s="111"/>
      <c r="E6318" s="112"/>
      <c r="F6318" s="54" t="s">
        <v>522</v>
      </c>
      <c r="G6318" s="54" t="str">
        <f t="shared" si="127"/>
        <v/>
      </c>
      <c r="H6318" s="73"/>
      <c r="I6318" s="74"/>
      <c r="J6318" s="102">
        <v>0</v>
      </c>
    </row>
    <row r="6319" spans="1:10" hidden="1" x14ac:dyDescent="0.25">
      <c r="A6319" s="224"/>
      <c r="B6319" s="222"/>
      <c r="C6319" s="36" t="s">
        <v>2358</v>
      </c>
      <c r="D6319" s="105" t="s">
        <v>95</v>
      </c>
      <c r="E6319" s="106">
        <v>3.12</v>
      </c>
      <c r="F6319" s="31">
        <v>0</v>
      </c>
      <c r="G6319" s="54">
        <f t="shared" si="127"/>
        <v>0</v>
      </c>
      <c r="H6319" s="39">
        <f>SUM(G6319:G6325)</f>
        <v>13.459125</v>
      </c>
      <c r="I6319" s="40"/>
      <c r="J6319" s="102">
        <v>0</v>
      </c>
    </row>
    <row r="6320" spans="1:10" hidden="1" x14ac:dyDescent="0.25">
      <c r="A6320" s="224"/>
      <c r="B6320" s="222"/>
      <c r="C6320" s="36" t="s">
        <v>2359</v>
      </c>
      <c r="D6320" s="105" t="s">
        <v>120</v>
      </c>
      <c r="E6320" s="106">
        <v>0.17299999999999999</v>
      </c>
      <c r="F6320" s="31">
        <v>0</v>
      </c>
      <c r="G6320" s="54">
        <f t="shared" si="127"/>
        <v>0</v>
      </c>
      <c r="H6320" s="44"/>
      <c r="I6320" s="40"/>
      <c r="J6320" s="102">
        <v>0</v>
      </c>
    </row>
    <row r="6321" spans="1:10" hidden="1" x14ac:dyDescent="0.25">
      <c r="A6321" s="224"/>
      <c r="B6321" s="222"/>
      <c r="C6321" s="36" t="s">
        <v>2360</v>
      </c>
      <c r="D6321" s="105" t="s">
        <v>95</v>
      </c>
      <c r="E6321" s="106">
        <v>2.56</v>
      </c>
      <c r="F6321" s="31">
        <v>0</v>
      </c>
      <c r="G6321" s="54">
        <f t="shared" si="127"/>
        <v>0</v>
      </c>
      <c r="H6321" s="44"/>
      <c r="I6321" s="40"/>
      <c r="J6321" s="102">
        <v>0</v>
      </c>
    </row>
    <row r="6322" spans="1:10" hidden="1" x14ac:dyDescent="0.25">
      <c r="A6322" s="224"/>
      <c r="B6322" s="222"/>
      <c r="C6322" s="36" t="s">
        <v>2361</v>
      </c>
      <c r="D6322" s="105" t="s">
        <v>120</v>
      </c>
      <c r="E6322" s="106">
        <v>3.3000000000000002E-2</v>
      </c>
      <c r="F6322" s="31">
        <v>0</v>
      </c>
      <c r="G6322" s="54">
        <f t="shared" si="127"/>
        <v>0</v>
      </c>
      <c r="H6322" s="44"/>
      <c r="I6322" s="40"/>
      <c r="J6322" s="102">
        <v>0</v>
      </c>
    </row>
    <row r="6323" spans="1:10" hidden="1" x14ac:dyDescent="0.25">
      <c r="A6323" s="224"/>
      <c r="B6323" s="222"/>
      <c r="C6323" s="36" t="s">
        <v>711</v>
      </c>
      <c r="D6323" s="105" t="s">
        <v>703</v>
      </c>
      <c r="E6323" s="106">
        <v>0.25</v>
      </c>
      <c r="F6323" s="31">
        <v>21.479499999999998</v>
      </c>
      <c r="G6323" s="54">
        <f t="shared" si="127"/>
        <v>5.3698749999999995</v>
      </c>
      <c r="H6323" s="44"/>
      <c r="I6323" s="40"/>
      <c r="J6323" s="102">
        <v>0</v>
      </c>
    </row>
    <row r="6324" spans="1:10" hidden="1" x14ac:dyDescent="0.25">
      <c r="A6324" s="224"/>
      <c r="B6324" s="222"/>
      <c r="C6324" s="36" t="s">
        <v>704</v>
      </c>
      <c r="D6324" s="105" t="s">
        <v>703</v>
      </c>
      <c r="E6324" s="106">
        <v>0.5</v>
      </c>
      <c r="F6324" s="31">
        <v>16.1785</v>
      </c>
      <c r="G6324" s="54">
        <f t="shared" si="127"/>
        <v>8.0892499999999998</v>
      </c>
      <c r="H6324" s="44"/>
      <c r="I6324" s="40"/>
      <c r="J6324" s="102">
        <v>0</v>
      </c>
    </row>
    <row r="6325" spans="1:10" hidden="1" x14ac:dyDescent="0.25">
      <c r="A6325" s="224"/>
      <c r="B6325" s="222"/>
      <c r="C6325" s="36" t="s">
        <v>2362</v>
      </c>
      <c r="D6325" s="105" t="s">
        <v>20</v>
      </c>
      <c r="E6325" s="106">
        <v>1.7</v>
      </c>
      <c r="F6325" s="31">
        <v>0</v>
      </c>
      <c r="G6325" s="54">
        <f t="shared" si="127"/>
        <v>0</v>
      </c>
      <c r="H6325" s="44"/>
      <c r="I6325" s="40"/>
      <c r="J6325" s="102">
        <v>0</v>
      </c>
    </row>
    <row r="6326" spans="1:10" ht="15.75" hidden="1" thickBot="1" x14ac:dyDescent="0.3">
      <c r="A6326" s="225"/>
      <c r="B6326" s="223"/>
      <c r="C6326" s="36"/>
      <c r="D6326" s="105"/>
      <c r="E6326" s="106"/>
      <c r="F6326" s="31" t="s">
        <v>522</v>
      </c>
      <c r="G6326" s="54"/>
      <c r="H6326" s="44"/>
      <c r="I6326" s="40"/>
      <c r="J6326" s="102">
        <v>0</v>
      </c>
    </row>
    <row r="6327" spans="1:10" ht="15.75" hidden="1" thickBot="1" x14ac:dyDescent="0.3">
      <c r="A6327" s="218" t="s">
        <v>2268</v>
      </c>
      <c r="B6327" s="221" t="e">
        <f>INDEX(#REF!,MATCH(Composições!A6327,#REF!,0),2)</f>
        <v>#REF!</v>
      </c>
      <c r="C6327" s="41"/>
      <c r="D6327" s="26" t="s">
        <v>20</v>
      </c>
      <c r="E6327" s="27"/>
      <c r="F6327" s="49" t="s">
        <v>522</v>
      </c>
      <c r="G6327" s="28" t="str">
        <f t="shared" ref="G6327:G6334" si="128">IF(ISNUMBER(F6327),E6327*F6327,"")</f>
        <v/>
      </c>
      <c r="H6327" s="29"/>
      <c r="I6327" s="30"/>
      <c r="J6327" s="102">
        <v>0</v>
      </c>
    </row>
    <row r="6328" spans="1:10" hidden="1" x14ac:dyDescent="0.25">
      <c r="A6328" s="224"/>
      <c r="B6328" s="222"/>
      <c r="C6328" s="111"/>
      <c r="D6328" s="111"/>
      <c r="E6328" s="112"/>
      <c r="F6328" s="54" t="s">
        <v>522</v>
      </c>
      <c r="G6328" s="54" t="str">
        <f t="shared" si="128"/>
        <v/>
      </c>
      <c r="H6328" s="73"/>
      <c r="I6328" s="74"/>
      <c r="J6328" s="102">
        <v>0</v>
      </c>
    </row>
    <row r="6329" spans="1:10" hidden="1" x14ac:dyDescent="0.25">
      <c r="A6329" s="224"/>
      <c r="B6329" s="222"/>
      <c r="C6329" s="36" t="s">
        <v>704</v>
      </c>
      <c r="D6329" s="105" t="s">
        <v>703</v>
      </c>
      <c r="E6329" s="106">
        <v>1.5444</v>
      </c>
      <c r="F6329" s="31">
        <v>16.1785</v>
      </c>
      <c r="G6329" s="54">
        <f t="shared" si="128"/>
        <v>24.986075400000001</v>
      </c>
      <c r="H6329" s="39">
        <f>SUM(G6329:G6334)</f>
        <v>114.12946409999999</v>
      </c>
      <c r="I6329" s="40"/>
      <c r="J6329" s="102">
        <v>0</v>
      </c>
    </row>
    <row r="6330" spans="1:10" hidden="1" x14ac:dyDescent="0.25">
      <c r="A6330" s="224"/>
      <c r="B6330" s="222"/>
      <c r="C6330" s="36" t="s">
        <v>1086</v>
      </c>
      <c r="D6330" s="105" t="s">
        <v>703</v>
      </c>
      <c r="E6330" s="106">
        <v>1.5444</v>
      </c>
      <c r="F6330" s="31">
        <v>17.099999999999998</v>
      </c>
      <c r="G6330" s="54">
        <f t="shared" si="128"/>
        <v>26.409239999999997</v>
      </c>
      <c r="H6330" s="44"/>
      <c r="I6330" s="40"/>
      <c r="J6330" s="102">
        <v>0</v>
      </c>
    </row>
    <row r="6331" spans="1:10" ht="63.75" hidden="1" x14ac:dyDescent="0.25">
      <c r="A6331" s="224"/>
      <c r="B6331" s="222"/>
      <c r="C6331" s="36" t="s">
        <v>1661</v>
      </c>
      <c r="D6331" s="105" t="s">
        <v>942</v>
      </c>
      <c r="E6331" s="106">
        <v>0.1333</v>
      </c>
      <c r="F6331" s="31">
        <v>121.581</v>
      </c>
      <c r="G6331" s="54">
        <f t="shared" si="128"/>
        <v>16.2067473</v>
      </c>
      <c r="H6331" s="44"/>
      <c r="I6331" s="40"/>
      <c r="J6331" s="102">
        <v>0</v>
      </c>
    </row>
    <row r="6332" spans="1:10" ht="63.75" hidden="1" x14ac:dyDescent="0.25">
      <c r="A6332" s="224"/>
      <c r="B6332" s="222"/>
      <c r="C6332" s="36" t="s">
        <v>1666</v>
      </c>
      <c r="D6332" s="105" t="s">
        <v>944</v>
      </c>
      <c r="E6332" s="106">
        <v>0.54459999999999997</v>
      </c>
      <c r="F6332" s="31">
        <v>44.003999999999998</v>
      </c>
      <c r="G6332" s="54">
        <f t="shared" si="128"/>
        <v>23.964578399999997</v>
      </c>
      <c r="H6332" s="44"/>
      <c r="I6332" s="40"/>
      <c r="J6332" s="102">
        <v>0</v>
      </c>
    </row>
    <row r="6333" spans="1:10" hidden="1" x14ac:dyDescent="0.25">
      <c r="A6333" s="224"/>
      <c r="B6333" s="222"/>
      <c r="C6333" s="36" t="s">
        <v>704</v>
      </c>
      <c r="D6333" s="105" t="s">
        <v>703</v>
      </c>
      <c r="E6333" s="106">
        <v>0.67800000000000005</v>
      </c>
      <c r="F6333" s="31">
        <v>16.1785</v>
      </c>
      <c r="G6333" s="54">
        <f t="shared" si="128"/>
        <v>10.969023</v>
      </c>
      <c r="H6333" s="44"/>
      <c r="I6333" s="40"/>
      <c r="J6333" s="102">
        <v>0</v>
      </c>
    </row>
    <row r="6334" spans="1:10" hidden="1" x14ac:dyDescent="0.25">
      <c r="A6334" s="224"/>
      <c r="B6334" s="222"/>
      <c r="C6334" s="36" t="s">
        <v>1086</v>
      </c>
      <c r="D6334" s="105" t="s">
        <v>703</v>
      </c>
      <c r="E6334" s="106">
        <v>0.67800000000000005</v>
      </c>
      <c r="F6334" s="31">
        <v>17.099999999999998</v>
      </c>
      <c r="G6334" s="54">
        <f t="shared" si="128"/>
        <v>11.5938</v>
      </c>
      <c r="H6334" s="44"/>
      <c r="I6334" s="40"/>
      <c r="J6334" s="102">
        <v>0</v>
      </c>
    </row>
    <row r="6335" spans="1:10" ht="15.75" hidden="1" thickBot="1" x14ac:dyDescent="0.3">
      <c r="A6335" s="225"/>
      <c r="B6335" s="223"/>
      <c r="C6335" s="36"/>
      <c r="D6335" s="105"/>
      <c r="E6335" s="106"/>
      <c r="F6335" s="31" t="s">
        <v>522</v>
      </c>
      <c r="G6335" s="54"/>
      <c r="H6335" s="44"/>
      <c r="I6335" s="40"/>
      <c r="J6335" s="102">
        <v>0</v>
      </c>
    </row>
    <row r="6336" spans="1:10" ht="15.75" hidden="1" thickBot="1" x14ac:dyDescent="0.3">
      <c r="A6336" s="218" t="s">
        <v>2269</v>
      </c>
      <c r="B6336" s="221" t="e">
        <f>INDEX(#REF!,MATCH(Composições!A6336,#REF!,0),2)</f>
        <v>#REF!</v>
      </c>
      <c r="C6336" s="41"/>
      <c r="D6336" s="26" t="s">
        <v>95</v>
      </c>
      <c r="E6336" s="27"/>
      <c r="F6336" s="49" t="s">
        <v>522</v>
      </c>
      <c r="G6336" s="28" t="str">
        <f>IF(ISNUMBER(F6336),E6336*F6336,"")</f>
        <v/>
      </c>
      <c r="H6336" s="29"/>
      <c r="I6336" s="30"/>
      <c r="J6336" s="102">
        <v>0</v>
      </c>
    </row>
    <row r="6337" spans="1:10" hidden="1" x14ac:dyDescent="0.25">
      <c r="A6337" s="224"/>
      <c r="B6337" s="222"/>
      <c r="C6337" s="111"/>
      <c r="D6337" s="111"/>
      <c r="E6337" s="112"/>
      <c r="F6337" s="54" t="s">
        <v>522</v>
      </c>
      <c r="G6337" s="54" t="str">
        <f>IF(ISNUMBER(F6337),E6337*F6337,"")</f>
        <v/>
      </c>
      <c r="H6337" s="73"/>
      <c r="I6337" s="74"/>
      <c r="J6337" s="102">
        <v>0</v>
      </c>
    </row>
    <row r="6338" spans="1:10" hidden="1" x14ac:dyDescent="0.25">
      <c r="A6338" s="224"/>
      <c r="B6338" s="222"/>
      <c r="C6338" s="36" t="s">
        <v>704</v>
      </c>
      <c r="D6338" s="105" t="s">
        <v>703</v>
      </c>
      <c r="E6338" s="106">
        <v>9.7100000000000006E-2</v>
      </c>
      <c r="F6338" s="31">
        <v>16.1785</v>
      </c>
      <c r="G6338" s="54">
        <f>IF(ISNUMBER(F6338),E6338*F6338,"")</f>
        <v>1.5709323500000001</v>
      </c>
      <c r="H6338" s="39">
        <f>SUM(G6338:G6339)</f>
        <v>2.6113704499999999</v>
      </c>
      <c r="I6338" s="40"/>
      <c r="J6338" s="102">
        <v>0</v>
      </c>
    </row>
    <row r="6339" spans="1:10" hidden="1" x14ac:dyDescent="0.25">
      <c r="A6339" s="224"/>
      <c r="B6339" s="222"/>
      <c r="C6339" s="36" t="s">
        <v>1302</v>
      </c>
      <c r="D6339" s="105" t="s">
        <v>703</v>
      </c>
      <c r="E6339" s="106">
        <v>4.9399999999999999E-2</v>
      </c>
      <c r="F6339" s="31">
        <v>21.061500000000002</v>
      </c>
      <c r="G6339" s="54">
        <f>IF(ISNUMBER(F6339),E6339*F6339,"")</f>
        <v>1.0404381</v>
      </c>
      <c r="H6339" s="44"/>
      <c r="I6339" s="40"/>
      <c r="J6339" s="102">
        <v>0</v>
      </c>
    </row>
    <row r="6340" spans="1:10" ht="15.75" hidden="1" thickBot="1" x14ac:dyDescent="0.3">
      <c r="A6340" s="225"/>
      <c r="B6340" s="223"/>
      <c r="C6340" s="36"/>
      <c r="D6340" s="105"/>
      <c r="E6340" s="106"/>
      <c r="F6340" s="31" t="s">
        <v>522</v>
      </c>
      <c r="G6340" s="54"/>
      <c r="H6340" s="44"/>
      <c r="I6340" s="40"/>
      <c r="J6340" s="102">
        <v>0</v>
      </c>
    </row>
    <row r="6341" spans="1:10" ht="15.75" hidden="1" thickBot="1" x14ac:dyDescent="0.3">
      <c r="A6341" s="218" t="s">
        <v>2270</v>
      </c>
      <c r="B6341" s="221" t="e">
        <f>INDEX(#REF!,MATCH(Composições!A6341,#REF!,0),2)</f>
        <v>#REF!</v>
      </c>
      <c r="C6341" s="41"/>
      <c r="D6341" s="26" t="s">
        <v>93</v>
      </c>
      <c r="E6341" s="27"/>
      <c r="F6341" s="49" t="s">
        <v>522</v>
      </c>
      <c r="G6341" s="28" t="str">
        <f t="shared" ref="G6341:G6353" si="129">IF(ISNUMBER(F6341),E6341*F6341,"")</f>
        <v/>
      </c>
      <c r="H6341" s="29"/>
      <c r="I6341" s="30"/>
      <c r="J6341" s="102">
        <v>0</v>
      </c>
    </row>
    <row r="6342" spans="1:10" hidden="1" x14ac:dyDescent="0.25">
      <c r="A6342" s="224"/>
      <c r="B6342" s="222"/>
      <c r="C6342" s="111"/>
      <c r="D6342" s="111"/>
      <c r="E6342" s="112"/>
      <c r="F6342" s="54" t="s">
        <v>522</v>
      </c>
      <c r="G6342" s="54" t="str">
        <f t="shared" si="129"/>
        <v/>
      </c>
      <c r="H6342" s="73"/>
      <c r="I6342" s="74"/>
      <c r="J6342" s="102">
        <v>0</v>
      </c>
    </row>
    <row r="6343" spans="1:10" ht="25.5" hidden="1" x14ac:dyDescent="0.25">
      <c r="A6343" s="224"/>
      <c r="B6343" s="222"/>
      <c r="C6343" s="36" t="s">
        <v>2405</v>
      </c>
      <c r="D6343" s="105" t="s">
        <v>479</v>
      </c>
      <c r="E6343" s="106">
        <v>0.74450000000000005</v>
      </c>
      <c r="F6343" s="31">
        <v>7.7044999999999995</v>
      </c>
      <c r="G6343" s="54">
        <f t="shared" si="129"/>
        <v>5.73600025</v>
      </c>
      <c r="H6343" s="39">
        <f>SUM(G6343:G6353)</f>
        <v>52.477012180979216</v>
      </c>
      <c r="I6343" s="40"/>
      <c r="J6343" s="102">
        <v>0</v>
      </c>
    </row>
    <row r="6344" spans="1:10" ht="25.5" hidden="1" x14ac:dyDescent="0.25">
      <c r="A6344" s="224"/>
      <c r="B6344" s="222"/>
      <c r="C6344" s="36" t="s">
        <v>2406</v>
      </c>
      <c r="D6344" s="105" t="s">
        <v>479</v>
      </c>
      <c r="E6344" s="106">
        <v>0.41249999999999998</v>
      </c>
      <c r="F6344" s="31">
        <v>27.673499999999997</v>
      </c>
      <c r="G6344" s="54">
        <f t="shared" si="129"/>
        <v>11.415318749999999</v>
      </c>
      <c r="H6344" s="44"/>
      <c r="I6344" s="40"/>
      <c r="J6344" s="102">
        <v>0</v>
      </c>
    </row>
    <row r="6345" spans="1:10" hidden="1" x14ac:dyDescent="0.25">
      <c r="A6345" s="224"/>
      <c r="B6345" s="222"/>
      <c r="C6345" s="36" t="s">
        <v>1365</v>
      </c>
      <c r="D6345" s="105" t="s">
        <v>898</v>
      </c>
      <c r="E6345" s="106">
        <v>0.111</v>
      </c>
      <c r="F6345" s="31">
        <v>22.134999999999998</v>
      </c>
      <c r="G6345" s="54">
        <f t="shared" si="129"/>
        <v>2.456985</v>
      </c>
      <c r="H6345" s="44"/>
      <c r="I6345" s="40"/>
      <c r="J6345" s="102">
        <v>0</v>
      </c>
    </row>
    <row r="6346" spans="1:10" hidden="1" x14ac:dyDescent="0.25">
      <c r="A6346" s="224"/>
      <c r="B6346" s="222"/>
      <c r="C6346" s="36" t="s">
        <v>2498</v>
      </c>
      <c r="D6346" s="105" t="s">
        <v>102</v>
      </c>
      <c r="E6346" s="106">
        <v>2.5600000000000001E-2</v>
      </c>
      <c r="F6346" s="31">
        <v>22.733499999999999</v>
      </c>
      <c r="G6346" s="54">
        <f t="shared" si="129"/>
        <v>0.58197759999999998</v>
      </c>
      <c r="H6346" s="44"/>
      <c r="I6346" s="40"/>
      <c r="J6346" s="102">
        <v>0</v>
      </c>
    </row>
    <row r="6347" spans="1:10" ht="25.5" hidden="1" x14ac:dyDescent="0.25">
      <c r="A6347" s="224"/>
      <c r="B6347" s="222"/>
      <c r="C6347" s="36" t="s">
        <v>2016</v>
      </c>
      <c r="D6347" s="105" t="s">
        <v>479</v>
      </c>
      <c r="E6347" s="106">
        <v>0.55000000000000004</v>
      </c>
      <c r="F6347" s="31">
        <v>9.7089999999999996</v>
      </c>
      <c r="G6347" s="54">
        <f t="shared" si="129"/>
        <v>5.33995</v>
      </c>
      <c r="H6347" s="44"/>
      <c r="I6347" s="40"/>
      <c r="J6347" s="102">
        <v>0</v>
      </c>
    </row>
    <row r="6348" spans="1:10" hidden="1" x14ac:dyDescent="0.25">
      <c r="A6348" s="224"/>
      <c r="B6348" s="222"/>
      <c r="C6348" s="36" t="s">
        <v>786</v>
      </c>
      <c r="D6348" s="105" t="s">
        <v>703</v>
      </c>
      <c r="E6348" s="106">
        <v>0.35630000000000001</v>
      </c>
      <c r="F6348" s="31">
        <v>17.071499999999997</v>
      </c>
      <c r="G6348" s="54">
        <f t="shared" si="129"/>
        <v>6.0825754499999993</v>
      </c>
      <c r="H6348" s="44"/>
      <c r="I6348" s="40"/>
      <c r="J6348" s="102">
        <v>0</v>
      </c>
    </row>
    <row r="6349" spans="1:10" hidden="1" x14ac:dyDescent="0.25">
      <c r="A6349" s="224"/>
      <c r="B6349" s="222"/>
      <c r="C6349" s="36" t="s">
        <v>993</v>
      </c>
      <c r="D6349" s="105" t="s">
        <v>703</v>
      </c>
      <c r="E6349" s="106">
        <v>0.71250000000000002</v>
      </c>
      <c r="F6349" s="31">
        <v>21.2515</v>
      </c>
      <c r="G6349" s="54">
        <f t="shared" si="129"/>
        <v>15.14169375</v>
      </c>
      <c r="H6349" s="44"/>
      <c r="I6349" s="40"/>
      <c r="J6349" s="102">
        <v>0</v>
      </c>
    </row>
    <row r="6350" spans="1:10" ht="25.5" hidden="1" x14ac:dyDescent="0.25">
      <c r="A6350" s="224"/>
      <c r="B6350" s="222"/>
      <c r="C6350" s="36" t="s">
        <v>1155</v>
      </c>
      <c r="D6350" s="105" t="s">
        <v>942</v>
      </c>
      <c r="E6350" s="106">
        <v>3.8999999999999998E-3</v>
      </c>
      <c r="F6350" s="31">
        <v>17.954999999999998</v>
      </c>
      <c r="G6350" s="54">
        <f t="shared" si="129"/>
        <v>7.002449999999999E-2</v>
      </c>
      <c r="H6350" s="44"/>
      <c r="I6350" s="40"/>
      <c r="J6350" s="102">
        <v>0</v>
      </c>
    </row>
    <row r="6351" spans="1:10" ht="25.5" hidden="1" x14ac:dyDescent="0.25">
      <c r="A6351" s="224"/>
      <c r="B6351" s="222"/>
      <c r="C6351" s="36" t="s">
        <v>1156</v>
      </c>
      <c r="D6351" s="105" t="s">
        <v>944</v>
      </c>
      <c r="E6351" s="106">
        <v>1.6799999999999999E-2</v>
      </c>
      <c r="F6351" s="31">
        <v>16.872</v>
      </c>
      <c r="G6351" s="54">
        <f t="shared" si="129"/>
        <v>0.28344959999999997</v>
      </c>
      <c r="H6351" s="44"/>
      <c r="I6351" s="40"/>
      <c r="J6351" s="102">
        <v>0</v>
      </c>
    </row>
    <row r="6352" spans="1:10" ht="38.25" hidden="1" x14ac:dyDescent="0.25">
      <c r="A6352" s="224"/>
      <c r="B6352" s="222"/>
      <c r="C6352" s="36" t="s">
        <v>2372</v>
      </c>
      <c r="D6352" s="105" t="s">
        <v>120</v>
      </c>
      <c r="E6352" s="106">
        <v>4.5999999999999999E-3</v>
      </c>
      <c r="F6352" s="31">
        <v>515.85912629983</v>
      </c>
      <c r="G6352" s="54">
        <f t="shared" si="129"/>
        <v>2.3729519809792179</v>
      </c>
      <c r="H6352" s="44"/>
      <c r="I6352" s="40"/>
      <c r="J6352" s="102">
        <v>0</v>
      </c>
    </row>
    <row r="6353" spans="1:10" hidden="1" x14ac:dyDescent="0.25">
      <c r="A6353" s="224"/>
      <c r="B6353" s="222"/>
      <c r="C6353" s="36" t="s">
        <v>1681</v>
      </c>
      <c r="D6353" s="105" t="s">
        <v>279</v>
      </c>
      <c r="E6353" s="106">
        <v>1.5</v>
      </c>
      <c r="F6353" s="31">
        <v>1.9973901999999999</v>
      </c>
      <c r="G6353" s="54">
        <f t="shared" si="129"/>
        <v>2.9960852999999998</v>
      </c>
      <c r="H6353" s="44"/>
      <c r="I6353" s="40"/>
      <c r="J6353" s="102">
        <v>0</v>
      </c>
    </row>
    <row r="6354" spans="1:10" ht="15.75" hidden="1" thickBot="1" x14ac:dyDescent="0.3">
      <c r="A6354" s="225"/>
      <c r="B6354" s="223"/>
      <c r="C6354" s="36"/>
      <c r="D6354" s="105"/>
      <c r="E6354" s="106"/>
      <c r="F6354" s="31" t="s">
        <v>522</v>
      </c>
      <c r="G6354" s="54"/>
      <c r="H6354" s="44"/>
      <c r="I6354" s="40"/>
      <c r="J6354" s="102">
        <v>0</v>
      </c>
    </row>
    <row r="6355" spans="1:10" ht="15.75" hidden="1" thickBot="1" x14ac:dyDescent="0.3">
      <c r="A6355" s="218" t="s">
        <v>2271</v>
      </c>
      <c r="B6355" s="229" t="e">
        <f>INDEX(#REF!,MATCH(Composições!A6355,#REF!,0),2)</f>
        <v>#REF!</v>
      </c>
      <c r="C6355" s="41"/>
      <c r="D6355" s="26" t="s">
        <v>20</v>
      </c>
      <c r="E6355" s="27"/>
      <c r="F6355" s="49" t="s">
        <v>522</v>
      </c>
      <c r="G6355" s="28" t="str">
        <f t="shared" ref="G6355:G6366" si="130">IF(ISNUMBER(F6355),E6355*F6355,"")</f>
        <v/>
      </c>
      <c r="H6355" s="29"/>
      <c r="I6355" s="30"/>
      <c r="J6355" s="102">
        <v>0</v>
      </c>
    </row>
    <row r="6356" spans="1:10" hidden="1" x14ac:dyDescent="0.25">
      <c r="A6356" s="224"/>
      <c r="B6356" s="230"/>
      <c r="C6356" s="111"/>
      <c r="D6356" s="111"/>
      <c r="E6356" s="112"/>
      <c r="F6356" s="54" t="s">
        <v>522</v>
      </c>
      <c r="G6356" s="54" t="str">
        <f t="shared" si="130"/>
        <v/>
      </c>
      <c r="H6356" s="73"/>
      <c r="I6356" s="74"/>
      <c r="J6356" s="102">
        <v>0</v>
      </c>
    </row>
    <row r="6357" spans="1:10" ht="25.5" hidden="1" x14ac:dyDescent="0.25">
      <c r="A6357" s="224"/>
      <c r="B6357" s="230"/>
      <c r="C6357" s="36" t="s">
        <v>2363</v>
      </c>
      <c r="D6357" s="105" t="s">
        <v>279</v>
      </c>
      <c r="E6357" s="106">
        <v>4</v>
      </c>
      <c r="F6357" s="31">
        <v>0</v>
      </c>
      <c r="G6357" s="54">
        <f t="shared" si="130"/>
        <v>0</v>
      </c>
      <c r="H6357" s="39">
        <f>SUM(G6357:G6366)</f>
        <v>346.04160582399999</v>
      </c>
      <c r="I6357" s="40"/>
      <c r="J6357" s="102">
        <v>0</v>
      </c>
    </row>
    <row r="6358" spans="1:10" hidden="1" x14ac:dyDescent="0.25">
      <c r="A6358" s="224"/>
      <c r="B6358" s="230"/>
      <c r="C6358" s="36" t="s">
        <v>711</v>
      </c>
      <c r="D6358" s="105" t="s">
        <v>703</v>
      </c>
      <c r="E6358" s="106">
        <v>0.4</v>
      </c>
      <c r="F6358" s="31">
        <v>21.479499999999998</v>
      </c>
      <c r="G6358" s="54">
        <f t="shared" si="130"/>
        <v>8.5917999999999992</v>
      </c>
      <c r="H6358" s="44"/>
      <c r="I6358" s="40"/>
      <c r="J6358" s="102">
        <v>0</v>
      </c>
    </row>
    <row r="6359" spans="1:10" hidden="1" x14ac:dyDescent="0.25">
      <c r="A6359" s="224"/>
      <c r="B6359" s="230"/>
      <c r="C6359" s="36" t="s">
        <v>617</v>
      </c>
      <c r="D6359" s="105" t="s">
        <v>703</v>
      </c>
      <c r="E6359" s="106">
        <v>1.5</v>
      </c>
      <c r="F6359" s="31">
        <v>21.365499999999997</v>
      </c>
      <c r="G6359" s="54">
        <f t="shared" si="130"/>
        <v>32.048249999999996</v>
      </c>
      <c r="H6359" s="44"/>
      <c r="I6359" s="40"/>
      <c r="J6359" s="102">
        <v>0</v>
      </c>
    </row>
    <row r="6360" spans="1:10" hidden="1" x14ac:dyDescent="0.25">
      <c r="A6360" s="224"/>
      <c r="B6360" s="230"/>
      <c r="C6360" s="36" t="s">
        <v>704</v>
      </c>
      <c r="D6360" s="105" t="s">
        <v>703</v>
      </c>
      <c r="E6360" s="106">
        <v>0.4</v>
      </c>
      <c r="F6360" s="31">
        <v>16.1785</v>
      </c>
      <c r="G6360" s="54">
        <f t="shared" si="130"/>
        <v>6.4714</v>
      </c>
      <c r="H6360" s="44"/>
      <c r="I6360" s="40"/>
      <c r="J6360" s="102">
        <v>0</v>
      </c>
    </row>
    <row r="6361" spans="1:10" hidden="1" x14ac:dyDescent="0.25">
      <c r="A6361" s="224"/>
      <c r="B6361" s="230"/>
      <c r="C6361" s="36" t="s">
        <v>1178</v>
      </c>
      <c r="D6361" s="105" t="s">
        <v>42</v>
      </c>
      <c r="E6361" s="106">
        <f>0.023*74.69</f>
        <v>1.71787</v>
      </c>
      <c r="F6361" s="31">
        <v>11.247999999999999</v>
      </c>
      <c r="G6361" s="54">
        <f t="shared" si="130"/>
        <v>19.322601759999998</v>
      </c>
      <c r="H6361" s="44"/>
      <c r="I6361" s="40"/>
      <c r="J6361" s="102">
        <v>0</v>
      </c>
    </row>
    <row r="6362" spans="1:10" ht="25.5" hidden="1" x14ac:dyDescent="0.25">
      <c r="A6362" s="224"/>
      <c r="B6362" s="230"/>
      <c r="C6362" s="36" t="s">
        <v>1830</v>
      </c>
      <c r="D6362" s="105" t="s">
        <v>93</v>
      </c>
      <c r="E6362" s="106">
        <v>3.05</v>
      </c>
      <c r="F6362" s="31">
        <v>85.575999999999993</v>
      </c>
      <c r="G6362" s="54">
        <f t="shared" si="130"/>
        <v>261.00679999999994</v>
      </c>
      <c r="H6362" s="44"/>
      <c r="I6362" s="40"/>
      <c r="J6362" s="102">
        <v>0</v>
      </c>
    </row>
    <row r="6363" spans="1:10" ht="25.5" hidden="1" x14ac:dyDescent="0.25">
      <c r="A6363" s="224"/>
      <c r="B6363" s="230"/>
      <c r="C6363" s="36" t="s">
        <v>1037</v>
      </c>
      <c r="D6363" s="105" t="s">
        <v>279</v>
      </c>
      <c r="E6363" s="106">
        <v>4</v>
      </c>
      <c r="F6363" s="31">
        <v>2.3465000000000003</v>
      </c>
      <c r="G6363" s="54">
        <f t="shared" si="130"/>
        <v>9.386000000000001</v>
      </c>
      <c r="H6363" s="44"/>
      <c r="I6363" s="40"/>
      <c r="J6363" s="102">
        <v>0</v>
      </c>
    </row>
    <row r="6364" spans="1:10" hidden="1" x14ac:dyDescent="0.25">
      <c r="A6364" s="224"/>
      <c r="B6364" s="230"/>
      <c r="C6364" s="36" t="s">
        <v>1357</v>
      </c>
      <c r="D6364" s="105" t="s">
        <v>42</v>
      </c>
      <c r="E6364" s="106">
        <v>0.02</v>
      </c>
      <c r="F6364" s="31">
        <v>152.56049999999999</v>
      </c>
      <c r="G6364" s="54">
        <f t="shared" si="130"/>
        <v>3.0512099999999998</v>
      </c>
      <c r="H6364" s="44"/>
      <c r="I6364" s="40"/>
      <c r="J6364" s="102">
        <v>0</v>
      </c>
    </row>
    <row r="6365" spans="1:10" hidden="1" x14ac:dyDescent="0.25">
      <c r="A6365" s="224"/>
      <c r="B6365" s="230"/>
      <c r="C6365" s="36" t="s">
        <v>100</v>
      </c>
      <c r="D6365" s="47" t="s">
        <v>12</v>
      </c>
      <c r="E6365" s="37">
        <f>0.5708*0.48</f>
        <v>0.27398399999999995</v>
      </c>
      <c r="F6365" s="31">
        <v>22.495999999999999</v>
      </c>
      <c r="G6365" s="54">
        <f t="shared" si="130"/>
        <v>6.1635440639999981</v>
      </c>
      <c r="H6365" s="44"/>
      <c r="I6365" s="40"/>
      <c r="J6365" s="102">
        <v>0</v>
      </c>
    </row>
    <row r="6366" spans="1:10" hidden="1" x14ac:dyDescent="0.25">
      <c r="A6366" s="224"/>
      <c r="B6366" s="230"/>
      <c r="C6366" s="36" t="s">
        <v>205</v>
      </c>
      <c r="D6366" s="50" t="s">
        <v>102</v>
      </c>
      <c r="E6366" s="37">
        <f>ROUND(0.48*3*3.6/75,4)</f>
        <v>6.9099999999999995E-2</v>
      </c>
      <c r="F6366" s="31" t="s">
        <v>522</v>
      </c>
      <c r="G6366" s="54" t="str">
        <f t="shared" si="130"/>
        <v/>
      </c>
      <c r="H6366" s="44"/>
      <c r="I6366" s="40"/>
      <c r="J6366" s="102">
        <v>0</v>
      </c>
    </row>
    <row r="6367" spans="1:10" hidden="1" x14ac:dyDescent="0.25">
      <c r="A6367" s="224"/>
      <c r="B6367" s="230"/>
      <c r="C6367" s="36"/>
      <c r="D6367" s="105"/>
      <c r="E6367" s="106"/>
      <c r="F6367" s="31" t="s">
        <v>522</v>
      </c>
      <c r="G6367" s="54"/>
      <c r="H6367" s="44"/>
      <c r="I6367" s="40"/>
      <c r="J6367" s="102">
        <v>0</v>
      </c>
    </row>
    <row r="6368" spans="1:10" ht="38.25" hidden="1" x14ac:dyDescent="0.25">
      <c r="A6368" s="224"/>
      <c r="B6368" s="230"/>
      <c r="C6368" s="52" t="s">
        <v>1837</v>
      </c>
      <c r="D6368" s="105"/>
      <c r="E6368" s="106"/>
      <c r="F6368" s="31" t="s">
        <v>522</v>
      </c>
      <c r="G6368" s="54"/>
      <c r="H6368" s="44"/>
      <c r="I6368" s="40"/>
      <c r="J6368" s="102">
        <v>0</v>
      </c>
    </row>
    <row r="6369" spans="1:10" ht="15.75" hidden="1" thickBot="1" x14ac:dyDescent="0.3">
      <c r="A6369" s="225"/>
      <c r="B6369" s="231"/>
      <c r="C6369" s="36"/>
      <c r="D6369" s="105"/>
      <c r="E6369" s="106"/>
      <c r="F6369" s="31" t="s">
        <v>522</v>
      </c>
      <c r="G6369" s="54"/>
      <c r="H6369" s="44"/>
      <c r="I6369" s="40"/>
      <c r="J6369" s="102">
        <v>0</v>
      </c>
    </row>
    <row r="6370" spans="1:10" ht="15.75" hidden="1" thickBot="1" x14ac:dyDescent="0.3">
      <c r="A6370" s="218" t="s">
        <v>2272</v>
      </c>
      <c r="B6370" s="221" t="e">
        <f>INDEX(#REF!,MATCH(Composições!A6370,#REF!,0),2)</f>
        <v>#REF!</v>
      </c>
      <c r="C6370" s="41"/>
      <c r="D6370" s="26" t="s">
        <v>20</v>
      </c>
      <c r="E6370" s="27"/>
      <c r="F6370" s="42" t="s">
        <v>522</v>
      </c>
      <c r="G6370" s="28" t="str">
        <f t="shared" ref="G6370:G6433" si="131">IF(ISNUMBER(F6370),E6370*F6370,"")</f>
        <v/>
      </c>
      <c r="H6370" s="29"/>
      <c r="I6370" s="30"/>
      <c r="J6370" s="102">
        <v>0</v>
      </c>
    </row>
    <row r="6371" spans="1:10" hidden="1" x14ac:dyDescent="0.25">
      <c r="A6371" s="219"/>
      <c r="B6371" s="222"/>
      <c r="C6371" s="32"/>
      <c r="D6371" s="32"/>
      <c r="E6371" s="33"/>
      <c r="F6371" s="43" t="s">
        <v>522</v>
      </c>
      <c r="G6371" s="31" t="str">
        <f t="shared" si="131"/>
        <v/>
      </c>
      <c r="H6371" s="35"/>
      <c r="I6371" s="31"/>
      <c r="J6371" s="102">
        <v>0</v>
      </c>
    </row>
    <row r="6372" spans="1:10" ht="25.5" hidden="1" x14ac:dyDescent="0.25">
      <c r="A6372" s="219"/>
      <c r="B6372" s="222"/>
      <c r="C6372" s="36" t="s">
        <v>2364</v>
      </c>
      <c r="D6372" s="36" t="s">
        <v>279</v>
      </c>
      <c r="E6372" s="37">
        <v>1</v>
      </c>
      <c r="F6372" s="34" t="s">
        <v>522</v>
      </c>
      <c r="G6372" s="31" t="str">
        <f t="shared" si="131"/>
        <v/>
      </c>
      <c r="H6372" s="39">
        <f>SUM(G6372:G6375)</f>
        <v>74.587601750000005</v>
      </c>
      <c r="I6372" s="40"/>
      <c r="J6372" s="102">
        <v>0</v>
      </c>
    </row>
    <row r="6373" spans="1:10" ht="51" hidden="1" x14ac:dyDescent="0.25">
      <c r="A6373" s="219"/>
      <c r="B6373" s="222"/>
      <c r="C6373" s="36" t="s">
        <v>1662</v>
      </c>
      <c r="D6373" s="36" t="s">
        <v>942</v>
      </c>
      <c r="E6373" s="37">
        <v>0.111</v>
      </c>
      <c r="F6373" s="34">
        <v>228.8835</v>
      </c>
      <c r="G6373" s="31">
        <f t="shared" si="131"/>
        <v>25.4060685</v>
      </c>
      <c r="H6373" s="45"/>
      <c r="I6373" s="46"/>
      <c r="J6373" s="102">
        <v>0</v>
      </c>
    </row>
    <row r="6374" spans="1:10" hidden="1" x14ac:dyDescent="0.25">
      <c r="A6374" s="219"/>
      <c r="B6374" s="222"/>
      <c r="C6374" s="36" t="s">
        <v>1159</v>
      </c>
      <c r="D6374" s="36" t="s">
        <v>703</v>
      </c>
      <c r="E6374" s="37">
        <f>1.124/2</f>
        <v>0.56200000000000006</v>
      </c>
      <c r="F6374" s="34">
        <v>17.024000000000001</v>
      </c>
      <c r="G6374" s="31">
        <f t="shared" si="131"/>
        <v>9.5674880000000009</v>
      </c>
      <c r="H6374" s="45"/>
      <c r="I6374" s="46"/>
      <c r="J6374" s="102">
        <v>0</v>
      </c>
    </row>
    <row r="6375" spans="1:10" hidden="1" x14ac:dyDescent="0.25">
      <c r="A6375" s="219"/>
      <c r="B6375" s="222"/>
      <c r="C6375" s="36" t="s">
        <v>1160</v>
      </c>
      <c r="D6375" s="36" t="s">
        <v>703</v>
      </c>
      <c r="E6375" s="37">
        <f>3.653/2</f>
        <v>1.8265</v>
      </c>
      <c r="F6375" s="31">
        <v>21.688499999999998</v>
      </c>
      <c r="G6375" s="31">
        <f t="shared" si="131"/>
        <v>39.614045249999997</v>
      </c>
      <c r="H6375" s="35"/>
      <c r="I6375" s="31"/>
      <c r="J6375" s="102">
        <v>0</v>
      </c>
    </row>
    <row r="6376" spans="1:10" ht="15.75" hidden="1" thickBot="1" x14ac:dyDescent="0.3">
      <c r="A6376" s="220"/>
      <c r="B6376" s="223"/>
      <c r="C6376" s="36"/>
      <c r="D6376" s="36"/>
      <c r="E6376" s="37"/>
      <c r="F6376" s="31" t="s">
        <v>522</v>
      </c>
      <c r="G6376" s="31" t="str">
        <f t="shared" si="131"/>
        <v/>
      </c>
      <c r="H6376" s="35"/>
      <c r="I6376" s="31"/>
      <c r="J6376" s="102">
        <v>0</v>
      </c>
    </row>
    <row r="6377" spans="1:10" ht="15.75" hidden="1" thickBot="1" x14ac:dyDescent="0.3">
      <c r="A6377" s="218" t="s">
        <v>2273</v>
      </c>
      <c r="B6377" s="221" t="e">
        <f>INDEX(#REF!,MATCH(Composições!A6377,#REF!,0),2)</f>
        <v>#REF!</v>
      </c>
      <c r="C6377" s="41"/>
      <c r="D6377" s="26" t="s">
        <v>20</v>
      </c>
      <c r="E6377" s="27"/>
      <c r="F6377" s="42" t="s">
        <v>522</v>
      </c>
      <c r="G6377" s="28" t="str">
        <f t="shared" si="131"/>
        <v/>
      </c>
      <c r="H6377" s="29"/>
      <c r="I6377" s="30"/>
      <c r="J6377" s="102">
        <v>0</v>
      </c>
    </row>
    <row r="6378" spans="1:10" hidden="1" x14ac:dyDescent="0.25">
      <c r="A6378" s="219"/>
      <c r="B6378" s="222"/>
      <c r="C6378" s="32"/>
      <c r="D6378" s="32"/>
      <c r="E6378" s="33"/>
      <c r="F6378" s="43" t="s">
        <v>522</v>
      </c>
      <c r="G6378" s="31" t="str">
        <f t="shared" si="131"/>
        <v/>
      </c>
      <c r="H6378" s="35"/>
      <c r="I6378" s="31"/>
      <c r="J6378" s="102">
        <v>0</v>
      </c>
    </row>
    <row r="6379" spans="1:10" hidden="1" x14ac:dyDescent="0.25">
      <c r="A6379" s="219"/>
      <c r="B6379" s="222"/>
      <c r="C6379" s="36" t="s">
        <v>2365</v>
      </c>
      <c r="D6379" s="36" t="s">
        <v>279</v>
      </c>
      <c r="E6379" s="37">
        <v>1</v>
      </c>
      <c r="F6379" s="34" t="s">
        <v>522</v>
      </c>
      <c r="G6379" s="31" t="str">
        <f t="shared" si="131"/>
        <v/>
      </c>
      <c r="H6379" s="39">
        <f>SUM(G6379:G6381)</f>
        <v>19.356249999999999</v>
      </c>
      <c r="I6379" s="40"/>
      <c r="J6379" s="102">
        <v>0</v>
      </c>
    </row>
    <row r="6380" spans="1:10" hidden="1" x14ac:dyDescent="0.25">
      <c r="A6380" s="219"/>
      <c r="B6380" s="222"/>
      <c r="C6380" s="36" t="s">
        <v>1159</v>
      </c>
      <c r="D6380" s="36" t="s">
        <v>703</v>
      </c>
      <c r="E6380" s="37">
        <v>0.5</v>
      </c>
      <c r="F6380" s="34">
        <v>17.024000000000001</v>
      </c>
      <c r="G6380" s="31">
        <f t="shared" si="131"/>
        <v>8.5120000000000005</v>
      </c>
      <c r="H6380" s="45"/>
      <c r="I6380" s="46"/>
      <c r="J6380" s="102">
        <v>0</v>
      </c>
    </row>
    <row r="6381" spans="1:10" hidden="1" x14ac:dyDescent="0.25">
      <c r="A6381" s="219"/>
      <c r="B6381" s="222"/>
      <c r="C6381" s="36" t="s">
        <v>1160</v>
      </c>
      <c r="D6381" s="36" t="s">
        <v>703</v>
      </c>
      <c r="E6381" s="37">
        <v>0.5</v>
      </c>
      <c r="F6381" s="31">
        <v>21.688499999999998</v>
      </c>
      <c r="G6381" s="31">
        <f t="shared" si="131"/>
        <v>10.844249999999999</v>
      </c>
      <c r="H6381" s="35"/>
      <c r="I6381" s="31"/>
      <c r="J6381" s="102">
        <v>0</v>
      </c>
    </row>
    <row r="6382" spans="1:10" ht="15.75" hidden="1" thickBot="1" x14ac:dyDescent="0.3">
      <c r="A6382" s="220"/>
      <c r="B6382" s="223"/>
      <c r="C6382" s="55"/>
      <c r="D6382" s="55"/>
      <c r="E6382" s="66"/>
      <c r="F6382" s="67" t="s">
        <v>522</v>
      </c>
      <c r="G6382" s="67" t="str">
        <f t="shared" si="131"/>
        <v/>
      </c>
      <c r="H6382" s="69"/>
      <c r="I6382" s="31"/>
      <c r="J6382" s="102">
        <v>0</v>
      </c>
    </row>
    <row r="6383" spans="1:10" ht="15.75" hidden="1" thickBot="1" x14ac:dyDescent="0.3">
      <c r="A6383" s="218" t="s">
        <v>2417</v>
      </c>
      <c r="B6383" s="221" t="e">
        <f>INDEX(#REF!,MATCH(Composições!A6383,#REF!,0),2)</f>
        <v>#REF!</v>
      </c>
      <c r="C6383" s="41"/>
      <c r="D6383" s="26" t="s">
        <v>93</v>
      </c>
      <c r="E6383" s="27"/>
      <c r="F6383" s="42" t="s">
        <v>522</v>
      </c>
      <c r="G6383" s="28" t="str">
        <f t="shared" si="131"/>
        <v/>
      </c>
      <c r="H6383" s="29"/>
      <c r="I6383" s="30"/>
      <c r="J6383" s="102">
        <v>0</v>
      </c>
    </row>
    <row r="6384" spans="1:10" hidden="1" x14ac:dyDescent="0.25">
      <c r="A6384" s="219"/>
      <c r="B6384" s="222"/>
      <c r="C6384" s="32"/>
      <c r="D6384" s="32"/>
      <c r="E6384" s="33"/>
      <c r="F6384" s="43" t="s">
        <v>522</v>
      </c>
      <c r="G6384" s="31" t="str">
        <f t="shared" si="131"/>
        <v/>
      </c>
      <c r="H6384" s="35"/>
      <c r="I6384" s="31"/>
      <c r="J6384" s="102">
        <v>0</v>
      </c>
    </row>
    <row r="6385" spans="1:10" hidden="1" x14ac:dyDescent="0.25">
      <c r="A6385" s="219"/>
      <c r="B6385" s="222"/>
      <c r="C6385" s="36" t="s">
        <v>39</v>
      </c>
      <c r="D6385" s="36" t="s">
        <v>12</v>
      </c>
      <c r="E6385" s="37">
        <v>0.13</v>
      </c>
      <c r="F6385" s="34">
        <v>20.9</v>
      </c>
      <c r="G6385" s="31">
        <f t="shared" si="131"/>
        <v>2.7170000000000001</v>
      </c>
      <c r="H6385" s="39">
        <f>SUM(G6385:G6388)</f>
        <v>151.82192249999997</v>
      </c>
      <c r="I6385" s="40"/>
      <c r="J6385" s="102">
        <v>0</v>
      </c>
    </row>
    <row r="6386" spans="1:10" ht="25.5" hidden="1" x14ac:dyDescent="0.25">
      <c r="A6386" s="219"/>
      <c r="B6386" s="222"/>
      <c r="C6386" s="36" t="s">
        <v>107</v>
      </c>
      <c r="D6386" s="36" t="s">
        <v>12</v>
      </c>
      <c r="E6386" s="37">
        <v>0.13</v>
      </c>
      <c r="F6386" s="34">
        <v>16.672499999999999</v>
      </c>
      <c r="G6386" s="31">
        <f t="shared" si="131"/>
        <v>2.1674250000000002</v>
      </c>
      <c r="H6386" s="45"/>
      <c r="I6386" s="46"/>
      <c r="J6386" s="102">
        <v>0</v>
      </c>
    </row>
    <row r="6387" spans="1:10" hidden="1" x14ac:dyDescent="0.25">
      <c r="A6387" s="219"/>
      <c r="B6387" s="222"/>
      <c r="C6387" s="36" t="s">
        <v>1081</v>
      </c>
      <c r="D6387" s="36" t="s">
        <v>12</v>
      </c>
      <c r="E6387" s="37">
        <v>0.13</v>
      </c>
      <c r="F6387" s="34">
        <v>22.134999999999998</v>
      </c>
      <c r="G6387" s="31">
        <f t="shared" si="131"/>
        <v>2.8775499999999998</v>
      </c>
      <c r="H6387" s="45"/>
      <c r="I6387" s="46"/>
      <c r="J6387" s="102">
        <v>0</v>
      </c>
    </row>
    <row r="6388" spans="1:10" ht="25.5" hidden="1" x14ac:dyDescent="0.25">
      <c r="A6388" s="219"/>
      <c r="B6388" s="222"/>
      <c r="C6388" s="36" t="s">
        <v>2431</v>
      </c>
      <c r="D6388" s="36" t="s">
        <v>93</v>
      </c>
      <c r="E6388" s="37">
        <v>1.0389999999999999</v>
      </c>
      <c r="F6388" s="31">
        <v>138.65249999999997</v>
      </c>
      <c r="G6388" s="31">
        <f t="shared" si="131"/>
        <v>144.05994749999996</v>
      </c>
      <c r="H6388" s="35"/>
      <c r="I6388" s="31"/>
      <c r="J6388" s="102">
        <v>0</v>
      </c>
    </row>
    <row r="6389" spans="1:10" ht="15.75" hidden="1" thickBot="1" x14ac:dyDescent="0.3">
      <c r="A6389" s="220"/>
      <c r="B6389" s="223"/>
      <c r="C6389" s="36"/>
      <c r="D6389" s="36"/>
      <c r="E6389" s="37"/>
      <c r="F6389" s="31" t="s">
        <v>522</v>
      </c>
      <c r="G6389" s="31" t="str">
        <f t="shared" si="131"/>
        <v/>
      </c>
      <c r="H6389" s="35"/>
      <c r="I6389" s="31"/>
      <c r="J6389" s="102">
        <v>0</v>
      </c>
    </row>
    <row r="6390" spans="1:10" ht="15.75" hidden="1" thickBot="1" x14ac:dyDescent="0.3">
      <c r="A6390" s="218" t="s">
        <v>2418</v>
      </c>
      <c r="B6390" s="221" t="e">
        <f>INDEX(#REF!,MATCH(Composições!A6390,#REF!,0),2)</f>
        <v>#REF!</v>
      </c>
      <c r="C6390" s="41"/>
      <c r="D6390" s="26" t="s">
        <v>20</v>
      </c>
      <c r="E6390" s="27"/>
      <c r="F6390" s="42" t="s">
        <v>522</v>
      </c>
      <c r="G6390" s="28" t="str">
        <f t="shared" si="131"/>
        <v/>
      </c>
      <c r="H6390" s="29"/>
      <c r="I6390" s="30"/>
      <c r="J6390" s="102">
        <v>0</v>
      </c>
    </row>
    <row r="6391" spans="1:10" hidden="1" x14ac:dyDescent="0.25">
      <c r="A6391" s="219"/>
      <c r="B6391" s="222"/>
      <c r="C6391" s="32"/>
      <c r="D6391" s="32"/>
      <c r="E6391" s="33"/>
      <c r="F6391" s="43" t="s">
        <v>522</v>
      </c>
      <c r="G6391" s="31" t="str">
        <f t="shared" si="131"/>
        <v/>
      </c>
      <c r="H6391" s="35"/>
      <c r="I6391" s="31"/>
      <c r="J6391" s="102">
        <v>0</v>
      </c>
    </row>
    <row r="6392" spans="1:10" hidden="1" x14ac:dyDescent="0.25">
      <c r="A6392" s="219"/>
      <c r="B6392" s="222"/>
      <c r="C6392" s="105" t="s">
        <v>39</v>
      </c>
      <c r="D6392" s="107" t="s">
        <v>12</v>
      </c>
      <c r="E6392" s="106">
        <v>3</v>
      </c>
      <c r="F6392" s="31">
        <v>20.9</v>
      </c>
      <c r="G6392" s="31">
        <f t="shared" si="131"/>
        <v>62.699999999999996</v>
      </c>
      <c r="H6392" s="39">
        <f>SUM(G6392:G6392)</f>
        <v>62.699999999999996</v>
      </c>
      <c r="I6392" s="40"/>
      <c r="J6392" s="102">
        <v>0</v>
      </c>
    </row>
    <row r="6393" spans="1:10" ht="15.75" hidden="1" thickBot="1" x14ac:dyDescent="0.3">
      <c r="A6393" s="220"/>
      <c r="B6393" s="223"/>
      <c r="C6393" s="55"/>
      <c r="D6393" s="55"/>
      <c r="E6393" s="66"/>
      <c r="F6393" s="67" t="s">
        <v>522</v>
      </c>
      <c r="G6393" s="67" t="str">
        <f t="shared" si="131"/>
        <v/>
      </c>
      <c r="H6393" s="69"/>
      <c r="I6393" s="31"/>
      <c r="J6393" s="102">
        <v>0</v>
      </c>
    </row>
    <row r="6394" spans="1:10" ht="15.75" hidden="1" thickBot="1" x14ac:dyDescent="0.3">
      <c r="A6394" s="218" t="s">
        <v>2419</v>
      </c>
      <c r="B6394" s="221" t="e">
        <f>INDEX(#REF!,MATCH(Composições!A6394,#REF!,0),2)</f>
        <v>#REF!</v>
      </c>
      <c r="C6394" s="41"/>
      <c r="D6394" s="26" t="s">
        <v>20</v>
      </c>
      <c r="E6394" s="27"/>
      <c r="F6394" s="42" t="s">
        <v>522</v>
      </c>
      <c r="G6394" s="28" t="str">
        <f t="shared" si="131"/>
        <v/>
      </c>
      <c r="H6394" s="29"/>
      <c r="I6394" s="30"/>
      <c r="J6394" s="102">
        <v>0</v>
      </c>
    </row>
    <row r="6395" spans="1:10" hidden="1" x14ac:dyDescent="0.25">
      <c r="A6395" s="219"/>
      <c r="B6395" s="222"/>
      <c r="C6395" s="32"/>
      <c r="D6395" s="32"/>
      <c r="E6395" s="33"/>
      <c r="F6395" s="43" t="s">
        <v>522</v>
      </c>
      <c r="G6395" s="31" t="str">
        <f t="shared" si="131"/>
        <v/>
      </c>
      <c r="H6395" s="35"/>
      <c r="I6395" s="31"/>
      <c r="J6395" s="102">
        <v>0</v>
      </c>
    </row>
    <row r="6396" spans="1:10" hidden="1" x14ac:dyDescent="0.25">
      <c r="A6396" s="219"/>
      <c r="B6396" s="222"/>
      <c r="C6396" s="105" t="s">
        <v>39</v>
      </c>
      <c r="D6396" s="107" t="s">
        <v>12</v>
      </c>
      <c r="E6396" s="106">
        <v>5.2</v>
      </c>
      <c r="F6396" s="34">
        <v>20.9</v>
      </c>
      <c r="G6396" s="31">
        <f t="shared" si="131"/>
        <v>108.67999999999999</v>
      </c>
      <c r="H6396" s="39">
        <f>SUM(G6396:G6397)</f>
        <v>195.37700000000001</v>
      </c>
      <c r="I6396" s="40"/>
      <c r="J6396" s="102">
        <v>0</v>
      </c>
    </row>
    <row r="6397" spans="1:10" ht="25.5" hidden="1" x14ac:dyDescent="0.25">
      <c r="A6397" s="219"/>
      <c r="B6397" s="222"/>
      <c r="C6397" s="105" t="s">
        <v>107</v>
      </c>
      <c r="D6397" s="107" t="s">
        <v>12</v>
      </c>
      <c r="E6397" s="106">
        <v>5.2</v>
      </c>
      <c r="F6397" s="31">
        <v>16.672499999999999</v>
      </c>
      <c r="G6397" s="31">
        <f t="shared" si="131"/>
        <v>86.697000000000003</v>
      </c>
      <c r="H6397" s="35"/>
      <c r="I6397" s="31"/>
      <c r="J6397" s="102">
        <v>0</v>
      </c>
    </row>
    <row r="6398" spans="1:10" ht="15.75" hidden="1" thickBot="1" x14ac:dyDescent="0.3">
      <c r="A6398" s="220"/>
      <c r="B6398" s="223"/>
      <c r="C6398" s="55"/>
      <c r="D6398" s="55"/>
      <c r="E6398" s="66"/>
      <c r="F6398" s="67" t="s">
        <v>522</v>
      </c>
      <c r="G6398" s="67" t="str">
        <f t="shared" si="131"/>
        <v/>
      </c>
      <c r="H6398" s="69"/>
      <c r="I6398" s="31"/>
      <c r="J6398" s="102">
        <v>0</v>
      </c>
    </row>
    <row r="6399" spans="1:10" ht="15.75" hidden="1" thickBot="1" x14ac:dyDescent="0.3">
      <c r="A6399" s="218" t="s">
        <v>2420</v>
      </c>
      <c r="B6399" s="221" t="e">
        <f>INDEX(#REF!,MATCH(Composições!A6399,#REF!,0),2)</f>
        <v>#REF!</v>
      </c>
      <c r="C6399" s="41"/>
      <c r="D6399" s="26" t="s">
        <v>20</v>
      </c>
      <c r="E6399" s="27"/>
      <c r="F6399" s="42" t="s">
        <v>522</v>
      </c>
      <c r="G6399" s="28" t="str">
        <f t="shared" si="131"/>
        <v/>
      </c>
      <c r="H6399" s="29"/>
      <c r="I6399" s="30"/>
      <c r="J6399" s="102">
        <v>0</v>
      </c>
    </row>
    <row r="6400" spans="1:10" hidden="1" x14ac:dyDescent="0.25">
      <c r="A6400" s="219"/>
      <c r="B6400" s="222"/>
      <c r="C6400" s="32"/>
      <c r="D6400" s="32"/>
      <c r="E6400" s="33"/>
      <c r="F6400" s="43" t="s">
        <v>522</v>
      </c>
      <c r="G6400" s="31" t="str">
        <f t="shared" si="131"/>
        <v/>
      </c>
      <c r="H6400" s="35"/>
      <c r="I6400" s="31"/>
      <c r="J6400" s="102">
        <v>0</v>
      </c>
    </row>
    <row r="6401" spans="1:10" hidden="1" x14ac:dyDescent="0.25">
      <c r="A6401" s="219"/>
      <c r="B6401" s="222"/>
      <c r="C6401" s="118" t="s">
        <v>704</v>
      </c>
      <c r="D6401" s="107" t="s">
        <v>703</v>
      </c>
      <c r="E6401" s="106">
        <v>0.9</v>
      </c>
      <c r="F6401" s="31">
        <v>16.1785</v>
      </c>
      <c r="G6401" s="31">
        <f t="shared" si="131"/>
        <v>14.560650000000001</v>
      </c>
      <c r="H6401" s="39">
        <f>SUM(G6401:G6401)</f>
        <v>14.560650000000001</v>
      </c>
      <c r="I6401" s="40"/>
      <c r="J6401" s="102">
        <v>0</v>
      </c>
    </row>
    <row r="6402" spans="1:10" ht="15.75" hidden="1" thickBot="1" x14ac:dyDescent="0.3">
      <c r="A6402" s="220"/>
      <c r="B6402" s="223"/>
      <c r="C6402" s="55"/>
      <c r="D6402" s="55"/>
      <c r="E6402" s="66"/>
      <c r="F6402" s="67" t="s">
        <v>522</v>
      </c>
      <c r="G6402" s="67" t="str">
        <f t="shared" si="131"/>
        <v/>
      </c>
      <c r="H6402" s="69"/>
      <c r="I6402" s="31"/>
      <c r="J6402" s="102">
        <v>0</v>
      </c>
    </row>
    <row r="6403" spans="1:10" ht="15.75" hidden="1" thickBot="1" x14ac:dyDescent="0.3">
      <c r="A6403" s="218" t="s">
        <v>2421</v>
      </c>
      <c r="B6403" s="221" t="e">
        <f>INDEX(#REF!,MATCH(Composições!A6403,#REF!,0),2)</f>
        <v>#REF!</v>
      </c>
      <c r="C6403" s="41"/>
      <c r="D6403" s="26" t="s">
        <v>20</v>
      </c>
      <c r="E6403" s="27"/>
      <c r="F6403" s="42" t="s">
        <v>522</v>
      </c>
      <c r="G6403" s="28" t="str">
        <f t="shared" si="131"/>
        <v/>
      </c>
      <c r="H6403" s="29"/>
      <c r="I6403" s="30"/>
      <c r="J6403" s="102">
        <v>0</v>
      </c>
    </row>
    <row r="6404" spans="1:10" hidden="1" x14ac:dyDescent="0.25">
      <c r="A6404" s="219"/>
      <c r="B6404" s="222"/>
      <c r="C6404" s="32"/>
      <c r="D6404" s="32"/>
      <c r="E6404" s="33"/>
      <c r="F6404" s="43" t="s">
        <v>522</v>
      </c>
      <c r="G6404" s="31" t="str">
        <f t="shared" si="131"/>
        <v/>
      </c>
      <c r="H6404" s="35"/>
      <c r="I6404" s="31"/>
      <c r="J6404" s="102">
        <v>0</v>
      </c>
    </row>
    <row r="6405" spans="1:10" hidden="1" x14ac:dyDescent="0.25">
      <c r="A6405" s="219"/>
      <c r="B6405" s="222"/>
      <c r="C6405" s="118" t="s">
        <v>704</v>
      </c>
      <c r="D6405" s="107" t="s">
        <v>703</v>
      </c>
      <c r="E6405" s="106">
        <f>0.9*1.5</f>
        <v>1.35</v>
      </c>
      <c r="F6405" s="31">
        <v>16.1785</v>
      </c>
      <c r="G6405" s="31">
        <f t="shared" si="131"/>
        <v>21.840975</v>
      </c>
      <c r="H6405" s="39">
        <f>SUM(G6405:G6405)</f>
        <v>21.840975</v>
      </c>
      <c r="I6405" s="40"/>
      <c r="J6405" s="102">
        <v>0</v>
      </c>
    </row>
    <row r="6406" spans="1:10" ht="15.75" hidden="1" thickBot="1" x14ac:dyDescent="0.3">
      <c r="A6406" s="220"/>
      <c r="B6406" s="223"/>
      <c r="C6406" s="55"/>
      <c r="D6406" s="55"/>
      <c r="E6406" s="66"/>
      <c r="F6406" s="67" t="s">
        <v>522</v>
      </c>
      <c r="G6406" s="67" t="str">
        <f t="shared" si="131"/>
        <v/>
      </c>
      <c r="H6406" s="69"/>
      <c r="I6406" s="31"/>
      <c r="J6406" s="102">
        <v>0</v>
      </c>
    </row>
    <row r="6407" spans="1:10" ht="15.75" hidden="1" thickBot="1" x14ac:dyDescent="0.3">
      <c r="A6407" s="218" t="s">
        <v>2422</v>
      </c>
      <c r="B6407" s="221" t="e">
        <f>INDEX(#REF!,MATCH(Composições!A6407,#REF!,0),2)</f>
        <v>#REF!</v>
      </c>
      <c r="C6407" s="41"/>
      <c r="D6407" s="26" t="s">
        <v>95</v>
      </c>
      <c r="E6407" s="27"/>
      <c r="F6407" s="42" t="s">
        <v>522</v>
      </c>
      <c r="G6407" s="28" t="str">
        <f t="shared" si="131"/>
        <v/>
      </c>
      <c r="H6407" s="29"/>
      <c r="I6407" s="30"/>
      <c r="J6407" s="102">
        <v>0</v>
      </c>
    </row>
    <row r="6408" spans="1:10" hidden="1" x14ac:dyDescent="0.25">
      <c r="A6408" s="219"/>
      <c r="B6408" s="222"/>
      <c r="C6408" s="32"/>
      <c r="D6408" s="32"/>
      <c r="E6408" s="33"/>
      <c r="F6408" s="43" t="s">
        <v>522</v>
      </c>
      <c r="G6408" s="31" t="str">
        <f t="shared" si="131"/>
        <v/>
      </c>
      <c r="H6408" s="35"/>
      <c r="I6408" s="31"/>
      <c r="J6408" s="102">
        <v>0</v>
      </c>
    </row>
    <row r="6409" spans="1:10" hidden="1" x14ac:dyDescent="0.25">
      <c r="A6409" s="219"/>
      <c r="B6409" s="222"/>
      <c r="C6409" s="36" t="s">
        <v>711</v>
      </c>
      <c r="D6409" s="105" t="s">
        <v>703</v>
      </c>
      <c r="E6409" s="106">
        <v>0.09</v>
      </c>
      <c r="F6409" s="34">
        <v>21.479499999999998</v>
      </c>
      <c r="G6409" s="31">
        <f t="shared" si="131"/>
        <v>1.9331549999999997</v>
      </c>
      <c r="H6409" s="39">
        <f>SUM(G6409:G6410)</f>
        <v>16.493805000000002</v>
      </c>
      <c r="I6409" s="40"/>
      <c r="J6409" s="102">
        <v>0</v>
      </c>
    </row>
    <row r="6410" spans="1:10" hidden="1" x14ac:dyDescent="0.25">
      <c r="A6410" s="219"/>
      <c r="B6410" s="222"/>
      <c r="C6410" s="36" t="s">
        <v>704</v>
      </c>
      <c r="D6410" s="105" t="s">
        <v>703</v>
      </c>
      <c r="E6410" s="106">
        <v>0.9</v>
      </c>
      <c r="F6410" s="31">
        <v>16.1785</v>
      </c>
      <c r="G6410" s="31">
        <f t="shared" si="131"/>
        <v>14.560650000000001</v>
      </c>
      <c r="H6410" s="35"/>
      <c r="I6410" s="31"/>
      <c r="J6410" s="102">
        <v>0</v>
      </c>
    </row>
    <row r="6411" spans="1:10" ht="15.75" hidden="1" thickBot="1" x14ac:dyDescent="0.3">
      <c r="A6411" s="220"/>
      <c r="B6411" s="223"/>
      <c r="C6411" s="55"/>
      <c r="D6411" s="55"/>
      <c r="E6411" s="66"/>
      <c r="F6411" s="67" t="s">
        <v>522</v>
      </c>
      <c r="G6411" s="67" t="str">
        <f t="shared" si="131"/>
        <v/>
      </c>
      <c r="H6411" s="69"/>
      <c r="I6411" s="31"/>
      <c r="J6411" s="102">
        <v>0</v>
      </c>
    </row>
    <row r="6412" spans="1:10" ht="15.75" hidden="1" thickBot="1" x14ac:dyDescent="0.3">
      <c r="A6412" s="218" t="s">
        <v>2423</v>
      </c>
      <c r="B6412" s="221" t="e">
        <f>INDEX(#REF!,MATCH(Composições!A6412,#REF!,0),2)</f>
        <v>#REF!</v>
      </c>
      <c r="C6412" s="41"/>
      <c r="D6412" s="26" t="s">
        <v>95</v>
      </c>
      <c r="E6412" s="27"/>
      <c r="F6412" s="42" t="s">
        <v>522</v>
      </c>
      <c r="G6412" s="28" t="str">
        <f t="shared" si="131"/>
        <v/>
      </c>
      <c r="H6412" s="29"/>
      <c r="I6412" s="30"/>
      <c r="J6412" s="102">
        <v>0</v>
      </c>
    </row>
    <row r="6413" spans="1:10" hidden="1" x14ac:dyDescent="0.25">
      <c r="A6413" s="219"/>
      <c r="B6413" s="222"/>
      <c r="C6413" s="32"/>
      <c r="D6413" s="32"/>
      <c r="E6413" s="33"/>
      <c r="F6413" s="43" t="s">
        <v>522</v>
      </c>
      <c r="G6413" s="31" t="str">
        <f t="shared" si="131"/>
        <v/>
      </c>
      <c r="H6413" s="35"/>
      <c r="I6413" s="31"/>
      <c r="J6413" s="102">
        <v>0</v>
      </c>
    </row>
    <row r="6414" spans="1:10" hidden="1" x14ac:dyDescent="0.25">
      <c r="A6414" s="219"/>
      <c r="B6414" s="222"/>
      <c r="C6414" s="36" t="s">
        <v>704</v>
      </c>
      <c r="D6414" s="36" t="s">
        <v>703</v>
      </c>
      <c r="E6414" s="37">
        <v>9.7100000000000006E-2</v>
      </c>
      <c r="F6414" s="34">
        <v>16.1785</v>
      </c>
      <c r="G6414" s="31">
        <f t="shared" si="131"/>
        <v>1.5709323500000001</v>
      </c>
      <c r="H6414" s="39">
        <f>SUM(G6414:G6415)</f>
        <v>2.6113704499999999</v>
      </c>
      <c r="I6414" s="40"/>
      <c r="J6414" s="102">
        <v>0</v>
      </c>
    </row>
    <row r="6415" spans="1:10" hidden="1" x14ac:dyDescent="0.25">
      <c r="A6415" s="219"/>
      <c r="B6415" s="222"/>
      <c r="C6415" s="36" t="s">
        <v>1302</v>
      </c>
      <c r="D6415" s="36" t="s">
        <v>703</v>
      </c>
      <c r="E6415" s="37">
        <v>4.9399999999999999E-2</v>
      </c>
      <c r="F6415" s="31">
        <v>21.061500000000002</v>
      </c>
      <c r="G6415" s="31">
        <f t="shared" si="131"/>
        <v>1.0404381</v>
      </c>
      <c r="H6415" s="35"/>
      <c r="I6415" s="31"/>
      <c r="J6415" s="102">
        <v>0</v>
      </c>
    </row>
    <row r="6416" spans="1:10" ht="15.75" hidden="1" thickBot="1" x14ac:dyDescent="0.3">
      <c r="A6416" s="220"/>
      <c r="B6416" s="223"/>
      <c r="C6416" s="55"/>
      <c r="D6416" s="55"/>
      <c r="E6416" s="66"/>
      <c r="F6416" s="67" t="s">
        <v>522</v>
      </c>
      <c r="G6416" s="67" t="str">
        <f t="shared" si="131"/>
        <v/>
      </c>
      <c r="H6416" s="69"/>
      <c r="I6416" s="31"/>
      <c r="J6416" s="102">
        <v>0</v>
      </c>
    </row>
    <row r="6417" spans="1:10" ht="15.75" hidden="1" thickBot="1" x14ac:dyDescent="0.3">
      <c r="A6417" s="218" t="s">
        <v>2447</v>
      </c>
      <c r="B6417" s="221" t="e">
        <f>INDEX(#REF!,MATCH(Composições!A6417,#REF!,0),2)</f>
        <v>#REF!</v>
      </c>
      <c r="C6417" s="41"/>
      <c r="D6417" s="26" t="s">
        <v>95</v>
      </c>
      <c r="E6417" s="27"/>
      <c r="F6417" s="42" t="s">
        <v>522</v>
      </c>
      <c r="G6417" s="28" t="str">
        <f t="shared" si="131"/>
        <v/>
      </c>
      <c r="H6417" s="29"/>
      <c r="I6417" s="30"/>
      <c r="J6417" s="102">
        <v>0</v>
      </c>
    </row>
    <row r="6418" spans="1:10" hidden="1" x14ac:dyDescent="0.25">
      <c r="A6418" s="219"/>
      <c r="B6418" s="222"/>
      <c r="C6418" s="32"/>
      <c r="D6418" s="32"/>
      <c r="E6418" s="33"/>
      <c r="F6418" s="43" t="s">
        <v>522</v>
      </c>
      <c r="G6418" s="31" t="str">
        <f t="shared" si="131"/>
        <v/>
      </c>
      <c r="H6418" s="35"/>
      <c r="I6418" s="31"/>
      <c r="J6418" s="102">
        <v>0</v>
      </c>
    </row>
    <row r="6419" spans="1:10" hidden="1" x14ac:dyDescent="0.25">
      <c r="A6419" s="219"/>
      <c r="B6419" s="222"/>
      <c r="C6419" s="36" t="s">
        <v>1269</v>
      </c>
      <c r="D6419" s="47" t="s">
        <v>703</v>
      </c>
      <c r="E6419" s="37">
        <v>0.45910000000000001</v>
      </c>
      <c r="F6419" s="34">
        <v>19.959500000000002</v>
      </c>
      <c r="G6419" s="31">
        <f t="shared" si="131"/>
        <v>9.1634064500000019</v>
      </c>
      <c r="H6419" s="39">
        <f>SUM(G6419:G6420)</f>
        <v>11.722845150000001</v>
      </c>
      <c r="I6419" s="40"/>
      <c r="J6419" s="102">
        <v>0</v>
      </c>
    </row>
    <row r="6420" spans="1:10" hidden="1" x14ac:dyDescent="0.25">
      <c r="A6420" s="219"/>
      <c r="B6420" s="222"/>
      <c r="C6420" s="36" t="s">
        <v>704</v>
      </c>
      <c r="D6420" s="36" t="s">
        <v>703</v>
      </c>
      <c r="E6420" s="37">
        <v>0.15820000000000001</v>
      </c>
      <c r="F6420" s="31">
        <v>16.1785</v>
      </c>
      <c r="G6420" s="31">
        <f t="shared" si="131"/>
        <v>2.5594386999999998</v>
      </c>
      <c r="H6420" s="35"/>
      <c r="I6420" s="31"/>
      <c r="J6420" s="102">
        <v>0</v>
      </c>
    </row>
    <row r="6421" spans="1:10" ht="15.75" hidden="1" thickBot="1" x14ac:dyDescent="0.3">
      <c r="A6421" s="220"/>
      <c r="B6421" s="223"/>
      <c r="C6421" s="55"/>
      <c r="D6421" s="55"/>
      <c r="E6421" s="66"/>
      <c r="F6421" s="67" t="s">
        <v>522</v>
      </c>
      <c r="G6421" s="67" t="str">
        <f t="shared" si="131"/>
        <v/>
      </c>
      <c r="H6421" s="69"/>
      <c r="I6421" s="31"/>
      <c r="J6421" s="102">
        <v>0</v>
      </c>
    </row>
    <row r="6422" spans="1:10" ht="15.75" hidden="1" thickBot="1" x14ac:dyDescent="0.3">
      <c r="A6422" s="218" t="s">
        <v>2448</v>
      </c>
      <c r="B6422" s="221" t="e">
        <f>INDEX(#REF!,MATCH(Composições!A6422,#REF!,0),2)</f>
        <v>#REF!</v>
      </c>
      <c r="C6422" s="41"/>
      <c r="D6422" s="26" t="s">
        <v>95</v>
      </c>
      <c r="E6422" s="27"/>
      <c r="F6422" s="42" t="s">
        <v>522</v>
      </c>
      <c r="G6422" s="28" t="str">
        <f t="shared" si="131"/>
        <v/>
      </c>
      <c r="H6422" s="29"/>
      <c r="I6422" s="30"/>
      <c r="J6422" s="102">
        <v>0</v>
      </c>
    </row>
    <row r="6423" spans="1:10" hidden="1" x14ac:dyDescent="0.25">
      <c r="A6423" s="219"/>
      <c r="B6423" s="222"/>
      <c r="C6423" s="32"/>
      <c r="D6423" s="32"/>
      <c r="E6423" s="33"/>
      <c r="F6423" s="43" t="s">
        <v>522</v>
      </c>
      <c r="G6423" s="31" t="str">
        <f t="shared" si="131"/>
        <v/>
      </c>
      <c r="H6423" s="35"/>
      <c r="I6423" s="31"/>
      <c r="J6423" s="102">
        <v>0</v>
      </c>
    </row>
    <row r="6424" spans="1:10" ht="25.5" hidden="1" x14ac:dyDescent="0.25">
      <c r="A6424" s="219"/>
      <c r="B6424" s="222"/>
      <c r="C6424" s="36" t="s">
        <v>752</v>
      </c>
      <c r="D6424" s="36" t="s">
        <v>120</v>
      </c>
      <c r="E6424" s="37">
        <v>5.6800000000000003E-2</v>
      </c>
      <c r="F6424" s="34">
        <v>142.5</v>
      </c>
      <c r="G6424" s="31">
        <f t="shared" si="131"/>
        <v>8.0940000000000012</v>
      </c>
      <c r="H6424" s="39">
        <f>SUM(G6424:G6429)</f>
        <v>16.443122500000001</v>
      </c>
      <c r="I6424" s="40"/>
      <c r="J6424" s="102">
        <v>0</v>
      </c>
    </row>
    <row r="6425" spans="1:10" hidden="1" x14ac:dyDescent="0.25">
      <c r="A6425" s="219"/>
      <c r="B6425" s="222"/>
      <c r="C6425" s="36" t="s">
        <v>1267</v>
      </c>
      <c r="D6425" s="36" t="s">
        <v>120</v>
      </c>
      <c r="E6425" s="37">
        <v>6.4000000000000003E-3</v>
      </c>
      <c r="F6425" s="31">
        <v>133.90249999999997</v>
      </c>
      <c r="G6425" s="31">
        <f t="shared" si="131"/>
        <v>0.85697599999999985</v>
      </c>
      <c r="H6425" s="35"/>
      <c r="I6425" s="31"/>
      <c r="J6425" s="102">
        <v>0</v>
      </c>
    </row>
    <row r="6426" spans="1:10" hidden="1" x14ac:dyDescent="0.25">
      <c r="A6426" s="219"/>
      <c r="B6426" s="222"/>
      <c r="C6426" s="36" t="s">
        <v>1269</v>
      </c>
      <c r="D6426" s="36" t="s">
        <v>703</v>
      </c>
      <c r="E6426" s="37">
        <v>0.2041</v>
      </c>
      <c r="F6426" s="31">
        <v>19.959500000000002</v>
      </c>
      <c r="G6426" s="31">
        <f t="shared" si="131"/>
        <v>4.0737339500000003</v>
      </c>
      <c r="H6426" s="35"/>
      <c r="I6426" s="31"/>
      <c r="J6426" s="102">
        <v>0</v>
      </c>
    </row>
    <row r="6427" spans="1:10" hidden="1" x14ac:dyDescent="0.25">
      <c r="A6427" s="219"/>
      <c r="B6427" s="222"/>
      <c r="C6427" s="36" t="s">
        <v>704</v>
      </c>
      <c r="D6427" s="36" t="s">
        <v>703</v>
      </c>
      <c r="E6427" s="37">
        <v>0.2041</v>
      </c>
      <c r="F6427" s="31">
        <v>16.1785</v>
      </c>
      <c r="G6427" s="31">
        <f t="shared" si="131"/>
        <v>3.3020318500000001</v>
      </c>
      <c r="H6427" s="35"/>
      <c r="I6427" s="31"/>
      <c r="J6427" s="102">
        <v>0</v>
      </c>
    </row>
    <row r="6428" spans="1:10" ht="38.25" hidden="1" x14ac:dyDescent="0.25">
      <c r="A6428" s="219"/>
      <c r="B6428" s="222"/>
      <c r="C6428" s="36" t="s">
        <v>1102</v>
      </c>
      <c r="D6428" s="36" t="s">
        <v>942</v>
      </c>
      <c r="E6428" s="37">
        <v>5.4999999999999997E-3</v>
      </c>
      <c r="F6428" s="31">
        <v>10.981999999999999</v>
      </c>
      <c r="G6428" s="31">
        <f t="shared" si="131"/>
        <v>6.0400999999999989E-2</v>
      </c>
      <c r="H6428" s="35"/>
      <c r="I6428" s="31"/>
      <c r="J6428" s="102">
        <v>0</v>
      </c>
    </row>
    <row r="6429" spans="1:10" ht="38.25" hidden="1" x14ac:dyDescent="0.25">
      <c r="A6429" s="219"/>
      <c r="B6429" s="222"/>
      <c r="C6429" s="36" t="s">
        <v>1270</v>
      </c>
      <c r="D6429" s="36" t="s">
        <v>944</v>
      </c>
      <c r="E6429" s="37">
        <v>9.6600000000000005E-2</v>
      </c>
      <c r="F6429" s="31">
        <v>0.57950000000000002</v>
      </c>
      <c r="G6429" s="31">
        <f t="shared" si="131"/>
        <v>5.5979700000000007E-2</v>
      </c>
      <c r="H6429" s="35"/>
      <c r="I6429" s="31"/>
      <c r="J6429" s="102">
        <v>0</v>
      </c>
    </row>
    <row r="6430" spans="1:10" ht="15.75" hidden="1" thickBot="1" x14ac:dyDescent="0.3">
      <c r="A6430" s="220"/>
      <c r="B6430" s="223"/>
      <c r="C6430" s="55"/>
      <c r="D6430" s="55"/>
      <c r="E6430" s="66"/>
      <c r="F6430" s="67" t="s">
        <v>522</v>
      </c>
      <c r="G6430" s="67" t="str">
        <f t="shared" si="131"/>
        <v/>
      </c>
      <c r="H6430" s="69"/>
      <c r="I6430" s="31"/>
      <c r="J6430" s="102">
        <v>0</v>
      </c>
    </row>
    <row r="6431" spans="1:10" ht="15.75" hidden="1" thickBot="1" x14ac:dyDescent="0.3">
      <c r="A6431" s="218" t="s">
        <v>2449</v>
      </c>
      <c r="B6431" s="221" t="e">
        <f>INDEX(#REF!,MATCH(Composições!A6431,#REF!,0),2)</f>
        <v>#REF!</v>
      </c>
      <c r="C6431" s="41"/>
      <c r="D6431" s="26" t="s">
        <v>20</v>
      </c>
      <c r="E6431" s="27"/>
      <c r="F6431" s="42" t="s">
        <v>522</v>
      </c>
      <c r="G6431" s="28" t="str">
        <f t="shared" si="131"/>
        <v/>
      </c>
      <c r="H6431" s="29"/>
      <c r="I6431" s="30"/>
      <c r="J6431" s="102">
        <v>0</v>
      </c>
    </row>
    <row r="6432" spans="1:10" hidden="1" x14ac:dyDescent="0.25">
      <c r="A6432" s="219"/>
      <c r="B6432" s="222"/>
      <c r="C6432" s="32"/>
      <c r="D6432" s="32"/>
      <c r="E6432" s="33"/>
      <c r="F6432" s="43" t="s">
        <v>522</v>
      </c>
      <c r="G6432" s="31" t="str">
        <f t="shared" si="131"/>
        <v/>
      </c>
      <c r="H6432" s="35"/>
      <c r="I6432" s="31"/>
      <c r="J6432" s="102">
        <v>0</v>
      </c>
    </row>
    <row r="6433" spans="1:10" ht="25.5" hidden="1" x14ac:dyDescent="0.25">
      <c r="A6433" s="219"/>
      <c r="B6433" s="222"/>
      <c r="C6433" s="36" t="s">
        <v>2430</v>
      </c>
      <c r="D6433" s="36" t="s">
        <v>279</v>
      </c>
      <c r="E6433" s="37">
        <v>3</v>
      </c>
      <c r="F6433" s="34">
        <v>1.349</v>
      </c>
      <c r="G6433" s="31">
        <f t="shared" si="131"/>
        <v>4.0469999999999997</v>
      </c>
      <c r="H6433" s="39">
        <f>SUM(G6433:G6436)</f>
        <v>90.43266125000001</v>
      </c>
      <c r="I6433" s="40"/>
      <c r="J6433" s="102">
        <v>0</v>
      </c>
    </row>
    <row r="6434" spans="1:10" hidden="1" x14ac:dyDescent="0.25">
      <c r="A6434" s="219"/>
      <c r="B6434" s="222"/>
      <c r="C6434" s="36" t="s">
        <v>2427</v>
      </c>
      <c r="D6434" s="36" t="s">
        <v>279</v>
      </c>
      <c r="E6434" s="37">
        <v>1</v>
      </c>
      <c r="F6434" s="34">
        <v>70.680000000000007</v>
      </c>
      <c r="G6434" s="31">
        <f t="shared" ref="G6434:G6497" si="132">IF(ISNUMBER(F6434),E6434*F6434,"")</f>
        <v>70.680000000000007</v>
      </c>
      <c r="H6434" s="45"/>
      <c r="I6434" s="46"/>
      <c r="J6434" s="102">
        <v>0</v>
      </c>
    </row>
    <row r="6435" spans="1:10" hidden="1" x14ac:dyDescent="0.25">
      <c r="A6435" s="219"/>
      <c r="B6435" s="222"/>
      <c r="C6435" s="36" t="s">
        <v>1159</v>
      </c>
      <c r="D6435" s="36" t="s">
        <v>703</v>
      </c>
      <c r="E6435" s="37">
        <v>0.40570000000000001</v>
      </c>
      <c r="F6435" s="34">
        <v>17.024000000000001</v>
      </c>
      <c r="G6435" s="31">
        <f t="shared" si="132"/>
        <v>6.9066368000000002</v>
      </c>
      <c r="H6435" s="45"/>
      <c r="I6435" s="46"/>
      <c r="J6435" s="102">
        <v>0</v>
      </c>
    </row>
    <row r="6436" spans="1:10" hidden="1" x14ac:dyDescent="0.25">
      <c r="A6436" s="219"/>
      <c r="B6436" s="222"/>
      <c r="C6436" s="36" t="s">
        <v>1160</v>
      </c>
      <c r="D6436" s="36" t="s">
        <v>703</v>
      </c>
      <c r="E6436" s="37">
        <v>0.40570000000000001</v>
      </c>
      <c r="F6436" s="31">
        <v>21.688499999999998</v>
      </c>
      <c r="G6436" s="31">
        <f t="shared" si="132"/>
        <v>8.7990244499999992</v>
      </c>
      <c r="H6436" s="35"/>
      <c r="I6436" s="31"/>
      <c r="J6436" s="102">
        <v>0</v>
      </c>
    </row>
    <row r="6437" spans="1:10" ht="15.75" hidden="1" thickBot="1" x14ac:dyDescent="0.3">
      <c r="A6437" s="220"/>
      <c r="B6437" s="223"/>
      <c r="C6437" s="36"/>
      <c r="D6437" s="36"/>
      <c r="E6437" s="37"/>
      <c r="F6437" s="31" t="s">
        <v>522</v>
      </c>
      <c r="G6437" s="31" t="str">
        <f t="shared" si="132"/>
        <v/>
      </c>
      <c r="H6437" s="35"/>
      <c r="I6437" s="31"/>
      <c r="J6437" s="102">
        <v>0</v>
      </c>
    </row>
    <row r="6438" spans="1:10" ht="15.75" hidden="1" thickBot="1" x14ac:dyDescent="0.3">
      <c r="A6438" s="218" t="s">
        <v>2450</v>
      </c>
      <c r="B6438" s="221" t="e">
        <f>INDEX(#REF!,MATCH(Composições!A6438,#REF!,0),2)</f>
        <v>#REF!</v>
      </c>
      <c r="C6438" s="41"/>
      <c r="D6438" s="26" t="s">
        <v>20</v>
      </c>
      <c r="E6438" s="27"/>
      <c r="F6438" s="42" t="s">
        <v>522</v>
      </c>
      <c r="G6438" s="28" t="str">
        <f t="shared" si="132"/>
        <v/>
      </c>
      <c r="H6438" s="29"/>
      <c r="I6438" s="30"/>
      <c r="J6438" s="102">
        <v>0</v>
      </c>
    </row>
    <row r="6439" spans="1:10" hidden="1" x14ac:dyDescent="0.25">
      <c r="A6439" s="219"/>
      <c r="B6439" s="222"/>
      <c r="C6439" s="32"/>
      <c r="D6439" s="32"/>
      <c r="E6439" s="33"/>
      <c r="F6439" s="43" t="s">
        <v>522</v>
      </c>
      <c r="G6439" s="31" t="str">
        <f t="shared" si="132"/>
        <v/>
      </c>
      <c r="H6439" s="35"/>
      <c r="I6439" s="31"/>
      <c r="J6439" s="102">
        <v>0</v>
      </c>
    </row>
    <row r="6440" spans="1:10" ht="25.5" hidden="1" x14ac:dyDescent="0.25">
      <c r="A6440" s="219"/>
      <c r="B6440" s="222"/>
      <c r="C6440" s="36" t="s">
        <v>2425</v>
      </c>
      <c r="D6440" s="36" t="s">
        <v>279</v>
      </c>
      <c r="E6440" s="37">
        <v>4</v>
      </c>
      <c r="F6440" s="34">
        <v>23.103999999999999</v>
      </c>
      <c r="G6440" s="31">
        <f t="shared" si="132"/>
        <v>92.415999999999997</v>
      </c>
      <c r="H6440" s="39">
        <f>SUM(G6440:G6443)</f>
        <v>184.97076649999997</v>
      </c>
      <c r="I6440" s="40"/>
      <c r="J6440" s="102">
        <v>0</v>
      </c>
    </row>
    <row r="6441" spans="1:10" hidden="1" x14ac:dyDescent="0.25">
      <c r="A6441" s="219"/>
      <c r="B6441" s="222"/>
      <c r="C6441" s="36" t="s">
        <v>2506</v>
      </c>
      <c r="D6441" s="36" t="s">
        <v>279</v>
      </c>
      <c r="E6441" s="37">
        <v>1</v>
      </c>
      <c r="F6441" s="34" t="s">
        <v>522</v>
      </c>
      <c r="G6441" s="31" t="str">
        <f t="shared" si="132"/>
        <v/>
      </c>
      <c r="H6441" s="45"/>
      <c r="I6441" s="46"/>
      <c r="J6441" s="102">
        <v>0</v>
      </c>
    </row>
    <row r="6442" spans="1:10" hidden="1" x14ac:dyDescent="0.25">
      <c r="A6442" s="219"/>
      <c r="B6442" s="222"/>
      <c r="C6442" s="36" t="s">
        <v>1159</v>
      </c>
      <c r="D6442" s="36" t="s">
        <v>703</v>
      </c>
      <c r="E6442" s="37">
        <v>1.0580000000000001</v>
      </c>
      <c r="F6442" s="34">
        <v>17.024000000000001</v>
      </c>
      <c r="G6442" s="31">
        <f t="shared" si="132"/>
        <v>18.011392000000001</v>
      </c>
      <c r="H6442" s="45"/>
      <c r="I6442" s="46"/>
      <c r="J6442" s="102">
        <v>0</v>
      </c>
    </row>
    <row r="6443" spans="1:10" hidden="1" x14ac:dyDescent="0.25">
      <c r="A6443" s="219"/>
      <c r="B6443" s="222"/>
      <c r="C6443" s="36" t="s">
        <v>1160</v>
      </c>
      <c r="D6443" s="36" t="s">
        <v>703</v>
      </c>
      <c r="E6443" s="37">
        <v>3.4369999999999998</v>
      </c>
      <c r="F6443" s="31">
        <v>21.688499999999998</v>
      </c>
      <c r="G6443" s="31">
        <f t="shared" si="132"/>
        <v>74.543374499999985</v>
      </c>
      <c r="H6443" s="35"/>
      <c r="I6443" s="31"/>
      <c r="J6443" s="102">
        <v>0</v>
      </c>
    </row>
    <row r="6444" spans="1:10" ht="15.75" hidden="1" thickBot="1" x14ac:dyDescent="0.3">
      <c r="A6444" s="220"/>
      <c r="B6444" s="223"/>
      <c r="C6444" s="36"/>
      <c r="D6444" s="36"/>
      <c r="E6444" s="37"/>
      <c r="F6444" s="31" t="s">
        <v>522</v>
      </c>
      <c r="G6444" s="31" t="str">
        <f t="shared" si="132"/>
        <v/>
      </c>
      <c r="H6444" s="35"/>
      <c r="I6444" s="31"/>
      <c r="J6444" s="102">
        <v>0</v>
      </c>
    </row>
    <row r="6445" spans="1:10" ht="15.75" hidden="1" thickBot="1" x14ac:dyDescent="0.3">
      <c r="A6445" s="218" t="s">
        <v>2451</v>
      </c>
      <c r="B6445" s="221" t="e">
        <f>INDEX(#REF!,MATCH(Composições!A6445,#REF!,0),2)</f>
        <v>#REF!</v>
      </c>
      <c r="C6445" s="41"/>
      <c r="D6445" s="26" t="s">
        <v>20</v>
      </c>
      <c r="E6445" s="27"/>
      <c r="F6445" s="42" t="s">
        <v>522</v>
      </c>
      <c r="G6445" s="28" t="str">
        <f t="shared" si="132"/>
        <v/>
      </c>
      <c r="H6445" s="29"/>
      <c r="I6445" s="30"/>
      <c r="J6445" s="102">
        <v>0</v>
      </c>
    </row>
    <row r="6446" spans="1:10" hidden="1" x14ac:dyDescent="0.25">
      <c r="A6446" s="219"/>
      <c r="B6446" s="222"/>
      <c r="C6446" s="32"/>
      <c r="D6446" s="32"/>
      <c r="E6446" s="33"/>
      <c r="F6446" s="43" t="s">
        <v>522</v>
      </c>
      <c r="G6446" s="31" t="str">
        <f t="shared" si="132"/>
        <v/>
      </c>
      <c r="H6446" s="35"/>
      <c r="I6446" s="31"/>
      <c r="J6446" s="102">
        <v>0</v>
      </c>
    </row>
    <row r="6447" spans="1:10" hidden="1" x14ac:dyDescent="0.25">
      <c r="A6447" s="219"/>
      <c r="B6447" s="222"/>
      <c r="C6447" s="36" t="s">
        <v>2505</v>
      </c>
      <c r="D6447" s="47" t="s">
        <v>20</v>
      </c>
      <c r="E6447" s="37">
        <v>1</v>
      </c>
      <c r="F6447" s="34" t="s">
        <v>522</v>
      </c>
      <c r="G6447" s="31" t="str">
        <f t="shared" si="132"/>
        <v/>
      </c>
      <c r="H6447" s="39">
        <f>SUM(G6447:G6450)</f>
        <v>37.450265560937595</v>
      </c>
      <c r="I6447" s="40"/>
      <c r="J6447" s="102">
        <v>0</v>
      </c>
    </row>
    <row r="6448" spans="1:10" ht="38.25" hidden="1" x14ac:dyDescent="0.25">
      <c r="A6448" s="219"/>
      <c r="B6448" s="222"/>
      <c r="C6448" s="36" t="s">
        <v>1678</v>
      </c>
      <c r="D6448" s="47" t="s">
        <v>120</v>
      </c>
      <c r="E6448" s="37">
        <v>1.9199999999999998E-2</v>
      </c>
      <c r="F6448" s="34">
        <v>672.82053702799999</v>
      </c>
      <c r="G6448" s="31">
        <f t="shared" si="132"/>
        <v>12.918154310937599</v>
      </c>
      <c r="H6448" s="45"/>
      <c r="I6448" s="46"/>
      <c r="J6448" s="102">
        <v>0</v>
      </c>
    </row>
    <row r="6449" spans="1:10" hidden="1" x14ac:dyDescent="0.25">
      <c r="A6449" s="219"/>
      <c r="B6449" s="222"/>
      <c r="C6449" s="36" t="s">
        <v>74</v>
      </c>
      <c r="D6449" s="47" t="s">
        <v>12</v>
      </c>
      <c r="E6449" s="37">
        <v>0.63370000000000004</v>
      </c>
      <c r="F6449" s="34">
        <v>17.024000000000001</v>
      </c>
      <c r="G6449" s="31">
        <f t="shared" si="132"/>
        <v>10.788108800000002</v>
      </c>
      <c r="H6449" s="45"/>
      <c r="I6449" s="46"/>
      <c r="J6449" s="102">
        <v>0</v>
      </c>
    </row>
    <row r="6450" spans="1:10" hidden="1" x14ac:dyDescent="0.25">
      <c r="A6450" s="219"/>
      <c r="B6450" s="222"/>
      <c r="C6450" s="36" t="s">
        <v>30</v>
      </c>
      <c r="D6450" s="47" t="s">
        <v>12</v>
      </c>
      <c r="E6450" s="37">
        <v>0.63370000000000004</v>
      </c>
      <c r="F6450" s="31">
        <v>21.688499999999998</v>
      </c>
      <c r="G6450" s="31">
        <f t="shared" si="132"/>
        <v>13.74400245</v>
      </c>
      <c r="H6450" s="35"/>
      <c r="I6450" s="31"/>
      <c r="J6450" s="102">
        <v>0</v>
      </c>
    </row>
    <row r="6451" spans="1:10" ht="15.75" hidden="1" thickBot="1" x14ac:dyDescent="0.3">
      <c r="A6451" s="220"/>
      <c r="B6451" s="223"/>
      <c r="C6451" s="55"/>
      <c r="D6451" s="55"/>
      <c r="E6451" s="66"/>
      <c r="F6451" s="67" t="s">
        <v>522</v>
      </c>
      <c r="G6451" s="67" t="str">
        <f t="shared" si="132"/>
        <v/>
      </c>
      <c r="H6451" s="69"/>
      <c r="I6451" s="31"/>
      <c r="J6451" s="102">
        <v>0</v>
      </c>
    </row>
    <row r="6452" spans="1:10" ht="15.75" hidden="1" thickBot="1" x14ac:dyDescent="0.3">
      <c r="A6452" s="218" t="s">
        <v>2458</v>
      </c>
      <c r="B6452" s="221" t="e">
        <f>INDEX(#REF!,MATCH(Composições!A6452,#REF!,0),2)</f>
        <v>#REF!</v>
      </c>
      <c r="C6452" s="41"/>
      <c r="D6452" s="26" t="s">
        <v>20</v>
      </c>
      <c r="E6452" s="27"/>
      <c r="F6452" s="42" t="s">
        <v>522</v>
      </c>
      <c r="G6452" s="28" t="str">
        <f t="shared" si="132"/>
        <v/>
      </c>
      <c r="H6452" s="29"/>
      <c r="I6452" s="30"/>
      <c r="J6452" s="102">
        <v>0</v>
      </c>
    </row>
    <row r="6453" spans="1:10" hidden="1" x14ac:dyDescent="0.25">
      <c r="A6453" s="219"/>
      <c r="B6453" s="222"/>
      <c r="C6453" s="32"/>
      <c r="D6453" s="32"/>
      <c r="E6453" s="33"/>
      <c r="F6453" s="43" t="s">
        <v>522</v>
      </c>
      <c r="G6453" s="31" t="str">
        <f t="shared" si="132"/>
        <v/>
      </c>
      <c r="H6453" s="35"/>
      <c r="I6453" s="31"/>
      <c r="J6453" s="102">
        <v>0</v>
      </c>
    </row>
    <row r="6454" spans="1:10" ht="25.5" hidden="1" x14ac:dyDescent="0.25">
      <c r="A6454" s="219"/>
      <c r="B6454" s="222"/>
      <c r="C6454" s="118" t="s">
        <v>2377</v>
      </c>
      <c r="D6454" s="47" t="s">
        <v>20</v>
      </c>
      <c r="E6454" s="106">
        <v>1</v>
      </c>
      <c r="F6454" s="31">
        <v>10.849</v>
      </c>
      <c r="G6454" s="31">
        <f t="shared" si="132"/>
        <v>10.849</v>
      </c>
      <c r="H6454" s="39">
        <f>SUM(G6454:G6454)</f>
        <v>10.849</v>
      </c>
      <c r="I6454" s="40"/>
      <c r="J6454" s="102">
        <v>0</v>
      </c>
    </row>
    <row r="6455" spans="1:10" ht="15.75" hidden="1" thickBot="1" x14ac:dyDescent="0.3">
      <c r="A6455" s="220"/>
      <c r="B6455" s="223"/>
      <c r="C6455" s="55"/>
      <c r="D6455" s="55"/>
      <c r="E6455" s="66"/>
      <c r="F6455" s="67" t="s">
        <v>522</v>
      </c>
      <c r="G6455" s="67" t="str">
        <f t="shared" si="132"/>
        <v/>
      </c>
      <c r="H6455" s="69"/>
      <c r="I6455" s="31"/>
      <c r="J6455" s="102">
        <v>0</v>
      </c>
    </row>
    <row r="6456" spans="1:10" ht="15.75" hidden="1" thickBot="1" x14ac:dyDescent="0.3">
      <c r="A6456" s="218" t="s">
        <v>2460</v>
      </c>
      <c r="B6456" s="221" t="e">
        <f>INDEX(#REF!,MATCH(Composições!A6456,#REF!,0),2)</f>
        <v>#REF!</v>
      </c>
      <c r="C6456" s="41"/>
      <c r="D6456" s="26" t="s">
        <v>20</v>
      </c>
      <c r="E6456" s="27"/>
      <c r="F6456" s="42" t="s">
        <v>522</v>
      </c>
      <c r="G6456" s="28" t="str">
        <f t="shared" si="132"/>
        <v/>
      </c>
      <c r="H6456" s="29"/>
      <c r="I6456" s="30"/>
      <c r="J6456" s="102">
        <v>0</v>
      </c>
    </row>
    <row r="6457" spans="1:10" hidden="1" x14ac:dyDescent="0.25">
      <c r="A6457" s="219"/>
      <c r="B6457" s="222"/>
      <c r="C6457" s="32"/>
      <c r="D6457" s="32"/>
      <c r="E6457" s="33"/>
      <c r="F6457" s="43" t="s">
        <v>522</v>
      </c>
      <c r="G6457" s="31" t="str">
        <f t="shared" si="132"/>
        <v/>
      </c>
      <c r="H6457" s="35"/>
      <c r="I6457" s="31"/>
      <c r="J6457" s="102">
        <v>0</v>
      </c>
    </row>
    <row r="6458" spans="1:10" ht="25.5" hidden="1" x14ac:dyDescent="0.25">
      <c r="A6458" s="219"/>
      <c r="B6458" s="222"/>
      <c r="C6458" s="118" t="s">
        <v>3210</v>
      </c>
      <c r="D6458" s="47" t="s">
        <v>20</v>
      </c>
      <c r="E6458" s="106">
        <v>1</v>
      </c>
      <c r="F6458" s="31">
        <v>3.3344999999999998</v>
      </c>
      <c r="G6458" s="31">
        <f t="shared" si="132"/>
        <v>3.3344999999999998</v>
      </c>
      <c r="H6458" s="39">
        <f>SUM(G6458:G6458)</f>
        <v>3.3344999999999998</v>
      </c>
      <c r="I6458" s="40"/>
      <c r="J6458" s="102">
        <v>0</v>
      </c>
    </row>
    <row r="6459" spans="1:10" ht="15.75" hidden="1" thickBot="1" x14ac:dyDescent="0.3">
      <c r="A6459" s="220"/>
      <c r="B6459" s="223"/>
      <c r="C6459" s="55"/>
      <c r="D6459" s="55"/>
      <c r="E6459" s="66"/>
      <c r="F6459" s="67" t="s">
        <v>522</v>
      </c>
      <c r="G6459" s="67" t="str">
        <f t="shared" si="132"/>
        <v/>
      </c>
      <c r="H6459" s="69"/>
      <c r="I6459" s="31"/>
      <c r="J6459" s="102">
        <v>0</v>
      </c>
    </row>
    <row r="6460" spans="1:10" ht="15.75" hidden="1" thickBot="1" x14ac:dyDescent="0.3">
      <c r="A6460" s="218" t="s">
        <v>2461</v>
      </c>
      <c r="B6460" s="221" t="e">
        <f>INDEX(#REF!,MATCH(Composições!A6460,#REF!,0),2)</f>
        <v>#REF!</v>
      </c>
      <c r="C6460" s="41"/>
      <c r="D6460" s="26" t="s">
        <v>42</v>
      </c>
      <c r="E6460" s="27"/>
      <c r="F6460" s="42" t="s">
        <v>522</v>
      </c>
      <c r="G6460" s="28" t="str">
        <f t="shared" si="132"/>
        <v/>
      </c>
      <c r="H6460" s="29"/>
      <c r="I6460" s="30"/>
      <c r="J6460" s="102">
        <v>0</v>
      </c>
    </row>
    <row r="6461" spans="1:10" hidden="1" x14ac:dyDescent="0.25">
      <c r="A6461" s="219"/>
      <c r="B6461" s="222"/>
      <c r="C6461" s="32"/>
      <c r="D6461" s="32"/>
      <c r="E6461" s="33"/>
      <c r="F6461" s="43" t="s">
        <v>522</v>
      </c>
      <c r="G6461" s="31" t="str">
        <f t="shared" si="132"/>
        <v/>
      </c>
      <c r="H6461" s="35"/>
      <c r="I6461" s="31"/>
      <c r="J6461" s="102">
        <v>0</v>
      </c>
    </row>
    <row r="6462" spans="1:10" hidden="1" x14ac:dyDescent="0.25">
      <c r="A6462" s="219"/>
      <c r="B6462" s="222"/>
      <c r="C6462" s="118" t="s">
        <v>3287</v>
      </c>
      <c r="D6462" s="47" t="s">
        <v>42</v>
      </c>
      <c r="E6462" s="106">
        <v>1</v>
      </c>
      <c r="F6462" s="31">
        <v>2.7835000000000001</v>
      </c>
      <c r="G6462" s="31">
        <f t="shared" si="132"/>
        <v>2.7835000000000001</v>
      </c>
      <c r="H6462" s="39">
        <f>SUM(G6462:G6462)</f>
        <v>2.7835000000000001</v>
      </c>
      <c r="I6462" s="40"/>
      <c r="J6462" s="102">
        <v>0</v>
      </c>
    </row>
    <row r="6463" spans="1:10" ht="15.75" hidden="1" thickBot="1" x14ac:dyDescent="0.3">
      <c r="A6463" s="220"/>
      <c r="B6463" s="223"/>
      <c r="C6463" s="55"/>
      <c r="D6463" s="55"/>
      <c r="E6463" s="66"/>
      <c r="F6463" s="67" t="s">
        <v>522</v>
      </c>
      <c r="G6463" s="67" t="str">
        <f t="shared" si="132"/>
        <v/>
      </c>
      <c r="H6463" s="69"/>
      <c r="I6463" s="31"/>
      <c r="J6463" s="102">
        <v>0</v>
      </c>
    </row>
    <row r="6464" spans="1:10" ht="15.75" hidden="1" thickBot="1" x14ac:dyDescent="0.3">
      <c r="A6464" s="218" t="s">
        <v>2465</v>
      </c>
      <c r="B6464" s="221" t="e">
        <f>INDEX(#REF!,MATCH(Composições!A6464,#REF!,0),2)</f>
        <v>#REF!</v>
      </c>
      <c r="C6464" s="41"/>
      <c r="D6464" s="26" t="s">
        <v>20</v>
      </c>
      <c r="E6464" s="27"/>
      <c r="F6464" s="42" t="s">
        <v>522</v>
      </c>
      <c r="G6464" s="28" t="str">
        <f t="shared" si="132"/>
        <v/>
      </c>
      <c r="H6464" s="29"/>
      <c r="I6464" s="30"/>
      <c r="J6464" s="102">
        <v>0</v>
      </c>
    </row>
    <row r="6465" spans="1:10" hidden="1" x14ac:dyDescent="0.25">
      <c r="A6465" s="219"/>
      <c r="B6465" s="222"/>
      <c r="C6465" s="32"/>
      <c r="D6465" s="32"/>
      <c r="E6465" s="33"/>
      <c r="F6465" s="43" t="s">
        <v>522</v>
      </c>
      <c r="G6465" s="31" t="str">
        <f t="shared" si="132"/>
        <v/>
      </c>
      <c r="H6465" s="35"/>
      <c r="I6465" s="31"/>
      <c r="J6465" s="102">
        <v>0</v>
      </c>
    </row>
    <row r="6466" spans="1:10" hidden="1" x14ac:dyDescent="0.25">
      <c r="A6466" s="219"/>
      <c r="B6466" s="222"/>
      <c r="C6466" s="118" t="s">
        <v>3213</v>
      </c>
      <c r="D6466" s="47" t="s">
        <v>20</v>
      </c>
      <c r="E6466" s="106">
        <v>1</v>
      </c>
      <c r="F6466" s="31">
        <v>31.7775</v>
      </c>
      <c r="G6466" s="31">
        <f t="shared" si="132"/>
        <v>31.7775</v>
      </c>
      <c r="H6466" s="39">
        <f>SUM(G6466:G6466)</f>
        <v>31.7775</v>
      </c>
      <c r="I6466" s="40"/>
      <c r="J6466" s="102">
        <v>0</v>
      </c>
    </row>
    <row r="6467" spans="1:10" ht="15.75" hidden="1" thickBot="1" x14ac:dyDescent="0.3">
      <c r="A6467" s="220"/>
      <c r="B6467" s="223"/>
      <c r="C6467" s="55"/>
      <c r="D6467" s="55"/>
      <c r="E6467" s="66"/>
      <c r="F6467" s="67" t="s">
        <v>522</v>
      </c>
      <c r="G6467" s="67" t="str">
        <f t="shared" si="132"/>
        <v/>
      </c>
      <c r="H6467" s="69"/>
      <c r="I6467" s="31"/>
      <c r="J6467" s="102">
        <v>0</v>
      </c>
    </row>
    <row r="6468" spans="1:10" ht="15.75" hidden="1" thickBot="1" x14ac:dyDescent="0.3">
      <c r="A6468" s="218" t="s">
        <v>2471</v>
      </c>
      <c r="B6468" s="221" t="e">
        <f>INDEX(#REF!,MATCH(Composições!A6468,#REF!,0),2)</f>
        <v>#REF!</v>
      </c>
      <c r="C6468" s="41"/>
      <c r="D6468" s="26" t="s">
        <v>20</v>
      </c>
      <c r="E6468" s="27"/>
      <c r="F6468" s="42" t="s">
        <v>522</v>
      </c>
      <c r="G6468" s="28" t="str">
        <f t="shared" si="132"/>
        <v/>
      </c>
      <c r="H6468" s="29"/>
      <c r="I6468" s="30"/>
      <c r="J6468" s="102">
        <v>0</v>
      </c>
    </row>
    <row r="6469" spans="1:10" hidden="1" x14ac:dyDescent="0.25">
      <c r="A6469" s="219"/>
      <c r="B6469" s="222"/>
      <c r="C6469" s="32"/>
      <c r="D6469" s="32"/>
      <c r="E6469" s="33"/>
      <c r="F6469" s="43" t="s">
        <v>522</v>
      </c>
      <c r="G6469" s="31" t="str">
        <f t="shared" si="132"/>
        <v/>
      </c>
      <c r="H6469" s="35"/>
      <c r="I6469" s="31"/>
      <c r="J6469" s="102">
        <v>0</v>
      </c>
    </row>
    <row r="6470" spans="1:10" ht="25.5" hidden="1" x14ac:dyDescent="0.25">
      <c r="A6470" s="219"/>
      <c r="B6470" s="222"/>
      <c r="C6470" s="118" t="s">
        <v>3214</v>
      </c>
      <c r="D6470" s="47" t="s">
        <v>20</v>
      </c>
      <c r="E6470" s="106">
        <v>1</v>
      </c>
      <c r="F6470" s="31">
        <v>149.1215</v>
      </c>
      <c r="G6470" s="31">
        <f t="shared" si="132"/>
        <v>149.1215</v>
      </c>
      <c r="H6470" s="39">
        <f>SUM(G6470:G6470)</f>
        <v>149.1215</v>
      </c>
      <c r="I6470" s="40"/>
      <c r="J6470" s="102">
        <v>0</v>
      </c>
    </row>
    <row r="6471" spans="1:10" ht="15.75" hidden="1" thickBot="1" x14ac:dyDescent="0.3">
      <c r="A6471" s="220"/>
      <c r="B6471" s="223"/>
      <c r="C6471" s="55"/>
      <c r="D6471" s="55"/>
      <c r="E6471" s="66"/>
      <c r="F6471" s="67" t="s">
        <v>522</v>
      </c>
      <c r="G6471" s="67" t="str">
        <f t="shared" si="132"/>
        <v/>
      </c>
      <c r="H6471" s="69"/>
      <c r="I6471" s="31"/>
      <c r="J6471" s="102">
        <v>0</v>
      </c>
    </row>
    <row r="6472" spans="1:10" ht="15.75" hidden="1" thickBot="1" x14ac:dyDescent="0.3">
      <c r="A6472" s="218" t="s">
        <v>2472</v>
      </c>
      <c r="B6472" s="221" t="e">
        <f>INDEX(#REF!,MATCH(Composições!A6472,#REF!,0),2)</f>
        <v>#REF!</v>
      </c>
      <c r="C6472" s="41"/>
      <c r="D6472" s="26" t="s">
        <v>20</v>
      </c>
      <c r="E6472" s="27"/>
      <c r="F6472" s="42" t="s">
        <v>522</v>
      </c>
      <c r="G6472" s="28" t="str">
        <f t="shared" si="132"/>
        <v/>
      </c>
      <c r="H6472" s="29"/>
      <c r="I6472" s="30"/>
      <c r="J6472" s="102">
        <v>0</v>
      </c>
    </row>
    <row r="6473" spans="1:10" hidden="1" x14ac:dyDescent="0.25">
      <c r="A6473" s="219"/>
      <c r="B6473" s="222"/>
      <c r="C6473" s="32"/>
      <c r="D6473" s="32"/>
      <c r="E6473" s="33"/>
      <c r="F6473" s="43" t="s">
        <v>522</v>
      </c>
      <c r="G6473" s="31" t="str">
        <f t="shared" si="132"/>
        <v/>
      </c>
      <c r="H6473" s="35"/>
      <c r="I6473" s="31"/>
      <c r="J6473" s="102">
        <v>0</v>
      </c>
    </row>
    <row r="6474" spans="1:10" ht="25.5" hidden="1" x14ac:dyDescent="0.25">
      <c r="A6474" s="219"/>
      <c r="B6474" s="222"/>
      <c r="C6474" s="118" t="s">
        <v>3215</v>
      </c>
      <c r="D6474" s="47" t="s">
        <v>20</v>
      </c>
      <c r="E6474" s="106">
        <v>1</v>
      </c>
      <c r="F6474" s="31">
        <v>159.00149999999999</v>
      </c>
      <c r="G6474" s="31">
        <f t="shared" si="132"/>
        <v>159.00149999999999</v>
      </c>
      <c r="H6474" s="39">
        <f>SUM(G6474:G6474)</f>
        <v>159.00149999999999</v>
      </c>
      <c r="I6474" s="40"/>
      <c r="J6474" s="102">
        <v>0</v>
      </c>
    </row>
    <row r="6475" spans="1:10" ht="15.75" hidden="1" thickBot="1" x14ac:dyDescent="0.3">
      <c r="A6475" s="220"/>
      <c r="B6475" s="223"/>
      <c r="C6475" s="55"/>
      <c r="D6475" s="55"/>
      <c r="E6475" s="66"/>
      <c r="F6475" s="67" t="s">
        <v>522</v>
      </c>
      <c r="G6475" s="67" t="str">
        <f t="shared" si="132"/>
        <v/>
      </c>
      <c r="H6475" s="69"/>
      <c r="I6475" s="31"/>
      <c r="J6475" s="102">
        <v>0</v>
      </c>
    </row>
    <row r="6476" spans="1:10" ht="15.75" hidden="1" thickBot="1" x14ac:dyDescent="0.3">
      <c r="A6476" s="218" t="s">
        <v>2476</v>
      </c>
      <c r="B6476" s="221" t="e">
        <f>INDEX(#REF!,MATCH(Composições!A6476,#REF!,0),2)</f>
        <v>#REF!</v>
      </c>
      <c r="C6476" s="41"/>
      <c r="D6476" s="26" t="s">
        <v>20</v>
      </c>
      <c r="E6476" s="27"/>
      <c r="F6476" s="42" t="s">
        <v>522</v>
      </c>
      <c r="G6476" s="28" t="str">
        <f t="shared" si="132"/>
        <v/>
      </c>
      <c r="H6476" s="29"/>
      <c r="I6476" s="30"/>
      <c r="J6476" s="102">
        <v>0</v>
      </c>
    </row>
    <row r="6477" spans="1:10" hidden="1" x14ac:dyDescent="0.25">
      <c r="A6477" s="219"/>
      <c r="B6477" s="222"/>
      <c r="C6477" s="32"/>
      <c r="D6477" s="32"/>
      <c r="E6477" s="33"/>
      <c r="F6477" s="43" t="s">
        <v>522</v>
      </c>
      <c r="G6477" s="31" t="str">
        <f t="shared" si="132"/>
        <v/>
      </c>
      <c r="H6477" s="35"/>
      <c r="I6477" s="31"/>
      <c r="J6477" s="102">
        <v>0</v>
      </c>
    </row>
    <row r="6478" spans="1:10" ht="25.5" hidden="1" x14ac:dyDescent="0.25">
      <c r="A6478" s="219"/>
      <c r="B6478" s="222"/>
      <c r="C6478" s="118" t="s">
        <v>3216</v>
      </c>
      <c r="D6478" s="47" t="s">
        <v>20</v>
      </c>
      <c r="E6478" s="106">
        <v>1</v>
      </c>
      <c r="F6478" s="31">
        <v>3.2014999999999998</v>
      </c>
      <c r="G6478" s="31">
        <f t="shared" si="132"/>
        <v>3.2014999999999998</v>
      </c>
      <c r="H6478" s="39">
        <f>SUM(G6478:G6478)</f>
        <v>3.2014999999999998</v>
      </c>
      <c r="I6478" s="40"/>
      <c r="J6478" s="102">
        <v>0</v>
      </c>
    </row>
    <row r="6479" spans="1:10" ht="15.75" hidden="1" thickBot="1" x14ac:dyDescent="0.3">
      <c r="A6479" s="220"/>
      <c r="B6479" s="223"/>
      <c r="C6479" s="55"/>
      <c r="D6479" s="55"/>
      <c r="E6479" s="66"/>
      <c r="F6479" s="67" t="s">
        <v>522</v>
      </c>
      <c r="G6479" s="67" t="str">
        <f t="shared" si="132"/>
        <v/>
      </c>
      <c r="H6479" s="69"/>
      <c r="I6479" s="31"/>
      <c r="J6479" s="102">
        <v>0</v>
      </c>
    </row>
    <row r="6480" spans="1:10" ht="15.75" hidden="1" thickBot="1" x14ac:dyDescent="0.3">
      <c r="A6480" s="218" t="s">
        <v>2478</v>
      </c>
      <c r="B6480" s="221" t="e">
        <f>INDEX(#REF!,MATCH(Composições!A6480,#REF!,0),2)</f>
        <v>#REF!</v>
      </c>
      <c r="C6480" s="41"/>
      <c r="D6480" s="26" t="s">
        <v>20</v>
      </c>
      <c r="E6480" s="27"/>
      <c r="F6480" s="42" t="s">
        <v>522</v>
      </c>
      <c r="G6480" s="28" t="str">
        <f t="shared" si="132"/>
        <v/>
      </c>
      <c r="H6480" s="29"/>
      <c r="I6480" s="30"/>
      <c r="J6480" s="102">
        <v>0</v>
      </c>
    </row>
    <row r="6481" spans="1:10" hidden="1" x14ac:dyDescent="0.25">
      <c r="A6481" s="219"/>
      <c r="B6481" s="222"/>
      <c r="C6481" s="32"/>
      <c r="D6481" s="32"/>
      <c r="E6481" s="33"/>
      <c r="F6481" s="43" t="s">
        <v>522</v>
      </c>
      <c r="G6481" s="31" t="str">
        <f t="shared" si="132"/>
        <v/>
      </c>
      <c r="H6481" s="35"/>
      <c r="I6481" s="31"/>
      <c r="J6481" s="102">
        <v>0</v>
      </c>
    </row>
    <row r="6482" spans="1:10" ht="25.5" hidden="1" x14ac:dyDescent="0.25">
      <c r="A6482" s="219"/>
      <c r="B6482" s="222"/>
      <c r="C6482" s="118" t="s">
        <v>3340</v>
      </c>
      <c r="D6482" s="47" t="s">
        <v>20</v>
      </c>
      <c r="E6482" s="106">
        <v>1</v>
      </c>
      <c r="F6482" s="31">
        <v>203.851</v>
      </c>
      <c r="G6482" s="31">
        <f t="shared" si="132"/>
        <v>203.851</v>
      </c>
      <c r="H6482" s="39">
        <f>SUM(G6482:G6482)</f>
        <v>203.851</v>
      </c>
      <c r="I6482" s="40"/>
      <c r="J6482" s="102">
        <v>0</v>
      </c>
    </row>
    <row r="6483" spans="1:10" ht="15.75" hidden="1" thickBot="1" x14ac:dyDescent="0.3">
      <c r="A6483" s="220"/>
      <c r="B6483" s="223"/>
      <c r="C6483" s="55"/>
      <c r="D6483" s="55"/>
      <c r="E6483" s="66"/>
      <c r="F6483" s="67" t="s">
        <v>522</v>
      </c>
      <c r="G6483" s="67" t="str">
        <f t="shared" si="132"/>
        <v/>
      </c>
      <c r="H6483" s="69"/>
      <c r="I6483" s="31"/>
      <c r="J6483" s="102">
        <v>0</v>
      </c>
    </row>
    <row r="6484" spans="1:10" ht="15.75" hidden="1" thickBot="1" x14ac:dyDescent="0.3">
      <c r="A6484" s="218" t="s">
        <v>2480</v>
      </c>
      <c r="B6484" s="221" t="e">
        <f>INDEX(#REF!,MATCH(Composições!A6484,#REF!,0),2)</f>
        <v>#REF!</v>
      </c>
      <c r="C6484" s="41"/>
      <c r="D6484" s="26" t="s">
        <v>20</v>
      </c>
      <c r="E6484" s="27"/>
      <c r="F6484" s="42" t="s">
        <v>522</v>
      </c>
      <c r="G6484" s="28" t="str">
        <f t="shared" si="132"/>
        <v/>
      </c>
      <c r="H6484" s="29"/>
      <c r="I6484" s="30"/>
      <c r="J6484" s="102">
        <v>0</v>
      </c>
    </row>
    <row r="6485" spans="1:10" hidden="1" x14ac:dyDescent="0.25">
      <c r="A6485" s="219"/>
      <c r="B6485" s="222"/>
      <c r="C6485" s="32"/>
      <c r="D6485" s="32"/>
      <c r="E6485" s="33"/>
      <c r="F6485" s="43" t="s">
        <v>522</v>
      </c>
      <c r="G6485" s="31" t="str">
        <f t="shared" si="132"/>
        <v/>
      </c>
      <c r="H6485" s="35"/>
      <c r="I6485" s="31"/>
      <c r="J6485" s="102">
        <v>0</v>
      </c>
    </row>
    <row r="6486" spans="1:10" ht="25.5" hidden="1" x14ac:dyDescent="0.25">
      <c r="A6486" s="219"/>
      <c r="B6486" s="222"/>
      <c r="C6486" s="118" t="s">
        <v>3218</v>
      </c>
      <c r="D6486" s="47" t="s">
        <v>20</v>
      </c>
      <c r="E6486" s="106">
        <v>1</v>
      </c>
      <c r="F6486" s="31">
        <v>25.137</v>
      </c>
      <c r="G6486" s="31">
        <f t="shared" si="132"/>
        <v>25.137</v>
      </c>
      <c r="H6486" s="39">
        <f>SUM(G6486:G6486)</f>
        <v>25.137</v>
      </c>
      <c r="I6486" s="40"/>
      <c r="J6486" s="102">
        <v>0</v>
      </c>
    </row>
    <row r="6487" spans="1:10" ht="15.75" hidden="1" thickBot="1" x14ac:dyDescent="0.3">
      <c r="A6487" s="220"/>
      <c r="B6487" s="223"/>
      <c r="C6487" s="55"/>
      <c r="D6487" s="55"/>
      <c r="E6487" s="66"/>
      <c r="F6487" s="67" t="s">
        <v>522</v>
      </c>
      <c r="G6487" s="67" t="str">
        <f t="shared" si="132"/>
        <v/>
      </c>
      <c r="H6487" s="69"/>
      <c r="I6487" s="31"/>
      <c r="J6487" s="102">
        <v>0</v>
      </c>
    </row>
    <row r="6488" spans="1:10" ht="15.75" hidden="1" thickBot="1" x14ac:dyDescent="0.3">
      <c r="A6488" s="218" t="s">
        <v>2483</v>
      </c>
      <c r="B6488" s="221" t="e">
        <f>INDEX(#REF!,MATCH(Composições!A6488,#REF!,0),2)</f>
        <v>#REF!</v>
      </c>
      <c r="C6488" s="41"/>
      <c r="D6488" s="26" t="s">
        <v>20</v>
      </c>
      <c r="E6488" s="27"/>
      <c r="F6488" s="42" t="s">
        <v>522</v>
      </c>
      <c r="G6488" s="28" t="str">
        <f t="shared" si="132"/>
        <v/>
      </c>
      <c r="H6488" s="29"/>
      <c r="I6488" s="30"/>
      <c r="J6488" s="102">
        <v>0</v>
      </c>
    </row>
    <row r="6489" spans="1:10" hidden="1" x14ac:dyDescent="0.25">
      <c r="A6489" s="219"/>
      <c r="B6489" s="222"/>
      <c r="C6489" s="32"/>
      <c r="D6489" s="32"/>
      <c r="E6489" s="33"/>
      <c r="F6489" s="43" t="s">
        <v>522</v>
      </c>
      <c r="G6489" s="31" t="str">
        <f t="shared" si="132"/>
        <v/>
      </c>
      <c r="H6489" s="35"/>
      <c r="I6489" s="31"/>
      <c r="J6489" s="102">
        <v>0</v>
      </c>
    </row>
    <row r="6490" spans="1:10" ht="25.5" hidden="1" x14ac:dyDescent="0.25">
      <c r="A6490" s="219"/>
      <c r="B6490" s="222"/>
      <c r="C6490" s="118" t="s">
        <v>3222</v>
      </c>
      <c r="D6490" s="47" t="s">
        <v>20</v>
      </c>
      <c r="E6490" s="106">
        <v>1</v>
      </c>
      <c r="F6490" s="31">
        <v>36.8125</v>
      </c>
      <c r="G6490" s="31">
        <f t="shared" si="132"/>
        <v>36.8125</v>
      </c>
      <c r="H6490" s="39">
        <f>SUM(G6490:G6490)</f>
        <v>36.8125</v>
      </c>
      <c r="I6490" s="40"/>
      <c r="J6490" s="102">
        <v>0</v>
      </c>
    </row>
    <row r="6491" spans="1:10" ht="15.75" hidden="1" thickBot="1" x14ac:dyDescent="0.3">
      <c r="A6491" s="220"/>
      <c r="B6491" s="223"/>
      <c r="C6491" s="55"/>
      <c r="D6491" s="55"/>
      <c r="E6491" s="66"/>
      <c r="F6491" s="67" t="s">
        <v>522</v>
      </c>
      <c r="G6491" s="67" t="str">
        <f t="shared" si="132"/>
        <v/>
      </c>
      <c r="H6491" s="69"/>
      <c r="I6491" s="31"/>
      <c r="J6491" s="102">
        <v>0</v>
      </c>
    </row>
    <row r="6492" spans="1:10" ht="15.75" hidden="1" thickBot="1" x14ac:dyDescent="0.3">
      <c r="A6492" s="218" t="s">
        <v>2484</v>
      </c>
      <c r="B6492" s="221" t="e">
        <f>INDEX(#REF!,MATCH(Composições!A6492,#REF!,0),2)</f>
        <v>#REF!</v>
      </c>
      <c r="C6492" s="41"/>
      <c r="D6492" s="26" t="s">
        <v>20</v>
      </c>
      <c r="E6492" s="27"/>
      <c r="F6492" s="42" t="s">
        <v>522</v>
      </c>
      <c r="G6492" s="28" t="str">
        <f t="shared" si="132"/>
        <v/>
      </c>
      <c r="H6492" s="29"/>
      <c r="I6492" s="30"/>
      <c r="J6492" s="102">
        <v>0</v>
      </c>
    </row>
    <row r="6493" spans="1:10" hidden="1" x14ac:dyDescent="0.25">
      <c r="A6493" s="219"/>
      <c r="B6493" s="222"/>
      <c r="C6493" s="32"/>
      <c r="D6493" s="32"/>
      <c r="E6493" s="33"/>
      <c r="F6493" s="43" t="s">
        <v>522</v>
      </c>
      <c r="G6493" s="31" t="str">
        <f t="shared" si="132"/>
        <v/>
      </c>
      <c r="H6493" s="35"/>
      <c r="I6493" s="31"/>
      <c r="J6493" s="102">
        <v>0</v>
      </c>
    </row>
    <row r="6494" spans="1:10" ht="38.25" hidden="1" x14ac:dyDescent="0.25">
      <c r="A6494" s="219"/>
      <c r="B6494" s="222"/>
      <c r="C6494" s="118" t="s">
        <v>3361</v>
      </c>
      <c r="D6494" s="47" t="s">
        <v>20</v>
      </c>
      <c r="E6494" s="106">
        <v>1</v>
      </c>
      <c r="F6494" s="31">
        <v>356.09799999999996</v>
      </c>
      <c r="G6494" s="31">
        <f t="shared" si="132"/>
        <v>356.09799999999996</v>
      </c>
      <c r="H6494" s="39">
        <f>SUM(G6494:G6494)</f>
        <v>356.09799999999996</v>
      </c>
      <c r="I6494" s="40"/>
      <c r="J6494" s="102">
        <v>0</v>
      </c>
    </row>
    <row r="6495" spans="1:10" ht="15.75" hidden="1" thickBot="1" x14ac:dyDescent="0.3">
      <c r="A6495" s="220"/>
      <c r="B6495" s="223"/>
      <c r="C6495" s="55"/>
      <c r="D6495" s="55"/>
      <c r="E6495" s="66"/>
      <c r="F6495" s="67" t="s">
        <v>522</v>
      </c>
      <c r="G6495" s="67" t="str">
        <f t="shared" si="132"/>
        <v/>
      </c>
      <c r="H6495" s="69"/>
      <c r="I6495" s="31"/>
      <c r="J6495" s="102">
        <v>0</v>
      </c>
    </row>
    <row r="6496" spans="1:10" ht="15.75" hidden="1" thickBot="1" x14ac:dyDescent="0.3">
      <c r="A6496" s="218" t="s">
        <v>2486</v>
      </c>
      <c r="B6496" s="221" t="e">
        <f>INDEX(#REF!,MATCH(Composições!A6496,#REF!,0),2)</f>
        <v>#REF!</v>
      </c>
      <c r="C6496" s="41"/>
      <c r="D6496" s="26" t="s">
        <v>20</v>
      </c>
      <c r="E6496" s="27"/>
      <c r="F6496" s="42" t="s">
        <v>522</v>
      </c>
      <c r="G6496" s="28" t="str">
        <f t="shared" si="132"/>
        <v/>
      </c>
      <c r="H6496" s="29"/>
      <c r="I6496" s="30"/>
      <c r="J6496" s="102">
        <v>0</v>
      </c>
    </row>
    <row r="6497" spans="1:10" hidden="1" x14ac:dyDescent="0.25">
      <c r="A6497" s="219"/>
      <c r="B6497" s="222"/>
      <c r="C6497" s="32"/>
      <c r="D6497" s="32"/>
      <c r="E6497" s="33"/>
      <c r="F6497" s="43" t="s">
        <v>522</v>
      </c>
      <c r="G6497" s="31" t="str">
        <f t="shared" si="132"/>
        <v/>
      </c>
      <c r="H6497" s="35"/>
      <c r="I6497" s="31"/>
      <c r="J6497" s="102">
        <v>0</v>
      </c>
    </row>
    <row r="6498" spans="1:10" ht="63.75" hidden="1" x14ac:dyDescent="0.25">
      <c r="A6498" s="219"/>
      <c r="B6498" s="222"/>
      <c r="C6498" s="118" t="s">
        <v>3223</v>
      </c>
      <c r="D6498" s="47" t="s">
        <v>20</v>
      </c>
      <c r="E6498" s="106">
        <v>1</v>
      </c>
      <c r="F6498" s="31">
        <v>332.63299999999998</v>
      </c>
      <c r="G6498" s="31">
        <f t="shared" ref="G6498:G6561" si="133">IF(ISNUMBER(F6498),E6498*F6498,"")</f>
        <v>332.63299999999998</v>
      </c>
      <c r="H6498" s="39">
        <f>SUM(G6498:G6498)</f>
        <v>332.63299999999998</v>
      </c>
      <c r="I6498" s="40"/>
      <c r="J6498" s="102">
        <v>0</v>
      </c>
    </row>
    <row r="6499" spans="1:10" ht="15.75" hidden="1" thickBot="1" x14ac:dyDescent="0.3">
      <c r="A6499" s="220"/>
      <c r="B6499" s="223"/>
      <c r="C6499" s="55"/>
      <c r="D6499" s="55"/>
      <c r="E6499" s="66"/>
      <c r="F6499" s="67" t="s">
        <v>522</v>
      </c>
      <c r="G6499" s="67" t="str">
        <f t="shared" si="133"/>
        <v/>
      </c>
      <c r="H6499" s="69"/>
      <c r="I6499" s="31"/>
      <c r="J6499" s="102">
        <v>0</v>
      </c>
    </row>
    <row r="6500" spans="1:10" ht="15.75" hidden="1" thickBot="1" x14ac:dyDescent="0.3">
      <c r="A6500" s="218" t="s">
        <v>2488</v>
      </c>
      <c r="B6500" s="221" t="e">
        <f>INDEX(#REF!,MATCH(Composições!A6500,#REF!,0),2)</f>
        <v>#REF!</v>
      </c>
      <c r="C6500" s="41"/>
      <c r="D6500" s="26" t="s">
        <v>20</v>
      </c>
      <c r="E6500" s="27"/>
      <c r="F6500" s="42" t="s">
        <v>522</v>
      </c>
      <c r="G6500" s="28" t="str">
        <f t="shared" si="133"/>
        <v/>
      </c>
      <c r="H6500" s="29"/>
      <c r="I6500" s="30"/>
      <c r="J6500" s="102">
        <v>0</v>
      </c>
    </row>
    <row r="6501" spans="1:10" hidden="1" x14ac:dyDescent="0.25">
      <c r="A6501" s="219"/>
      <c r="B6501" s="222"/>
      <c r="C6501" s="32"/>
      <c r="D6501" s="32"/>
      <c r="E6501" s="33"/>
      <c r="F6501" s="43" t="s">
        <v>522</v>
      </c>
      <c r="G6501" s="31" t="str">
        <f t="shared" si="133"/>
        <v/>
      </c>
      <c r="H6501" s="35"/>
      <c r="I6501" s="31"/>
      <c r="J6501" s="102">
        <v>0</v>
      </c>
    </row>
    <row r="6502" spans="1:10" ht="25.5" hidden="1" x14ac:dyDescent="0.25">
      <c r="A6502" s="219"/>
      <c r="B6502" s="222"/>
      <c r="C6502" s="118" t="s">
        <v>3224</v>
      </c>
      <c r="D6502" s="47" t="s">
        <v>20</v>
      </c>
      <c r="E6502" s="106">
        <v>1</v>
      </c>
      <c r="F6502" s="31">
        <v>50.844000000000001</v>
      </c>
      <c r="G6502" s="31">
        <f t="shared" si="133"/>
        <v>50.844000000000001</v>
      </c>
      <c r="H6502" s="39">
        <f>SUM(G6502:G6502)</f>
        <v>50.844000000000001</v>
      </c>
      <c r="I6502" s="40"/>
      <c r="J6502" s="102">
        <v>0</v>
      </c>
    </row>
    <row r="6503" spans="1:10" ht="15.75" hidden="1" thickBot="1" x14ac:dyDescent="0.3">
      <c r="A6503" s="220"/>
      <c r="B6503" s="223"/>
      <c r="C6503" s="55"/>
      <c r="D6503" s="55"/>
      <c r="E6503" s="66"/>
      <c r="F6503" s="67" t="s">
        <v>522</v>
      </c>
      <c r="G6503" s="67" t="str">
        <f t="shared" si="133"/>
        <v/>
      </c>
      <c r="H6503" s="69"/>
      <c r="I6503" s="31"/>
      <c r="J6503" s="102">
        <v>0</v>
      </c>
    </row>
    <row r="6504" spans="1:10" ht="15.75" hidden="1" thickBot="1" x14ac:dyDescent="0.3">
      <c r="A6504" s="218" t="s">
        <v>2489</v>
      </c>
      <c r="B6504" s="221" t="e">
        <f>INDEX(#REF!,MATCH(Composições!A6504,#REF!,0),2)</f>
        <v>#REF!</v>
      </c>
      <c r="C6504" s="41"/>
      <c r="D6504" s="26" t="s">
        <v>20</v>
      </c>
      <c r="E6504" s="27"/>
      <c r="F6504" s="42" t="s">
        <v>522</v>
      </c>
      <c r="G6504" s="28" t="str">
        <f t="shared" si="133"/>
        <v/>
      </c>
      <c r="H6504" s="29"/>
      <c r="I6504" s="30"/>
      <c r="J6504" s="102">
        <v>0</v>
      </c>
    </row>
    <row r="6505" spans="1:10" hidden="1" x14ac:dyDescent="0.25">
      <c r="A6505" s="219"/>
      <c r="B6505" s="222"/>
      <c r="C6505" s="32"/>
      <c r="D6505" s="32"/>
      <c r="E6505" s="33"/>
      <c r="F6505" s="43" t="s">
        <v>522</v>
      </c>
      <c r="G6505" s="31" t="str">
        <f t="shared" si="133"/>
        <v/>
      </c>
      <c r="H6505" s="35"/>
      <c r="I6505" s="31"/>
      <c r="J6505" s="102">
        <v>0</v>
      </c>
    </row>
    <row r="6506" spans="1:10" ht="25.5" hidden="1" x14ac:dyDescent="0.25">
      <c r="A6506" s="219"/>
      <c r="B6506" s="222"/>
      <c r="C6506" s="118" t="s">
        <v>2382</v>
      </c>
      <c r="D6506" s="47" t="s">
        <v>20</v>
      </c>
      <c r="E6506" s="106">
        <v>1</v>
      </c>
      <c r="F6506" s="31">
        <v>94.819499999999991</v>
      </c>
      <c r="G6506" s="31">
        <f t="shared" si="133"/>
        <v>94.819499999999991</v>
      </c>
      <c r="H6506" s="39">
        <f>SUM(G6506:G6506)</f>
        <v>94.819499999999991</v>
      </c>
      <c r="I6506" s="40"/>
      <c r="J6506" s="102">
        <v>0</v>
      </c>
    </row>
    <row r="6507" spans="1:10" ht="15.75" hidden="1" thickBot="1" x14ac:dyDescent="0.3">
      <c r="A6507" s="220"/>
      <c r="B6507" s="223"/>
      <c r="C6507" s="55"/>
      <c r="D6507" s="55"/>
      <c r="E6507" s="66"/>
      <c r="F6507" s="67" t="s">
        <v>522</v>
      </c>
      <c r="G6507" s="67" t="str">
        <f t="shared" si="133"/>
        <v/>
      </c>
      <c r="H6507" s="69"/>
      <c r="I6507" s="31"/>
      <c r="J6507" s="102">
        <v>0</v>
      </c>
    </row>
    <row r="6508" spans="1:10" ht="15.75" hidden="1" thickBot="1" x14ac:dyDescent="0.3">
      <c r="A6508" s="218" t="s">
        <v>2542</v>
      </c>
      <c r="B6508" s="221" t="e">
        <f>INDEX(#REF!,MATCH(Composições!A6508,#REF!,0),2)</f>
        <v>#REF!</v>
      </c>
      <c r="C6508" s="41"/>
      <c r="D6508" s="26" t="s">
        <v>20</v>
      </c>
      <c r="E6508" s="27"/>
      <c r="F6508" s="42" t="s">
        <v>522</v>
      </c>
      <c r="G6508" s="28" t="str">
        <f t="shared" si="133"/>
        <v/>
      </c>
      <c r="H6508" s="29"/>
      <c r="I6508" s="30"/>
      <c r="J6508" s="102">
        <v>0</v>
      </c>
    </row>
    <row r="6509" spans="1:10" hidden="1" x14ac:dyDescent="0.25">
      <c r="A6509" s="219"/>
      <c r="B6509" s="222"/>
      <c r="C6509" s="32"/>
      <c r="D6509" s="32"/>
      <c r="E6509" s="33"/>
      <c r="F6509" s="43" t="s">
        <v>522</v>
      </c>
      <c r="G6509" s="31" t="str">
        <f t="shared" si="133"/>
        <v/>
      </c>
      <c r="H6509" s="35"/>
      <c r="I6509" s="31"/>
      <c r="J6509" s="102">
        <v>0</v>
      </c>
    </row>
    <row r="6510" spans="1:10" ht="25.5" hidden="1" x14ac:dyDescent="0.25">
      <c r="A6510" s="219"/>
      <c r="B6510" s="222"/>
      <c r="C6510" s="118" t="s">
        <v>1067</v>
      </c>
      <c r="D6510" s="47" t="s">
        <v>20</v>
      </c>
      <c r="E6510" s="106">
        <v>1</v>
      </c>
      <c r="F6510" s="31">
        <v>57.550999999999995</v>
      </c>
      <c r="G6510" s="31">
        <f t="shared" si="133"/>
        <v>57.550999999999995</v>
      </c>
      <c r="H6510" s="39">
        <f>SUM(G6510:G6510)</f>
        <v>57.550999999999995</v>
      </c>
      <c r="I6510" s="40"/>
      <c r="J6510" s="102">
        <v>0</v>
      </c>
    </row>
    <row r="6511" spans="1:10" ht="15.75" hidden="1" thickBot="1" x14ac:dyDescent="0.3">
      <c r="A6511" s="220"/>
      <c r="B6511" s="223"/>
      <c r="C6511" s="55"/>
      <c r="D6511" s="55"/>
      <c r="E6511" s="66"/>
      <c r="F6511" s="67" t="s">
        <v>522</v>
      </c>
      <c r="G6511" s="67" t="str">
        <f t="shared" si="133"/>
        <v/>
      </c>
      <c r="H6511" s="69"/>
      <c r="I6511" s="31"/>
      <c r="J6511" s="102">
        <v>0</v>
      </c>
    </row>
    <row r="6512" spans="1:10" ht="15.75" hidden="1" thickBot="1" x14ac:dyDescent="0.3">
      <c r="A6512" s="218" t="s">
        <v>2556</v>
      </c>
      <c r="B6512" s="221" t="e">
        <f>INDEX(#REF!,MATCH(Composições!A6512,#REF!,0),2)</f>
        <v>#REF!</v>
      </c>
      <c r="C6512" s="41"/>
      <c r="D6512" s="26" t="s">
        <v>20</v>
      </c>
      <c r="E6512" s="27"/>
      <c r="F6512" s="42" t="s">
        <v>522</v>
      </c>
      <c r="G6512" s="28" t="str">
        <f t="shared" si="133"/>
        <v/>
      </c>
      <c r="H6512" s="29"/>
      <c r="I6512" s="30"/>
      <c r="J6512" s="102">
        <v>0</v>
      </c>
    </row>
    <row r="6513" spans="1:10" hidden="1" x14ac:dyDescent="0.25">
      <c r="A6513" s="219"/>
      <c r="B6513" s="222"/>
      <c r="C6513" s="32"/>
      <c r="D6513" s="32"/>
      <c r="E6513" s="33"/>
      <c r="F6513" s="43" t="s">
        <v>522</v>
      </c>
      <c r="G6513" s="31" t="str">
        <f t="shared" si="133"/>
        <v/>
      </c>
      <c r="H6513" s="35"/>
      <c r="I6513" s="31"/>
      <c r="J6513" s="102">
        <v>0</v>
      </c>
    </row>
    <row r="6514" spans="1:10" ht="25.5" hidden="1" x14ac:dyDescent="0.25">
      <c r="A6514" s="219"/>
      <c r="B6514" s="222"/>
      <c r="C6514" s="118" t="s">
        <v>3231</v>
      </c>
      <c r="D6514" s="47" t="s">
        <v>20</v>
      </c>
      <c r="E6514" s="106">
        <v>1</v>
      </c>
      <c r="F6514" s="31">
        <v>120.669</v>
      </c>
      <c r="G6514" s="31">
        <f t="shared" si="133"/>
        <v>120.669</v>
      </c>
      <c r="H6514" s="39">
        <f>SUM(G6514:G6514)</f>
        <v>120.669</v>
      </c>
      <c r="I6514" s="40"/>
      <c r="J6514" s="102">
        <v>0</v>
      </c>
    </row>
    <row r="6515" spans="1:10" ht="15.75" hidden="1" thickBot="1" x14ac:dyDescent="0.3">
      <c r="A6515" s="220"/>
      <c r="B6515" s="223"/>
      <c r="C6515" s="55"/>
      <c r="D6515" s="55"/>
      <c r="E6515" s="66"/>
      <c r="F6515" s="67" t="s">
        <v>522</v>
      </c>
      <c r="G6515" s="67" t="str">
        <f t="shared" si="133"/>
        <v/>
      </c>
      <c r="H6515" s="69"/>
      <c r="I6515" s="31"/>
      <c r="J6515" s="102">
        <v>0</v>
      </c>
    </row>
    <row r="6516" spans="1:10" ht="15.75" hidden="1" thickBot="1" x14ac:dyDescent="0.3">
      <c r="A6516" s="218" t="s">
        <v>2585</v>
      </c>
      <c r="B6516" s="221" t="e">
        <f>INDEX(#REF!,MATCH(Composições!A6516,#REF!,0),2)</f>
        <v>#REF!</v>
      </c>
      <c r="C6516" s="41"/>
      <c r="D6516" s="26" t="s">
        <v>20</v>
      </c>
      <c r="E6516" s="27"/>
      <c r="F6516" s="42" t="s">
        <v>522</v>
      </c>
      <c r="G6516" s="28" t="str">
        <f t="shared" si="133"/>
        <v/>
      </c>
      <c r="H6516" s="29"/>
      <c r="I6516" s="30"/>
      <c r="J6516" s="102">
        <v>0</v>
      </c>
    </row>
    <row r="6517" spans="1:10" hidden="1" x14ac:dyDescent="0.25">
      <c r="A6517" s="219"/>
      <c r="B6517" s="222"/>
      <c r="C6517" s="32"/>
      <c r="D6517" s="32"/>
      <c r="E6517" s="33"/>
      <c r="F6517" s="43" t="s">
        <v>522</v>
      </c>
      <c r="G6517" s="31" t="str">
        <f t="shared" si="133"/>
        <v/>
      </c>
      <c r="H6517" s="35"/>
      <c r="I6517" s="31"/>
      <c r="J6517" s="102">
        <v>0</v>
      </c>
    </row>
    <row r="6518" spans="1:10" ht="25.5" hidden="1" x14ac:dyDescent="0.25">
      <c r="A6518" s="219"/>
      <c r="B6518" s="222"/>
      <c r="C6518" s="118" t="s">
        <v>3259</v>
      </c>
      <c r="D6518" s="47" t="s">
        <v>20</v>
      </c>
      <c r="E6518" s="106">
        <v>1</v>
      </c>
      <c r="F6518" s="31">
        <v>97.023499999999984</v>
      </c>
      <c r="G6518" s="31">
        <f t="shared" si="133"/>
        <v>97.023499999999984</v>
      </c>
      <c r="H6518" s="39">
        <f>SUM(G6518:G6518)</f>
        <v>97.023499999999984</v>
      </c>
      <c r="I6518" s="40"/>
      <c r="J6518" s="102">
        <v>0</v>
      </c>
    </row>
    <row r="6519" spans="1:10" ht="15.75" hidden="1" thickBot="1" x14ac:dyDescent="0.3">
      <c r="A6519" s="220"/>
      <c r="B6519" s="223"/>
      <c r="C6519" s="55"/>
      <c r="D6519" s="55"/>
      <c r="E6519" s="66"/>
      <c r="F6519" s="67" t="s">
        <v>522</v>
      </c>
      <c r="G6519" s="67" t="str">
        <f t="shared" si="133"/>
        <v/>
      </c>
      <c r="H6519" s="69"/>
      <c r="I6519" s="31"/>
      <c r="J6519" s="102">
        <v>0</v>
      </c>
    </row>
    <row r="6520" spans="1:10" ht="15.75" hidden="1" thickBot="1" x14ac:dyDescent="0.3">
      <c r="A6520" s="218" t="s">
        <v>2597</v>
      </c>
      <c r="B6520" s="221" t="e">
        <f>INDEX(#REF!,MATCH(Composições!A6520,#REF!,0),2)</f>
        <v>#REF!</v>
      </c>
      <c r="C6520" s="41"/>
      <c r="D6520" s="26" t="s">
        <v>20</v>
      </c>
      <c r="E6520" s="27"/>
      <c r="F6520" s="42" t="s">
        <v>522</v>
      </c>
      <c r="G6520" s="28" t="str">
        <f t="shared" si="133"/>
        <v/>
      </c>
      <c r="H6520" s="29"/>
      <c r="I6520" s="30"/>
      <c r="J6520" s="102">
        <v>0</v>
      </c>
    </row>
    <row r="6521" spans="1:10" hidden="1" x14ac:dyDescent="0.25">
      <c r="A6521" s="219"/>
      <c r="B6521" s="222"/>
      <c r="C6521" s="32"/>
      <c r="D6521" s="32"/>
      <c r="E6521" s="33"/>
      <c r="F6521" s="43" t="s">
        <v>522</v>
      </c>
      <c r="G6521" s="31" t="str">
        <f t="shared" si="133"/>
        <v/>
      </c>
      <c r="H6521" s="35"/>
      <c r="I6521" s="31"/>
      <c r="J6521" s="102">
        <v>0</v>
      </c>
    </row>
    <row r="6522" spans="1:10" ht="25.5" hidden="1" x14ac:dyDescent="0.25">
      <c r="A6522" s="219"/>
      <c r="B6522" s="222"/>
      <c r="C6522" s="118" t="s">
        <v>3261</v>
      </c>
      <c r="D6522" s="47" t="s">
        <v>20</v>
      </c>
      <c r="E6522" s="106">
        <v>1</v>
      </c>
      <c r="F6522" s="31">
        <v>194.00899999999999</v>
      </c>
      <c r="G6522" s="31">
        <f t="shared" si="133"/>
        <v>194.00899999999999</v>
      </c>
      <c r="H6522" s="39">
        <f>SUM(G6522:G6522)</f>
        <v>194.00899999999999</v>
      </c>
      <c r="I6522" s="40"/>
      <c r="J6522" s="102">
        <v>0</v>
      </c>
    </row>
    <row r="6523" spans="1:10" ht="15.75" hidden="1" thickBot="1" x14ac:dyDescent="0.3">
      <c r="A6523" s="220"/>
      <c r="B6523" s="223"/>
      <c r="C6523" s="55"/>
      <c r="D6523" s="55"/>
      <c r="E6523" s="66"/>
      <c r="F6523" s="67" t="s">
        <v>522</v>
      </c>
      <c r="G6523" s="67" t="str">
        <f t="shared" si="133"/>
        <v/>
      </c>
      <c r="H6523" s="69"/>
      <c r="I6523" s="31"/>
      <c r="J6523" s="102">
        <v>0</v>
      </c>
    </row>
    <row r="6524" spans="1:10" ht="15.75" hidden="1" thickBot="1" x14ac:dyDescent="0.3">
      <c r="A6524" s="218" t="s">
        <v>2622</v>
      </c>
      <c r="B6524" s="221" t="e">
        <f>INDEX(#REF!,MATCH(Composições!A6524,#REF!,0),2)</f>
        <v>#REF!</v>
      </c>
      <c r="C6524" s="41"/>
      <c r="D6524" s="26" t="s">
        <v>20</v>
      </c>
      <c r="E6524" s="27"/>
      <c r="F6524" s="42" t="s">
        <v>522</v>
      </c>
      <c r="G6524" s="28" t="str">
        <f t="shared" si="133"/>
        <v/>
      </c>
      <c r="H6524" s="29"/>
      <c r="I6524" s="30"/>
      <c r="J6524" s="102">
        <v>0</v>
      </c>
    </row>
    <row r="6525" spans="1:10" hidden="1" x14ac:dyDescent="0.25">
      <c r="A6525" s="219"/>
      <c r="B6525" s="222"/>
      <c r="C6525" s="32"/>
      <c r="D6525" s="32"/>
      <c r="E6525" s="33"/>
      <c r="F6525" s="43" t="s">
        <v>522</v>
      </c>
      <c r="G6525" s="31" t="str">
        <f t="shared" si="133"/>
        <v/>
      </c>
      <c r="H6525" s="35"/>
      <c r="I6525" s="31"/>
      <c r="J6525" s="102">
        <v>0</v>
      </c>
    </row>
    <row r="6526" spans="1:10" hidden="1" x14ac:dyDescent="0.25">
      <c r="A6526" s="219"/>
      <c r="B6526" s="222"/>
      <c r="C6526" s="118" t="s">
        <v>3270</v>
      </c>
      <c r="D6526" s="47" t="s">
        <v>20</v>
      </c>
      <c r="E6526" s="106">
        <v>1</v>
      </c>
      <c r="F6526" s="31">
        <v>20.244499999999999</v>
      </c>
      <c r="G6526" s="31">
        <f t="shared" si="133"/>
        <v>20.244499999999999</v>
      </c>
      <c r="H6526" s="39">
        <f>SUM(G6526:G6526)</f>
        <v>20.244499999999999</v>
      </c>
      <c r="I6526" s="40"/>
      <c r="J6526" s="102">
        <v>0</v>
      </c>
    </row>
    <row r="6527" spans="1:10" ht="15.75" hidden="1" thickBot="1" x14ac:dyDescent="0.3">
      <c r="A6527" s="220"/>
      <c r="B6527" s="223"/>
      <c r="C6527" s="55"/>
      <c r="D6527" s="55"/>
      <c r="E6527" s="66"/>
      <c r="F6527" s="67" t="s">
        <v>522</v>
      </c>
      <c r="G6527" s="67" t="str">
        <f t="shared" si="133"/>
        <v/>
      </c>
      <c r="H6527" s="69"/>
      <c r="I6527" s="31"/>
      <c r="J6527" s="102">
        <v>0</v>
      </c>
    </row>
    <row r="6528" spans="1:10" ht="15.75" hidden="1" thickBot="1" x14ac:dyDescent="0.3">
      <c r="A6528" s="218" t="s">
        <v>2634</v>
      </c>
      <c r="B6528" s="221" t="e">
        <f>INDEX(#REF!,MATCH(Composições!A6528,#REF!,0),2)</f>
        <v>#REF!</v>
      </c>
      <c r="C6528" s="41"/>
      <c r="D6528" s="26" t="s">
        <v>20</v>
      </c>
      <c r="E6528" s="27"/>
      <c r="F6528" s="42" t="s">
        <v>522</v>
      </c>
      <c r="G6528" s="28" t="str">
        <f t="shared" si="133"/>
        <v/>
      </c>
      <c r="H6528" s="29"/>
      <c r="I6528" s="30"/>
      <c r="J6528" s="102">
        <v>0</v>
      </c>
    </row>
    <row r="6529" spans="1:10" hidden="1" x14ac:dyDescent="0.25">
      <c r="A6529" s="219"/>
      <c r="B6529" s="222"/>
      <c r="C6529" s="32"/>
      <c r="D6529" s="32"/>
      <c r="E6529" s="33"/>
      <c r="F6529" s="43" t="s">
        <v>522</v>
      </c>
      <c r="G6529" s="31" t="str">
        <f t="shared" si="133"/>
        <v/>
      </c>
      <c r="H6529" s="35"/>
      <c r="I6529" s="31"/>
      <c r="J6529" s="102">
        <v>0</v>
      </c>
    </row>
    <row r="6530" spans="1:10" hidden="1" x14ac:dyDescent="0.25">
      <c r="A6530" s="219"/>
      <c r="B6530" s="222"/>
      <c r="C6530" s="118" t="s">
        <v>1145</v>
      </c>
      <c r="D6530" s="47" t="s">
        <v>20</v>
      </c>
      <c r="E6530" s="106">
        <v>1</v>
      </c>
      <c r="F6530" s="31">
        <v>38.683999999999997</v>
      </c>
      <c r="G6530" s="31">
        <f t="shared" si="133"/>
        <v>38.683999999999997</v>
      </c>
      <c r="H6530" s="39">
        <f>SUM(G6530:G6530)</f>
        <v>38.683999999999997</v>
      </c>
      <c r="I6530" s="40"/>
      <c r="J6530" s="102">
        <v>0</v>
      </c>
    </row>
    <row r="6531" spans="1:10" ht="15.75" hidden="1" thickBot="1" x14ac:dyDescent="0.3">
      <c r="A6531" s="220"/>
      <c r="B6531" s="223"/>
      <c r="C6531" s="55"/>
      <c r="D6531" s="55"/>
      <c r="E6531" s="66"/>
      <c r="F6531" s="67" t="s">
        <v>522</v>
      </c>
      <c r="G6531" s="67" t="str">
        <f t="shared" si="133"/>
        <v/>
      </c>
      <c r="H6531" s="69"/>
      <c r="I6531" s="31"/>
      <c r="J6531" s="102">
        <v>0</v>
      </c>
    </row>
    <row r="6532" spans="1:10" ht="15.75" hidden="1" thickBot="1" x14ac:dyDescent="0.3">
      <c r="A6532" s="218" t="s">
        <v>2635</v>
      </c>
      <c r="B6532" s="221" t="e">
        <f>INDEX(#REF!,MATCH(Composições!A6532,#REF!,0),2)</f>
        <v>#REF!</v>
      </c>
      <c r="C6532" s="41"/>
      <c r="D6532" s="26" t="s">
        <v>20</v>
      </c>
      <c r="E6532" s="27"/>
      <c r="F6532" s="42" t="s">
        <v>522</v>
      </c>
      <c r="G6532" s="28" t="str">
        <f t="shared" si="133"/>
        <v/>
      </c>
      <c r="H6532" s="29"/>
      <c r="I6532" s="30"/>
      <c r="J6532" s="102">
        <v>0</v>
      </c>
    </row>
    <row r="6533" spans="1:10" hidden="1" x14ac:dyDescent="0.25">
      <c r="A6533" s="219"/>
      <c r="B6533" s="222"/>
      <c r="C6533" s="32"/>
      <c r="D6533" s="32"/>
      <c r="E6533" s="33"/>
      <c r="F6533" s="43" t="s">
        <v>522</v>
      </c>
      <c r="G6533" s="31" t="str">
        <f t="shared" si="133"/>
        <v/>
      </c>
      <c r="H6533" s="35"/>
      <c r="I6533" s="31"/>
      <c r="J6533" s="102">
        <v>0</v>
      </c>
    </row>
    <row r="6534" spans="1:10" hidden="1" x14ac:dyDescent="0.25">
      <c r="A6534" s="219"/>
      <c r="B6534" s="222"/>
      <c r="C6534" s="118" t="s">
        <v>3342</v>
      </c>
      <c r="D6534" s="47" t="s">
        <v>20</v>
      </c>
      <c r="E6534" s="106">
        <v>1</v>
      </c>
      <c r="F6534" s="31">
        <v>44.65</v>
      </c>
      <c r="G6534" s="31">
        <f t="shared" si="133"/>
        <v>44.65</v>
      </c>
      <c r="H6534" s="39">
        <f>SUM(G6534:G6534)</f>
        <v>44.65</v>
      </c>
      <c r="I6534" s="40"/>
      <c r="J6534" s="102">
        <v>0</v>
      </c>
    </row>
    <row r="6535" spans="1:10" ht="15.75" hidden="1" thickBot="1" x14ac:dyDescent="0.3">
      <c r="A6535" s="220"/>
      <c r="B6535" s="223"/>
      <c r="C6535" s="55"/>
      <c r="D6535" s="55"/>
      <c r="E6535" s="66"/>
      <c r="F6535" s="67" t="s">
        <v>522</v>
      </c>
      <c r="G6535" s="67" t="str">
        <f t="shared" si="133"/>
        <v/>
      </c>
      <c r="H6535" s="69"/>
      <c r="I6535" s="31"/>
      <c r="J6535" s="102">
        <v>0</v>
      </c>
    </row>
    <row r="6536" spans="1:10" ht="15.75" hidden="1" thickBot="1" x14ac:dyDescent="0.3">
      <c r="A6536" s="218" t="s">
        <v>2637</v>
      </c>
      <c r="B6536" s="221" t="e">
        <f>INDEX(#REF!,MATCH(Composições!A6536,#REF!,0),2)</f>
        <v>#REF!</v>
      </c>
      <c r="C6536" s="41"/>
      <c r="D6536" s="26" t="s">
        <v>20</v>
      </c>
      <c r="E6536" s="27"/>
      <c r="F6536" s="42" t="s">
        <v>522</v>
      </c>
      <c r="G6536" s="28" t="str">
        <f t="shared" si="133"/>
        <v/>
      </c>
      <c r="H6536" s="29"/>
      <c r="I6536" s="30"/>
      <c r="J6536" s="102">
        <v>0</v>
      </c>
    </row>
    <row r="6537" spans="1:10" hidden="1" x14ac:dyDescent="0.25">
      <c r="A6537" s="219"/>
      <c r="B6537" s="222"/>
      <c r="C6537" s="32"/>
      <c r="D6537" s="32"/>
      <c r="E6537" s="33"/>
      <c r="F6537" s="43" t="s">
        <v>522</v>
      </c>
      <c r="G6537" s="31" t="str">
        <f t="shared" si="133"/>
        <v/>
      </c>
      <c r="H6537" s="35"/>
      <c r="I6537" s="31"/>
      <c r="J6537" s="102">
        <v>0</v>
      </c>
    </row>
    <row r="6538" spans="1:10" ht="25.5" hidden="1" x14ac:dyDescent="0.25">
      <c r="A6538" s="219"/>
      <c r="B6538" s="222"/>
      <c r="C6538" s="118" t="s">
        <v>632</v>
      </c>
      <c r="D6538" s="47" t="s">
        <v>20</v>
      </c>
      <c r="E6538" s="106">
        <v>1</v>
      </c>
      <c r="F6538" s="31">
        <v>108.26199999999999</v>
      </c>
      <c r="G6538" s="31">
        <f t="shared" si="133"/>
        <v>108.26199999999999</v>
      </c>
      <c r="H6538" s="39">
        <f>SUM(G6538:G6538)</f>
        <v>108.26199999999999</v>
      </c>
      <c r="I6538" s="40"/>
      <c r="J6538" s="102">
        <v>0</v>
      </c>
    </row>
    <row r="6539" spans="1:10" ht="15.75" hidden="1" thickBot="1" x14ac:dyDescent="0.3">
      <c r="A6539" s="220"/>
      <c r="B6539" s="223"/>
      <c r="C6539" s="55"/>
      <c r="D6539" s="55"/>
      <c r="E6539" s="66"/>
      <c r="F6539" s="67" t="s">
        <v>522</v>
      </c>
      <c r="G6539" s="67" t="str">
        <f t="shared" si="133"/>
        <v/>
      </c>
      <c r="H6539" s="69"/>
      <c r="I6539" s="31"/>
      <c r="J6539" s="102">
        <v>0</v>
      </c>
    </row>
    <row r="6540" spans="1:10" ht="15.75" hidden="1" thickBot="1" x14ac:dyDescent="0.3">
      <c r="A6540" s="218" t="s">
        <v>2639</v>
      </c>
      <c r="B6540" s="221" t="e">
        <f>INDEX(#REF!,MATCH(Composições!A6540,#REF!,0),2)</f>
        <v>#REF!</v>
      </c>
      <c r="C6540" s="41"/>
      <c r="D6540" s="26" t="s">
        <v>20</v>
      </c>
      <c r="E6540" s="27"/>
      <c r="F6540" s="42" t="s">
        <v>522</v>
      </c>
      <c r="G6540" s="28" t="str">
        <f t="shared" si="133"/>
        <v/>
      </c>
      <c r="H6540" s="29"/>
      <c r="I6540" s="30"/>
      <c r="J6540" s="102">
        <v>0</v>
      </c>
    </row>
    <row r="6541" spans="1:10" hidden="1" x14ac:dyDescent="0.25">
      <c r="A6541" s="219"/>
      <c r="B6541" s="222"/>
      <c r="C6541" s="32"/>
      <c r="D6541" s="32"/>
      <c r="E6541" s="33"/>
      <c r="F6541" s="43" t="s">
        <v>522</v>
      </c>
      <c r="G6541" s="31" t="str">
        <f t="shared" si="133"/>
        <v/>
      </c>
      <c r="H6541" s="35"/>
      <c r="I6541" s="31"/>
      <c r="J6541" s="102">
        <v>0</v>
      </c>
    </row>
    <row r="6542" spans="1:10" hidden="1" x14ac:dyDescent="0.25">
      <c r="A6542" s="219"/>
      <c r="B6542" s="222"/>
      <c r="C6542" s="118" t="s">
        <v>3341</v>
      </c>
      <c r="D6542" s="47" t="s">
        <v>20</v>
      </c>
      <c r="E6542" s="106">
        <v>1</v>
      </c>
      <c r="F6542" s="31">
        <v>166.94349999999997</v>
      </c>
      <c r="G6542" s="31">
        <f t="shared" si="133"/>
        <v>166.94349999999997</v>
      </c>
      <c r="H6542" s="39">
        <f>SUM(G6542:G6542)</f>
        <v>166.94349999999997</v>
      </c>
      <c r="I6542" s="40"/>
      <c r="J6542" s="102">
        <v>0</v>
      </c>
    </row>
    <row r="6543" spans="1:10" ht="15.75" hidden="1" thickBot="1" x14ac:dyDescent="0.3">
      <c r="A6543" s="220"/>
      <c r="B6543" s="223"/>
      <c r="C6543" s="55"/>
      <c r="D6543" s="55"/>
      <c r="E6543" s="66"/>
      <c r="F6543" s="67" t="s">
        <v>522</v>
      </c>
      <c r="G6543" s="67" t="str">
        <f t="shared" si="133"/>
        <v/>
      </c>
      <c r="H6543" s="69"/>
      <c r="I6543" s="31"/>
      <c r="J6543" s="102">
        <v>0</v>
      </c>
    </row>
    <row r="6544" spans="1:10" ht="15.75" hidden="1" thickBot="1" x14ac:dyDescent="0.3">
      <c r="A6544" s="218" t="s">
        <v>2641</v>
      </c>
      <c r="B6544" s="221" t="e">
        <f>INDEX(#REF!,MATCH(Composições!A6544,#REF!,0),2)</f>
        <v>#REF!</v>
      </c>
      <c r="C6544" s="41"/>
      <c r="D6544" s="26" t="s">
        <v>20</v>
      </c>
      <c r="E6544" s="27"/>
      <c r="F6544" s="42" t="s">
        <v>522</v>
      </c>
      <c r="G6544" s="28" t="str">
        <f t="shared" si="133"/>
        <v/>
      </c>
      <c r="H6544" s="29"/>
      <c r="I6544" s="30"/>
      <c r="J6544" s="102">
        <v>0</v>
      </c>
    </row>
    <row r="6545" spans="1:10" hidden="1" x14ac:dyDescent="0.25">
      <c r="A6545" s="219"/>
      <c r="B6545" s="222"/>
      <c r="C6545" s="32"/>
      <c r="D6545" s="32"/>
      <c r="E6545" s="33"/>
      <c r="F6545" s="43" t="s">
        <v>522</v>
      </c>
      <c r="G6545" s="31" t="str">
        <f t="shared" si="133"/>
        <v/>
      </c>
      <c r="H6545" s="35"/>
      <c r="I6545" s="31"/>
      <c r="J6545" s="102">
        <v>0</v>
      </c>
    </row>
    <row r="6546" spans="1:10" hidden="1" x14ac:dyDescent="0.25">
      <c r="A6546" s="219"/>
      <c r="B6546" s="222"/>
      <c r="C6546" s="118" t="s">
        <v>1145</v>
      </c>
      <c r="D6546" s="47" t="s">
        <v>20</v>
      </c>
      <c r="E6546" s="106">
        <v>1</v>
      </c>
      <c r="F6546" s="31">
        <v>38.683999999999997</v>
      </c>
      <c r="G6546" s="31">
        <f t="shared" si="133"/>
        <v>38.683999999999997</v>
      </c>
      <c r="H6546" s="39">
        <f>SUM(G6546:G6546)</f>
        <v>38.683999999999997</v>
      </c>
      <c r="I6546" s="40"/>
      <c r="J6546" s="102">
        <v>0</v>
      </c>
    </row>
    <row r="6547" spans="1:10" ht="15.75" hidden="1" thickBot="1" x14ac:dyDescent="0.3">
      <c r="A6547" s="220"/>
      <c r="B6547" s="223"/>
      <c r="C6547" s="55"/>
      <c r="D6547" s="55"/>
      <c r="E6547" s="66"/>
      <c r="F6547" s="67" t="s">
        <v>522</v>
      </c>
      <c r="G6547" s="67" t="str">
        <f t="shared" si="133"/>
        <v/>
      </c>
      <c r="H6547" s="69"/>
      <c r="I6547" s="31"/>
      <c r="J6547" s="102">
        <v>0</v>
      </c>
    </row>
    <row r="6548" spans="1:10" ht="15.75" hidden="1" thickBot="1" x14ac:dyDescent="0.3">
      <c r="A6548" s="218" t="s">
        <v>2643</v>
      </c>
      <c r="B6548" s="221" t="e">
        <f>INDEX(#REF!,MATCH(Composições!A6548,#REF!,0),2)</f>
        <v>#REF!</v>
      </c>
      <c r="C6548" s="41"/>
      <c r="D6548" s="26" t="s">
        <v>20</v>
      </c>
      <c r="E6548" s="27"/>
      <c r="F6548" s="42" t="s">
        <v>522</v>
      </c>
      <c r="G6548" s="28" t="str">
        <f t="shared" si="133"/>
        <v/>
      </c>
      <c r="H6548" s="29"/>
      <c r="I6548" s="30"/>
      <c r="J6548" s="102">
        <v>0</v>
      </c>
    </row>
    <row r="6549" spans="1:10" hidden="1" x14ac:dyDescent="0.25">
      <c r="A6549" s="219"/>
      <c r="B6549" s="222"/>
      <c r="C6549" s="32"/>
      <c r="D6549" s="32"/>
      <c r="E6549" s="33"/>
      <c r="F6549" s="43" t="s">
        <v>522</v>
      </c>
      <c r="G6549" s="31" t="str">
        <f t="shared" si="133"/>
        <v/>
      </c>
      <c r="H6549" s="35"/>
      <c r="I6549" s="31"/>
      <c r="J6549" s="102">
        <v>0</v>
      </c>
    </row>
    <row r="6550" spans="1:10" ht="25.5" hidden="1" x14ac:dyDescent="0.25">
      <c r="A6550" s="219"/>
      <c r="B6550" s="222"/>
      <c r="C6550" s="118" t="s">
        <v>3275</v>
      </c>
      <c r="D6550" s="47" t="s">
        <v>20</v>
      </c>
      <c r="E6550" s="106">
        <v>1</v>
      </c>
      <c r="F6550" s="31">
        <v>73.928999999999988</v>
      </c>
      <c r="G6550" s="31">
        <f t="shared" si="133"/>
        <v>73.928999999999988</v>
      </c>
      <c r="H6550" s="39">
        <f>SUM(G6550:G6550)</f>
        <v>73.928999999999988</v>
      </c>
      <c r="I6550" s="40"/>
      <c r="J6550" s="102">
        <v>0</v>
      </c>
    </row>
    <row r="6551" spans="1:10" ht="15.75" hidden="1" thickBot="1" x14ac:dyDescent="0.3">
      <c r="A6551" s="220"/>
      <c r="B6551" s="223"/>
      <c r="C6551" s="55"/>
      <c r="D6551" s="55"/>
      <c r="E6551" s="66"/>
      <c r="F6551" s="67" t="s">
        <v>522</v>
      </c>
      <c r="G6551" s="67" t="str">
        <f t="shared" si="133"/>
        <v/>
      </c>
      <c r="H6551" s="69"/>
      <c r="I6551" s="31"/>
      <c r="J6551" s="102">
        <v>0</v>
      </c>
    </row>
    <row r="6552" spans="1:10" ht="15.75" hidden="1" thickBot="1" x14ac:dyDescent="0.3">
      <c r="A6552" s="218" t="s">
        <v>2645</v>
      </c>
      <c r="B6552" s="221" t="e">
        <f>INDEX(#REF!,MATCH(Composições!A6552,#REF!,0),2)</f>
        <v>#REF!</v>
      </c>
      <c r="C6552" s="41"/>
      <c r="D6552" s="26" t="s">
        <v>20</v>
      </c>
      <c r="E6552" s="27"/>
      <c r="F6552" s="42" t="s">
        <v>522</v>
      </c>
      <c r="G6552" s="28" t="str">
        <f t="shared" si="133"/>
        <v/>
      </c>
      <c r="H6552" s="29"/>
      <c r="I6552" s="30"/>
      <c r="J6552" s="102">
        <v>0</v>
      </c>
    </row>
    <row r="6553" spans="1:10" hidden="1" x14ac:dyDescent="0.25">
      <c r="A6553" s="219"/>
      <c r="B6553" s="222"/>
      <c r="C6553" s="32"/>
      <c r="D6553" s="32"/>
      <c r="E6553" s="33"/>
      <c r="F6553" s="43" t="s">
        <v>522</v>
      </c>
      <c r="G6553" s="31" t="str">
        <f t="shared" si="133"/>
        <v/>
      </c>
      <c r="H6553" s="35"/>
      <c r="I6553" s="31"/>
      <c r="J6553" s="102">
        <v>0</v>
      </c>
    </row>
    <row r="6554" spans="1:10" ht="25.5" hidden="1" x14ac:dyDescent="0.25">
      <c r="A6554" s="219"/>
      <c r="B6554" s="222"/>
      <c r="C6554" s="118" t="s">
        <v>3276</v>
      </c>
      <c r="D6554" s="47" t="s">
        <v>20</v>
      </c>
      <c r="E6554" s="106">
        <v>1</v>
      </c>
      <c r="F6554" s="31">
        <v>58.558</v>
      </c>
      <c r="G6554" s="31">
        <f t="shared" si="133"/>
        <v>58.558</v>
      </c>
      <c r="H6554" s="39">
        <f>SUM(G6554:G6554)</f>
        <v>58.558</v>
      </c>
      <c r="I6554" s="40"/>
      <c r="J6554" s="102">
        <v>0</v>
      </c>
    </row>
    <row r="6555" spans="1:10" ht="15.75" hidden="1" thickBot="1" x14ac:dyDescent="0.3">
      <c r="A6555" s="220"/>
      <c r="B6555" s="223"/>
      <c r="C6555" s="55"/>
      <c r="D6555" s="55"/>
      <c r="E6555" s="66"/>
      <c r="F6555" s="67" t="s">
        <v>522</v>
      </c>
      <c r="G6555" s="67" t="str">
        <f t="shared" si="133"/>
        <v/>
      </c>
      <c r="H6555" s="69"/>
      <c r="I6555" s="31"/>
      <c r="J6555" s="102">
        <v>0</v>
      </c>
    </row>
    <row r="6556" spans="1:10" ht="15.75" hidden="1" thickBot="1" x14ac:dyDescent="0.3">
      <c r="A6556" s="218" t="s">
        <v>2647</v>
      </c>
      <c r="B6556" s="221" t="e">
        <f>INDEX(#REF!,MATCH(Composições!A6556,#REF!,0),2)</f>
        <v>#REF!</v>
      </c>
      <c r="C6556" s="41"/>
      <c r="D6556" s="26" t="s">
        <v>20</v>
      </c>
      <c r="E6556" s="27"/>
      <c r="F6556" s="42" t="s">
        <v>522</v>
      </c>
      <c r="G6556" s="28" t="str">
        <f t="shared" si="133"/>
        <v/>
      </c>
      <c r="H6556" s="29"/>
      <c r="I6556" s="30"/>
      <c r="J6556" s="102">
        <v>0</v>
      </c>
    </row>
    <row r="6557" spans="1:10" hidden="1" x14ac:dyDescent="0.25">
      <c r="A6557" s="219"/>
      <c r="B6557" s="222"/>
      <c r="C6557" s="32"/>
      <c r="D6557" s="32"/>
      <c r="E6557" s="33"/>
      <c r="F6557" s="43" t="s">
        <v>522</v>
      </c>
      <c r="G6557" s="31" t="str">
        <f t="shared" si="133"/>
        <v/>
      </c>
      <c r="H6557" s="35"/>
      <c r="I6557" s="31"/>
      <c r="J6557" s="102">
        <v>0</v>
      </c>
    </row>
    <row r="6558" spans="1:10" ht="25.5" hidden="1" x14ac:dyDescent="0.25">
      <c r="A6558" s="219"/>
      <c r="B6558" s="222"/>
      <c r="C6558" s="118" t="s">
        <v>3274</v>
      </c>
      <c r="D6558" s="47" t="s">
        <v>20</v>
      </c>
      <c r="E6558" s="106">
        <v>1</v>
      </c>
      <c r="F6558" s="31">
        <v>42.958999999999996</v>
      </c>
      <c r="G6558" s="31">
        <f t="shared" si="133"/>
        <v>42.958999999999996</v>
      </c>
      <c r="H6558" s="39">
        <f>SUM(G6558:G6558)</f>
        <v>42.958999999999996</v>
      </c>
      <c r="I6558" s="40"/>
      <c r="J6558" s="102">
        <v>0</v>
      </c>
    </row>
    <row r="6559" spans="1:10" ht="15.75" hidden="1" thickBot="1" x14ac:dyDescent="0.3">
      <c r="A6559" s="220"/>
      <c r="B6559" s="223"/>
      <c r="C6559" s="55"/>
      <c r="D6559" s="55"/>
      <c r="E6559" s="66"/>
      <c r="F6559" s="67" t="s">
        <v>522</v>
      </c>
      <c r="G6559" s="67" t="str">
        <f t="shared" si="133"/>
        <v/>
      </c>
      <c r="H6559" s="69"/>
      <c r="I6559" s="31"/>
      <c r="J6559" s="102">
        <v>0</v>
      </c>
    </row>
    <row r="6560" spans="1:10" ht="15.75" hidden="1" thickBot="1" x14ac:dyDescent="0.3">
      <c r="A6560" s="218" t="s">
        <v>2649</v>
      </c>
      <c r="B6560" s="221" t="e">
        <f>INDEX(#REF!,MATCH(Composições!A6560,#REF!,0),2)</f>
        <v>#REF!</v>
      </c>
      <c r="C6560" s="41"/>
      <c r="D6560" s="26" t="s">
        <v>20</v>
      </c>
      <c r="E6560" s="27"/>
      <c r="F6560" s="42" t="s">
        <v>522</v>
      </c>
      <c r="G6560" s="28" t="str">
        <f t="shared" si="133"/>
        <v/>
      </c>
      <c r="H6560" s="29"/>
      <c r="I6560" s="30"/>
      <c r="J6560" s="102">
        <v>0</v>
      </c>
    </row>
    <row r="6561" spans="1:10" hidden="1" x14ac:dyDescent="0.25">
      <c r="A6561" s="219"/>
      <c r="B6561" s="222"/>
      <c r="C6561" s="32"/>
      <c r="D6561" s="32"/>
      <c r="E6561" s="33"/>
      <c r="F6561" s="43" t="s">
        <v>522</v>
      </c>
      <c r="G6561" s="31" t="str">
        <f t="shared" si="133"/>
        <v/>
      </c>
      <c r="H6561" s="35"/>
      <c r="I6561" s="31"/>
      <c r="J6561" s="102">
        <v>0</v>
      </c>
    </row>
    <row r="6562" spans="1:10" ht="25.5" hidden="1" x14ac:dyDescent="0.25">
      <c r="A6562" s="219"/>
      <c r="B6562" s="222"/>
      <c r="C6562" s="118" t="s">
        <v>3277</v>
      </c>
      <c r="D6562" s="47" t="s">
        <v>20</v>
      </c>
      <c r="E6562" s="106">
        <v>1</v>
      </c>
      <c r="F6562" s="31">
        <v>25.802</v>
      </c>
      <c r="G6562" s="31">
        <f t="shared" ref="G6562:G6625" si="134">IF(ISNUMBER(F6562),E6562*F6562,"")</f>
        <v>25.802</v>
      </c>
      <c r="H6562" s="39">
        <f>SUM(G6562:G6562)</f>
        <v>25.802</v>
      </c>
      <c r="I6562" s="40"/>
      <c r="J6562" s="102">
        <v>0</v>
      </c>
    </row>
    <row r="6563" spans="1:10" ht="15.75" hidden="1" thickBot="1" x14ac:dyDescent="0.3">
      <c r="A6563" s="220"/>
      <c r="B6563" s="223"/>
      <c r="C6563" s="55"/>
      <c r="D6563" s="55"/>
      <c r="E6563" s="66"/>
      <c r="F6563" s="67" t="s">
        <v>522</v>
      </c>
      <c r="G6563" s="67" t="str">
        <f t="shared" si="134"/>
        <v/>
      </c>
      <c r="H6563" s="69"/>
      <c r="I6563" s="31"/>
      <c r="J6563" s="102">
        <v>0</v>
      </c>
    </row>
    <row r="6564" spans="1:10" ht="15.75" hidden="1" thickBot="1" x14ac:dyDescent="0.3">
      <c r="A6564" s="218" t="s">
        <v>2651</v>
      </c>
      <c r="B6564" s="221" t="e">
        <f>INDEX(#REF!,MATCH(Composições!A6564,#REF!,0),2)</f>
        <v>#REF!</v>
      </c>
      <c r="C6564" s="41"/>
      <c r="D6564" s="26" t="s">
        <v>20</v>
      </c>
      <c r="E6564" s="27"/>
      <c r="F6564" s="42" t="s">
        <v>522</v>
      </c>
      <c r="G6564" s="28" t="str">
        <f t="shared" si="134"/>
        <v/>
      </c>
      <c r="H6564" s="29"/>
      <c r="I6564" s="30"/>
      <c r="J6564" s="102">
        <v>0</v>
      </c>
    </row>
    <row r="6565" spans="1:10" hidden="1" x14ac:dyDescent="0.25">
      <c r="A6565" s="219"/>
      <c r="B6565" s="222"/>
      <c r="C6565" s="32"/>
      <c r="D6565" s="32"/>
      <c r="E6565" s="33"/>
      <c r="F6565" s="43" t="s">
        <v>522</v>
      </c>
      <c r="G6565" s="31" t="str">
        <f t="shared" si="134"/>
        <v/>
      </c>
      <c r="H6565" s="35"/>
      <c r="I6565" s="31"/>
      <c r="J6565" s="102">
        <v>0</v>
      </c>
    </row>
    <row r="6566" spans="1:10" ht="25.5" hidden="1" x14ac:dyDescent="0.25">
      <c r="A6566" s="219"/>
      <c r="B6566" s="222"/>
      <c r="C6566" s="118" t="s">
        <v>3279</v>
      </c>
      <c r="D6566" s="47" t="s">
        <v>20</v>
      </c>
      <c r="E6566" s="106">
        <v>1</v>
      </c>
      <c r="F6566" s="31">
        <v>213.55049999999997</v>
      </c>
      <c r="G6566" s="31">
        <f t="shared" si="134"/>
        <v>213.55049999999997</v>
      </c>
      <c r="H6566" s="39">
        <f>SUM(G6566:G6566)</f>
        <v>213.55049999999997</v>
      </c>
      <c r="I6566" s="40"/>
      <c r="J6566" s="102">
        <v>0</v>
      </c>
    </row>
    <row r="6567" spans="1:10" ht="15.75" hidden="1" thickBot="1" x14ac:dyDescent="0.3">
      <c r="A6567" s="220"/>
      <c r="B6567" s="223"/>
      <c r="C6567" s="55"/>
      <c r="D6567" s="55"/>
      <c r="E6567" s="66"/>
      <c r="F6567" s="67" t="s">
        <v>522</v>
      </c>
      <c r="G6567" s="67" t="str">
        <f t="shared" si="134"/>
        <v/>
      </c>
      <c r="H6567" s="69"/>
      <c r="I6567" s="31"/>
      <c r="J6567" s="102">
        <v>0</v>
      </c>
    </row>
    <row r="6568" spans="1:10" ht="15.75" hidden="1" thickBot="1" x14ac:dyDescent="0.3">
      <c r="A6568" s="218" t="s">
        <v>2653</v>
      </c>
      <c r="B6568" s="221" t="e">
        <f>INDEX(#REF!,MATCH(Composições!A6568,#REF!,0),2)</f>
        <v>#REF!</v>
      </c>
      <c r="C6568" s="41"/>
      <c r="D6568" s="26" t="s">
        <v>20</v>
      </c>
      <c r="E6568" s="27"/>
      <c r="F6568" s="42" t="s">
        <v>522</v>
      </c>
      <c r="G6568" s="28" t="str">
        <f t="shared" si="134"/>
        <v/>
      </c>
      <c r="H6568" s="29"/>
      <c r="I6568" s="30"/>
      <c r="J6568" s="102">
        <v>0</v>
      </c>
    </row>
    <row r="6569" spans="1:10" hidden="1" x14ac:dyDescent="0.25">
      <c r="A6569" s="219"/>
      <c r="B6569" s="222"/>
      <c r="C6569" s="32"/>
      <c r="D6569" s="32"/>
      <c r="E6569" s="33"/>
      <c r="F6569" s="43" t="s">
        <v>522</v>
      </c>
      <c r="G6569" s="31" t="str">
        <f t="shared" si="134"/>
        <v/>
      </c>
      <c r="H6569" s="35"/>
      <c r="I6569" s="31"/>
      <c r="J6569" s="102">
        <v>0</v>
      </c>
    </row>
    <row r="6570" spans="1:10" ht="25.5" hidden="1" x14ac:dyDescent="0.25">
      <c r="A6570" s="219"/>
      <c r="B6570" s="222"/>
      <c r="C6570" s="118" t="s">
        <v>3278</v>
      </c>
      <c r="D6570" s="47" t="s">
        <v>20</v>
      </c>
      <c r="E6570" s="106">
        <v>1</v>
      </c>
      <c r="F6570" s="31">
        <v>102.9705</v>
      </c>
      <c r="G6570" s="31">
        <f t="shared" si="134"/>
        <v>102.9705</v>
      </c>
      <c r="H6570" s="39">
        <f>SUM(G6570:G6570)</f>
        <v>102.9705</v>
      </c>
      <c r="I6570" s="40"/>
      <c r="J6570" s="102">
        <v>0</v>
      </c>
    </row>
    <row r="6571" spans="1:10" ht="15.75" hidden="1" thickBot="1" x14ac:dyDescent="0.3">
      <c r="A6571" s="220"/>
      <c r="B6571" s="223"/>
      <c r="C6571" s="55"/>
      <c r="D6571" s="55"/>
      <c r="E6571" s="66"/>
      <c r="F6571" s="67" t="s">
        <v>522</v>
      </c>
      <c r="G6571" s="67" t="str">
        <f t="shared" si="134"/>
        <v/>
      </c>
      <c r="H6571" s="69"/>
      <c r="I6571" s="31"/>
      <c r="J6571" s="102">
        <v>0</v>
      </c>
    </row>
    <row r="6572" spans="1:10" ht="15.75" hidden="1" thickBot="1" x14ac:dyDescent="0.3">
      <c r="A6572" s="218" t="s">
        <v>2655</v>
      </c>
      <c r="B6572" s="221" t="e">
        <f>INDEX(#REF!,MATCH(Composições!A6572,#REF!,0),2)</f>
        <v>#REF!</v>
      </c>
      <c r="C6572" s="41"/>
      <c r="D6572" s="26" t="s">
        <v>20</v>
      </c>
      <c r="E6572" s="27"/>
      <c r="F6572" s="42" t="s">
        <v>522</v>
      </c>
      <c r="G6572" s="28" t="str">
        <f t="shared" si="134"/>
        <v/>
      </c>
      <c r="H6572" s="29"/>
      <c r="I6572" s="30"/>
      <c r="J6572" s="102">
        <v>0</v>
      </c>
    </row>
    <row r="6573" spans="1:10" hidden="1" x14ac:dyDescent="0.25">
      <c r="A6573" s="219"/>
      <c r="B6573" s="222"/>
      <c r="C6573" s="32"/>
      <c r="D6573" s="32"/>
      <c r="E6573" s="33"/>
      <c r="F6573" s="43" t="s">
        <v>522</v>
      </c>
      <c r="G6573" s="31" t="str">
        <f t="shared" si="134"/>
        <v/>
      </c>
      <c r="H6573" s="35"/>
      <c r="I6573" s="31"/>
      <c r="J6573" s="102">
        <v>0</v>
      </c>
    </row>
    <row r="6574" spans="1:10" ht="25.5" hidden="1" x14ac:dyDescent="0.25">
      <c r="A6574" s="219"/>
      <c r="B6574" s="222"/>
      <c r="C6574" s="118" t="s">
        <v>3280</v>
      </c>
      <c r="D6574" s="47" t="s">
        <v>20</v>
      </c>
      <c r="E6574" s="106">
        <v>1</v>
      </c>
      <c r="F6574" s="31">
        <v>258.53299999999996</v>
      </c>
      <c r="G6574" s="31">
        <f t="shared" si="134"/>
        <v>258.53299999999996</v>
      </c>
      <c r="H6574" s="39">
        <f>SUM(G6574:G6574)</f>
        <v>258.53299999999996</v>
      </c>
      <c r="I6574" s="40"/>
      <c r="J6574" s="102">
        <v>0</v>
      </c>
    </row>
    <row r="6575" spans="1:10" ht="15.75" hidden="1" thickBot="1" x14ac:dyDescent="0.3">
      <c r="A6575" s="220"/>
      <c r="B6575" s="223"/>
      <c r="C6575" s="55"/>
      <c r="D6575" s="55"/>
      <c r="E6575" s="66"/>
      <c r="F6575" s="67" t="s">
        <v>522</v>
      </c>
      <c r="G6575" s="67" t="str">
        <f t="shared" si="134"/>
        <v/>
      </c>
      <c r="H6575" s="69"/>
      <c r="I6575" s="31"/>
      <c r="J6575" s="102">
        <v>0</v>
      </c>
    </row>
    <row r="6576" spans="1:10" ht="15.75" hidden="1" thickBot="1" x14ac:dyDescent="0.3">
      <c r="A6576" s="218" t="s">
        <v>2657</v>
      </c>
      <c r="B6576" s="221" t="e">
        <f>INDEX(#REF!,MATCH(Composições!A6576,#REF!,0),2)</f>
        <v>#REF!</v>
      </c>
      <c r="C6576" s="41"/>
      <c r="D6576" s="26" t="s">
        <v>20</v>
      </c>
      <c r="E6576" s="27"/>
      <c r="F6576" s="42" t="s">
        <v>522</v>
      </c>
      <c r="G6576" s="28" t="str">
        <f t="shared" si="134"/>
        <v/>
      </c>
      <c r="H6576" s="29"/>
      <c r="I6576" s="30"/>
      <c r="J6576" s="102">
        <v>0</v>
      </c>
    </row>
    <row r="6577" spans="1:10" hidden="1" x14ac:dyDescent="0.25">
      <c r="A6577" s="219"/>
      <c r="B6577" s="222"/>
      <c r="C6577" s="32"/>
      <c r="D6577" s="32"/>
      <c r="E6577" s="33"/>
      <c r="F6577" s="43" t="s">
        <v>522</v>
      </c>
      <c r="G6577" s="31" t="str">
        <f t="shared" si="134"/>
        <v/>
      </c>
      <c r="H6577" s="35"/>
      <c r="I6577" s="31"/>
      <c r="J6577" s="102">
        <v>0</v>
      </c>
    </row>
    <row r="6578" spans="1:10" ht="25.5" hidden="1" x14ac:dyDescent="0.25">
      <c r="A6578" s="219"/>
      <c r="B6578" s="222"/>
      <c r="C6578" s="118" t="s">
        <v>3281</v>
      </c>
      <c r="D6578" s="47" t="s">
        <v>20</v>
      </c>
      <c r="E6578" s="106">
        <v>1</v>
      </c>
      <c r="F6578" s="31">
        <v>27.217499999999998</v>
      </c>
      <c r="G6578" s="31">
        <f t="shared" si="134"/>
        <v>27.217499999999998</v>
      </c>
      <c r="H6578" s="39">
        <f>SUM(G6578:G6578)</f>
        <v>27.217499999999998</v>
      </c>
      <c r="I6578" s="40"/>
      <c r="J6578" s="102">
        <v>0</v>
      </c>
    </row>
    <row r="6579" spans="1:10" ht="15.75" hidden="1" thickBot="1" x14ac:dyDescent="0.3">
      <c r="A6579" s="220"/>
      <c r="B6579" s="223"/>
      <c r="C6579" s="55"/>
      <c r="D6579" s="55"/>
      <c r="E6579" s="66"/>
      <c r="F6579" s="67" t="s">
        <v>522</v>
      </c>
      <c r="G6579" s="67" t="str">
        <f t="shared" si="134"/>
        <v/>
      </c>
      <c r="H6579" s="69"/>
      <c r="I6579" s="31"/>
      <c r="J6579" s="102">
        <v>0</v>
      </c>
    </row>
    <row r="6580" spans="1:10" ht="15.75" hidden="1" thickBot="1" x14ac:dyDescent="0.3">
      <c r="A6580" s="218" t="s">
        <v>2659</v>
      </c>
      <c r="B6580" s="221" t="e">
        <f>INDEX(#REF!,MATCH(Composições!A6580,#REF!,0),2)</f>
        <v>#REF!</v>
      </c>
      <c r="C6580" s="41"/>
      <c r="D6580" s="26" t="s">
        <v>20</v>
      </c>
      <c r="E6580" s="27"/>
      <c r="F6580" s="42" t="s">
        <v>522</v>
      </c>
      <c r="G6580" s="28" t="str">
        <f t="shared" si="134"/>
        <v/>
      </c>
      <c r="H6580" s="29"/>
      <c r="I6580" s="30"/>
      <c r="J6580" s="102">
        <v>0</v>
      </c>
    </row>
    <row r="6581" spans="1:10" hidden="1" x14ac:dyDescent="0.25">
      <c r="A6581" s="219"/>
      <c r="B6581" s="222"/>
      <c r="C6581" s="32"/>
      <c r="D6581" s="32"/>
      <c r="E6581" s="33"/>
      <c r="F6581" s="43" t="s">
        <v>522</v>
      </c>
      <c r="G6581" s="31" t="str">
        <f t="shared" si="134"/>
        <v/>
      </c>
      <c r="H6581" s="35"/>
      <c r="I6581" s="31"/>
      <c r="J6581" s="102">
        <v>0</v>
      </c>
    </row>
    <row r="6582" spans="1:10" ht="25.5" hidden="1" x14ac:dyDescent="0.25">
      <c r="A6582" s="219"/>
      <c r="B6582" s="222"/>
      <c r="C6582" s="118" t="s">
        <v>3282</v>
      </c>
      <c r="D6582" s="47" t="s">
        <v>20</v>
      </c>
      <c r="E6582" s="106">
        <v>1</v>
      </c>
      <c r="F6582" s="31">
        <v>538.69749999999988</v>
      </c>
      <c r="G6582" s="31">
        <f t="shared" si="134"/>
        <v>538.69749999999988</v>
      </c>
      <c r="H6582" s="39">
        <f>SUM(G6582:G6582)</f>
        <v>538.69749999999988</v>
      </c>
      <c r="I6582" s="40"/>
      <c r="J6582" s="102">
        <v>0</v>
      </c>
    </row>
    <row r="6583" spans="1:10" ht="15.75" hidden="1" thickBot="1" x14ac:dyDescent="0.3">
      <c r="A6583" s="220"/>
      <c r="B6583" s="223"/>
      <c r="C6583" s="55"/>
      <c r="D6583" s="55"/>
      <c r="E6583" s="66"/>
      <c r="F6583" s="67" t="s">
        <v>522</v>
      </c>
      <c r="G6583" s="67" t="str">
        <f t="shared" si="134"/>
        <v/>
      </c>
      <c r="H6583" s="69"/>
      <c r="I6583" s="31"/>
      <c r="J6583" s="102">
        <v>0</v>
      </c>
    </row>
    <row r="6584" spans="1:10" ht="15.75" hidden="1" thickBot="1" x14ac:dyDescent="0.3">
      <c r="A6584" s="218" t="s">
        <v>2665</v>
      </c>
      <c r="B6584" s="221" t="e">
        <f>INDEX(#REF!,MATCH(Composições!A6584,#REF!,0),2)</f>
        <v>#REF!</v>
      </c>
      <c r="C6584" s="41"/>
      <c r="D6584" s="26" t="s">
        <v>20</v>
      </c>
      <c r="E6584" s="27"/>
      <c r="F6584" s="42" t="s">
        <v>522</v>
      </c>
      <c r="G6584" s="28" t="str">
        <f t="shared" si="134"/>
        <v/>
      </c>
      <c r="H6584" s="29"/>
      <c r="I6584" s="30"/>
      <c r="J6584" s="102">
        <v>0</v>
      </c>
    </row>
    <row r="6585" spans="1:10" hidden="1" x14ac:dyDescent="0.25">
      <c r="A6585" s="219"/>
      <c r="B6585" s="222"/>
      <c r="C6585" s="32"/>
      <c r="D6585" s="32"/>
      <c r="E6585" s="33"/>
      <c r="F6585" s="43" t="s">
        <v>522</v>
      </c>
      <c r="G6585" s="31" t="str">
        <f t="shared" si="134"/>
        <v/>
      </c>
      <c r="H6585" s="35"/>
      <c r="I6585" s="31"/>
      <c r="J6585" s="102">
        <v>0</v>
      </c>
    </row>
    <row r="6586" spans="1:10" ht="25.5" hidden="1" x14ac:dyDescent="0.25">
      <c r="A6586" s="219"/>
      <c r="B6586" s="222"/>
      <c r="C6586" s="118" t="s">
        <v>3284</v>
      </c>
      <c r="D6586" s="47" t="s">
        <v>20</v>
      </c>
      <c r="E6586" s="106">
        <v>1</v>
      </c>
      <c r="F6586" s="31">
        <v>18.287499999999998</v>
      </c>
      <c r="G6586" s="31">
        <f t="shared" si="134"/>
        <v>18.287499999999998</v>
      </c>
      <c r="H6586" s="39">
        <f>SUM(G6586:G6586)</f>
        <v>18.287499999999998</v>
      </c>
      <c r="I6586" s="40"/>
      <c r="J6586" s="102">
        <v>0</v>
      </c>
    </row>
    <row r="6587" spans="1:10" ht="15.75" hidden="1" thickBot="1" x14ac:dyDescent="0.3">
      <c r="A6587" s="220"/>
      <c r="B6587" s="223"/>
      <c r="C6587" s="55"/>
      <c r="D6587" s="55"/>
      <c r="E6587" s="66"/>
      <c r="F6587" s="67" t="s">
        <v>522</v>
      </c>
      <c r="G6587" s="67" t="str">
        <f t="shared" si="134"/>
        <v/>
      </c>
      <c r="H6587" s="69"/>
      <c r="I6587" s="31"/>
      <c r="J6587" s="102">
        <v>0</v>
      </c>
    </row>
    <row r="6588" spans="1:10" ht="15.75" hidden="1" thickBot="1" x14ac:dyDescent="0.3">
      <c r="A6588" s="218" t="s">
        <v>2667</v>
      </c>
      <c r="B6588" s="221" t="e">
        <f>INDEX(#REF!,MATCH(Composições!A6588,#REF!,0),2)</f>
        <v>#REF!</v>
      </c>
      <c r="C6588" s="41"/>
      <c r="D6588" s="26" t="s">
        <v>20</v>
      </c>
      <c r="E6588" s="27"/>
      <c r="F6588" s="42" t="s">
        <v>522</v>
      </c>
      <c r="G6588" s="28" t="str">
        <f t="shared" si="134"/>
        <v/>
      </c>
      <c r="H6588" s="29"/>
      <c r="I6588" s="30"/>
      <c r="J6588" s="102">
        <v>0</v>
      </c>
    </row>
    <row r="6589" spans="1:10" hidden="1" x14ac:dyDescent="0.25">
      <c r="A6589" s="219"/>
      <c r="B6589" s="222"/>
      <c r="C6589" s="32"/>
      <c r="D6589" s="32"/>
      <c r="E6589" s="33"/>
      <c r="F6589" s="43" t="s">
        <v>522</v>
      </c>
      <c r="G6589" s="31" t="str">
        <f t="shared" si="134"/>
        <v/>
      </c>
      <c r="H6589" s="35"/>
      <c r="I6589" s="31"/>
      <c r="J6589" s="102">
        <v>0</v>
      </c>
    </row>
    <row r="6590" spans="1:10" ht="25.5" hidden="1" x14ac:dyDescent="0.25">
      <c r="A6590" s="219"/>
      <c r="B6590" s="222"/>
      <c r="C6590" s="118" t="s">
        <v>3285</v>
      </c>
      <c r="D6590" s="47" t="s">
        <v>20</v>
      </c>
      <c r="E6590" s="106">
        <v>1</v>
      </c>
      <c r="F6590" s="31">
        <v>21.831</v>
      </c>
      <c r="G6590" s="31">
        <f t="shared" si="134"/>
        <v>21.831</v>
      </c>
      <c r="H6590" s="39">
        <f>SUM(G6590:G6590)</f>
        <v>21.831</v>
      </c>
      <c r="I6590" s="40"/>
      <c r="J6590" s="102">
        <v>0</v>
      </c>
    </row>
    <row r="6591" spans="1:10" ht="15.75" hidden="1" thickBot="1" x14ac:dyDescent="0.3">
      <c r="A6591" s="220"/>
      <c r="B6591" s="223"/>
      <c r="C6591" s="55"/>
      <c r="D6591" s="55"/>
      <c r="E6591" s="66"/>
      <c r="F6591" s="67" t="s">
        <v>522</v>
      </c>
      <c r="G6591" s="67" t="str">
        <f t="shared" si="134"/>
        <v/>
      </c>
      <c r="H6591" s="69"/>
      <c r="I6591" s="31"/>
      <c r="J6591" s="102">
        <v>0</v>
      </c>
    </row>
    <row r="6592" spans="1:10" ht="15.75" hidden="1" thickBot="1" x14ac:dyDescent="0.3">
      <c r="A6592" s="218" t="s">
        <v>2669</v>
      </c>
      <c r="B6592" s="221" t="e">
        <f>INDEX(#REF!,MATCH(Composições!A6592,#REF!,0),2)</f>
        <v>#REF!</v>
      </c>
      <c r="C6592" s="41"/>
      <c r="D6592" s="26" t="s">
        <v>20</v>
      </c>
      <c r="E6592" s="27"/>
      <c r="F6592" s="42" t="s">
        <v>522</v>
      </c>
      <c r="G6592" s="28" t="str">
        <f t="shared" si="134"/>
        <v/>
      </c>
      <c r="H6592" s="29"/>
      <c r="I6592" s="30"/>
      <c r="J6592" s="102">
        <v>0</v>
      </c>
    </row>
    <row r="6593" spans="1:10" hidden="1" x14ac:dyDescent="0.25">
      <c r="A6593" s="219"/>
      <c r="B6593" s="222"/>
      <c r="C6593" s="32"/>
      <c r="D6593" s="32"/>
      <c r="E6593" s="33"/>
      <c r="F6593" s="43" t="s">
        <v>522</v>
      </c>
      <c r="G6593" s="31" t="str">
        <f t="shared" si="134"/>
        <v/>
      </c>
      <c r="H6593" s="35"/>
      <c r="I6593" s="31"/>
      <c r="J6593" s="102">
        <v>0</v>
      </c>
    </row>
    <row r="6594" spans="1:10" ht="25.5" hidden="1" x14ac:dyDescent="0.25">
      <c r="A6594" s="219"/>
      <c r="B6594" s="222"/>
      <c r="C6594" s="118" t="s">
        <v>3272</v>
      </c>
      <c r="D6594" s="47" t="s">
        <v>20</v>
      </c>
      <c r="E6594" s="106">
        <v>1</v>
      </c>
      <c r="F6594" s="31">
        <v>30.02</v>
      </c>
      <c r="G6594" s="31">
        <f t="shared" si="134"/>
        <v>30.02</v>
      </c>
      <c r="H6594" s="39">
        <f>SUM(G6594:G6594)</f>
        <v>30.02</v>
      </c>
      <c r="I6594" s="40"/>
      <c r="J6594" s="102">
        <v>0</v>
      </c>
    </row>
    <row r="6595" spans="1:10" ht="15.75" hidden="1" thickBot="1" x14ac:dyDescent="0.3">
      <c r="A6595" s="220"/>
      <c r="B6595" s="223"/>
      <c r="C6595" s="55"/>
      <c r="D6595" s="55"/>
      <c r="E6595" s="66"/>
      <c r="F6595" s="67" t="s">
        <v>522</v>
      </c>
      <c r="G6595" s="67" t="str">
        <f t="shared" si="134"/>
        <v/>
      </c>
      <c r="H6595" s="69"/>
      <c r="I6595" s="31"/>
      <c r="J6595" s="102">
        <v>0</v>
      </c>
    </row>
    <row r="6596" spans="1:10" ht="15.75" hidden="1" thickBot="1" x14ac:dyDescent="0.3">
      <c r="A6596" s="218" t="s">
        <v>2671</v>
      </c>
      <c r="B6596" s="221" t="e">
        <f>INDEX(#REF!,MATCH(Composições!A6596,#REF!,0),2)</f>
        <v>#REF!</v>
      </c>
      <c r="C6596" s="41"/>
      <c r="D6596" s="26" t="s">
        <v>20</v>
      </c>
      <c r="E6596" s="27"/>
      <c r="F6596" s="42" t="s">
        <v>522</v>
      </c>
      <c r="G6596" s="28" t="str">
        <f t="shared" si="134"/>
        <v/>
      </c>
      <c r="H6596" s="29"/>
      <c r="I6596" s="30"/>
      <c r="J6596" s="102">
        <v>0</v>
      </c>
    </row>
    <row r="6597" spans="1:10" hidden="1" x14ac:dyDescent="0.25">
      <c r="A6597" s="219"/>
      <c r="B6597" s="222"/>
      <c r="C6597" s="32"/>
      <c r="D6597" s="32"/>
      <c r="E6597" s="33"/>
      <c r="F6597" s="43" t="s">
        <v>522</v>
      </c>
      <c r="G6597" s="31" t="str">
        <f t="shared" si="134"/>
        <v/>
      </c>
      <c r="H6597" s="35"/>
      <c r="I6597" s="31"/>
      <c r="J6597" s="102">
        <v>0</v>
      </c>
    </row>
    <row r="6598" spans="1:10" ht="25.5" hidden="1" x14ac:dyDescent="0.25">
      <c r="A6598" s="219"/>
      <c r="B6598" s="222"/>
      <c r="C6598" s="118" t="s">
        <v>3271</v>
      </c>
      <c r="D6598" s="47" t="s">
        <v>20</v>
      </c>
      <c r="E6598" s="106">
        <v>1</v>
      </c>
      <c r="F6598" s="31">
        <v>82.29849999999999</v>
      </c>
      <c r="G6598" s="31">
        <f t="shared" si="134"/>
        <v>82.29849999999999</v>
      </c>
      <c r="H6598" s="39">
        <f>SUM(G6598:G6598)</f>
        <v>82.29849999999999</v>
      </c>
      <c r="I6598" s="40"/>
      <c r="J6598" s="102">
        <v>0</v>
      </c>
    </row>
    <row r="6599" spans="1:10" ht="15.75" hidden="1" thickBot="1" x14ac:dyDescent="0.3">
      <c r="A6599" s="220"/>
      <c r="B6599" s="223"/>
      <c r="C6599" s="55"/>
      <c r="D6599" s="55"/>
      <c r="E6599" s="66"/>
      <c r="F6599" s="67" t="s">
        <v>522</v>
      </c>
      <c r="G6599" s="67" t="str">
        <f t="shared" si="134"/>
        <v/>
      </c>
      <c r="H6599" s="69"/>
      <c r="I6599" s="31"/>
      <c r="J6599" s="102">
        <v>0</v>
      </c>
    </row>
    <row r="6600" spans="1:10" ht="15.75" hidden="1" thickBot="1" x14ac:dyDescent="0.3">
      <c r="A6600" s="218" t="s">
        <v>2673</v>
      </c>
      <c r="B6600" s="221" t="e">
        <f>INDEX(#REF!,MATCH(Composições!A6600,#REF!,0),2)</f>
        <v>#REF!</v>
      </c>
      <c r="C6600" s="41"/>
      <c r="D6600" s="26" t="s">
        <v>20</v>
      </c>
      <c r="E6600" s="27"/>
      <c r="F6600" s="42" t="s">
        <v>522</v>
      </c>
      <c r="G6600" s="28" t="str">
        <f t="shared" si="134"/>
        <v/>
      </c>
      <c r="H6600" s="29"/>
      <c r="I6600" s="30"/>
      <c r="J6600" s="102">
        <v>0</v>
      </c>
    </row>
    <row r="6601" spans="1:10" hidden="1" x14ac:dyDescent="0.25">
      <c r="A6601" s="219"/>
      <c r="B6601" s="222"/>
      <c r="C6601" s="32"/>
      <c r="D6601" s="32"/>
      <c r="E6601" s="33"/>
      <c r="F6601" s="43" t="s">
        <v>522</v>
      </c>
      <c r="G6601" s="31" t="str">
        <f t="shared" si="134"/>
        <v/>
      </c>
      <c r="H6601" s="35"/>
      <c r="I6601" s="31"/>
      <c r="J6601" s="102">
        <v>0</v>
      </c>
    </row>
    <row r="6602" spans="1:10" ht="25.5" hidden="1" x14ac:dyDescent="0.25">
      <c r="A6602" s="219"/>
      <c r="B6602" s="222"/>
      <c r="C6602" s="118" t="s">
        <v>3273</v>
      </c>
      <c r="D6602" s="47" t="s">
        <v>20</v>
      </c>
      <c r="E6602" s="106">
        <v>1</v>
      </c>
      <c r="F6602" s="31">
        <v>146.51849999999999</v>
      </c>
      <c r="G6602" s="31">
        <f t="shared" si="134"/>
        <v>146.51849999999999</v>
      </c>
      <c r="H6602" s="39">
        <f>SUM(G6602:G6602)</f>
        <v>146.51849999999999</v>
      </c>
      <c r="I6602" s="40"/>
      <c r="J6602" s="102">
        <v>0</v>
      </c>
    </row>
    <row r="6603" spans="1:10" ht="15.75" hidden="1" thickBot="1" x14ac:dyDescent="0.3">
      <c r="A6603" s="220"/>
      <c r="B6603" s="223"/>
      <c r="C6603" s="55"/>
      <c r="D6603" s="55"/>
      <c r="E6603" s="66"/>
      <c r="F6603" s="67" t="s">
        <v>522</v>
      </c>
      <c r="G6603" s="67" t="str">
        <f t="shared" si="134"/>
        <v/>
      </c>
      <c r="H6603" s="69"/>
      <c r="I6603" s="31"/>
      <c r="J6603" s="102">
        <v>0</v>
      </c>
    </row>
    <row r="6604" spans="1:10" ht="15.75" hidden="1" thickBot="1" x14ac:dyDescent="0.3">
      <c r="A6604" s="218" t="s">
        <v>2675</v>
      </c>
      <c r="B6604" s="221" t="e">
        <f>INDEX(#REF!,MATCH(Composições!A6604,#REF!,0),2)</f>
        <v>#REF!</v>
      </c>
      <c r="C6604" s="41"/>
      <c r="D6604" s="26" t="s">
        <v>20</v>
      </c>
      <c r="E6604" s="27"/>
      <c r="F6604" s="42" t="s">
        <v>522</v>
      </c>
      <c r="G6604" s="28" t="str">
        <f t="shared" si="134"/>
        <v/>
      </c>
      <c r="H6604" s="29"/>
      <c r="I6604" s="30"/>
      <c r="J6604" s="102">
        <v>0</v>
      </c>
    </row>
    <row r="6605" spans="1:10" hidden="1" x14ac:dyDescent="0.25">
      <c r="A6605" s="219"/>
      <c r="B6605" s="222"/>
      <c r="C6605" s="32"/>
      <c r="D6605" s="32"/>
      <c r="E6605" s="33"/>
      <c r="F6605" s="43" t="s">
        <v>522</v>
      </c>
      <c r="G6605" s="31" t="str">
        <f t="shared" si="134"/>
        <v/>
      </c>
      <c r="H6605" s="35"/>
      <c r="I6605" s="31"/>
      <c r="J6605" s="102">
        <v>0</v>
      </c>
    </row>
    <row r="6606" spans="1:10" ht="51" hidden="1" x14ac:dyDescent="0.25">
      <c r="A6606" s="219"/>
      <c r="B6606" s="222"/>
      <c r="C6606" s="118" t="s">
        <v>3283</v>
      </c>
      <c r="D6606" s="47" t="s">
        <v>20</v>
      </c>
      <c r="E6606" s="106">
        <v>1</v>
      </c>
      <c r="F6606" s="31">
        <v>147.25</v>
      </c>
      <c r="G6606" s="31">
        <f t="shared" si="134"/>
        <v>147.25</v>
      </c>
      <c r="H6606" s="39">
        <f>SUM(G6606:G6606)</f>
        <v>147.25</v>
      </c>
      <c r="I6606" s="40"/>
      <c r="J6606" s="102">
        <v>0</v>
      </c>
    </row>
    <row r="6607" spans="1:10" ht="15.75" hidden="1" thickBot="1" x14ac:dyDescent="0.3">
      <c r="A6607" s="220"/>
      <c r="B6607" s="223"/>
      <c r="C6607" s="55"/>
      <c r="D6607" s="55"/>
      <c r="E6607" s="66"/>
      <c r="F6607" s="67" t="s">
        <v>522</v>
      </c>
      <c r="G6607" s="67" t="str">
        <f t="shared" si="134"/>
        <v/>
      </c>
      <c r="H6607" s="69"/>
      <c r="I6607" s="31"/>
      <c r="J6607" s="102">
        <v>0</v>
      </c>
    </row>
    <row r="6608" spans="1:10" ht="15.75" hidden="1" thickBot="1" x14ac:dyDescent="0.3">
      <c r="A6608" s="218" t="s">
        <v>2712</v>
      </c>
      <c r="B6608" s="221" t="e">
        <f>INDEX(#REF!,MATCH(Composições!A6608,#REF!,0),2)</f>
        <v>#REF!</v>
      </c>
      <c r="C6608" s="41"/>
      <c r="D6608" s="26" t="s">
        <v>20</v>
      </c>
      <c r="E6608" s="27"/>
      <c r="F6608" s="42" t="s">
        <v>522</v>
      </c>
      <c r="G6608" s="28" t="str">
        <f t="shared" si="134"/>
        <v/>
      </c>
      <c r="H6608" s="29"/>
      <c r="I6608" s="30"/>
      <c r="J6608" s="102">
        <v>0</v>
      </c>
    </row>
    <row r="6609" spans="1:10" hidden="1" x14ac:dyDescent="0.25">
      <c r="A6609" s="219"/>
      <c r="B6609" s="222"/>
      <c r="C6609" s="32"/>
      <c r="D6609" s="32"/>
      <c r="E6609" s="33"/>
      <c r="F6609" s="43" t="s">
        <v>522</v>
      </c>
      <c r="G6609" s="31" t="str">
        <f t="shared" si="134"/>
        <v/>
      </c>
      <c r="H6609" s="35"/>
      <c r="I6609" s="31"/>
      <c r="J6609" s="102">
        <v>0</v>
      </c>
    </row>
    <row r="6610" spans="1:10" ht="25.5" hidden="1" x14ac:dyDescent="0.25">
      <c r="A6610" s="219"/>
      <c r="B6610" s="222"/>
      <c r="C6610" s="118" t="s">
        <v>3304</v>
      </c>
      <c r="D6610" s="47" t="s">
        <v>20</v>
      </c>
      <c r="E6610" s="106">
        <v>1</v>
      </c>
      <c r="F6610" s="31">
        <v>20.9285</v>
      </c>
      <c r="G6610" s="31">
        <f t="shared" si="134"/>
        <v>20.9285</v>
      </c>
      <c r="H6610" s="39">
        <f>SUM(G6610:G6610)</f>
        <v>20.9285</v>
      </c>
      <c r="I6610" s="40"/>
      <c r="J6610" s="102">
        <v>0</v>
      </c>
    </row>
    <row r="6611" spans="1:10" ht="15.75" hidden="1" thickBot="1" x14ac:dyDescent="0.3">
      <c r="A6611" s="220"/>
      <c r="B6611" s="223"/>
      <c r="C6611" s="55"/>
      <c r="D6611" s="55"/>
      <c r="E6611" s="66"/>
      <c r="F6611" s="67" t="s">
        <v>522</v>
      </c>
      <c r="G6611" s="67" t="str">
        <f t="shared" si="134"/>
        <v/>
      </c>
      <c r="H6611" s="69"/>
      <c r="I6611" s="31"/>
      <c r="J6611" s="102">
        <v>0</v>
      </c>
    </row>
    <row r="6612" spans="1:10" ht="15.75" hidden="1" thickBot="1" x14ac:dyDescent="0.3">
      <c r="A6612" s="218" t="s">
        <v>2714</v>
      </c>
      <c r="B6612" s="221" t="e">
        <f>INDEX(#REF!,MATCH(Composições!A6612,#REF!,0),2)</f>
        <v>#REF!</v>
      </c>
      <c r="C6612" s="41"/>
      <c r="D6612" s="26" t="s">
        <v>20</v>
      </c>
      <c r="E6612" s="27"/>
      <c r="F6612" s="42" t="s">
        <v>522</v>
      </c>
      <c r="G6612" s="28" t="str">
        <f t="shared" si="134"/>
        <v/>
      </c>
      <c r="H6612" s="29"/>
      <c r="I6612" s="30"/>
      <c r="J6612" s="102">
        <v>0</v>
      </c>
    </row>
    <row r="6613" spans="1:10" hidden="1" x14ac:dyDescent="0.25">
      <c r="A6613" s="219"/>
      <c r="B6613" s="222"/>
      <c r="C6613" s="32"/>
      <c r="D6613" s="32"/>
      <c r="E6613" s="33"/>
      <c r="F6613" s="43" t="s">
        <v>522</v>
      </c>
      <c r="G6613" s="31" t="str">
        <f t="shared" si="134"/>
        <v/>
      </c>
      <c r="H6613" s="35"/>
      <c r="I6613" s="31"/>
      <c r="J6613" s="102">
        <v>0</v>
      </c>
    </row>
    <row r="6614" spans="1:10" ht="25.5" hidden="1" x14ac:dyDescent="0.25">
      <c r="A6614" s="219"/>
      <c r="B6614" s="222"/>
      <c r="C6614" s="118" t="s">
        <v>3305</v>
      </c>
      <c r="D6614" s="47" t="s">
        <v>20</v>
      </c>
      <c r="E6614" s="106">
        <v>1</v>
      </c>
      <c r="F6614" s="31">
        <v>8.17</v>
      </c>
      <c r="G6614" s="31">
        <f t="shared" si="134"/>
        <v>8.17</v>
      </c>
      <c r="H6614" s="39">
        <f>SUM(G6614:G6614)</f>
        <v>8.17</v>
      </c>
      <c r="I6614" s="40"/>
      <c r="J6614" s="102">
        <v>0</v>
      </c>
    </row>
    <row r="6615" spans="1:10" ht="15.75" hidden="1" thickBot="1" x14ac:dyDescent="0.3">
      <c r="A6615" s="220"/>
      <c r="B6615" s="223"/>
      <c r="C6615" s="55"/>
      <c r="D6615" s="55"/>
      <c r="E6615" s="66"/>
      <c r="F6615" s="67" t="s">
        <v>522</v>
      </c>
      <c r="G6615" s="67" t="str">
        <f t="shared" si="134"/>
        <v/>
      </c>
      <c r="H6615" s="69"/>
      <c r="I6615" s="31"/>
      <c r="J6615" s="102">
        <v>0</v>
      </c>
    </row>
    <row r="6616" spans="1:10" ht="15.75" hidden="1" thickBot="1" x14ac:dyDescent="0.3">
      <c r="A6616" s="218" t="s">
        <v>2716</v>
      </c>
      <c r="B6616" s="221" t="e">
        <f>INDEX(#REF!,MATCH(Composições!A6616,#REF!,0),2)</f>
        <v>#REF!</v>
      </c>
      <c r="C6616" s="41"/>
      <c r="D6616" s="26" t="s">
        <v>20</v>
      </c>
      <c r="E6616" s="27"/>
      <c r="F6616" s="42" t="s">
        <v>522</v>
      </c>
      <c r="G6616" s="28" t="str">
        <f t="shared" si="134"/>
        <v/>
      </c>
      <c r="H6616" s="29"/>
      <c r="I6616" s="30"/>
      <c r="J6616" s="102">
        <v>0</v>
      </c>
    </row>
    <row r="6617" spans="1:10" hidden="1" x14ac:dyDescent="0.25">
      <c r="A6617" s="219"/>
      <c r="B6617" s="222"/>
      <c r="C6617" s="32"/>
      <c r="D6617" s="32"/>
      <c r="E6617" s="33"/>
      <c r="F6617" s="43" t="s">
        <v>522</v>
      </c>
      <c r="G6617" s="31" t="str">
        <f t="shared" si="134"/>
        <v/>
      </c>
      <c r="H6617" s="35"/>
      <c r="I6617" s="31"/>
      <c r="J6617" s="102">
        <v>0</v>
      </c>
    </row>
    <row r="6618" spans="1:10" ht="25.5" hidden="1" x14ac:dyDescent="0.25">
      <c r="A6618" s="219"/>
      <c r="B6618" s="222"/>
      <c r="C6618" s="118" t="s">
        <v>3306</v>
      </c>
      <c r="D6618" s="47" t="s">
        <v>20</v>
      </c>
      <c r="E6618" s="106">
        <v>1</v>
      </c>
      <c r="F6618" s="31">
        <v>13.585000000000001</v>
      </c>
      <c r="G6618" s="31">
        <f t="shared" si="134"/>
        <v>13.585000000000001</v>
      </c>
      <c r="H6618" s="39">
        <f>SUM(G6618:G6618)</f>
        <v>13.585000000000001</v>
      </c>
      <c r="I6618" s="40"/>
      <c r="J6618" s="102">
        <v>0</v>
      </c>
    </row>
    <row r="6619" spans="1:10" ht="15.75" hidden="1" thickBot="1" x14ac:dyDescent="0.3">
      <c r="A6619" s="220"/>
      <c r="B6619" s="223"/>
      <c r="C6619" s="55"/>
      <c r="D6619" s="55"/>
      <c r="E6619" s="66"/>
      <c r="F6619" s="67" t="s">
        <v>522</v>
      </c>
      <c r="G6619" s="67" t="str">
        <f t="shared" si="134"/>
        <v/>
      </c>
      <c r="H6619" s="69"/>
      <c r="I6619" s="31"/>
      <c r="J6619" s="102">
        <v>0</v>
      </c>
    </row>
    <row r="6620" spans="1:10" ht="15.75" hidden="1" thickBot="1" x14ac:dyDescent="0.3">
      <c r="A6620" s="218" t="s">
        <v>2720</v>
      </c>
      <c r="B6620" s="221" t="e">
        <f>INDEX(#REF!,MATCH(Composições!A6620,#REF!,0),2)</f>
        <v>#REF!</v>
      </c>
      <c r="C6620" s="41"/>
      <c r="D6620" s="26" t="s">
        <v>20</v>
      </c>
      <c r="E6620" s="27"/>
      <c r="F6620" s="42" t="s">
        <v>522</v>
      </c>
      <c r="G6620" s="28" t="str">
        <f t="shared" si="134"/>
        <v/>
      </c>
      <c r="H6620" s="29"/>
      <c r="I6620" s="30"/>
      <c r="J6620" s="102">
        <v>0</v>
      </c>
    </row>
    <row r="6621" spans="1:10" hidden="1" x14ac:dyDescent="0.25">
      <c r="A6621" s="219"/>
      <c r="B6621" s="222"/>
      <c r="C6621" s="32"/>
      <c r="D6621" s="32"/>
      <c r="E6621" s="33"/>
      <c r="F6621" s="43" t="s">
        <v>522</v>
      </c>
      <c r="G6621" s="31" t="str">
        <f t="shared" si="134"/>
        <v/>
      </c>
      <c r="H6621" s="35"/>
      <c r="I6621" s="31"/>
      <c r="J6621" s="102">
        <v>0</v>
      </c>
    </row>
    <row r="6622" spans="1:10" ht="38.25" hidden="1" x14ac:dyDescent="0.25">
      <c r="A6622" s="219"/>
      <c r="B6622" s="222"/>
      <c r="C6622" s="118" t="s">
        <v>3307</v>
      </c>
      <c r="D6622" s="47" t="s">
        <v>20</v>
      </c>
      <c r="E6622" s="106">
        <v>1</v>
      </c>
      <c r="F6622" s="31">
        <v>344.03299999999996</v>
      </c>
      <c r="G6622" s="31">
        <f t="shared" si="134"/>
        <v>344.03299999999996</v>
      </c>
      <c r="H6622" s="39">
        <f>SUM(G6622:G6622)</f>
        <v>344.03299999999996</v>
      </c>
      <c r="I6622" s="40"/>
      <c r="J6622" s="102">
        <v>0</v>
      </c>
    </row>
    <row r="6623" spans="1:10" ht="15.75" hidden="1" thickBot="1" x14ac:dyDescent="0.3">
      <c r="A6623" s="220"/>
      <c r="B6623" s="223"/>
      <c r="C6623" s="55"/>
      <c r="D6623" s="55"/>
      <c r="E6623" s="66"/>
      <c r="F6623" s="67" t="s">
        <v>522</v>
      </c>
      <c r="G6623" s="67" t="str">
        <f t="shared" si="134"/>
        <v/>
      </c>
      <c r="H6623" s="69"/>
      <c r="I6623" s="31"/>
      <c r="J6623" s="102">
        <v>0</v>
      </c>
    </row>
    <row r="6624" spans="1:10" ht="15.75" hidden="1" thickBot="1" x14ac:dyDescent="0.3">
      <c r="A6624" s="218" t="s">
        <v>2722</v>
      </c>
      <c r="B6624" s="221" t="e">
        <f>INDEX(#REF!,MATCH(Composições!A6624,#REF!,0),2)</f>
        <v>#REF!</v>
      </c>
      <c r="C6624" s="41"/>
      <c r="D6624" s="26" t="s">
        <v>20</v>
      </c>
      <c r="E6624" s="27"/>
      <c r="F6624" s="42" t="s">
        <v>522</v>
      </c>
      <c r="G6624" s="28" t="str">
        <f t="shared" si="134"/>
        <v/>
      </c>
      <c r="H6624" s="29"/>
      <c r="I6624" s="30"/>
      <c r="J6624" s="102">
        <v>0</v>
      </c>
    </row>
    <row r="6625" spans="1:10" hidden="1" x14ac:dyDescent="0.25">
      <c r="A6625" s="219"/>
      <c r="B6625" s="222"/>
      <c r="C6625" s="32"/>
      <c r="D6625" s="32"/>
      <c r="E6625" s="33"/>
      <c r="F6625" s="43" t="s">
        <v>522</v>
      </c>
      <c r="G6625" s="31" t="str">
        <f t="shared" si="134"/>
        <v/>
      </c>
      <c r="H6625" s="35"/>
      <c r="I6625" s="31"/>
      <c r="J6625" s="102">
        <v>0</v>
      </c>
    </row>
    <row r="6626" spans="1:10" ht="38.25" hidden="1" x14ac:dyDescent="0.25">
      <c r="A6626" s="219"/>
      <c r="B6626" s="222"/>
      <c r="C6626" s="118" t="s">
        <v>3308</v>
      </c>
      <c r="D6626" s="47" t="s">
        <v>20</v>
      </c>
      <c r="E6626" s="106">
        <v>1</v>
      </c>
      <c r="F6626" s="31">
        <v>282.26400000000001</v>
      </c>
      <c r="G6626" s="31">
        <f t="shared" ref="G6626:G6689" si="135">IF(ISNUMBER(F6626),E6626*F6626,"")</f>
        <v>282.26400000000001</v>
      </c>
      <c r="H6626" s="39">
        <f>SUM(G6626:G6626)</f>
        <v>282.26400000000001</v>
      </c>
      <c r="I6626" s="40"/>
      <c r="J6626" s="102">
        <v>0</v>
      </c>
    </row>
    <row r="6627" spans="1:10" ht="15.75" hidden="1" thickBot="1" x14ac:dyDescent="0.3">
      <c r="A6627" s="220"/>
      <c r="B6627" s="223"/>
      <c r="C6627" s="55"/>
      <c r="D6627" s="55"/>
      <c r="E6627" s="66"/>
      <c r="F6627" s="67" t="s">
        <v>522</v>
      </c>
      <c r="G6627" s="67" t="str">
        <f t="shared" si="135"/>
        <v/>
      </c>
      <c r="H6627" s="69"/>
      <c r="I6627" s="31"/>
      <c r="J6627" s="102">
        <v>0</v>
      </c>
    </row>
    <row r="6628" spans="1:10" ht="15.75" hidden="1" thickBot="1" x14ac:dyDescent="0.3">
      <c r="A6628" s="218" t="s">
        <v>2724</v>
      </c>
      <c r="B6628" s="221" t="e">
        <f>INDEX(#REF!,MATCH(Composições!A6628,#REF!,0),2)</f>
        <v>#REF!</v>
      </c>
      <c r="C6628" s="41"/>
      <c r="D6628" s="26" t="s">
        <v>20</v>
      </c>
      <c r="E6628" s="27"/>
      <c r="F6628" s="42" t="s">
        <v>522</v>
      </c>
      <c r="G6628" s="28" t="str">
        <f t="shared" si="135"/>
        <v/>
      </c>
      <c r="H6628" s="29"/>
      <c r="I6628" s="30"/>
      <c r="J6628" s="102">
        <v>0</v>
      </c>
    </row>
    <row r="6629" spans="1:10" hidden="1" x14ac:dyDescent="0.25">
      <c r="A6629" s="219"/>
      <c r="B6629" s="222"/>
      <c r="C6629" s="32"/>
      <c r="D6629" s="32"/>
      <c r="E6629" s="33"/>
      <c r="F6629" s="43" t="s">
        <v>522</v>
      </c>
      <c r="G6629" s="31" t="str">
        <f t="shared" si="135"/>
        <v/>
      </c>
      <c r="H6629" s="35"/>
      <c r="I6629" s="31"/>
      <c r="J6629" s="102">
        <v>0</v>
      </c>
    </row>
    <row r="6630" spans="1:10" ht="25.5" hidden="1" x14ac:dyDescent="0.25">
      <c r="A6630" s="219"/>
      <c r="B6630" s="222"/>
      <c r="C6630" s="118" t="s">
        <v>3310</v>
      </c>
      <c r="D6630" s="47" t="s">
        <v>20</v>
      </c>
      <c r="E6630" s="106">
        <v>1</v>
      </c>
      <c r="F6630" s="31">
        <v>165.72749999999999</v>
      </c>
      <c r="G6630" s="31">
        <f t="shared" si="135"/>
        <v>165.72749999999999</v>
      </c>
      <c r="H6630" s="39">
        <f>SUM(G6630:G6630)</f>
        <v>165.72749999999999</v>
      </c>
      <c r="I6630" s="40"/>
      <c r="J6630" s="102">
        <v>0</v>
      </c>
    </row>
    <row r="6631" spans="1:10" ht="15.75" hidden="1" thickBot="1" x14ac:dyDescent="0.3">
      <c r="A6631" s="220"/>
      <c r="B6631" s="223"/>
      <c r="C6631" s="55"/>
      <c r="D6631" s="55"/>
      <c r="E6631" s="66"/>
      <c r="F6631" s="67" t="s">
        <v>522</v>
      </c>
      <c r="G6631" s="67" t="str">
        <f t="shared" si="135"/>
        <v/>
      </c>
      <c r="H6631" s="69"/>
      <c r="I6631" s="31"/>
      <c r="J6631" s="102">
        <v>0</v>
      </c>
    </row>
    <row r="6632" spans="1:10" ht="15.75" hidden="1" thickBot="1" x14ac:dyDescent="0.3">
      <c r="A6632" s="218" t="s">
        <v>2726</v>
      </c>
      <c r="B6632" s="221" t="e">
        <f>INDEX(#REF!,MATCH(Composições!A6632,#REF!,0),2)</f>
        <v>#REF!</v>
      </c>
      <c r="C6632" s="41"/>
      <c r="D6632" s="26" t="s">
        <v>20</v>
      </c>
      <c r="E6632" s="27"/>
      <c r="F6632" s="42" t="s">
        <v>522</v>
      </c>
      <c r="G6632" s="28" t="str">
        <f t="shared" si="135"/>
        <v/>
      </c>
      <c r="H6632" s="29"/>
      <c r="I6632" s="30"/>
      <c r="J6632" s="102">
        <v>0</v>
      </c>
    </row>
    <row r="6633" spans="1:10" hidden="1" x14ac:dyDescent="0.25">
      <c r="A6633" s="219"/>
      <c r="B6633" s="222"/>
      <c r="C6633" s="32"/>
      <c r="D6633" s="32"/>
      <c r="E6633" s="33"/>
      <c r="F6633" s="43" t="s">
        <v>522</v>
      </c>
      <c r="G6633" s="31" t="str">
        <f t="shared" si="135"/>
        <v/>
      </c>
      <c r="H6633" s="35"/>
      <c r="I6633" s="31"/>
      <c r="J6633" s="102">
        <v>0</v>
      </c>
    </row>
    <row r="6634" spans="1:10" ht="25.5" hidden="1" x14ac:dyDescent="0.25">
      <c r="A6634" s="219"/>
      <c r="B6634" s="222"/>
      <c r="C6634" s="118" t="s">
        <v>3311</v>
      </c>
      <c r="D6634" s="47" t="s">
        <v>20</v>
      </c>
      <c r="E6634" s="106">
        <v>1</v>
      </c>
      <c r="F6634" s="31">
        <v>441.41749999999996</v>
      </c>
      <c r="G6634" s="31">
        <f t="shared" si="135"/>
        <v>441.41749999999996</v>
      </c>
      <c r="H6634" s="39">
        <f>SUM(G6634:G6634)</f>
        <v>441.41749999999996</v>
      </c>
      <c r="I6634" s="40"/>
      <c r="J6634" s="102">
        <v>0</v>
      </c>
    </row>
    <row r="6635" spans="1:10" ht="15.75" hidden="1" thickBot="1" x14ac:dyDescent="0.3">
      <c r="A6635" s="220"/>
      <c r="B6635" s="223"/>
      <c r="C6635" s="55"/>
      <c r="D6635" s="55"/>
      <c r="E6635" s="66"/>
      <c r="F6635" s="67" t="s">
        <v>522</v>
      </c>
      <c r="G6635" s="67" t="str">
        <f t="shared" si="135"/>
        <v/>
      </c>
      <c r="H6635" s="69"/>
      <c r="I6635" s="31"/>
      <c r="J6635" s="102">
        <v>0</v>
      </c>
    </row>
    <row r="6636" spans="1:10" ht="15.75" hidden="1" thickBot="1" x14ac:dyDescent="0.3">
      <c r="A6636" s="218" t="s">
        <v>2728</v>
      </c>
      <c r="B6636" s="221" t="e">
        <f>INDEX(#REF!,MATCH(Composições!A6636,#REF!,0),2)</f>
        <v>#REF!</v>
      </c>
      <c r="C6636" s="41"/>
      <c r="D6636" s="26" t="s">
        <v>20</v>
      </c>
      <c r="E6636" s="27"/>
      <c r="F6636" s="42" t="s">
        <v>522</v>
      </c>
      <c r="G6636" s="28" t="str">
        <f t="shared" si="135"/>
        <v/>
      </c>
      <c r="H6636" s="29"/>
      <c r="I6636" s="30"/>
      <c r="J6636" s="102">
        <v>0</v>
      </c>
    </row>
    <row r="6637" spans="1:10" hidden="1" x14ac:dyDescent="0.25">
      <c r="A6637" s="219"/>
      <c r="B6637" s="222"/>
      <c r="C6637" s="32"/>
      <c r="D6637" s="32"/>
      <c r="E6637" s="33"/>
      <c r="F6637" s="43" t="s">
        <v>522</v>
      </c>
      <c r="G6637" s="31" t="str">
        <f t="shared" si="135"/>
        <v/>
      </c>
      <c r="H6637" s="35"/>
      <c r="I6637" s="31"/>
      <c r="J6637" s="102">
        <v>0</v>
      </c>
    </row>
    <row r="6638" spans="1:10" ht="25.5" hidden="1" x14ac:dyDescent="0.25">
      <c r="A6638" s="219"/>
      <c r="B6638" s="222"/>
      <c r="C6638" s="118" t="s">
        <v>3309</v>
      </c>
      <c r="D6638" s="47" t="s">
        <v>20</v>
      </c>
      <c r="E6638" s="106">
        <v>1</v>
      </c>
      <c r="F6638" s="31">
        <v>73.672499999999999</v>
      </c>
      <c r="G6638" s="31">
        <f t="shared" si="135"/>
        <v>73.672499999999999</v>
      </c>
      <c r="H6638" s="39">
        <f>SUM(G6638:G6638)</f>
        <v>73.672499999999999</v>
      </c>
      <c r="I6638" s="40"/>
      <c r="J6638" s="102">
        <v>0</v>
      </c>
    </row>
    <row r="6639" spans="1:10" ht="15.75" hidden="1" thickBot="1" x14ac:dyDescent="0.3">
      <c r="A6639" s="220"/>
      <c r="B6639" s="223"/>
      <c r="C6639" s="55"/>
      <c r="D6639" s="55"/>
      <c r="E6639" s="66"/>
      <c r="F6639" s="67" t="s">
        <v>522</v>
      </c>
      <c r="G6639" s="67" t="str">
        <f t="shared" si="135"/>
        <v/>
      </c>
      <c r="H6639" s="69"/>
      <c r="I6639" s="31"/>
      <c r="J6639" s="102">
        <v>0</v>
      </c>
    </row>
    <row r="6640" spans="1:10" ht="15.75" hidden="1" thickBot="1" x14ac:dyDescent="0.3">
      <c r="A6640" s="218" t="s">
        <v>2736</v>
      </c>
      <c r="B6640" s="221" t="e">
        <f>INDEX(#REF!,MATCH(Composições!A6640,#REF!,0),2)</f>
        <v>#REF!</v>
      </c>
      <c r="C6640" s="41"/>
      <c r="D6640" s="26" t="s">
        <v>93</v>
      </c>
      <c r="E6640" s="27"/>
      <c r="F6640" s="42" t="s">
        <v>522</v>
      </c>
      <c r="G6640" s="28" t="str">
        <f t="shared" si="135"/>
        <v/>
      </c>
      <c r="H6640" s="29"/>
      <c r="I6640" s="30"/>
      <c r="J6640" s="102">
        <v>0</v>
      </c>
    </row>
    <row r="6641" spans="1:10" hidden="1" x14ac:dyDescent="0.25">
      <c r="A6641" s="219"/>
      <c r="B6641" s="222"/>
      <c r="C6641" s="32"/>
      <c r="D6641" s="32"/>
      <c r="E6641" s="33"/>
      <c r="F6641" s="43" t="s">
        <v>522</v>
      </c>
      <c r="G6641" s="31" t="str">
        <f t="shared" si="135"/>
        <v/>
      </c>
      <c r="H6641" s="35"/>
      <c r="I6641" s="31"/>
      <c r="J6641" s="102">
        <v>0</v>
      </c>
    </row>
    <row r="6642" spans="1:10" ht="25.5" hidden="1" x14ac:dyDescent="0.25">
      <c r="A6642" s="219"/>
      <c r="B6642" s="222"/>
      <c r="C6642" s="118" t="s">
        <v>952</v>
      </c>
      <c r="D6642" s="47" t="s">
        <v>93</v>
      </c>
      <c r="E6642" s="106">
        <v>1</v>
      </c>
      <c r="F6642" s="31">
        <v>57.721999999999994</v>
      </c>
      <c r="G6642" s="31">
        <f t="shared" si="135"/>
        <v>57.721999999999994</v>
      </c>
      <c r="H6642" s="39">
        <f t="shared" ref="H6642" si="136">SUM(G6642:G6642)</f>
        <v>57.721999999999994</v>
      </c>
      <c r="I6642" s="40"/>
      <c r="J6642" s="102">
        <v>0</v>
      </c>
    </row>
    <row r="6643" spans="1:10" ht="15.75" hidden="1" thickBot="1" x14ac:dyDescent="0.3">
      <c r="A6643" s="220"/>
      <c r="B6643" s="223"/>
      <c r="C6643" s="55"/>
      <c r="D6643" s="55"/>
      <c r="E6643" s="66"/>
      <c r="F6643" s="67" t="s">
        <v>522</v>
      </c>
      <c r="G6643" s="67" t="str">
        <f t="shared" si="135"/>
        <v/>
      </c>
      <c r="H6643" s="69"/>
      <c r="I6643" s="31"/>
      <c r="J6643" s="102">
        <v>0</v>
      </c>
    </row>
    <row r="6644" spans="1:10" ht="15.75" hidden="1" thickBot="1" x14ac:dyDescent="0.3">
      <c r="A6644" s="218" t="s">
        <v>2738</v>
      </c>
      <c r="B6644" s="221" t="e">
        <f>INDEX(#REF!,MATCH(Composições!A6644,#REF!,0),2)</f>
        <v>#REF!</v>
      </c>
      <c r="C6644" s="41"/>
      <c r="D6644" s="26" t="s">
        <v>93</v>
      </c>
      <c r="E6644" s="27"/>
      <c r="F6644" s="42" t="s">
        <v>522</v>
      </c>
      <c r="G6644" s="28" t="str">
        <f t="shared" si="135"/>
        <v/>
      </c>
      <c r="H6644" s="29"/>
      <c r="I6644" s="30"/>
      <c r="J6644" s="102">
        <v>0</v>
      </c>
    </row>
    <row r="6645" spans="1:10" hidden="1" x14ac:dyDescent="0.25">
      <c r="A6645" s="219"/>
      <c r="B6645" s="222"/>
      <c r="C6645" s="32"/>
      <c r="D6645" s="32"/>
      <c r="E6645" s="33"/>
      <c r="F6645" s="43" t="s">
        <v>522</v>
      </c>
      <c r="G6645" s="31" t="str">
        <f t="shared" si="135"/>
        <v/>
      </c>
      <c r="H6645" s="35"/>
      <c r="I6645" s="31"/>
      <c r="J6645" s="102">
        <v>0</v>
      </c>
    </row>
    <row r="6646" spans="1:10" ht="25.5" hidden="1" x14ac:dyDescent="0.25">
      <c r="A6646" s="219"/>
      <c r="B6646" s="222"/>
      <c r="C6646" s="118" t="s">
        <v>956</v>
      </c>
      <c r="D6646" s="47" t="s">
        <v>93</v>
      </c>
      <c r="E6646" s="106">
        <v>1</v>
      </c>
      <c r="F6646" s="31">
        <v>73.254499999999993</v>
      </c>
      <c r="G6646" s="31">
        <f t="shared" si="135"/>
        <v>73.254499999999993</v>
      </c>
      <c r="H6646" s="39">
        <f t="shared" ref="H6646" si="137">SUM(G6646:G6646)</f>
        <v>73.254499999999993</v>
      </c>
      <c r="I6646" s="40"/>
      <c r="J6646" s="102">
        <v>0</v>
      </c>
    </row>
    <row r="6647" spans="1:10" ht="15.75" hidden="1" thickBot="1" x14ac:dyDescent="0.3">
      <c r="A6647" s="220"/>
      <c r="B6647" s="223"/>
      <c r="C6647" s="55"/>
      <c r="D6647" s="55"/>
      <c r="E6647" s="66"/>
      <c r="F6647" s="67" t="s">
        <v>522</v>
      </c>
      <c r="G6647" s="67" t="str">
        <f t="shared" si="135"/>
        <v/>
      </c>
      <c r="H6647" s="69"/>
      <c r="I6647" s="31"/>
      <c r="J6647" s="102">
        <v>0</v>
      </c>
    </row>
    <row r="6648" spans="1:10" ht="15.75" hidden="1" thickBot="1" x14ac:dyDescent="0.3">
      <c r="A6648" s="218" t="s">
        <v>2740</v>
      </c>
      <c r="B6648" s="221" t="e">
        <f>INDEX(#REF!,MATCH(Composições!A6648,#REF!,0),2)</f>
        <v>#REF!</v>
      </c>
      <c r="C6648" s="41"/>
      <c r="D6648" s="26" t="s">
        <v>93</v>
      </c>
      <c r="E6648" s="27"/>
      <c r="F6648" s="42" t="s">
        <v>522</v>
      </c>
      <c r="G6648" s="28" t="str">
        <f t="shared" si="135"/>
        <v/>
      </c>
      <c r="H6648" s="29"/>
      <c r="I6648" s="30"/>
      <c r="J6648" s="102">
        <v>0</v>
      </c>
    </row>
    <row r="6649" spans="1:10" hidden="1" x14ac:dyDescent="0.25">
      <c r="A6649" s="219"/>
      <c r="B6649" s="222"/>
      <c r="C6649" s="32"/>
      <c r="D6649" s="32"/>
      <c r="E6649" s="33"/>
      <c r="F6649" s="43" t="s">
        <v>522</v>
      </c>
      <c r="G6649" s="31" t="str">
        <f t="shared" si="135"/>
        <v/>
      </c>
      <c r="H6649" s="35"/>
      <c r="I6649" s="31"/>
      <c r="J6649" s="102">
        <v>0</v>
      </c>
    </row>
    <row r="6650" spans="1:10" ht="25.5" hidden="1" x14ac:dyDescent="0.25">
      <c r="A6650" s="219"/>
      <c r="B6650" s="222"/>
      <c r="C6650" s="118" t="s">
        <v>958</v>
      </c>
      <c r="D6650" s="47" t="s">
        <v>93</v>
      </c>
      <c r="E6650" s="106">
        <v>1</v>
      </c>
      <c r="F6650" s="31">
        <v>143.65899999999999</v>
      </c>
      <c r="G6650" s="31">
        <f t="shared" si="135"/>
        <v>143.65899999999999</v>
      </c>
      <c r="H6650" s="39">
        <f t="shared" ref="H6650" si="138">SUM(G6650:G6650)</f>
        <v>143.65899999999999</v>
      </c>
      <c r="I6650" s="40"/>
      <c r="J6650" s="102">
        <v>0</v>
      </c>
    </row>
    <row r="6651" spans="1:10" ht="15.75" hidden="1" thickBot="1" x14ac:dyDescent="0.3">
      <c r="A6651" s="220"/>
      <c r="B6651" s="223"/>
      <c r="C6651" s="55"/>
      <c r="D6651" s="55"/>
      <c r="E6651" s="66"/>
      <c r="F6651" s="67" t="s">
        <v>522</v>
      </c>
      <c r="G6651" s="67" t="str">
        <f t="shared" si="135"/>
        <v/>
      </c>
      <c r="H6651" s="69"/>
      <c r="I6651" s="31"/>
      <c r="J6651" s="102">
        <v>0</v>
      </c>
    </row>
    <row r="6652" spans="1:10" ht="15.75" hidden="1" thickBot="1" x14ac:dyDescent="0.3">
      <c r="A6652" s="218" t="s">
        <v>2742</v>
      </c>
      <c r="B6652" s="221" t="e">
        <f>INDEX(#REF!,MATCH(Composições!A6652,#REF!,0),2)</f>
        <v>#REF!</v>
      </c>
      <c r="C6652" s="41"/>
      <c r="D6652" s="26" t="s">
        <v>93</v>
      </c>
      <c r="E6652" s="27"/>
      <c r="F6652" s="42" t="s">
        <v>522</v>
      </c>
      <c r="G6652" s="28" t="str">
        <f t="shared" si="135"/>
        <v/>
      </c>
      <c r="H6652" s="29"/>
      <c r="I6652" s="30"/>
      <c r="J6652" s="102">
        <v>0</v>
      </c>
    </row>
    <row r="6653" spans="1:10" hidden="1" x14ac:dyDescent="0.25">
      <c r="A6653" s="219"/>
      <c r="B6653" s="222"/>
      <c r="C6653" s="32"/>
      <c r="D6653" s="32"/>
      <c r="E6653" s="33"/>
      <c r="F6653" s="43" t="s">
        <v>522</v>
      </c>
      <c r="G6653" s="31" t="str">
        <f t="shared" si="135"/>
        <v/>
      </c>
      <c r="H6653" s="35"/>
      <c r="I6653" s="31"/>
      <c r="J6653" s="102">
        <v>0</v>
      </c>
    </row>
    <row r="6654" spans="1:10" ht="25.5" hidden="1" x14ac:dyDescent="0.25">
      <c r="A6654" s="219"/>
      <c r="B6654" s="222"/>
      <c r="C6654" s="118" t="s">
        <v>3316</v>
      </c>
      <c r="D6654" s="47" t="s">
        <v>93</v>
      </c>
      <c r="E6654" s="106">
        <v>1</v>
      </c>
      <c r="F6654" s="31">
        <v>106.381</v>
      </c>
      <c r="G6654" s="31">
        <f t="shared" si="135"/>
        <v>106.381</v>
      </c>
      <c r="H6654" s="39">
        <f t="shared" ref="H6654" si="139">SUM(G6654:G6654)</f>
        <v>106.381</v>
      </c>
      <c r="I6654" s="40"/>
      <c r="J6654" s="102">
        <v>0</v>
      </c>
    </row>
    <row r="6655" spans="1:10" ht="15.75" hidden="1" thickBot="1" x14ac:dyDescent="0.3">
      <c r="A6655" s="220"/>
      <c r="B6655" s="223"/>
      <c r="C6655" s="55"/>
      <c r="D6655" s="55"/>
      <c r="E6655" s="66"/>
      <c r="F6655" s="67" t="s">
        <v>522</v>
      </c>
      <c r="G6655" s="67" t="str">
        <f t="shared" si="135"/>
        <v/>
      </c>
      <c r="H6655" s="69"/>
      <c r="I6655" s="31"/>
      <c r="J6655" s="102">
        <v>0</v>
      </c>
    </row>
    <row r="6656" spans="1:10" ht="15.75" hidden="1" thickBot="1" x14ac:dyDescent="0.3">
      <c r="A6656" s="218" t="s">
        <v>2744</v>
      </c>
      <c r="B6656" s="221" t="e">
        <f>INDEX(#REF!,MATCH(Composições!A6656,#REF!,0),2)</f>
        <v>#REF!</v>
      </c>
      <c r="C6656" s="41"/>
      <c r="D6656" s="26" t="s">
        <v>93</v>
      </c>
      <c r="E6656" s="27"/>
      <c r="F6656" s="42" t="s">
        <v>522</v>
      </c>
      <c r="G6656" s="28" t="str">
        <f t="shared" si="135"/>
        <v/>
      </c>
      <c r="H6656" s="29"/>
      <c r="I6656" s="30"/>
      <c r="J6656" s="102">
        <v>0</v>
      </c>
    </row>
    <row r="6657" spans="1:10" hidden="1" x14ac:dyDescent="0.25">
      <c r="A6657" s="219"/>
      <c r="B6657" s="222"/>
      <c r="C6657" s="32"/>
      <c r="D6657" s="32"/>
      <c r="E6657" s="33"/>
      <c r="F6657" s="43" t="s">
        <v>522</v>
      </c>
      <c r="G6657" s="31" t="str">
        <f t="shared" si="135"/>
        <v/>
      </c>
      <c r="H6657" s="35"/>
      <c r="I6657" s="31"/>
      <c r="J6657" s="102">
        <v>0</v>
      </c>
    </row>
    <row r="6658" spans="1:10" ht="25.5" hidden="1" x14ac:dyDescent="0.25">
      <c r="A6658" s="219"/>
      <c r="B6658" s="222"/>
      <c r="C6658" s="118" t="s">
        <v>3317</v>
      </c>
      <c r="D6658" s="47" t="s">
        <v>93</v>
      </c>
      <c r="E6658" s="106">
        <v>1</v>
      </c>
      <c r="F6658" s="31">
        <v>208.33500000000001</v>
      </c>
      <c r="G6658" s="31">
        <f t="shared" si="135"/>
        <v>208.33500000000001</v>
      </c>
      <c r="H6658" s="39">
        <f t="shared" ref="H6658" si="140">SUM(G6658:G6658)</f>
        <v>208.33500000000001</v>
      </c>
      <c r="I6658" s="40"/>
      <c r="J6658" s="102">
        <v>0</v>
      </c>
    </row>
    <row r="6659" spans="1:10" ht="15.75" hidden="1" thickBot="1" x14ac:dyDescent="0.3">
      <c r="A6659" s="220"/>
      <c r="B6659" s="223"/>
      <c r="C6659" s="55"/>
      <c r="D6659" s="55"/>
      <c r="E6659" s="66"/>
      <c r="F6659" s="67" t="s">
        <v>522</v>
      </c>
      <c r="G6659" s="67" t="str">
        <f t="shared" si="135"/>
        <v/>
      </c>
      <c r="H6659" s="69"/>
      <c r="I6659" s="31"/>
      <c r="J6659" s="102">
        <v>0</v>
      </c>
    </row>
    <row r="6660" spans="1:10" ht="15.75" hidden="1" thickBot="1" x14ac:dyDescent="0.3">
      <c r="A6660" s="218" t="s">
        <v>2746</v>
      </c>
      <c r="B6660" s="221" t="e">
        <f>INDEX(#REF!,MATCH(Composições!A6660,#REF!,0),2)</f>
        <v>#REF!</v>
      </c>
      <c r="C6660" s="41"/>
      <c r="D6660" s="26" t="s">
        <v>93</v>
      </c>
      <c r="E6660" s="27"/>
      <c r="F6660" s="42" t="s">
        <v>522</v>
      </c>
      <c r="G6660" s="28" t="str">
        <f t="shared" si="135"/>
        <v/>
      </c>
      <c r="H6660" s="29"/>
      <c r="I6660" s="30"/>
      <c r="J6660" s="102">
        <v>0</v>
      </c>
    </row>
    <row r="6661" spans="1:10" hidden="1" x14ac:dyDescent="0.25">
      <c r="A6661" s="219"/>
      <c r="B6661" s="222"/>
      <c r="C6661" s="32"/>
      <c r="D6661" s="32"/>
      <c r="E6661" s="33"/>
      <c r="F6661" s="43" t="s">
        <v>522</v>
      </c>
      <c r="G6661" s="31" t="str">
        <f t="shared" si="135"/>
        <v/>
      </c>
      <c r="H6661" s="35"/>
      <c r="I6661" s="31"/>
      <c r="J6661" s="102">
        <v>0</v>
      </c>
    </row>
    <row r="6662" spans="1:10" ht="25.5" hidden="1" x14ac:dyDescent="0.25">
      <c r="A6662" s="219"/>
      <c r="B6662" s="222"/>
      <c r="C6662" s="118" t="s">
        <v>3318</v>
      </c>
      <c r="D6662" s="47" t="s">
        <v>93</v>
      </c>
      <c r="E6662" s="106">
        <v>1</v>
      </c>
      <c r="F6662" s="31">
        <v>293.5025</v>
      </c>
      <c r="G6662" s="31">
        <f t="shared" si="135"/>
        <v>293.5025</v>
      </c>
      <c r="H6662" s="39">
        <f t="shared" ref="H6662" si="141">SUM(G6662:G6662)</f>
        <v>293.5025</v>
      </c>
      <c r="I6662" s="40"/>
      <c r="J6662" s="102">
        <v>0</v>
      </c>
    </row>
    <row r="6663" spans="1:10" ht="15.75" hidden="1" thickBot="1" x14ac:dyDescent="0.3">
      <c r="A6663" s="220"/>
      <c r="B6663" s="223"/>
      <c r="C6663" s="55"/>
      <c r="D6663" s="55"/>
      <c r="E6663" s="66"/>
      <c r="F6663" s="67" t="s">
        <v>522</v>
      </c>
      <c r="G6663" s="67" t="str">
        <f t="shared" si="135"/>
        <v/>
      </c>
      <c r="H6663" s="69"/>
      <c r="I6663" s="31"/>
      <c r="J6663" s="102">
        <v>0</v>
      </c>
    </row>
    <row r="6664" spans="1:10" ht="15.75" hidden="1" thickBot="1" x14ac:dyDescent="0.3">
      <c r="A6664" s="218" t="s">
        <v>2748</v>
      </c>
      <c r="B6664" s="221" t="e">
        <f>INDEX(#REF!,MATCH(Composições!A6664,#REF!,0),2)</f>
        <v>#REF!</v>
      </c>
      <c r="C6664" s="41"/>
      <c r="D6664" s="26" t="s">
        <v>93</v>
      </c>
      <c r="E6664" s="27"/>
      <c r="F6664" s="42" t="s">
        <v>522</v>
      </c>
      <c r="G6664" s="28" t="str">
        <f t="shared" si="135"/>
        <v/>
      </c>
      <c r="H6664" s="29"/>
      <c r="I6664" s="30"/>
      <c r="J6664" s="102">
        <v>0</v>
      </c>
    </row>
    <row r="6665" spans="1:10" hidden="1" x14ac:dyDescent="0.25">
      <c r="A6665" s="219"/>
      <c r="B6665" s="222"/>
      <c r="C6665" s="32"/>
      <c r="D6665" s="32"/>
      <c r="E6665" s="33"/>
      <c r="F6665" s="43" t="s">
        <v>522</v>
      </c>
      <c r="G6665" s="31" t="str">
        <f t="shared" si="135"/>
        <v/>
      </c>
      <c r="H6665" s="35"/>
      <c r="I6665" s="31"/>
      <c r="J6665" s="102">
        <v>0</v>
      </c>
    </row>
    <row r="6666" spans="1:10" ht="25.5" hidden="1" x14ac:dyDescent="0.25">
      <c r="A6666" s="219"/>
      <c r="B6666" s="222"/>
      <c r="C6666" s="118" t="s">
        <v>3319</v>
      </c>
      <c r="D6666" s="47" t="s">
        <v>93</v>
      </c>
      <c r="E6666" s="106">
        <v>1</v>
      </c>
      <c r="F6666" s="31">
        <v>429.04849999999999</v>
      </c>
      <c r="G6666" s="31">
        <f t="shared" si="135"/>
        <v>429.04849999999999</v>
      </c>
      <c r="H6666" s="39">
        <f t="shared" ref="H6666" si="142">SUM(G6666:G6666)</f>
        <v>429.04849999999999</v>
      </c>
      <c r="I6666" s="40"/>
      <c r="J6666" s="102">
        <v>0</v>
      </c>
    </row>
    <row r="6667" spans="1:10" ht="15.75" hidden="1" thickBot="1" x14ac:dyDescent="0.3">
      <c r="A6667" s="220"/>
      <c r="B6667" s="223"/>
      <c r="C6667" s="55"/>
      <c r="D6667" s="55"/>
      <c r="E6667" s="66"/>
      <c r="F6667" s="67" t="s">
        <v>522</v>
      </c>
      <c r="G6667" s="67" t="str">
        <f t="shared" si="135"/>
        <v/>
      </c>
      <c r="H6667" s="69"/>
      <c r="I6667" s="31"/>
      <c r="J6667" s="102">
        <v>0</v>
      </c>
    </row>
    <row r="6668" spans="1:10" ht="15.75" hidden="1" thickBot="1" x14ac:dyDescent="0.3">
      <c r="A6668" s="218" t="s">
        <v>2750</v>
      </c>
      <c r="B6668" s="221" t="e">
        <f>INDEX(#REF!,MATCH(Composições!A6668,#REF!,0),2)</f>
        <v>#REF!</v>
      </c>
      <c r="C6668" s="41"/>
      <c r="D6668" s="26" t="s">
        <v>93</v>
      </c>
      <c r="E6668" s="27"/>
      <c r="F6668" s="42" t="s">
        <v>522</v>
      </c>
      <c r="G6668" s="28" t="str">
        <f t="shared" si="135"/>
        <v/>
      </c>
      <c r="H6668" s="29"/>
      <c r="I6668" s="30"/>
      <c r="J6668" s="102">
        <v>0</v>
      </c>
    </row>
    <row r="6669" spans="1:10" hidden="1" x14ac:dyDescent="0.25">
      <c r="A6669" s="219"/>
      <c r="B6669" s="222"/>
      <c r="C6669" s="32"/>
      <c r="D6669" s="32"/>
      <c r="E6669" s="33"/>
      <c r="F6669" s="43" t="s">
        <v>522</v>
      </c>
      <c r="G6669" s="31" t="str">
        <f t="shared" si="135"/>
        <v/>
      </c>
      <c r="H6669" s="35"/>
      <c r="I6669" s="31"/>
      <c r="J6669" s="102">
        <v>0</v>
      </c>
    </row>
    <row r="6670" spans="1:10" ht="25.5" hidden="1" x14ac:dyDescent="0.25">
      <c r="A6670" s="219"/>
      <c r="B6670" s="222"/>
      <c r="C6670" s="118" t="s">
        <v>3315</v>
      </c>
      <c r="D6670" s="47" t="s">
        <v>93</v>
      </c>
      <c r="E6670" s="106">
        <v>1</v>
      </c>
      <c r="F6670" s="31">
        <v>632.66200000000003</v>
      </c>
      <c r="G6670" s="31">
        <f t="shared" si="135"/>
        <v>632.66200000000003</v>
      </c>
      <c r="H6670" s="39">
        <f t="shared" ref="H6670" si="143">SUM(G6670:G6670)</f>
        <v>632.66200000000003</v>
      </c>
      <c r="I6670" s="40"/>
      <c r="J6670" s="102">
        <v>0</v>
      </c>
    </row>
    <row r="6671" spans="1:10" ht="15.75" hidden="1" thickBot="1" x14ac:dyDescent="0.3">
      <c r="A6671" s="220"/>
      <c r="B6671" s="223"/>
      <c r="C6671" s="55"/>
      <c r="D6671" s="55"/>
      <c r="E6671" s="66"/>
      <c r="F6671" s="67" t="s">
        <v>522</v>
      </c>
      <c r="G6671" s="67" t="str">
        <f t="shared" si="135"/>
        <v/>
      </c>
      <c r="H6671" s="69"/>
      <c r="I6671" s="31"/>
      <c r="J6671" s="102">
        <v>0</v>
      </c>
    </row>
    <row r="6672" spans="1:10" ht="15.75" hidden="1" thickBot="1" x14ac:dyDescent="0.3">
      <c r="A6672" s="218" t="s">
        <v>2752</v>
      </c>
      <c r="B6672" s="221" t="e">
        <f>INDEX(#REF!,MATCH(Composições!A6672,#REF!,0),2)</f>
        <v>#REF!</v>
      </c>
      <c r="C6672" s="41"/>
      <c r="D6672" s="26" t="s">
        <v>93</v>
      </c>
      <c r="E6672" s="27"/>
      <c r="F6672" s="42" t="s">
        <v>522</v>
      </c>
      <c r="G6672" s="28" t="str">
        <f t="shared" si="135"/>
        <v/>
      </c>
      <c r="H6672" s="29"/>
      <c r="I6672" s="30"/>
      <c r="J6672" s="102">
        <v>0</v>
      </c>
    </row>
    <row r="6673" spans="1:10" hidden="1" x14ac:dyDescent="0.25">
      <c r="A6673" s="219"/>
      <c r="B6673" s="222"/>
      <c r="C6673" s="32"/>
      <c r="D6673" s="32"/>
      <c r="E6673" s="33"/>
      <c r="F6673" s="43" t="s">
        <v>522</v>
      </c>
      <c r="G6673" s="31" t="str">
        <f t="shared" si="135"/>
        <v/>
      </c>
      <c r="H6673" s="35"/>
      <c r="I6673" s="31"/>
      <c r="J6673" s="102">
        <v>0</v>
      </c>
    </row>
    <row r="6674" spans="1:10" hidden="1" x14ac:dyDescent="0.25">
      <c r="A6674" s="219"/>
      <c r="B6674" s="222"/>
      <c r="C6674" s="118" t="s">
        <v>1832</v>
      </c>
      <c r="D6674" s="47" t="s">
        <v>93</v>
      </c>
      <c r="E6674" s="106">
        <v>1</v>
      </c>
      <c r="F6674" s="31">
        <v>16.795999999999999</v>
      </c>
      <c r="G6674" s="31">
        <f t="shared" si="135"/>
        <v>16.795999999999999</v>
      </c>
      <c r="H6674" s="39">
        <f t="shared" ref="H6674" si="144">SUM(G6674:G6674)</f>
        <v>16.795999999999999</v>
      </c>
      <c r="I6674" s="40"/>
      <c r="J6674" s="102">
        <v>0</v>
      </c>
    </row>
    <row r="6675" spans="1:10" ht="15.75" hidden="1" thickBot="1" x14ac:dyDescent="0.3">
      <c r="A6675" s="220"/>
      <c r="B6675" s="223"/>
      <c r="C6675" s="55"/>
      <c r="D6675" s="55"/>
      <c r="E6675" s="66"/>
      <c r="F6675" s="67" t="s">
        <v>522</v>
      </c>
      <c r="G6675" s="67" t="str">
        <f t="shared" si="135"/>
        <v/>
      </c>
      <c r="H6675" s="69"/>
      <c r="I6675" s="31"/>
      <c r="J6675" s="102">
        <v>0</v>
      </c>
    </row>
    <row r="6676" spans="1:10" ht="15.75" hidden="1" thickBot="1" x14ac:dyDescent="0.3">
      <c r="A6676" s="218" t="s">
        <v>2754</v>
      </c>
      <c r="B6676" s="221" t="e">
        <f>INDEX(#REF!,MATCH(Composições!A6676,#REF!,0),2)</f>
        <v>#REF!</v>
      </c>
      <c r="C6676" s="41"/>
      <c r="D6676" s="26" t="s">
        <v>93</v>
      </c>
      <c r="E6676" s="27"/>
      <c r="F6676" s="42" t="s">
        <v>522</v>
      </c>
      <c r="G6676" s="28" t="str">
        <f t="shared" si="135"/>
        <v/>
      </c>
      <c r="H6676" s="29"/>
      <c r="I6676" s="30"/>
      <c r="J6676" s="102">
        <v>0</v>
      </c>
    </row>
    <row r="6677" spans="1:10" hidden="1" x14ac:dyDescent="0.25">
      <c r="A6677" s="219"/>
      <c r="B6677" s="222"/>
      <c r="C6677" s="32"/>
      <c r="D6677" s="32"/>
      <c r="E6677" s="33"/>
      <c r="F6677" s="43" t="s">
        <v>522</v>
      </c>
      <c r="G6677" s="31" t="str">
        <f t="shared" si="135"/>
        <v/>
      </c>
      <c r="H6677" s="35"/>
      <c r="I6677" s="31"/>
      <c r="J6677" s="102">
        <v>0</v>
      </c>
    </row>
    <row r="6678" spans="1:10" hidden="1" x14ac:dyDescent="0.25">
      <c r="A6678" s="219"/>
      <c r="B6678" s="222"/>
      <c r="C6678" s="118" t="s">
        <v>1833</v>
      </c>
      <c r="D6678" s="47" t="s">
        <v>93</v>
      </c>
      <c r="E6678" s="106">
        <v>1</v>
      </c>
      <c r="F6678" s="31">
        <v>26.951499999999999</v>
      </c>
      <c r="G6678" s="31">
        <f t="shared" si="135"/>
        <v>26.951499999999999</v>
      </c>
      <c r="H6678" s="39">
        <f t="shared" ref="H6678" si="145">SUM(G6678:G6678)</f>
        <v>26.951499999999999</v>
      </c>
      <c r="I6678" s="40"/>
      <c r="J6678" s="102">
        <v>0</v>
      </c>
    </row>
    <row r="6679" spans="1:10" ht="15.75" hidden="1" thickBot="1" x14ac:dyDescent="0.3">
      <c r="A6679" s="220"/>
      <c r="B6679" s="223"/>
      <c r="C6679" s="55"/>
      <c r="D6679" s="55"/>
      <c r="E6679" s="66"/>
      <c r="F6679" s="67" t="s">
        <v>522</v>
      </c>
      <c r="G6679" s="67" t="str">
        <f t="shared" si="135"/>
        <v/>
      </c>
      <c r="H6679" s="69"/>
      <c r="I6679" s="31"/>
      <c r="J6679" s="102">
        <v>0</v>
      </c>
    </row>
    <row r="6680" spans="1:10" ht="15.75" hidden="1" thickBot="1" x14ac:dyDescent="0.3">
      <c r="A6680" s="218" t="s">
        <v>2756</v>
      </c>
      <c r="B6680" s="221" t="e">
        <f>INDEX(#REF!,MATCH(Composições!A6680,#REF!,0),2)</f>
        <v>#REF!</v>
      </c>
      <c r="C6680" s="41"/>
      <c r="D6680" s="26" t="s">
        <v>93</v>
      </c>
      <c r="E6680" s="27"/>
      <c r="F6680" s="42" t="s">
        <v>522</v>
      </c>
      <c r="G6680" s="28" t="str">
        <f t="shared" si="135"/>
        <v/>
      </c>
      <c r="H6680" s="29"/>
      <c r="I6680" s="30"/>
      <c r="J6680" s="102">
        <v>0</v>
      </c>
    </row>
    <row r="6681" spans="1:10" hidden="1" x14ac:dyDescent="0.25">
      <c r="A6681" s="219"/>
      <c r="B6681" s="222"/>
      <c r="C6681" s="32"/>
      <c r="D6681" s="32"/>
      <c r="E6681" s="33"/>
      <c r="F6681" s="43" t="s">
        <v>522</v>
      </c>
      <c r="G6681" s="31" t="str">
        <f t="shared" si="135"/>
        <v/>
      </c>
      <c r="H6681" s="35"/>
      <c r="I6681" s="31"/>
      <c r="J6681" s="102">
        <v>0</v>
      </c>
    </row>
    <row r="6682" spans="1:10" ht="25.5" hidden="1" x14ac:dyDescent="0.25">
      <c r="A6682" s="219"/>
      <c r="B6682" s="222"/>
      <c r="C6682" s="118" t="s">
        <v>3363</v>
      </c>
      <c r="D6682" s="47" t="s">
        <v>93</v>
      </c>
      <c r="E6682" s="106">
        <v>1</v>
      </c>
      <c r="F6682" s="31">
        <v>51.945999999999998</v>
      </c>
      <c r="G6682" s="31">
        <f t="shared" si="135"/>
        <v>51.945999999999998</v>
      </c>
      <c r="H6682" s="39">
        <f t="shared" ref="H6682" si="146">SUM(G6682:G6682)</f>
        <v>51.945999999999998</v>
      </c>
      <c r="I6682" s="40"/>
      <c r="J6682" s="102">
        <v>0</v>
      </c>
    </row>
    <row r="6683" spans="1:10" ht="15.75" hidden="1" thickBot="1" x14ac:dyDescent="0.3">
      <c r="A6683" s="220"/>
      <c r="B6683" s="223"/>
      <c r="C6683" s="55"/>
      <c r="D6683" s="55"/>
      <c r="E6683" s="66"/>
      <c r="F6683" s="67" t="s">
        <v>522</v>
      </c>
      <c r="G6683" s="67" t="str">
        <f t="shared" si="135"/>
        <v/>
      </c>
      <c r="H6683" s="69"/>
      <c r="I6683" s="31"/>
      <c r="J6683" s="102">
        <v>0</v>
      </c>
    </row>
    <row r="6684" spans="1:10" ht="15.75" hidden="1" thickBot="1" x14ac:dyDescent="0.3">
      <c r="A6684" s="218" t="s">
        <v>2758</v>
      </c>
      <c r="B6684" s="221" t="e">
        <f>INDEX(#REF!,MATCH(Composições!A6684,#REF!,0),2)</f>
        <v>#REF!</v>
      </c>
      <c r="C6684" s="41"/>
      <c r="D6684" s="26" t="s">
        <v>93</v>
      </c>
      <c r="E6684" s="27"/>
      <c r="F6684" s="42" t="s">
        <v>522</v>
      </c>
      <c r="G6684" s="28" t="str">
        <f t="shared" si="135"/>
        <v/>
      </c>
      <c r="H6684" s="29"/>
      <c r="I6684" s="30"/>
      <c r="J6684" s="102">
        <v>0</v>
      </c>
    </row>
    <row r="6685" spans="1:10" hidden="1" x14ac:dyDescent="0.25">
      <c r="A6685" s="219"/>
      <c r="B6685" s="222"/>
      <c r="C6685" s="32"/>
      <c r="D6685" s="32"/>
      <c r="E6685" s="33"/>
      <c r="F6685" s="43" t="s">
        <v>522</v>
      </c>
      <c r="G6685" s="31" t="str">
        <f t="shared" si="135"/>
        <v/>
      </c>
      <c r="H6685" s="35"/>
      <c r="I6685" s="31"/>
      <c r="J6685" s="102">
        <v>0</v>
      </c>
    </row>
    <row r="6686" spans="1:10" ht="25.5" hidden="1" x14ac:dyDescent="0.25">
      <c r="A6686" s="219"/>
      <c r="B6686" s="222"/>
      <c r="C6686" s="118" t="s">
        <v>3364</v>
      </c>
      <c r="D6686" s="47" t="s">
        <v>93</v>
      </c>
      <c r="E6686" s="106">
        <v>1</v>
      </c>
      <c r="F6686" s="31">
        <v>20.387</v>
      </c>
      <c r="G6686" s="31">
        <f t="shared" si="135"/>
        <v>20.387</v>
      </c>
      <c r="H6686" s="39">
        <f t="shared" ref="H6686" si="147">SUM(G6686:G6686)</f>
        <v>20.387</v>
      </c>
      <c r="I6686" s="40"/>
      <c r="J6686" s="102">
        <v>0</v>
      </c>
    </row>
    <row r="6687" spans="1:10" ht="15.75" hidden="1" thickBot="1" x14ac:dyDescent="0.3">
      <c r="A6687" s="220"/>
      <c r="B6687" s="223"/>
      <c r="C6687" s="55"/>
      <c r="D6687" s="55"/>
      <c r="E6687" s="66"/>
      <c r="F6687" s="67" t="s">
        <v>522</v>
      </c>
      <c r="G6687" s="67" t="str">
        <f t="shared" si="135"/>
        <v/>
      </c>
      <c r="H6687" s="69"/>
      <c r="I6687" s="31"/>
      <c r="J6687" s="102">
        <v>0</v>
      </c>
    </row>
    <row r="6688" spans="1:10" ht="15.75" hidden="1" thickBot="1" x14ac:dyDescent="0.3">
      <c r="A6688" s="218" t="s">
        <v>2760</v>
      </c>
      <c r="B6688" s="221" t="e">
        <f>INDEX(#REF!,MATCH(Composições!A6688,#REF!,0),2)</f>
        <v>#REF!</v>
      </c>
      <c r="C6688" s="41"/>
      <c r="D6688" s="26" t="s">
        <v>93</v>
      </c>
      <c r="E6688" s="27"/>
      <c r="F6688" s="42" t="s">
        <v>522</v>
      </c>
      <c r="G6688" s="28" t="str">
        <f t="shared" si="135"/>
        <v/>
      </c>
      <c r="H6688" s="29"/>
      <c r="I6688" s="30"/>
      <c r="J6688" s="102">
        <v>0</v>
      </c>
    </row>
    <row r="6689" spans="1:10" hidden="1" x14ac:dyDescent="0.25">
      <c r="A6689" s="219"/>
      <c r="B6689" s="222"/>
      <c r="C6689" s="32"/>
      <c r="D6689" s="32"/>
      <c r="E6689" s="33"/>
      <c r="F6689" s="43" t="s">
        <v>522</v>
      </c>
      <c r="G6689" s="31" t="str">
        <f t="shared" si="135"/>
        <v/>
      </c>
      <c r="H6689" s="35"/>
      <c r="I6689" s="31"/>
      <c r="J6689" s="102">
        <v>0</v>
      </c>
    </row>
    <row r="6690" spans="1:10" ht="25.5" hidden="1" x14ac:dyDescent="0.25">
      <c r="A6690" s="219"/>
      <c r="B6690" s="222"/>
      <c r="C6690" s="118" t="s">
        <v>3365</v>
      </c>
      <c r="D6690" s="47" t="s">
        <v>93</v>
      </c>
      <c r="E6690" s="106">
        <v>1</v>
      </c>
      <c r="F6690" s="31">
        <v>26.542999999999999</v>
      </c>
      <c r="G6690" s="31">
        <f t="shared" ref="G6690:G6753" si="148">IF(ISNUMBER(F6690),E6690*F6690,"")</f>
        <v>26.542999999999999</v>
      </c>
      <c r="H6690" s="39">
        <f t="shared" ref="H6690" si="149">SUM(G6690:G6690)</f>
        <v>26.542999999999999</v>
      </c>
      <c r="I6690" s="40"/>
      <c r="J6690" s="102">
        <v>0</v>
      </c>
    </row>
    <row r="6691" spans="1:10" ht="15.75" hidden="1" thickBot="1" x14ac:dyDescent="0.3">
      <c r="A6691" s="220"/>
      <c r="B6691" s="223"/>
      <c r="C6691" s="55"/>
      <c r="D6691" s="55"/>
      <c r="E6691" s="66"/>
      <c r="F6691" s="67" t="s">
        <v>522</v>
      </c>
      <c r="G6691" s="67" t="str">
        <f t="shared" si="148"/>
        <v/>
      </c>
      <c r="H6691" s="69"/>
      <c r="I6691" s="31"/>
      <c r="J6691" s="102">
        <v>0</v>
      </c>
    </row>
    <row r="6692" spans="1:10" ht="15.75" hidden="1" thickBot="1" x14ac:dyDescent="0.3">
      <c r="A6692" s="218" t="s">
        <v>2762</v>
      </c>
      <c r="B6692" s="221" t="e">
        <f>INDEX(#REF!,MATCH(Composições!A6692,#REF!,0),2)</f>
        <v>#REF!</v>
      </c>
      <c r="C6692" s="41"/>
      <c r="D6692" s="26" t="s">
        <v>93</v>
      </c>
      <c r="E6692" s="27"/>
      <c r="F6692" s="42" t="s">
        <v>522</v>
      </c>
      <c r="G6692" s="28" t="str">
        <f t="shared" si="148"/>
        <v/>
      </c>
      <c r="H6692" s="29"/>
      <c r="I6692" s="30"/>
      <c r="J6692" s="102">
        <v>0</v>
      </c>
    </row>
    <row r="6693" spans="1:10" hidden="1" x14ac:dyDescent="0.25">
      <c r="A6693" s="219"/>
      <c r="B6693" s="222"/>
      <c r="C6693" s="32"/>
      <c r="D6693" s="32"/>
      <c r="E6693" s="33"/>
      <c r="F6693" s="43" t="s">
        <v>522</v>
      </c>
      <c r="G6693" s="31" t="str">
        <f t="shared" si="148"/>
        <v/>
      </c>
      <c r="H6693" s="35"/>
      <c r="I6693" s="31"/>
      <c r="J6693" s="102">
        <v>0</v>
      </c>
    </row>
    <row r="6694" spans="1:10" ht="25.5" hidden="1" x14ac:dyDescent="0.25">
      <c r="A6694" s="219"/>
      <c r="B6694" s="222"/>
      <c r="C6694" s="118" t="s">
        <v>3366</v>
      </c>
      <c r="D6694" s="47" t="s">
        <v>93</v>
      </c>
      <c r="E6694" s="106">
        <v>1</v>
      </c>
      <c r="F6694" s="31">
        <v>35.643999999999998</v>
      </c>
      <c r="G6694" s="31">
        <f t="shared" si="148"/>
        <v>35.643999999999998</v>
      </c>
      <c r="H6694" s="39">
        <f t="shared" ref="H6694" si="150">SUM(G6694:G6694)</f>
        <v>35.643999999999998</v>
      </c>
      <c r="I6694" s="40"/>
      <c r="J6694" s="102">
        <v>0</v>
      </c>
    </row>
    <row r="6695" spans="1:10" ht="15.75" hidden="1" thickBot="1" x14ac:dyDescent="0.3">
      <c r="A6695" s="220"/>
      <c r="B6695" s="223"/>
      <c r="C6695" s="55"/>
      <c r="D6695" s="55"/>
      <c r="E6695" s="66"/>
      <c r="F6695" s="67" t="s">
        <v>522</v>
      </c>
      <c r="G6695" s="67" t="str">
        <f t="shared" si="148"/>
        <v/>
      </c>
      <c r="H6695" s="69"/>
      <c r="I6695" s="31"/>
      <c r="J6695" s="102">
        <v>0</v>
      </c>
    </row>
    <row r="6696" spans="1:10" ht="15.75" hidden="1" thickBot="1" x14ac:dyDescent="0.3">
      <c r="A6696" s="218" t="s">
        <v>2764</v>
      </c>
      <c r="B6696" s="221" t="e">
        <f>INDEX(#REF!,MATCH(Composições!A6696,#REF!,0),2)</f>
        <v>#REF!</v>
      </c>
      <c r="C6696" s="41"/>
      <c r="D6696" s="26" t="s">
        <v>93</v>
      </c>
      <c r="E6696" s="27"/>
      <c r="F6696" s="42" t="s">
        <v>522</v>
      </c>
      <c r="G6696" s="28" t="str">
        <f t="shared" si="148"/>
        <v/>
      </c>
      <c r="H6696" s="29"/>
      <c r="I6696" s="30"/>
      <c r="J6696" s="102">
        <v>0</v>
      </c>
    </row>
    <row r="6697" spans="1:10" hidden="1" x14ac:dyDescent="0.25">
      <c r="A6697" s="219"/>
      <c r="B6697" s="222"/>
      <c r="C6697" s="32"/>
      <c r="D6697" s="32"/>
      <c r="E6697" s="33"/>
      <c r="F6697" s="43" t="s">
        <v>522</v>
      </c>
      <c r="G6697" s="31" t="str">
        <f t="shared" si="148"/>
        <v/>
      </c>
      <c r="H6697" s="35"/>
      <c r="I6697" s="31"/>
      <c r="J6697" s="102">
        <v>0</v>
      </c>
    </row>
    <row r="6698" spans="1:10" ht="25.5" hidden="1" x14ac:dyDescent="0.25">
      <c r="A6698" s="219"/>
      <c r="B6698" s="222"/>
      <c r="C6698" s="118" t="s">
        <v>3367</v>
      </c>
      <c r="D6698" s="47" t="s">
        <v>93</v>
      </c>
      <c r="E6698" s="106">
        <v>1</v>
      </c>
      <c r="F6698" s="31">
        <v>74.917000000000002</v>
      </c>
      <c r="G6698" s="31">
        <f t="shared" si="148"/>
        <v>74.917000000000002</v>
      </c>
      <c r="H6698" s="39">
        <f t="shared" ref="H6698" si="151">SUM(G6698:G6698)</f>
        <v>74.917000000000002</v>
      </c>
      <c r="I6698" s="40"/>
      <c r="J6698" s="102">
        <v>0</v>
      </c>
    </row>
    <row r="6699" spans="1:10" ht="15.75" hidden="1" thickBot="1" x14ac:dyDescent="0.3">
      <c r="A6699" s="220"/>
      <c r="B6699" s="223"/>
      <c r="C6699" s="55"/>
      <c r="D6699" s="55"/>
      <c r="E6699" s="66"/>
      <c r="F6699" s="67" t="s">
        <v>522</v>
      </c>
      <c r="G6699" s="67" t="str">
        <f t="shared" si="148"/>
        <v/>
      </c>
      <c r="H6699" s="69"/>
      <c r="I6699" s="31"/>
      <c r="J6699" s="102">
        <v>0</v>
      </c>
    </row>
    <row r="6700" spans="1:10" ht="15.75" hidden="1" thickBot="1" x14ac:dyDescent="0.3">
      <c r="A6700" s="218" t="s">
        <v>2766</v>
      </c>
      <c r="B6700" s="221" t="e">
        <f>INDEX(#REF!,MATCH(Composições!A6700,#REF!,0),2)</f>
        <v>#REF!</v>
      </c>
      <c r="C6700" s="41"/>
      <c r="D6700" s="26" t="s">
        <v>93</v>
      </c>
      <c r="E6700" s="27"/>
      <c r="F6700" s="42" t="s">
        <v>522</v>
      </c>
      <c r="G6700" s="28" t="str">
        <f t="shared" si="148"/>
        <v/>
      </c>
      <c r="H6700" s="29"/>
      <c r="I6700" s="30"/>
      <c r="J6700" s="102">
        <v>0</v>
      </c>
    </row>
    <row r="6701" spans="1:10" hidden="1" x14ac:dyDescent="0.25">
      <c r="A6701" s="219"/>
      <c r="B6701" s="222"/>
      <c r="C6701" s="32"/>
      <c r="D6701" s="32"/>
      <c r="E6701" s="33"/>
      <c r="F6701" s="43" t="s">
        <v>522</v>
      </c>
      <c r="G6701" s="31" t="str">
        <f t="shared" si="148"/>
        <v/>
      </c>
      <c r="H6701" s="35"/>
      <c r="I6701" s="31"/>
      <c r="J6701" s="102">
        <v>0</v>
      </c>
    </row>
    <row r="6702" spans="1:10" ht="25.5" hidden="1" x14ac:dyDescent="0.25">
      <c r="A6702" s="219"/>
      <c r="B6702" s="222"/>
      <c r="C6702" s="118" t="s">
        <v>3368</v>
      </c>
      <c r="D6702" s="47" t="s">
        <v>93</v>
      </c>
      <c r="E6702" s="106">
        <v>1</v>
      </c>
      <c r="F6702" s="31">
        <v>104.82299999999999</v>
      </c>
      <c r="G6702" s="31">
        <f t="shared" si="148"/>
        <v>104.82299999999999</v>
      </c>
      <c r="H6702" s="39">
        <f t="shared" ref="H6702" si="152">SUM(G6702:G6702)</f>
        <v>104.82299999999999</v>
      </c>
      <c r="I6702" s="40"/>
      <c r="J6702" s="102">
        <v>0</v>
      </c>
    </row>
    <row r="6703" spans="1:10" ht="15.75" hidden="1" thickBot="1" x14ac:dyDescent="0.3">
      <c r="A6703" s="220"/>
      <c r="B6703" s="223"/>
      <c r="C6703" s="55"/>
      <c r="D6703" s="55"/>
      <c r="E6703" s="66"/>
      <c r="F6703" s="67" t="s">
        <v>522</v>
      </c>
      <c r="G6703" s="67" t="str">
        <f t="shared" si="148"/>
        <v/>
      </c>
      <c r="H6703" s="69"/>
      <c r="I6703" s="31"/>
      <c r="J6703" s="102">
        <v>0</v>
      </c>
    </row>
    <row r="6704" spans="1:10" ht="15.75" hidden="1" thickBot="1" x14ac:dyDescent="0.3">
      <c r="A6704" s="218" t="s">
        <v>2768</v>
      </c>
      <c r="B6704" s="221" t="e">
        <f>INDEX(#REF!,MATCH(Composições!A6704,#REF!,0),2)</f>
        <v>#REF!</v>
      </c>
      <c r="C6704" s="41"/>
      <c r="D6704" s="26" t="s">
        <v>93</v>
      </c>
      <c r="E6704" s="27"/>
      <c r="F6704" s="42" t="s">
        <v>522</v>
      </c>
      <c r="G6704" s="28" t="str">
        <f t="shared" si="148"/>
        <v/>
      </c>
      <c r="H6704" s="29"/>
      <c r="I6704" s="30"/>
      <c r="J6704" s="102">
        <v>0</v>
      </c>
    </row>
    <row r="6705" spans="1:10" hidden="1" x14ac:dyDescent="0.25">
      <c r="A6705" s="219"/>
      <c r="B6705" s="222"/>
      <c r="C6705" s="32"/>
      <c r="D6705" s="32"/>
      <c r="E6705" s="33"/>
      <c r="F6705" s="43" t="s">
        <v>522</v>
      </c>
      <c r="G6705" s="31" t="str">
        <f t="shared" si="148"/>
        <v/>
      </c>
      <c r="H6705" s="35"/>
      <c r="I6705" s="31"/>
      <c r="J6705" s="102">
        <v>0</v>
      </c>
    </row>
    <row r="6706" spans="1:10" ht="25.5" hidden="1" x14ac:dyDescent="0.25">
      <c r="A6706" s="219"/>
      <c r="B6706" s="222"/>
      <c r="C6706" s="118" t="s">
        <v>3369</v>
      </c>
      <c r="D6706" s="47" t="s">
        <v>93</v>
      </c>
      <c r="E6706" s="106">
        <v>1</v>
      </c>
      <c r="F6706" s="31">
        <v>120.43149999999999</v>
      </c>
      <c r="G6706" s="31">
        <f t="shared" si="148"/>
        <v>120.43149999999999</v>
      </c>
      <c r="H6706" s="39">
        <f t="shared" ref="H6706" si="153">SUM(G6706:G6706)</f>
        <v>120.43149999999999</v>
      </c>
      <c r="I6706" s="40"/>
      <c r="J6706" s="102">
        <v>0</v>
      </c>
    </row>
    <row r="6707" spans="1:10" ht="15.75" hidden="1" thickBot="1" x14ac:dyDescent="0.3">
      <c r="A6707" s="220"/>
      <c r="B6707" s="223"/>
      <c r="C6707" s="55"/>
      <c r="D6707" s="55"/>
      <c r="E6707" s="66"/>
      <c r="F6707" s="67" t="s">
        <v>522</v>
      </c>
      <c r="G6707" s="67" t="str">
        <f t="shared" si="148"/>
        <v/>
      </c>
      <c r="H6707" s="69"/>
      <c r="I6707" s="31"/>
      <c r="J6707" s="102">
        <v>0</v>
      </c>
    </row>
    <row r="6708" spans="1:10" ht="15.75" hidden="1" thickBot="1" x14ac:dyDescent="0.3">
      <c r="A6708" s="218" t="s">
        <v>2770</v>
      </c>
      <c r="B6708" s="221" t="e">
        <f>INDEX(#REF!,MATCH(Composições!A6708,#REF!,0),2)</f>
        <v>#REF!</v>
      </c>
      <c r="C6708" s="41"/>
      <c r="D6708" s="26" t="s">
        <v>20</v>
      </c>
      <c r="E6708" s="27"/>
      <c r="F6708" s="42" t="s">
        <v>522</v>
      </c>
      <c r="G6708" s="28" t="str">
        <f t="shared" si="148"/>
        <v/>
      </c>
      <c r="H6708" s="29"/>
      <c r="I6708" s="30"/>
      <c r="J6708" s="102">
        <v>0</v>
      </c>
    </row>
    <row r="6709" spans="1:10" hidden="1" x14ac:dyDescent="0.25">
      <c r="A6709" s="219"/>
      <c r="B6709" s="222"/>
      <c r="C6709" s="32"/>
      <c r="D6709" s="32"/>
      <c r="E6709" s="33"/>
      <c r="F6709" s="43" t="s">
        <v>522</v>
      </c>
      <c r="G6709" s="31" t="str">
        <f t="shared" si="148"/>
        <v/>
      </c>
      <c r="H6709" s="35"/>
      <c r="I6709" s="31"/>
      <c r="J6709" s="102">
        <v>0</v>
      </c>
    </row>
    <row r="6710" spans="1:10" hidden="1" x14ac:dyDescent="0.25">
      <c r="A6710" s="219"/>
      <c r="B6710" s="222"/>
      <c r="C6710" s="118" t="s">
        <v>3263</v>
      </c>
      <c r="D6710" s="47" t="s">
        <v>20</v>
      </c>
      <c r="E6710" s="106">
        <v>1</v>
      </c>
      <c r="F6710" s="31">
        <v>34.637</v>
      </c>
      <c r="G6710" s="31">
        <f t="shared" si="148"/>
        <v>34.637</v>
      </c>
      <c r="H6710" s="39">
        <f t="shared" ref="H6710" si="154">SUM(G6710:G6710)</f>
        <v>34.637</v>
      </c>
      <c r="I6710" s="40"/>
      <c r="J6710" s="102">
        <v>0</v>
      </c>
    </row>
    <row r="6711" spans="1:10" ht="15.75" hidden="1" thickBot="1" x14ac:dyDescent="0.3">
      <c r="A6711" s="220"/>
      <c r="B6711" s="223"/>
      <c r="C6711" s="55"/>
      <c r="D6711" s="55"/>
      <c r="E6711" s="66"/>
      <c r="F6711" s="67" t="s">
        <v>522</v>
      </c>
      <c r="G6711" s="67" t="str">
        <f t="shared" si="148"/>
        <v/>
      </c>
      <c r="H6711" s="69"/>
      <c r="I6711" s="31"/>
      <c r="J6711" s="102">
        <v>0</v>
      </c>
    </row>
    <row r="6712" spans="1:10" ht="15.75" hidden="1" thickBot="1" x14ac:dyDescent="0.3">
      <c r="A6712" s="218" t="s">
        <v>2772</v>
      </c>
      <c r="B6712" s="221" t="e">
        <f>INDEX(#REF!,MATCH(Composições!A6712,#REF!,0),2)</f>
        <v>#REF!</v>
      </c>
      <c r="C6712" s="41"/>
      <c r="D6712" s="26" t="s">
        <v>20</v>
      </c>
      <c r="E6712" s="27"/>
      <c r="F6712" s="42" t="s">
        <v>522</v>
      </c>
      <c r="G6712" s="28" t="str">
        <f t="shared" si="148"/>
        <v/>
      </c>
      <c r="H6712" s="29"/>
      <c r="I6712" s="30"/>
      <c r="J6712" s="102">
        <v>0</v>
      </c>
    </row>
    <row r="6713" spans="1:10" hidden="1" x14ac:dyDescent="0.25">
      <c r="A6713" s="219"/>
      <c r="B6713" s="222"/>
      <c r="C6713" s="32"/>
      <c r="D6713" s="32"/>
      <c r="E6713" s="33"/>
      <c r="F6713" s="43" t="s">
        <v>522</v>
      </c>
      <c r="G6713" s="31" t="str">
        <f t="shared" si="148"/>
        <v/>
      </c>
      <c r="H6713" s="35"/>
      <c r="I6713" s="31"/>
      <c r="J6713" s="102">
        <v>0</v>
      </c>
    </row>
    <row r="6714" spans="1:10" hidden="1" x14ac:dyDescent="0.25">
      <c r="A6714" s="219"/>
      <c r="B6714" s="222"/>
      <c r="C6714" s="118" t="s">
        <v>3262</v>
      </c>
      <c r="D6714" s="47" t="s">
        <v>20</v>
      </c>
      <c r="E6714" s="106">
        <v>1</v>
      </c>
      <c r="F6714" s="31">
        <v>53.019500000000001</v>
      </c>
      <c r="G6714" s="31">
        <f t="shared" si="148"/>
        <v>53.019500000000001</v>
      </c>
      <c r="H6714" s="39">
        <f t="shared" ref="H6714" si="155">SUM(G6714:G6714)</f>
        <v>53.019500000000001</v>
      </c>
      <c r="I6714" s="40"/>
      <c r="J6714" s="102">
        <v>0</v>
      </c>
    </row>
    <row r="6715" spans="1:10" ht="15.75" hidden="1" thickBot="1" x14ac:dyDescent="0.3">
      <c r="A6715" s="220"/>
      <c r="B6715" s="223"/>
      <c r="C6715" s="55"/>
      <c r="D6715" s="55"/>
      <c r="E6715" s="66"/>
      <c r="F6715" s="67" t="s">
        <v>522</v>
      </c>
      <c r="G6715" s="67" t="str">
        <f t="shared" si="148"/>
        <v/>
      </c>
      <c r="H6715" s="69"/>
      <c r="I6715" s="31"/>
      <c r="J6715" s="102">
        <v>0</v>
      </c>
    </row>
    <row r="6716" spans="1:10" ht="15.75" hidden="1" thickBot="1" x14ac:dyDescent="0.3">
      <c r="A6716" s="218" t="s">
        <v>2774</v>
      </c>
      <c r="B6716" s="221" t="e">
        <f>INDEX(#REF!,MATCH(Composições!A6716,#REF!,0),2)</f>
        <v>#REF!</v>
      </c>
      <c r="C6716" s="41"/>
      <c r="D6716" s="26" t="s">
        <v>20</v>
      </c>
      <c r="E6716" s="27"/>
      <c r="F6716" s="42" t="s">
        <v>522</v>
      </c>
      <c r="G6716" s="28" t="str">
        <f t="shared" si="148"/>
        <v/>
      </c>
      <c r="H6716" s="29"/>
      <c r="I6716" s="30"/>
      <c r="J6716" s="102">
        <v>0</v>
      </c>
    </row>
    <row r="6717" spans="1:10" hidden="1" x14ac:dyDescent="0.25">
      <c r="A6717" s="219"/>
      <c r="B6717" s="222"/>
      <c r="C6717" s="32"/>
      <c r="D6717" s="32"/>
      <c r="E6717" s="33"/>
      <c r="F6717" s="43" t="s">
        <v>522</v>
      </c>
      <c r="G6717" s="31" t="str">
        <f t="shared" si="148"/>
        <v/>
      </c>
      <c r="H6717" s="35"/>
      <c r="I6717" s="31"/>
      <c r="J6717" s="102">
        <v>0</v>
      </c>
    </row>
    <row r="6718" spans="1:10" hidden="1" x14ac:dyDescent="0.25">
      <c r="A6718" s="219"/>
      <c r="B6718" s="222"/>
      <c r="C6718" s="118" t="s">
        <v>3264</v>
      </c>
      <c r="D6718" s="47" t="s">
        <v>20</v>
      </c>
      <c r="E6718" s="106">
        <v>1</v>
      </c>
      <c r="F6718" s="31">
        <v>86.250500000000002</v>
      </c>
      <c r="G6718" s="31">
        <f t="shared" si="148"/>
        <v>86.250500000000002</v>
      </c>
      <c r="H6718" s="39">
        <f t="shared" ref="H6718" si="156">SUM(G6718:G6718)</f>
        <v>86.250500000000002</v>
      </c>
      <c r="I6718" s="40"/>
      <c r="J6718" s="102">
        <v>0</v>
      </c>
    </row>
    <row r="6719" spans="1:10" ht="15.75" hidden="1" thickBot="1" x14ac:dyDescent="0.3">
      <c r="A6719" s="220"/>
      <c r="B6719" s="223"/>
      <c r="C6719" s="55"/>
      <c r="D6719" s="55"/>
      <c r="E6719" s="66"/>
      <c r="F6719" s="67" t="s">
        <v>522</v>
      </c>
      <c r="G6719" s="67" t="str">
        <f t="shared" si="148"/>
        <v/>
      </c>
      <c r="H6719" s="69"/>
      <c r="I6719" s="31"/>
      <c r="J6719" s="102">
        <v>0</v>
      </c>
    </row>
    <row r="6720" spans="1:10" ht="15.75" hidden="1" thickBot="1" x14ac:dyDescent="0.3">
      <c r="A6720" s="218" t="s">
        <v>2780</v>
      </c>
      <c r="B6720" s="221" t="e">
        <f>INDEX(#REF!,MATCH(Composições!A6720,#REF!,0),2)</f>
        <v>#REF!</v>
      </c>
      <c r="C6720" s="41"/>
      <c r="D6720" s="26" t="s">
        <v>93</v>
      </c>
      <c r="E6720" s="27"/>
      <c r="F6720" s="42" t="s">
        <v>522</v>
      </c>
      <c r="G6720" s="28" t="str">
        <f t="shared" si="148"/>
        <v/>
      </c>
      <c r="H6720" s="29"/>
      <c r="I6720" s="30"/>
      <c r="J6720" s="102">
        <v>0</v>
      </c>
    </row>
    <row r="6721" spans="1:10" hidden="1" x14ac:dyDescent="0.25">
      <c r="A6721" s="219"/>
      <c r="B6721" s="222"/>
      <c r="C6721" s="32"/>
      <c r="D6721" s="32"/>
      <c r="E6721" s="33"/>
      <c r="F6721" s="43" t="s">
        <v>522</v>
      </c>
      <c r="G6721" s="31" t="str">
        <f t="shared" si="148"/>
        <v/>
      </c>
      <c r="H6721" s="35"/>
      <c r="I6721" s="31"/>
      <c r="J6721" s="102">
        <v>0</v>
      </c>
    </row>
    <row r="6722" spans="1:10" hidden="1" x14ac:dyDescent="0.25">
      <c r="A6722" s="219"/>
      <c r="B6722" s="222"/>
      <c r="C6722" s="118" t="s">
        <v>3314</v>
      </c>
      <c r="D6722" s="47" t="s">
        <v>93</v>
      </c>
      <c r="E6722" s="106">
        <v>1</v>
      </c>
      <c r="F6722" s="31">
        <v>334.05799999999999</v>
      </c>
      <c r="G6722" s="31">
        <f t="shared" si="148"/>
        <v>334.05799999999999</v>
      </c>
      <c r="H6722" s="39">
        <f t="shared" ref="H6722" si="157">SUM(G6722:G6722)</f>
        <v>334.05799999999999</v>
      </c>
      <c r="I6722" s="40"/>
      <c r="J6722" s="102">
        <v>0</v>
      </c>
    </row>
    <row r="6723" spans="1:10" ht="15.75" hidden="1" thickBot="1" x14ac:dyDescent="0.3">
      <c r="A6723" s="220"/>
      <c r="B6723" s="223"/>
      <c r="C6723" s="55"/>
      <c r="D6723" s="55"/>
      <c r="E6723" s="66"/>
      <c r="F6723" s="67" t="s">
        <v>522</v>
      </c>
      <c r="G6723" s="67" t="str">
        <f t="shared" si="148"/>
        <v/>
      </c>
      <c r="H6723" s="69"/>
      <c r="I6723" s="31"/>
      <c r="J6723" s="102">
        <v>0</v>
      </c>
    </row>
    <row r="6724" spans="1:10" ht="15.75" hidden="1" thickBot="1" x14ac:dyDescent="0.3">
      <c r="A6724" s="218" t="s">
        <v>2782</v>
      </c>
      <c r="B6724" s="221" t="e">
        <f>INDEX(#REF!,MATCH(Composições!A6724,#REF!,0),2)</f>
        <v>#REF!</v>
      </c>
      <c r="C6724" s="41"/>
      <c r="D6724" s="26" t="s">
        <v>93</v>
      </c>
      <c r="E6724" s="27"/>
      <c r="F6724" s="42" t="s">
        <v>522</v>
      </c>
      <c r="G6724" s="28" t="str">
        <f t="shared" si="148"/>
        <v/>
      </c>
      <c r="H6724" s="29"/>
      <c r="I6724" s="30"/>
      <c r="J6724" s="102">
        <v>0</v>
      </c>
    </row>
    <row r="6725" spans="1:10" hidden="1" x14ac:dyDescent="0.25">
      <c r="A6725" s="219"/>
      <c r="B6725" s="222"/>
      <c r="C6725" s="32"/>
      <c r="D6725" s="32"/>
      <c r="E6725" s="33"/>
      <c r="F6725" s="43" t="s">
        <v>522</v>
      </c>
      <c r="G6725" s="31" t="str">
        <f t="shared" si="148"/>
        <v/>
      </c>
      <c r="H6725" s="35"/>
      <c r="I6725" s="31"/>
      <c r="J6725" s="102">
        <v>0</v>
      </c>
    </row>
    <row r="6726" spans="1:10" ht="25.5" hidden="1" x14ac:dyDescent="0.25">
      <c r="A6726" s="219"/>
      <c r="B6726" s="222"/>
      <c r="C6726" s="118" t="s">
        <v>3370</v>
      </c>
      <c r="D6726" s="47" t="s">
        <v>93</v>
      </c>
      <c r="E6726" s="106">
        <v>1</v>
      </c>
      <c r="F6726" s="31">
        <v>17.413499999999999</v>
      </c>
      <c r="G6726" s="31">
        <f t="shared" si="148"/>
        <v>17.413499999999999</v>
      </c>
      <c r="H6726" s="39">
        <f t="shared" ref="H6726" si="158">SUM(G6726:G6726)</f>
        <v>17.413499999999999</v>
      </c>
      <c r="I6726" s="40"/>
      <c r="J6726" s="102">
        <v>0</v>
      </c>
    </row>
    <row r="6727" spans="1:10" ht="15.75" hidden="1" thickBot="1" x14ac:dyDescent="0.3">
      <c r="A6727" s="220"/>
      <c r="B6727" s="223"/>
      <c r="C6727" s="55"/>
      <c r="D6727" s="55"/>
      <c r="E6727" s="66"/>
      <c r="F6727" s="67" t="s">
        <v>522</v>
      </c>
      <c r="G6727" s="67" t="str">
        <f t="shared" si="148"/>
        <v/>
      </c>
      <c r="H6727" s="69"/>
      <c r="I6727" s="31"/>
      <c r="J6727" s="102">
        <v>0</v>
      </c>
    </row>
    <row r="6728" spans="1:10" ht="15.75" hidden="1" thickBot="1" x14ac:dyDescent="0.3">
      <c r="A6728" s="218" t="s">
        <v>2784</v>
      </c>
      <c r="B6728" s="221" t="e">
        <f>INDEX(#REF!,MATCH(Composições!A6728,#REF!,0),2)</f>
        <v>#REF!</v>
      </c>
      <c r="C6728" s="41"/>
      <c r="D6728" s="26" t="s">
        <v>93</v>
      </c>
      <c r="E6728" s="27"/>
      <c r="F6728" s="42" t="s">
        <v>522</v>
      </c>
      <c r="G6728" s="28" t="str">
        <f t="shared" si="148"/>
        <v/>
      </c>
      <c r="H6728" s="29"/>
      <c r="I6728" s="30"/>
      <c r="J6728" s="102">
        <v>0</v>
      </c>
    </row>
    <row r="6729" spans="1:10" hidden="1" x14ac:dyDescent="0.25">
      <c r="A6729" s="219"/>
      <c r="B6729" s="222"/>
      <c r="C6729" s="32"/>
      <c r="D6729" s="32"/>
      <c r="E6729" s="33"/>
      <c r="F6729" s="43" t="s">
        <v>522</v>
      </c>
      <c r="G6729" s="31" t="str">
        <f t="shared" si="148"/>
        <v/>
      </c>
      <c r="H6729" s="35"/>
      <c r="I6729" s="31"/>
      <c r="J6729" s="102">
        <v>0</v>
      </c>
    </row>
    <row r="6730" spans="1:10" ht="25.5" hidden="1" x14ac:dyDescent="0.25">
      <c r="A6730" s="219"/>
      <c r="B6730" s="222"/>
      <c r="C6730" s="118" t="s">
        <v>3374</v>
      </c>
      <c r="D6730" s="47" t="s">
        <v>93</v>
      </c>
      <c r="E6730" s="106">
        <v>1</v>
      </c>
      <c r="F6730" s="31">
        <v>44.545499999999997</v>
      </c>
      <c r="G6730" s="31">
        <f t="shared" si="148"/>
        <v>44.545499999999997</v>
      </c>
      <c r="H6730" s="39">
        <f t="shared" ref="H6730" si="159">SUM(G6730:G6730)</f>
        <v>44.545499999999997</v>
      </c>
      <c r="I6730" s="40"/>
      <c r="J6730" s="102">
        <v>0</v>
      </c>
    </row>
    <row r="6731" spans="1:10" ht="15.75" hidden="1" thickBot="1" x14ac:dyDescent="0.3">
      <c r="A6731" s="220"/>
      <c r="B6731" s="223"/>
      <c r="C6731" s="55"/>
      <c r="D6731" s="55"/>
      <c r="E6731" s="66"/>
      <c r="F6731" s="67" t="s">
        <v>522</v>
      </c>
      <c r="G6731" s="67" t="str">
        <f t="shared" si="148"/>
        <v/>
      </c>
      <c r="H6731" s="69"/>
      <c r="I6731" s="31"/>
      <c r="J6731" s="102">
        <v>0</v>
      </c>
    </row>
    <row r="6732" spans="1:10" ht="15.75" hidden="1" thickBot="1" x14ac:dyDescent="0.3">
      <c r="A6732" s="218" t="s">
        <v>2785</v>
      </c>
      <c r="B6732" s="221" t="e">
        <f>INDEX(#REF!,MATCH(Composições!A6732,#REF!,0),2)</f>
        <v>#REF!</v>
      </c>
      <c r="C6732" s="41"/>
      <c r="D6732" s="26" t="s">
        <v>93</v>
      </c>
      <c r="E6732" s="27"/>
      <c r="F6732" s="42" t="s">
        <v>522</v>
      </c>
      <c r="G6732" s="28" t="str">
        <f t="shared" si="148"/>
        <v/>
      </c>
      <c r="H6732" s="29"/>
      <c r="I6732" s="30"/>
      <c r="J6732" s="102">
        <v>0</v>
      </c>
    </row>
    <row r="6733" spans="1:10" hidden="1" x14ac:dyDescent="0.25">
      <c r="A6733" s="219"/>
      <c r="B6733" s="222"/>
      <c r="C6733" s="32"/>
      <c r="D6733" s="32"/>
      <c r="E6733" s="33"/>
      <c r="F6733" s="43" t="s">
        <v>522</v>
      </c>
      <c r="G6733" s="31" t="str">
        <f t="shared" si="148"/>
        <v/>
      </c>
      <c r="H6733" s="35"/>
      <c r="I6733" s="31"/>
      <c r="J6733" s="102">
        <v>0</v>
      </c>
    </row>
    <row r="6734" spans="1:10" ht="25.5" hidden="1" x14ac:dyDescent="0.25">
      <c r="A6734" s="219"/>
      <c r="B6734" s="222"/>
      <c r="C6734" s="118" t="s">
        <v>3375</v>
      </c>
      <c r="D6734" s="47" t="s">
        <v>93</v>
      </c>
      <c r="E6734" s="106">
        <v>1</v>
      </c>
      <c r="F6734" s="31">
        <v>6.2794999999999996</v>
      </c>
      <c r="G6734" s="31">
        <f t="shared" si="148"/>
        <v>6.2794999999999996</v>
      </c>
      <c r="H6734" s="39">
        <f t="shared" ref="H6734" si="160">SUM(G6734:G6734)</f>
        <v>6.2794999999999996</v>
      </c>
      <c r="I6734" s="40"/>
      <c r="J6734" s="102">
        <v>0</v>
      </c>
    </row>
    <row r="6735" spans="1:10" ht="15.75" hidden="1" thickBot="1" x14ac:dyDescent="0.3">
      <c r="A6735" s="220"/>
      <c r="B6735" s="223"/>
      <c r="C6735" s="55"/>
      <c r="D6735" s="55"/>
      <c r="E6735" s="66"/>
      <c r="F6735" s="67" t="s">
        <v>522</v>
      </c>
      <c r="G6735" s="67" t="str">
        <f t="shared" si="148"/>
        <v/>
      </c>
      <c r="H6735" s="69"/>
      <c r="I6735" s="31"/>
      <c r="J6735" s="102">
        <v>0</v>
      </c>
    </row>
    <row r="6736" spans="1:10" ht="15.75" hidden="1" thickBot="1" x14ac:dyDescent="0.3">
      <c r="A6736" s="218" t="s">
        <v>2787</v>
      </c>
      <c r="B6736" s="221" t="e">
        <f>INDEX(#REF!,MATCH(Composições!A6736,#REF!,0),2)</f>
        <v>#REF!</v>
      </c>
      <c r="C6736" s="41"/>
      <c r="D6736" s="26" t="s">
        <v>93</v>
      </c>
      <c r="E6736" s="27"/>
      <c r="F6736" s="42" t="s">
        <v>522</v>
      </c>
      <c r="G6736" s="28" t="str">
        <f t="shared" si="148"/>
        <v/>
      </c>
      <c r="H6736" s="29"/>
      <c r="I6736" s="30"/>
      <c r="J6736" s="102">
        <v>0</v>
      </c>
    </row>
    <row r="6737" spans="1:10" hidden="1" x14ac:dyDescent="0.25">
      <c r="A6737" s="219"/>
      <c r="B6737" s="222"/>
      <c r="C6737" s="32"/>
      <c r="D6737" s="32"/>
      <c r="E6737" s="33"/>
      <c r="F6737" s="43" t="s">
        <v>522</v>
      </c>
      <c r="G6737" s="31" t="str">
        <f t="shared" si="148"/>
        <v/>
      </c>
      <c r="H6737" s="35"/>
      <c r="I6737" s="31"/>
      <c r="J6737" s="102">
        <v>0</v>
      </c>
    </row>
    <row r="6738" spans="1:10" ht="25.5" hidden="1" x14ac:dyDescent="0.25">
      <c r="A6738" s="219"/>
      <c r="B6738" s="222"/>
      <c r="C6738" s="118" t="s">
        <v>3320</v>
      </c>
      <c r="D6738" s="47" t="s">
        <v>93</v>
      </c>
      <c r="E6738" s="106">
        <v>1</v>
      </c>
      <c r="F6738" s="31">
        <v>10.6875</v>
      </c>
      <c r="G6738" s="31">
        <f t="shared" si="148"/>
        <v>10.6875</v>
      </c>
      <c r="H6738" s="39">
        <f t="shared" ref="H6738" si="161">SUM(G6738:G6738)</f>
        <v>10.6875</v>
      </c>
      <c r="I6738" s="40"/>
      <c r="J6738" s="102">
        <v>0</v>
      </c>
    </row>
    <row r="6739" spans="1:10" ht="15.75" hidden="1" thickBot="1" x14ac:dyDescent="0.3">
      <c r="A6739" s="220"/>
      <c r="B6739" s="223"/>
      <c r="C6739" s="55"/>
      <c r="D6739" s="55"/>
      <c r="E6739" s="66"/>
      <c r="F6739" s="67" t="s">
        <v>522</v>
      </c>
      <c r="G6739" s="67" t="str">
        <f t="shared" si="148"/>
        <v/>
      </c>
      <c r="H6739" s="69"/>
      <c r="I6739" s="31"/>
      <c r="J6739" s="102">
        <v>0</v>
      </c>
    </row>
    <row r="6740" spans="1:10" ht="15.75" hidden="1" thickBot="1" x14ac:dyDescent="0.3">
      <c r="A6740" s="218" t="s">
        <v>2789</v>
      </c>
      <c r="B6740" s="221" t="e">
        <f>INDEX(#REF!,MATCH(Composições!A6740,#REF!,0),2)</f>
        <v>#REF!</v>
      </c>
      <c r="C6740" s="41"/>
      <c r="D6740" s="26" t="s">
        <v>93</v>
      </c>
      <c r="E6740" s="27"/>
      <c r="F6740" s="42" t="s">
        <v>522</v>
      </c>
      <c r="G6740" s="28" t="str">
        <f t="shared" si="148"/>
        <v/>
      </c>
      <c r="H6740" s="29"/>
      <c r="I6740" s="30"/>
      <c r="J6740" s="102">
        <v>0</v>
      </c>
    </row>
    <row r="6741" spans="1:10" hidden="1" x14ac:dyDescent="0.25">
      <c r="A6741" s="219"/>
      <c r="B6741" s="222"/>
      <c r="C6741" s="32"/>
      <c r="D6741" s="32"/>
      <c r="E6741" s="33"/>
      <c r="F6741" s="43" t="s">
        <v>522</v>
      </c>
      <c r="G6741" s="31" t="str">
        <f t="shared" si="148"/>
        <v/>
      </c>
      <c r="H6741" s="35"/>
      <c r="I6741" s="31"/>
      <c r="J6741" s="102">
        <v>0</v>
      </c>
    </row>
    <row r="6742" spans="1:10" ht="25.5" hidden="1" x14ac:dyDescent="0.25">
      <c r="A6742" s="219"/>
      <c r="B6742" s="222"/>
      <c r="C6742" s="118" t="s">
        <v>3321</v>
      </c>
      <c r="D6742" s="47" t="s">
        <v>93</v>
      </c>
      <c r="E6742" s="106">
        <v>1</v>
      </c>
      <c r="F6742" s="31">
        <v>15.427999999999997</v>
      </c>
      <c r="G6742" s="31">
        <f t="shared" si="148"/>
        <v>15.427999999999997</v>
      </c>
      <c r="H6742" s="39">
        <f t="shared" ref="H6742" si="162">SUM(G6742:G6742)</f>
        <v>15.427999999999997</v>
      </c>
      <c r="I6742" s="40"/>
      <c r="J6742" s="102">
        <v>0</v>
      </c>
    </row>
    <row r="6743" spans="1:10" ht="15.75" hidden="1" thickBot="1" x14ac:dyDescent="0.3">
      <c r="A6743" s="220"/>
      <c r="B6743" s="223"/>
      <c r="C6743" s="55"/>
      <c r="D6743" s="55"/>
      <c r="E6743" s="66"/>
      <c r="F6743" s="67" t="s">
        <v>522</v>
      </c>
      <c r="G6743" s="67" t="str">
        <f t="shared" si="148"/>
        <v/>
      </c>
      <c r="H6743" s="69"/>
      <c r="I6743" s="31"/>
      <c r="J6743" s="102">
        <v>0</v>
      </c>
    </row>
    <row r="6744" spans="1:10" ht="15.75" hidden="1" thickBot="1" x14ac:dyDescent="0.3">
      <c r="A6744" s="218" t="s">
        <v>2791</v>
      </c>
      <c r="B6744" s="221" t="e">
        <f>INDEX(#REF!,MATCH(Composições!A6744,#REF!,0),2)</f>
        <v>#REF!</v>
      </c>
      <c r="C6744" s="41"/>
      <c r="D6744" s="26" t="s">
        <v>93</v>
      </c>
      <c r="E6744" s="27"/>
      <c r="F6744" s="42" t="s">
        <v>522</v>
      </c>
      <c r="G6744" s="28" t="str">
        <f t="shared" si="148"/>
        <v/>
      </c>
      <c r="H6744" s="29"/>
      <c r="I6744" s="30"/>
      <c r="J6744" s="102">
        <v>0</v>
      </c>
    </row>
    <row r="6745" spans="1:10" hidden="1" x14ac:dyDescent="0.25">
      <c r="A6745" s="219"/>
      <c r="B6745" s="222"/>
      <c r="C6745" s="32"/>
      <c r="D6745" s="32"/>
      <c r="E6745" s="33"/>
      <c r="F6745" s="43" t="s">
        <v>522</v>
      </c>
      <c r="G6745" s="31" t="str">
        <f t="shared" si="148"/>
        <v/>
      </c>
      <c r="H6745" s="35"/>
      <c r="I6745" s="31"/>
      <c r="J6745" s="102">
        <v>0</v>
      </c>
    </row>
    <row r="6746" spans="1:10" hidden="1" x14ac:dyDescent="0.25">
      <c r="A6746" s="219"/>
      <c r="B6746" s="222"/>
      <c r="C6746" s="118" t="s">
        <v>3371</v>
      </c>
      <c r="D6746" s="47" t="s">
        <v>93</v>
      </c>
      <c r="E6746" s="106">
        <v>1</v>
      </c>
      <c r="F6746" s="31">
        <v>39.273000000000003</v>
      </c>
      <c r="G6746" s="31">
        <f t="shared" si="148"/>
        <v>39.273000000000003</v>
      </c>
      <c r="H6746" s="39">
        <f t="shared" ref="H6746" si="163">SUM(G6746:G6746)</f>
        <v>39.273000000000003</v>
      </c>
      <c r="I6746" s="40"/>
      <c r="J6746" s="102">
        <v>0</v>
      </c>
    </row>
    <row r="6747" spans="1:10" ht="15.75" hidden="1" thickBot="1" x14ac:dyDescent="0.3">
      <c r="A6747" s="220"/>
      <c r="B6747" s="223"/>
      <c r="C6747" s="55"/>
      <c r="D6747" s="55"/>
      <c r="E6747" s="66"/>
      <c r="F6747" s="67" t="s">
        <v>522</v>
      </c>
      <c r="G6747" s="67" t="str">
        <f t="shared" si="148"/>
        <v/>
      </c>
      <c r="H6747" s="69"/>
      <c r="I6747" s="31"/>
      <c r="J6747" s="102">
        <v>0</v>
      </c>
    </row>
    <row r="6748" spans="1:10" ht="15.75" hidden="1" thickBot="1" x14ac:dyDescent="0.3">
      <c r="A6748" s="218" t="s">
        <v>2793</v>
      </c>
      <c r="B6748" s="221" t="e">
        <f>INDEX(#REF!,MATCH(Composições!A6748,#REF!,0),2)</f>
        <v>#REF!</v>
      </c>
      <c r="C6748" s="41"/>
      <c r="D6748" s="26" t="s">
        <v>93</v>
      </c>
      <c r="E6748" s="27"/>
      <c r="F6748" s="42" t="s">
        <v>522</v>
      </c>
      <c r="G6748" s="28" t="str">
        <f t="shared" si="148"/>
        <v/>
      </c>
      <c r="H6748" s="29"/>
      <c r="I6748" s="30"/>
      <c r="J6748" s="102">
        <v>0</v>
      </c>
    </row>
    <row r="6749" spans="1:10" hidden="1" x14ac:dyDescent="0.25">
      <c r="A6749" s="219"/>
      <c r="B6749" s="222"/>
      <c r="C6749" s="32"/>
      <c r="D6749" s="32"/>
      <c r="E6749" s="33"/>
      <c r="F6749" s="43" t="s">
        <v>522</v>
      </c>
      <c r="G6749" s="31" t="str">
        <f t="shared" si="148"/>
        <v/>
      </c>
      <c r="H6749" s="35"/>
      <c r="I6749" s="31"/>
      <c r="J6749" s="102">
        <v>0</v>
      </c>
    </row>
    <row r="6750" spans="1:10" hidden="1" x14ac:dyDescent="0.25">
      <c r="A6750" s="219"/>
      <c r="B6750" s="222"/>
      <c r="C6750" s="118" t="s">
        <v>3322</v>
      </c>
      <c r="D6750" s="47" t="s">
        <v>93</v>
      </c>
      <c r="E6750" s="106">
        <v>1</v>
      </c>
      <c r="F6750" s="31">
        <v>23.312999999999999</v>
      </c>
      <c r="G6750" s="31">
        <f t="shared" si="148"/>
        <v>23.312999999999999</v>
      </c>
      <c r="H6750" s="39">
        <f t="shared" ref="H6750" si="164">SUM(G6750:G6750)</f>
        <v>23.312999999999999</v>
      </c>
      <c r="I6750" s="40"/>
      <c r="J6750" s="102">
        <v>0</v>
      </c>
    </row>
    <row r="6751" spans="1:10" ht="15.75" hidden="1" thickBot="1" x14ac:dyDescent="0.3">
      <c r="A6751" s="220"/>
      <c r="B6751" s="223"/>
      <c r="C6751" s="55"/>
      <c r="D6751" s="55"/>
      <c r="E6751" s="66"/>
      <c r="F6751" s="67" t="s">
        <v>522</v>
      </c>
      <c r="G6751" s="67" t="str">
        <f t="shared" si="148"/>
        <v/>
      </c>
      <c r="H6751" s="69"/>
      <c r="I6751" s="31"/>
      <c r="J6751" s="102">
        <v>0</v>
      </c>
    </row>
    <row r="6752" spans="1:10" ht="15.75" hidden="1" thickBot="1" x14ac:dyDescent="0.3">
      <c r="A6752" s="218" t="s">
        <v>2795</v>
      </c>
      <c r="B6752" s="221" t="e">
        <f>INDEX(#REF!,MATCH(Composições!A6752,#REF!,0),2)</f>
        <v>#REF!</v>
      </c>
      <c r="C6752" s="41"/>
      <c r="D6752" s="26" t="s">
        <v>93</v>
      </c>
      <c r="E6752" s="27"/>
      <c r="F6752" s="42" t="s">
        <v>522</v>
      </c>
      <c r="G6752" s="28" t="str">
        <f t="shared" si="148"/>
        <v/>
      </c>
      <c r="H6752" s="29"/>
      <c r="I6752" s="30"/>
      <c r="J6752" s="102">
        <v>0</v>
      </c>
    </row>
    <row r="6753" spans="1:10" hidden="1" x14ac:dyDescent="0.25">
      <c r="A6753" s="219"/>
      <c r="B6753" s="222"/>
      <c r="C6753" s="32"/>
      <c r="D6753" s="32"/>
      <c r="E6753" s="33"/>
      <c r="F6753" s="43" t="s">
        <v>522</v>
      </c>
      <c r="G6753" s="31" t="str">
        <f t="shared" si="148"/>
        <v/>
      </c>
      <c r="H6753" s="35"/>
      <c r="I6753" s="31"/>
      <c r="J6753" s="102">
        <v>0</v>
      </c>
    </row>
    <row r="6754" spans="1:10" hidden="1" x14ac:dyDescent="0.25">
      <c r="A6754" s="219"/>
      <c r="B6754" s="222"/>
      <c r="C6754" s="118" t="s">
        <v>3372</v>
      </c>
      <c r="D6754" s="47" t="s">
        <v>93</v>
      </c>
      <c r="E6754" s="106">
        <v>1</v>
      </c>
      <c r="F6754" s="31">
        <v>86.6875</v>
      </c>
      <c r="G6754" s="31">
        <f t="shared" ref="G6754:G6817" si="165">IF(ISNUMBER(F6754),E6754*F6754,"")</f>
        <v>86.6875</v>
      </c>
      <c r="H6754" s="39">
        <f t="shared" ref="H6754" si="166">SUM(G6754:G6754)</f>
        <v>86.6875</v>
      </c>
      <c r="I6754" s="40"/>
      <c r="J6754" s="102">
        <v>0</v>
      </c>
    </row>
    <row r="6755" spans="1:10" ht="15.75" hidden="1" thickBot="1" x14ac:dyDescent="0.3">
      <c r="A6755" s="220"/>
      <c r="B6755" s="223"/>
      <c r="C6755" s="55"/>
      <c r="D6755" s="55"/>
      <c r="E6755" s="66"/>
      <c r="F6755" s="67" t="s">
        <v>522</v>
      </c>
      <c r="G6755" s="67" t="str">
        <f t="shared" si="165"/>
        <v/>
      </c>
      <c r="H6755" s="69"/>
      <c r="I6755" s="31"/>
      <c r="J6755" s="102">
        <v>0</v>
      </c>
    </row>
    <row r="6756" spans="1:10" ht="15.75" hidden="1" thickBot="1" x14ac:dyDescent="0.3">
      <c r="A6756" s="218" t="s">
        <v>2797</v>
      </c>
      <c r="B6756" s="221" t="e">
        <f>INDEX(#REF!,MATCH(Composições!A6756,#REF!,0),2)</f>
        <v>#REF!</v>
      </c>
      <c r="C6756" s="41"/>
      <c r="D6756" s="26" t="s">
        <v>93</v>
      </c>
      <c r="E6756" s="27"/>
      <c r="F6756" s="42" t="s">
        <v>522</v>
      </c>
      <c r="G6756" s="28" t="str">
        <f t="shared" si="165"/>
        <v/>
      </c>
      <c r="H6756" s="29"/>
      <c r="I6756" s="30"/>
      <c r="J6756" s="102">
        <v>0</v>
      </c>
    </row>
    <row r="6757" spans="1:10" hidden="1" x14ac:dyDescent="0.25">
      <c r="A6757" s="219"/>
      <c r="B6757" s="222"/>
      <c r="C6757" s="32"/>
      <c r="D6757" s="32"/>
      <c r="E6757" s="33"/>
      <c r="F6757" s="43" t="s">
        <v>522</v>
      </c>
      <c r="G6757" s="31" t="str">
        <f t="shared" si="165"/>
        <v/>
      </c>
      <c r="H6757" s="35"/>
      <c r="I6757" s="31"/>
      <c r="J6757" s="102">
        <v>0</v>
      </c>
    </row>
    <row r="6758" spans="1:10" hidden="1" x14ac:dyDescent="0.25">
      <c r="A6758" s="219"/>
      <c r="B6758" s="222"/>
      <c r="C6758" s="118" t="s">
        <v>3373</v>
      </c>
      <c r="D6758" s="47" t="s">
        <v>93</v>
      </c>
      <c r="E6758" s="106">
        <v>1</v>
      </c>
      <c r="F6758" s="31">
        <v>55.650999999999996</v>
      </c>
      <c r="G6758" s="31">
        <f t="shared" si="165"/>
        <v>55.650999999999996</v>
      </c>
      <c r="H6758" s="39">
        <f t="shared" ref="H6758" si="167">SUM(G6758:G6758)</f>
        <v>55.650999999999996</v>
      </c>
      <c r="I6758" s="40"/>
      <c r="J6758" s="102">
        <v>0</v>
      </c>
    </row>
    <row r="6759" spans="1:10" ht="15.75" hidden="1" thickBot="1" x14ac:dyDescent="0.3">
      <c r="A6759" s="220"/>
      <c r="B6759" s="223"/>
      <c r="C6759" s="55"/>
      <c r="D6759" s="55"/>
      <c r="E6759" s="66"/>
      <c r="F6759" s="67" t="s">
        <v>522</v>
      </c>
      <c r="G6759" s="67" t="str">
        <f t="shared" si="165"/>
        <v/>
      </c>
      <c r="H6759" s="69"/>
      <c r="I6759" s="31"/>
      <c r="J6759" s="102">
        <v>0</v>
      </c>
    </row>
    <row r="6760" spans="1:10" ht="15.75" hidden="1" thickBot="1" x14ac:dyDescent="0.3">
      <c r="A6760" s="218" t="s">
        <v>2799</v>
      </c>
      <c r="B6760" s="221" t="e">
        <f>INDEX(#REF!,MATCH(Composições!A6760,#REF!,0),2)</f>
        <v>#REF!</v>
      </c>
      <c r="C6760" s="41"/>
      <c r="D6760" s="26" t="s">
        <v>93</v>
      </c>
      <c r="E6760" s="27"/>
      <c r="F6760" s="42" t="s">
        <v>522</v>
      </c>
      <c r="G6760" s="28" t="str">
        <f t="shared" si="165"/>
        <v/>
      </c>
      <c r="H6760" s="29"/>
      <c r="I6760" s="30"/>
      <c r="J6760" s="102">
        <v>0</v>
      </c>
    </row>
    <row r="6761" spans="1:10" hidden="1" x14ac:dyDescent="0.25">
      <c r="A6761" s="219"/>
      <c r="B6761" s="222"/>
      <c r="C6761" s="32"/>
      <c r="D6761" s="32"/>
      <c r="E6761" s="33"/>
      <c r="F6761" s="43" t="s">
        <v>522</v>
      </c>
      <c r="G6761" s="31" t="str">
        <f t="shared" si="165"/>
        <v/>
      </c>
      <c r="H6761" s="35"/>
      <c r="I6761" s="31"/>
      <c r="J6761" s="102">
        <v>0</v>
      </c>
    </row>
    <row r="6762" spans="1:10" hidden="1" x14ac:dyDescent="0.25">
      <c r="A6762" s="219"/>
      <c r="B6762" s="222"/>
      <c r="C6762" s="118" t="s">
        <v>3323</v>
      </c>
      <c r="D6762" s="47" t="s">
        <v>93</v>
      </c>
      <c r="E6762" s="106">
        <v>1</v>
      </c>
      <c r="F6762" s="31">
        <v>112.1095</v>
      </c>
      <c r="G6762" s="31">
        <f t="shared" si="165"/>
        <v>112.1095</v>
      </c>
      <c r="H6762" s="39">
        <f t="shared" ref="H6762" si="168">SUM(G6762:G6762)</f>
        <v>112.1095</v>
      </c>
      <c r="I6762" s="40"/>
      <c r="J6762" s="102">
        <v>0</v>
      </c>
    </row>
    <row r="6763" spans="1:10" ht="15.75" hidden="1" thickBot="1" x14ac:dyDescent="0.3">
      <c r="A6763" s="220"/>
      <c r="B6763" s="223"/>
      <c r="C6763" s="55"/>
      <c r="D6763" s="55"/>
      <c r="E6763" s="66"/>
      <c r="F6763" s="67" t="s">
        <v>522</v>
      </c>
      <c r="G6763" s="67" t="str">
        <f t="shared" si="165"/>
        <v/>
      </c>
      <c r="H6763" s="69"/>
      <c r="I6763" s="31"/>
      <c r="J6763" s="102">
        <v>0</v>
      </c>
    </row>
    <row r="6764" spans="1:10" ht="15.75" hidden="1" thickBot="1" x14ac:dyDescent="0.3">
      <c r="A6764" s="218" t="s">
        <v>2801</v>
      </c>
      <c r="B6764" s="221" t="e">
        <f>INDEX(#REF!,MATCH(Composições!A6764,#REF!,0),2)</f>
        <v>#REF!</v>
      </c>
      <c r="C6764" s="41"/>
      <c r="D6764" s="26" t="s">
        <v>93</v>
      </c>
      <c r="E6764" s="27"/>
      <c r="F6764" s="42" t="s">
        <v>522</v>
      </c>
      <c r="G6764" s="28" t="str">
        <f t="shared" si="165"/>
        <v/>
      </c>
      <c r="H6764" s="29"/>
      <c r="I6764" s="30"/>
      <c r="J6764" s="102">
        <v>0</v>
      </c>
    </row>
    <row r="6765" spans="1:10" hidden="1" x14ac:dyDescent="0.25">
      <c r="A6765" s="219"/>
      <c r="B6765" s="222"/>
      <c r="C6765" s="32"/>
      <c r="D6765" s="32"/>
      <c r="E6765" s="33"/>
      <c r="F6765" s="43" t="s">
        <v>522</v>
      </c>
      <c r="G6765" s="31" t="str">
        <f t="shared" si="165"/>
        <v/>
      </c>
      <c r="H6765" s="35"/>
      <c r="I6765" s="31"/>
      <c r="J6765" s="102">
        <v>0</v>
      </c>
    </row>
    <row r="6766" spans="1:10" hidden="1" x14ac:dyDescent="0.25">
      <c r="A6766" s="219"/>
      <c r="B6766" s="222"/>
      <c r="C6766" s="118" t="s">
        <v>3376</v>
      </c>
      <c r="D6766" s="47" t="s">
        <v>93</v>
      </c>
      <c r="E6766" s="106">
        <v>1</v>
      </c>
      <c r="F6766" s="31">
        <v>12.007999999999999</v>
      </c>
      <c r="G6766" s="31">
        <f t="shared" si="165"/>
        <v>12.007999999999999</v>
      </c>
      <c r="H6766" s="39">
        <f t="shared" ref="H6766" si="169">SUM(G6766:G6766)</f>
        <v>12.007999999999999</v>
      </c>
      <c r="I6766" s="40"/>
      <c r="J6766" s="102">
        <v>0</v>
      </c>
    </row>
    <row r="6767" spans="1:10" ht="15.75" hidden="1" thickBot="1" x14ac:dyDescent="0.3">
      <c r="A6767" s="220"/>
      <c r="B6767" s="223"/>
      <c r="C6767" s="55"/>
      <c r="D6767" s="55"/>
      <c r="E6767" s="66"/>
      <c r="F6767" s="67" t="s">
        <v>522</v>
      </c>
      <c r="G6767" s="67" t="str">
        <f t="shared" si="165"/>
        <v/>
      </c>
      <c r="H6767" s="69"/>
      <c r="I6767" s="31"/>
      <c r="J6767" s="102">
        <v>0</v>
      </c>
    </row>
    <row r="6768" spans="1:10" ht="15.75" hidden="1" thickBot="1" x14ac:dyDescent="0.3">
      <c r="A6768" s="218" t="s">
        <v>2803</v>
      </c>
      <c r="B6768" s="221" t="e">
        <f>INDEX(#REF!,MATCH(Composições!A6768,#REF!,0),2)</f>
        <v>#REF!</v>
      </c>
      <c r="C6768" s="41"/>
      <c r="D6768" s="26" t="s">
        <v>93</v>
      </c>
      <c r="E6768" s="27"/>
      <c r="F6768" s="42" t="s">
        <v>522</v>
      </c>
      <c r="G6768" s="28" t="str">
        <f t="shared" si="165"/>
        <v/>
      </c>
      <c r="H6768" s="29"/>
      <c r="I6768" s="30"/>
      <c r="J6768" s="102">
        <v>0</v>
      </c>
    </row>
    <row r="6769" spans="1:10" hidden="1" x14ac:dyDescent="0.25">
      <c r="A6769" s="219"/>
      <c r="B6769" s="222"/>
      <c r="C6769" s="32"/>
      <c r="D6769" s="32"/>
      <c r="E6769" s="33"/>
      <c r="F6769" s="43" t="s">
        <v>522</v>
      </c>
      <c r="G6769" s="31" t="str">
        <f t="shared" si="165"/>
        <v/>
      </c>
      <c r="H6769" s="35"/>
      <c r="I6769" s="31"/>
      <c r="J6769" s="102">
        <v>0</v>
      </c>
    </row>
    <row r="6770" spans="1:10" hidden="1" x14ac:dyDescent="0.25">
      <c r="A6770" s="219"/>
      <c r="B6770" s="222"/>
      <c r="C6770" s="118" t="s">
        <v>3377</v>
      </c>
      <c r="D6770" s="47" t="s">
        <v>93</v>
      </c>
      <c r="E6770" s="106">
        <v>1</v>
      </c>
      <c r="F6770" s="31">
        <v>135.34649999999999</v>
      </c>
      <c r="G6770" s="31">
        <f t="shared" si="165"/>
        <v>135.34649999999999</v>
      </c>
      <c r="H6770" s="39">
        <f t="shared" ref="H6770" si="170">SUM(G6770:G6770)</f>
        <v>135.34649999999999</v>
      </c>
      <c r="I6770" s="40"/>
      <c r="J6770" s="102">
        <v>0</v>
      </c>
    </row>
    <row r="6771" spans="1:10" ht="15.75" hidden="1" thickBot="1" x14ac:dyDescent="0.3">
      <c r="A6771" s="220"/>
      <c r="B6771" s="223"/>
      <c r="C6771" s="55"/>
      <c r="D6771" s="55"/>
      <c r="E6771" s="66"/>
      <c r="F6771" s="67" t="s">
        <v>522</v>
      </c>
      <c r="G6771" s="67" t="str">
        <f t="shared" si="165"/>
        <v/>
      </c>
      <c r="H6771" s="69"/>
      <c r="I6771" s="31"/>
      <c r="J6771" s="102">
        <v>0</v>
      </c>
    </row>
    <row r="6772" spans="1:10" ht="15.75" hidden="1" thickBot="1" x14ac:dyDescent="0.3">
      <c r="A6772" s="218" t="s">
        <v>2805</v>
      </c>
      <c r="B6772" s="221" t="e">
        <f>INDEX(#REF!,MATCH(Composições!A6772,#REF!,0),2)</f>
        <v>#REF!</v>
      </c>
      <c r="C6772" s="41"/>
      <c r="D6772" s="26" t="s">
        <v>93</v>
      </c>
      <c r="E6772" s="27"/>
      <c r="F6772" s="42" t="s">
        <v>522</v>
      </c>
      <c r="G6772" s="28" t="str">
        <f t="shared" si="165"/>
        <v/>
      </c>
      <c r="H6772" s="29"/>
      <c r="I6772" s="30"/>
      <c r="J6772" s="102">
        <v>0</v>
      </c>
    </row>
    <row r="6773" spans="1:10" hidden="1" x14ac:dyDescent="0.25">
      <c r="A6773" s="219"/>
      <c r="B6773" s="222"/>
      <c r="C6773" s="32"/>
      <c r="D6773" s="32"/>
      <c r="E6773" s="33"/>
      <c r="F6773" s="43" t="s">
        <v>522</v>
      </c>
      <c r="G6773" s="31" t="str">
        <f t="shared" si="165"/>
        <v/>
      </c>
      <c r="H6773" s="35"/>
      <c r="I6773" s="31"/>
      <c r="J6773" s="102">
        <v>0</v>
      </c>
    </row>
    <row r="6774" spans="1:10" hidden="1" x14ac:dyDescent="0.25">
      <c r="A6774" s="219"/>
      <c r="B6774" s="222"/>
      <c r="C6774" s="118" t="s">
        <v>3378</v>
      </c>
      <c r="D6774" s="47" t="s">
        <v>93</v>
      </c>
      <c r="E6774" s="106">
        <v>1</v>
      </c>
      <c r="F6774" s="31">
        <v>204.06</v>
      </c>
      <c r="G6774" s="31">
        <f t="shared" si="165"/>
        <v>204.06</v>
      </c>
      <c r="H6774" s="39">
        <f t="shared" ref="H6774" si="171">SUM(G6774:G6774)</f>
        <v>204.06</v>
      </c>
      <c r="I6774" s="40"/>
      <c r="J6774" s="102">
        <v>0</v>
      </c>
    </row>
    <row r="6775" spans="1:10" ht="15.75" hidden="1" thickBot="1" x14ac:dyDescent="0.3">
      <c r="A6775" s="220"/>
      <c r="B6775" s="223"/>
      <c r="C6775" s="55"/>
      <c r="D6775" s="55"/>
      <c r="E6775" s="66"/>
      <c r="F6775" s="67" t="s">
        <v>522</v>
      </c>
      <c r="G6775" s="67" t="str">
        <f t="shared" si="165"/>
        <v/>
      </c>
      <c r="H6775" s="69"/>
      <c r="I6775" s="31"/>
      <c r="J6775" s="102">
        <v>0</v>
      </c>
    </row>
    <row r="6776" spans="1:10" ht="15.75" hidden="1" thickBot="1" x14ac:dyDescent="0.3">
      <c r="A6776" s="218" t="s">
        <v>2807</v>
      </c>
      <c r="B6776" s="221" t="e">
        <f>INDEX(#REF!,MATCH(Composições!A6776,#REF!,0),2)</f>
        <v>#REF!</v>
      </c>
      <c r="C6776" s="41"/>
      <c r="D6776" s="26" t="s">
        <v>93</v>
      </c>
      <c r="E6776" s="27"/>
      <c r="F6776" s="42" t="s">
        <v>522</v>
      </c>
      <c r="G6776" s="28" t="str">
        <f t="shared" si="165"/>
        <v/>
      </c>
      <c r="H6776" s="29"/>
      <c r="I6776" s="30"/>
      <c r="J6776" s="102">
        <v>0</v>
      </c>
    </row>
    <row r="6777" spans="1:10" hidden="1" x14ac:dyDescent="0.25">
      <c r="A6777" s="219"/>
      <c r="B6777" s="222"/>
      <c r="C6777" s="32"/>
      <c r="D6777" s="32"/>
      <c r="E6777" s="33"/>
      <c r="F6777" s="43" t="s">
        <v>522</v>
      </c>
      <c r="G6777" s="31" t="str">
        <f t="shared" si="165"/>
        <v/>
      </c>
      <c r="H6777" s="35"/>
      <c r="I6777" s="31"/>
      <c r="J6777" s="102">
        <v>0</v>
      </c>
    </row>
    <row r="6778" spans="1:10" hidden="1" x14ac:dyDescent="0.25">
      <c r="A6778" s="219"/>
      <c r="B6778" s="222"/>
      <c r="C6778" s="118" t="s">
        <v>3325</v>
      </c>
      <c r="D6778" s="47" t="s">
        <v>93</v>
      </c>
      <c r="E6778" s="106">
        <v>1</v>
      </c>
      <c r="F6778" s="31">
        <v>3.4769999999999999</v>
      </c>
      <c r="G6778" s="31">
        <f t="shared" si="165"/>
        <v>3.4769999999999999</v>
      </c>
      <c r="H6778" s="39">
        <f t="shared" ref="H6778" si="172">SUM(G6778:G6778)</f>
        <v>3.4769999999999999</v>
      </c>
      <c r="I6778" s="40"/>
      <c r="J6778" s="102">
        <v>0</v>
      </c>
    </row>
    <row r="6779" spans="1:10" ht="15.75" hidden="1" thickBot="1" x14ac:dyDescent="0.3">
      <c r="A6779" s="220"/>
      <c r="B6779" s="223"/>
      <c r="C6779" s="55"/>
      <c r="D6779" s="55"/>
      <c r="E6779" s="66"/>
      <c r="F6779" s="67" t="s">
        <v>522</v>
      </c>
      <c r="G6779" s="67" t="str">
        <f t="shared" si="165"/>
        <v/>
      </c>
      <c r="H6779" s="69"/>
      <c r="I6779" s="31"/>
      <c r="J6779" s="102">
        <v>0</v>
      </c>
    </row>
    <row r="6780" spans="1:10" ht="15.75" hidden="1" thickBot="1" x14ac:dyDescent="0.3">
      <c r="A6780" s="218" t="s">
        <v>2809</v>
      </c>
      <c r="B6780" s="221" t="e">
        <f>INDEX(#REF!,MATCH(Composições!A6780,#REF!,0),2)</f>
        <v>#REF!</v>
      </c>
      <c r="C6780" s="41"/>
      <c r="D6780" s="26" t="s">
        <v>93</v>
      </c>
      <c r="E6780" s="27"/>
      <c r="F6780" s="42" t="s">
        <v>522</v>
      </c>
      <c r="G6780" s="28" t="str">
        <f t="shared" si="165"/>
        <v/>
      </c>
      <c r="H6780" s="29"/>
      <c r="I6780" s="30"/>
      <c r="J6780" s="102">
        <v>0</v>
      </c>
    </row>
    <row r="6781" spans="1:10" hidden="1" x14ac:dyDescent="0.25">
      <c r="A6781" s="219"/>
      <c r="B6781" s="222"/>
      <c r="C6781" s="32"/>
      <c r="D6781" s="32"/>
      <c r="E6781" s="33"/>
      <c r="F6781" s="43" t="s">
        <v>522</v>
      </c>
      <c r="G6781" s="31" t="str">
        <f t="shared" si="165"/>
        <v/>
      </c>
      <c r="H6781" s="35"/>
      <c r="I6781" s="31"/>
      <c r="J6781" s="102">
        <v>0</v>
      </c>
    </row>
    <row r="6782" spans="1:10" hidden="1" x14ac:dyDescent="0.25">
      <c r="A6782" s="219"/>
      <c r="B6782" s="222"/>
      <c r="C6782" s="118" t="s">
        <v>3326</v>
      </c>
      <c r="D6782" s="47" t="s">
        <v>93</v>
      </c>
      <c r="E6782" s="106">
        <v>1</v>
      </c>
      <c r="F6782" s="31">
        <v>4.4554999999999998</v>
      </c>
      <c r="G6782" s="31">
        <f t="shared" si="165"/>
        <v>4.4554999999999998</v>
      </c>
      <c r="H6782" s="39">
        <f t="shared" ref="H6782" si="173">SUM(G6782:G6782)</f>
        <v>4.4554999999999998</v>
      </c>
      <c r="I6782" s="40"/>
      <c r="J6782" s="102">
        <v>0</v>
      </c>
    </row>
    <row r="6783" spans="1:10" ht="15.75" hidden="1" thickBot="1" x14ac:dyDescent="0.3">
      <c r="A6783" s="220"/>
      <c r="B6783" s="223"/>
      <c r="C6783" s="55"/>
      <c r="D6783" s="55"/>
      <c r="E6783" s="66"/>
      <c r="F6783" s="67" t="s">
        <v>522</v>
      </c>
      <c r="G6783" s="67" t="str">
        <f t="shared" si="165"/>
        <v/>
      </c>
      <c r="H6783" s="69"/>
      <c r="I6783" s="31"/>
      <c r="J6783" s="102">
        <v>0</v>
      </c>
    </row>
    <row r="6784" spans="1:10" ht="15.75" hidden="1" thickBot="1" x14ac:dyDescent="0.3">
      <c r="A6784" s="218" t="s">
        <v>2810</v>
      </c>
      <c r="B6784" s="221" t="e">
        <f>INDEX(#REF!,MATCH(Composições!A6784,#REF!,0),2)</f>
        <v>#REF!</v>
      </c>
      <c r="C6784" s="41"/>
      <c r="D6784" s="26" t="s">
        <v>93</v>
      </c>
      <c r="E6784" s="27"/>
      <c r="F6784" s="42" t="s">
        <v>522</v>
      </c>
      <c r="G6784" s="28" t="str">
        <f t="shared" si="165"/>
        <v/>
      </c>
      <c r="H6784" s="29"/>
      <c r="I6784" s="30"/>
      <c r="J6784" s="102">
        <v>0</v>
      </c>
    </row>
    <row r="6785" spans="1:10" hidden="1" x14ac:dyDescent="0.25">
      <c r="A6785" s="219"/>
      <c r="B6785" s="222"/>
      <c r="C6785" s="32"/>
      <c r="D6785" s="32"/>
      <c r="E6785" s="33"/>
      <c r="F6785" s="43" t="s">
        <v>522</v>
      </c>
      <c r="G6785" s="31" t="str">
        <f t="shared" si="165"/>
        <v/>
      </c>
      <c r="H6785" s="35"/>
      <c r="I6785" s="31"/>
      <c r="J6785" s="102">
        <v>0</v>
      </c>
    </row>
    <row r="6786" spans="1:10" hidden="1" x14ac:dyDescent="0.25">
      <c r="A6786" s="219"/>
      <c r="B6786" s="222"/>
      <c r="C6786" s="118" t="s">
        <v>3327</v>
      </c>
      <c r="D6786" s="47" t="s">
        <v>93</v>
      </c>
      <c r="E6786" s="106">
        <v>1</v>
      </c>
      <c r="F6786" s="31">
        <v>10.003499999999999</v>
      </c>
      <c r="G6786" s="31">
        <f t="shared" si="165"/>
        <v>10.003499999999999</v>
      </c>
      <c r="H6786" s="39">
        <f t="shared" ref="H6786" si="174">SUM(G6786:G6786)</f>
        <v>10.003499999999999</v>
      </c>
      <c r="I6786" s="40"/>
      <c r="J6786" s="102">
        <v>0</v>
      </c>
    </row>
    <row r="6787" spans="1:10" ht="15.75" hidden="1" thickBot="1" x14ac:dyDescent="0.3">
      <c r="A6787" s="220"/>
      <c r="B6787" s="223"/>
      <c r="C6787" s="55"/>
      <c r="D6787" s="55"/>
      <c r="E6787" s="66"/>
      <c r="F6787" s="67" t="s">
        <v>522</v>
      </c>
      <c r="G6787" s="67" t="str">
        <f t="shared" si="165"/>
        <v/>
      </c>
      <c r="H6787" s="69"/>
      <c r="I6787" s="31"/>
      <c r="J6787" s="102">
        <v>0</v>
      </c>
    </row>
    <row r="6788" spans="1:10" ht="15.75" hidden="1" thickBot="1" x14ac:dyDescent="0.3">
      <c r="A6788" s="218" t="s">
        <v>2811</v>
      </c>
      <c r="B6788" s="221" t="e">
        <f>INDEX(#REF!,MATCH(Composições!A6788,#REF!,0),2)</f>
        <v>#REF!</v>
      </c>
      <c r="C6788" s="41"/>
      <c r="D6788" s="26" t="s">
        <v>93</v>
      </c>
      <c r="E6788" s="27"/>
      <c r="F6788" s="42" t="s">
        <v>522</v>
      </c>
      <c r="G6788" s="28" t="str">
        <f t="shared" si="165"/>
        <v/>
      </c>
      <c r="H6788" s="29"/>
      <c r="I6788" s="30"/>
      <c r="J6788" s="102">
        <v>0</v>
      </c>
    </row>
    <row r="6789" spans="1:10" hidden="1" x14ac:dyDescent="0.25">
      <c r="A6789" s="219"/>
      <c r="B6789" s="222"/>
      <c r="C6789" s="32"/>
      <c r="D6789" s="32"/>
      <c r="E6789" s="33"/>
      <c r="F6789" s="43" t="s">
        <v>522</v>
      </c>
      <c r="G6789" s="31" t="str">
        <f t="shared" si="165"/>
        <v/>
      </c>
      <c r="H6789" s="35"/>
      <c r="I6789" s="31"/>
      <c r="J6789" s="102">
        <v>0</v>
      </c>
    </row>
    <row r="6790" spans="1:10" hidden="1" x14ac:dyDescent="0.25">
      <c r="A6790" s="219"/>
      <c r="B6790" s="222"/>
      <c r="C6790" s="118" t="s">
        <v>3328</v>
      </c>
      <c r="D6790" s="47" t="s">
        <v>93</v>
      </c>
      <c r="E6790" s="106">
        <v>1</v>
      </c>
      <c r="F6790" s="31">
        <v>14.563499999999999</v>
      </c>
      <c r="G6790" s="31">
        <f t="shared" si="165"/>
        <v>14.563499999999999</v>
      </c>
      <c r="H6790" s="39">
        <f t="shared" ref="H6790" si="175">SUM(G6790:G6790)</f>
        <v>14.563499999999999</v>
      </c>
      <c r="I6790" s="40"/>
      <c r="J6790" s="102">
        <v>0</v>
      </c>
    </row>
    <row r="6791" spans="1:10" ht="15.75" hidden="1" thickBot="1" x14ac:dyDescent="0.3">
      <c r="A6791" s="220"/>
      <c r="B6791" s="223"/>
      <c r="C6791" s="55"/>
      <c r="D6791" s="55"/>
      <c r="E6791" s="66"/>
      <c r="F6791" s="67" t="s">
        <v>522</v>
      </c>
      <c r="G6791" s="67" t="str">
        <f t="shared" si="165"/>
        <v/>
      </c>
      <c r="H6791" s="69"/>
      <c r="I6791" s="31"/>
      <c r="J6791" s="102">
        <v>0</v>
      </c>
    </row>
    <row r="6792" spans="1:10" ht="15.75" hidden="1" thickBot="1" x14ac:dyDescent="0.3">
      <c r="A6792" s="218" t="s">
        <v>2812</v>
      </c>
      <c r="B6792" s="221" t="e">
        <f>INDEX(#REF!,MATCH(Composições!A6792,#REF!,0),2)</f>
        <v>#REF!</v>
      </c>
      <c r="C6792" s="41"/>
      <c r="D6792" s="26" t="s">
        <v>93</v>
      </c>
      <c r="E6792" s="27"/>
      <c r="F6792" s="42" t="s">
        <v>522</v>
      </c>
      <c r="G6792" s="28" t="str">
        <f t="shared" si="165"/>
        <v/>
      </c>
      <c r="H6792" s="29"/>
      <c r="I6792" s="30"/>
      <c r="J6792" s="102">
        <v>0</v>
      </c>
    </row>
    <row r="6793" spans="1:10" hidden="1" x14ac:dyDescent="0.25">
      <c r="A6793" s="219"/>
      <c r="B6793" s="222"/>
      <c r="C6793" s="32"/>
      <c r="D6793" s="32"/>
      <c r="E6793" s="33"/>
      <c r="F6793" s="43" t="s">
        <v>522</v>
      </c>
      <c r="G6793" s="31" t="str">
        <f t="shared" si="165"/>
        <v/>
      </c>
      <c r="H6793" s="35"/>
      <c r="I6793" s="31"/>
      <c r="J6793" s="102">
        <v>0</v>
      </c>
    </row>
    <row r="6794" spans="1:10" hidden="1" x14ac:dyDescent="0.25">
      <c r="A6794" s="219"/>
      <c r="B6794" s="222"/>
      <c r="C6794" s="118" t="s">
        <v>315</v>
      </c>
      <c r="D6794" s="47" t="s">
        <v>93</v>
      </c>
      <c r="E6794" s="106">
        <v>1</v>
      </c>
      <c r="F6794" s="31">
        <v>16.681999999999999</v>
      </c>
      <c r="G6794" s="31">
        <f t="shared" si="165"/>
        <v>16.681999999999999</v>
      </c>
      <c r="H6794" s="39">
        <f t="shared" ref="H6794" si="176">SUM(G6794:G6794)</f>
        <v>16.681999999999999</v>
      </c>
      <c r="I6794" s="40"/>
      <c r="J6794" s="102">
        <v>0</v>
      </c>
    </row>
    <row r="6795" spans="1:10" ht="15.75" hidden="1" thickBot="1" x14ac:dyDescent="0.3">
      <c r="A6795" s="220"/>
      <c r="B6795" s="223"/>
      <c r="C6795" s="55"/>
      <c r="D6795" s="55"/>
      <c r="E6795" s="66"/>
      <c r="F6795" s="67" t="s">
        <v>522</v>
      </c>
      <c r="G6795" s="67" t="str">
        <f t="shared" si="165"/>
        <v/>
      </c>
      <c r="H6795" s="69"/>
      <c r="I6795" s="31"/>
      <c r="J6795" s="102">
        <v>0</v>
      </c>
    </row>
    <row r="6796" spans="1:10" ht="15.75" hidden="1" thickBot="1" x14ac:dyDescent="0.3">
      <c r="A6796" s="218" t="s">
        <v>2813</v>
      </c>
      <c r="B6796" s="221" t="e">
        <f>INDEX(#REF!,MATCH(Composições!A6796,#REF!,0),2)</f>
        <v>#REF!</v>
      </c>
      <c r="C6796" s="41"/>
      <c r="D6796" s="26" t="s">
        <v>93</v>
      </c>
      <c r="E6796" s="27"/>
      <c r="F6796" s="42" t="s">
        <v>522</v>
      </c>
      <c r="G6796" s="28" t="str">
        <f t="shared" si="165"/>
        <v/>
      </c>
      <c r="H6796" s="29"/>
      <c r="I6796" s="30"/>
      <c r="J6796" s="102">
        <v>0</v>
      </c>
    </row>
    <row r="6797" spans="1:10" hidden="1" x14ac:dyDescent="0.25">
      <c r="A6797" s="219"/>
      <c r="B6797" s="222"/>
      <c r="C6797" s="32"/>
      <c r="D6797" s="32"/>
      <c r="E6797" s="33"/>
      <c r="F6797" s="43" t="s">
        <v>522</v>
      </c>
      <c r="G6797" s="31" t="str">
        <f t="shared" si="165"/>
        <v/>
      </c>
      <c r="H6797" s="35"/>
      <c r="I6797" s="31"/>
      <c r="J6797" s="102">
        <v>0</v>
      </c>
    </row>
    <row r="6798" spans="1:10" hidden="1" x14ac:dyDescent="0.25">
      <c r="A6798" s="219"/>
      <c r="B6798" s="222"/>
      <c r="C6798" s="118" t="s">
        <v>3329</v>
      </c>
      <c r="D6798" s="47" t="s">
        <v>93</v>
      </c>
      <c r="E6798" s="106">
        <v>1</v>
      </c>
      <c r="F6798" s="31">
        <v>28.148499999999999</v>
      </c>
      <c r="G6798" s="31">
        <f t="shared" si="165"/>
        <v>28.148499999999999</v>
      </c>
      <c r="H6798" s="39">
        <f t="shared" ref="H6798" si="177">SUM(G6798:G6798)</f>
        <v>28.148499999999999</v>
      </c>
      <c r="I6798" s="40"/>
      <c r="J6798" s="102">
        <v>0</v>
      </c>
    </row>
    <row r="6799" spans="1:10" ht="15.75" hidden="1" thickBot="1" x14ac:dyDescent="0.3">
      <c r="A6799" s="220"/>
      <c r="B6799" s="223"/>
      <c r="C6799" s="55"/>
      <c r="D6799" s="55"/>
      <c r="E6799" s="66"/>
      <c r="F6799" s="67" t="s">
        <v>522</v>
      </c>
      <c r="G6799" s="67" t="str">
        <f t="shared" si="165"/>
        <v/>
      </c>
      <c r="H6799" s="69"/>
      <c r="I6799" s="31"/>
      <c r="J6799" s="102">
        <v>0</v>
      </c>
    </row>
    <row r="6800" spans="1:10" ht="15.75" hidden="1" thickBot="1" x14ac:dyDescent="0.3">
      <c r="A6800" s="218" t="s">
        <v>2815</v>
      </c>
      <c r="B6800" s="221" t="e">
        <f>INDEX(#REF!,MATCH(Composições!A6800,#REF!,0),2)</f>
        <v>#REF!</v>
      </c>
      <c r="C6800" s="41"/>
      <c r="D6800" s="26" t="s">
        <v>93</v>
      </c>
      <c r="E6800" s="27"/>
      <c r="F6800" s="42" t="s">
        <v>522</v>
      </c>
      <c r="G6800" s="28" t="str">
        <f t="shared" si="165"/>
        <v/>
      </c>
      <c r="H6800" s="29"/>
      <c r="I6800" s="30"/>
      <c r="J6800" s="102">
        <v>0</v>
      </c>
    </row>
    <row r="6801" spans="1:10" hidden="1" x14ac:dyDescent="0.25">
      <c r="A6801" s="219"/>
      <c r="B6801" s="222"/>
      <c r="C6801" s="32"/>
      <c r="D6801" s="32"/>
      <c r="E6801" s="33"/>
      <c r="F6801" s="43" t="s">
        <v>522</v>
      </c>
      <c r="G6801" s="31" t="str">
        <f t="shared" si="165"/>
        <v/>
      </c>
      <c r="H6801" s="35"/>
      <c r="I6801" s="31"/>
      <c r="J6801" s="102">
        <v>0</v>
      </c>
    </row>
    <row r="6802" spans="1:10" hidden="1" x14ac:dyDescent="0.25">
      <c r="A6802" s="219"/>
      <c r="B6802" s="222"/>
      <c r="C6802" s="118" t="s">
        <v>3330</v>
      </c>
      <c r="D6802" s="47" t="s">
        <v>93</v>
      </c>
      <c r="E6802" s="106">
        <v>1</v>
      </c>
      <c r="F6802" s="31">
        <v>47.158000000000001</v>
      </c>
      <c r="G6802" s="31">
        <f t="shared" si="165"/>
        <v>47.158000000000001</v>
      </c>
      <c r="H6802" s="39">
        <f t="shared" ref="H6802" si="178">SUM(G6802:G6802)</f>
        <v>47.158000000000001</v>
      </c>
      <c r="I6802" s="40"/>
      <c r="J6802" s="102">
        <v>0</v>
      </c>
    </row>
    <row r="6803" spans="1:10" ht="15.75" hidden="1" thickBot="1" x14ac:dyDescent="0.3">
      <c r="A6803" s="220"/>
      <c r="B6803" s="223"/>
      <c r="C6803" s="55"/>
      <c r="D6803" s="55"/>
      <c r="E6803" s="66"/>
      <c r="F6803" s="67" t="s">
        <v>522</v>
      </c>
      <c r="G6803" s="67" t="str">
        <f t="shared" si="165"/>
        <v/>
      </c>
      <c r="H6803" s="69"/>
      <c r="I6803" s="31"/>
      <c r="J6803" s="102">
        <v>0</v>
      </c>
    </row>
    <row r="6804" spans="1:10" ht="15.75" hidden="1" thickBot="1" x14ac:dyDescent="0.3">
      <c r="A6804" s="218" t="s">
        <v>2817</v>
      </c>
      <c r="B6804" s="221" t="e">
        <f>INDEX(#REF!,MATCH(Composições!A6804,#REF!,0),2)</f>
        <v>#REF!</v>
      </c>
      <c r="C6804" s="41"/>
      <c r="D6804" s="26" t="s">
        <v>93</v>
      </c>
      <c r="E6804" s="27"/>
      <c r="F6804" s="42" t="s">
        <v>522</v>
      </c>
      <c r="G6804" s="28" t="str">
        <f t="shared" si="165"/>
        <v/>
      </c>
      <c r="H6804" s="29"/>
      <c r="I6804" s="30"/>
      <c r="J6804" s="102">
        <v>0</v>
      </c>
    </row>
    <row r="6805" spans="1:10" hidden="1" x14ac:dyDescent="0.25">
      <c r="A6805" s="219"/>
      <c r="B6805" s="222"/>
      <c r="C6805" s="32"/>
      <c r="D6805" s="32"/>
      <c r="E6805" s="33"/>
      <c r="F6805" s="43" t="s">
        <v>522</v>
      </c>
      <c r="G6805" s="31" t="str">
        <f t="shared" si="165"/>
        <v/>
      </c>
      <c r="H6805" s="35"/>
      <c r="I6805" s="31"/>
      <c r="J6805" s="102">
        <v>0</v>
      </c>
    </row>
    <row r="6806" spans="1:10" hidden="1" x14ac:dyDescent="0.25">
      <c r="A6806" s="219"/>
      <c r="B6806" s="222"/>
      <c r="C6806" s="118" t="s">
        <v>3331</v>
      </c>
      <c r="D6806" s="47" t="s">
        <v>93</v>
      </c>
      <c r="E6806" s="106">
        <v>1</v>
      </c>
      <c r="F6806" s="31">
        <v>58.918999999999997</v>
      </c>
      <c r="G6806" s="31">
        <f t="shared" si="165"/>
        <v>58.918999999999997</v>
      </c>
      <c r="H6806" s="39">
        <f t="shared" ref="H6806" si="179">SUM(G6806:G6806)</f>
        <v>58.918999999999997</v>
      </c>
      <c r="I6806" s="40"/>
      <c r="J6806" s="102">
        <v>0</v>
      </c>
    </row>
    <row r="6807" spans="1:10" ht="15.75" hidden="1" thickBot="1" x14ac:dyDescent="0.3">
      <c r="A6807" s="220"/>
      <c r="B6807" s="223"/>
      <c r="C6807" s="55"/>
      <c r="D6807" s="55"/>
      <c r="E6807" s="66"/>
      <c r="F6807" s="67" t="s">
        <v>522</v>
      </c>
      <c r="G6807" s="67" t="str">
        <f t="shared" si="165"/>
        <v/>
      </c>
      <c r="H6807" s="69"/>
      <c r="I6807" s="31"/>
      <c r="J6807" s="102">
        <v>0</v>
      </c>
    </row>
    <row r="6808" spans="1:10" ht="15.75" hidden="1" thickBot="1" x14ac:dyDescent="0.3">
      <c r="A6808" s="218" t="s">
        <v>2819</v>
      </c>
      <c r="B6808" s="221" t="e">
        <f>INDEX(#REF!,MATCH(Composições!A6808,#REF!,0),2)</f>
        <v>#REF!</v>
      </c>
      <c r="C6808" s="41"/>
      <c r="D6808" s="26" t="s">
        <v>93</v>
      </c>
      <c r="E6808" s="27"/>
      <c r="F6808" s="42" t="s">
        <v>522</v>
      </c>
      <c r="G6808" s="28" t="str">
        <f t="shared" si="165"/>
        <v/>
      </c>
      <c r="H6808" s="29"/>
      <c r="I6808" s="30"/>
      <c r="J6808" s="102">
        <v>0</v>
      </c>
    </row>
    <row r="6809" spans="1:10" hidden="1" x14ac:dyDescent="0.25">
      <c r="A6809" s="219"/>
      <c r="B6809" s="222"/>
      <c r="C6809" s="32"/>
      <c r="D6809" s="32"/>
      <c r="E6809" s="33"/>
      <c r="F6809" s="43" t="s">
        <v>522</v>
      </c>
      <c r="G6809" s="31" t="str">
        <f t="shared" si="165"/>
        <v/>
      </c>
      <c r="H6809" s="35"/>
      <c r="I6809" s="31"/>
      <c r="J6809" s="102">
        <v>0</v>
      </c>
    </row>
    <row r="6810" spans="1:10" hidden="1" x14ac:dyDescent="0.25">
      <c r="A6810" s="219"/>
      <c r="B6810" s="222"/>
      <c r="C6810" s="118" t="s">
        <v>3324</v>
      </c>
      <c r="D6810" s="47" t="s">
        <v>93</v>
      </c>
      <c r="E6810" s="106">
        <v>1</v>
      </c>
      <c r="F6810" s="31">
        <v>94.524999999999991</v>
      </c>
      <c r="G6810" s="31">
        <f t="shared" si="165"/>
        <v>94.524999999999991</v>
      </c>
      <c r="H6810" s="39">
        <f t="shared" ref="H6810" si="180">SUM(G6810:G6810)</f>
        <v>94.524999999999991</v>
      </c>
      <c r="I6810" s="40"/>
      <c r="J6810" s="102">
        <v>0</v>
      </c>
    </row>
    <row r="6811" spans="1:10" ht="15.75" hidden="1" thickBot="1" x14ac:dyDescent="0.3">
      <c r="A6811" s="220"/>
      <c r="B6811" s="223"/>
      <c r="C6811" s="55"/>
      <c r="D6811" s="55"/>
      <c r="E6811" s="66"/>
      <c r="F6811" s="67" t="s">
        <v>522</v>
      </c>
      <c r="G6811" s="67" t="str">
        <f t="shared" si="165"/>
        <v/>
      </c>
      <c r="H6811" s="69"/>
      <c r="I6811" s="31"/>
      <c r="J6811" s="102">
        <v>0</v>
      </c>
    </row>
    <row r="6812" spans="1:10" ht="15.75" hidden="1" thickBot="1" x14ac:dyDescent="0.3">
      <c r="A6812" s="218" t="s">
        <v>2837</v>
      </c>
      <c r="B6812" s="221" t="e">
        <f>INDEX(#REF!,MATCH(Composições!A6812,#REF!,0),2)</f>
        <v>#REF!</v>
      </c>
      <c r="C6812" s="41"/>
      <c r="D6812" s="26" t="s">
        <v>20</v>
      </c>
      <c r="E6812" s="27"/>
      <c r="F6812" s="42" t="s">
        <v>522</v>
      </c>
      <c r="G6812" s="28" t="str">
        <f t="shared" si="165"/>
        <v/>
      </c>
      <c r="H6812" s="29"/>
      <c r="I6812" s="30"/>
      <c r="J6812" s="102">
        <v>0</v>
      </c>
    </row>
    <row r="6813" spans="1:10" hidden="1" x14ac:dyDescent="0.25">
      <c r="A6813" s="219"/>
      <c r="B6813" s="222"/>
      <c r="C6813" s="32"/>
      <c r="D6813" s="32"/>
      <c r="E6813" s="33"/>
      <c r="F6813" s="43" t="s">
        <v>522</v>
      </c>
      <c r="G6813" s="31" t="str">
        <f t="shared" si="165"/>
        <v/>
      </c>
      <c r="H6813" s="35"/>
      <c r="I6813" s="31"/>
      <c r="J6813" s="102">
        <v>0</v>
      </c>
    </row>
    <row r="6814" spans="1:10" hidden="1" x14ac:dyDescent="0.25">
      <c r="A6814" s="219"/>
      <c r="B6814" s="222"/>
      <c r="C6814" s="118" t="s">
        <v>3351</v>
      </c>
      <c r="D6814" s="47" t="s">
        <v>20</v>
      </c>
      <c r="E6814" s="106">
        <v>1</v>
      </c>
      <c r="F6814" s="31">
        <v>38.864499999999992</v>
      </c>
      <c r="G6814" s="31">
        <f t="shared" si="165"/>
        <v>38.864499999999992</v>
      </c>
      <c r="H6814" s="39">
        <f t="shared" ref="H6814" si="181">SUM(G6814:G6814)</f>
        <v>38.864499999999992</v>
      </c>
      <c r="I6814" s="40"/>
      <c r="J6814" s="102">
        <v>0</v>
      </c>
    </row>
    <row r="6815" spans="1:10" ht="15.75" hidden="1" thickBot="1" x14ac:dyDescent="0.3">
      <c r="A6815" s="220"/>
      <c r="B6815" s="223"/>
      <c r="C6815" s="55"/>
      <c r="D6815" s="55"/>
      <c r="E6815" s="66"/>
      <c r="F6815" s="67" t="s">
        <v>522</v>
      </c>
      <c r="G6815" s="67" t="str">
        <f t="shared" si="165"/>
        <v/>
      </c>
      <c r="H6815" s="69"/>
      <c r="I6815" s="31"/>
      <c r="J6815" s="102">
        <v>0</v>
      </c>
    </row>
    <row r="6816" spans="1:10" ht="15.75" hidden="1" thickBot="1" x14ac:dyDescent="0.3">
      <c r="A6816" s="218" t="s">
        <v>2839</v>
      </c>
      <c r="B6816" s="221" t="e">
        <f>INDEX(#REF!,MATCH(Composições!A6816,#REF!,0),2)</f>
        <v>#REF!</v>
      </c>
      <c r="C6816" s="41"/>
      <c r="D6816" s="26" t="s">
        <v>20</v>
      </c>
      <c r="E6816" s="27"/>
      <c r="F6816" s="42" t="s">
        <v>522</v>
      </c>
      <c r="G6816" s="28" t="str">
        <f t="shared" si="165"/>
        <v/>
      </c>
      <c r="H6816" s="29"/>
      <c r="I6816" s="30"/>
      <c r="J6816" s="102">
        <v>0</v>
      </c>
    </row>
    <row r="6817" spans="1:10" hidden="1" x14ac:dyDescent="0.25">
      <c r="A6817" s="219"/>
      <c r="B6817" s="222"/>
      <c r="C6817" s="32"/>
      <c r="D6817" s="32"/>
      <c r="E6817" s="33"/>
      <c r="F6817" s="43" t="s">
        <v>522</v>
      </c>
      <c r="G6817" s="31" t="str">
        <f t="shared" si="165"/>
        <v/>
      </c>
      <c r="H6817" s="35"/>
      <c r="I6817" s="31"/>
      <c r="J6817" s="102">
        <v>0</v>
      </c>
    </row>
    <row r="6818" spans="1:10" hidden="1" x14ac:dyDescent="0.25">
      <c r="A6818" s="219"/>
      <c r="B6818" s="222"/>
      <c r="C6818" s="118" t="s">
        <v>3352</v>
      </c>
      <c r="D6818" s="47" t="s">
        <v>20</v>
      </c>
      <c r="E6818" s="106">
        <v>1</v>
      </c>
      <c r="F6818" s="31">
        <v>53.095500000000001</v>
      </c>
      <c r="G6818" s="31">
        <f t="shared" ref="G6818:G6881" si="182">IF(ISNUMBER(F6818),E6818*F6818,"")</f>
        <v>53.095500000000001</v>
      </c>
      <c r="H6818" s="39">
        <f t="shared" ref="H6818" si="183">SUM(G6818:G6818)</f>
        <v>53.095500000000001</v>
      </c>
      <c r="I6818" s="40"/>
      <c r="J6818" s="102">
        <v>0</v>
      </c>
    </row>
    <row r="6819" spans="1:10" ht="15.75" hidden="1" thickBot="1" x14ac:dyDescent="0.3">
      <c r="A6819" s="220"/>
      <c r="B6819" s="223"/>
      <c r="C6819" s="55"/>
      <c r="D6819" s="55"/>
      <c r="E6819" s="66"/>
      <c r="F6819" s="67" t="s">
        <v>522</v>
      </c>
      <c r="G6819" s="67" t="str">
        <f t="shared" si="182"/>
        <v/>
      </c>
      <c r="H6819" s="69"/>
      <c r="I6819" s="31"/>
      <c r="J6819" s="102">
        <v>0</v>
      </c>
    </row>
    <row r="6820" spans="1:10" ht="15.75" hidden="1" thickBot="1" x14ac:dyDescent="0.3">
      <c r="A6820" s="218" t="s">
        <v>2842</v>
      </c>
      <c r="B6820" s="221" t="e">
        <f>INDEX(#REF!,MATCH(Composições!A6820,#REF!,0),2)</f>
        <v>#REF!</v>
      </c>
      <c r="C6820" s="41"/>
      <c r="D6820" s="26" t="s">
        <v>20</v>
      </c>
      <c r="E6820" s="27"/>
      <c r="F6820" s="42" t="s">
        <v>522</v>
      </c>
      <c r="G6820" s="28" t="str">
        <f t="shared" si="182"/>
        <v/>
      </c>
      <c r="H6820" s="29"/>
      <c r="I6820" s="30"/>
      <c r="J6820" s="102">
        <v>0</v>
      </c>
    </row>
    <row r="6821" spans="1:10" hidden="1" x14ac:dyDescent="0.25">
      <c r="A6821" s="219"/>
      <c r="B6821" s="222"/>
      <c r="C6821" s="32"/>
      <c r="D6821" s="32"/>
      <c r="E6821" s="33"/>
      <c r="F6821" s="43" t="s">
        <v>522</v>
      </c>
      <c r="G6821" s="31" t="str">
        <f t="shared" si="182"/>
        <v/>
      </c>
      <c r="H6821" s="35"/>
      <c r="I6821" s="31"/>
      <c r="J6821" s="102">
        <v>0</v>
      </c>
    </row>
    <row r="6822" spans="1:10" ht="25.5" hidden="1" x14ac:dyDescent="0.25">
      <c r="A6822" s="219"/>
      <c r="B6822" s="222"/>
      <c r="C6822" s="118" t="s">
        <v>3343</v>
      </c>
      <c r="D6822" s="47" t="s">
        <v>20</v>
      </c>
      <c r="E6822" s="106">
        <v>1</v>
      </c>
      <c r="F6822" s="31">
        <v>58.852499999999999</v>
      </c>
      <c r="G6822" s="31">
        <f t="shared" si="182"/>
        <v>58.852499999999999</v>
      </c>
      <c r="H6822" s="39">
        <f t="shared" ref="H6822" si="184">SUM(G6822:G6822)</f>
        <v>58.852499999999999</v>
      </c>
      <c r="I6822" s="40"/>
      <c r="J6822" s="102">
        <v>0</v>
      </c>
    </row>
    <row r="6823" spans="1:10" ht="15.75" hidden="1" thickBot="1" x14ac:dyDescent="0.3">
      <c r="A6823" s="220"/>
      <c r="B6823" s="223"/>
      <c r="C6823" s="55"/>
      <c r="D6823" s="55"/>
      <c r="E6823" s="66"/>
      <c r="F6823" s="67" t="s">
        <v>522</v>
      </c>
      <c r="G6823" s="67" t="str">
        <f t="shared" si="182"/>
        <v/>
      </c>
      <c r="H6823" s="69"/>
      <c r="I6823" s="31"/>
      <c r="J6823" s="102">
        <v>0</v>
      </c>
    </row>
    <row r="6824" spans="1:10" ht="15.75" hidden="1" thickBot="1" x14ac:dyDescent="0.3">
      <c r="A6824" s="218" t="s">
        <v>2844</v>
      </c>
      <c r="B6824" s="221" t="e">
        <f>INDEX(#REF!,MATCH(Composições!A6824,#REF!,0),2)</f>
        <v>#REF!</v>
      </c>
      <c r="C6824" s="41"/>
      <c r="D6824" s="26" t="s">
        <v>20</v>
      </c>
      <c r="E6824" s="27"/>
      <c r="F6824" s="42" t="s">
        <v>522</v>
      </c>
      <c r="G6824" s="28" t="str">
        <f t="shared" si="182"/>
        <v/>
      </c>
      <c r="H6824" s="29"/>
      <c r="I6824" s="30"/>
      <c r="J6824" s="102">
        <v>0</v>
      </c>
    </row>
    <row r="6825" spans="1:10" hidden="1" x14ac:dyDescent="0.25">
      <c r="A6825" s="219"/>
      <c r="B6825" s="222"/>
      <c r="C6825" s="32"/>
      <c r="D6825" s="32"/>
      <c r="E6825" s="33"/>
      <c r="F6825" s="43" t="s">
        <v>522</v>
      </c>
      <c r="G6825" s="31" t="str">
        <f t="shared" si="182"/>
        <v/>
      </c>
      <c r="H6825" s="35"/>
      <c r="I6825" s="31"/>
      <c r="J6825" s="102">
        <v>0</v>
      </c>
    </row>
    <row r="6826" spans="1:10" ht="25.5" hidden="1" x14ac:dyDescent="0.25">
      <c r="A6826" s="219"/>
      <c r="B6826" s="222"/>
      <c r="C6826" s="118" t="s">
        <v>3344</v>
      </c>
      <c r="D6826" s="47" t="s">
        <v>20</v>
      </c>
      <c r="E6826" s="106">
        <v>1</v>
      </c>
      <c r="F6826" s="31">
        <v>151.03099999999998</v>
      </c>
      <c r="G6826" s="31">
        <f t="shared" si="182"/>
        <v>151.03099999999998</v>
      </c>
      <c r="H6826" s="39">
        <f t="shared" ref="H6826" si="185">SUM(G6826:G6826)</f>
        <v>151.03099999999998</v>
      </c>
      <c r="I6826" s="40"/>
      <c r="J6826" s="102">
        <v>0</v>
      </c>
    </row>
    <row r="6827" spans="1:10" ht="15.75" hidden="1" thickBot="1" x14ac:dyDescent="0.3">
      <c r="A6827" s="220"/>
      <c r="B6827" s="223"/>
      <c r="C6827" s="55"/>
      <c r="D6827" s="55"/>
      <c r="E6827" s="66"/>
      <c r="F6827" s="67" t="s">
        <v>522</v>
      </c>
      <c r="G6827" s="67" t="str">
        <f t="shared" si="182"/>
        <v/>
      </c>
      <c r="H6827" s="69"/>
      <c r="I6827" s="31"/>
      <c r="J6827" s="102">
        <v>0</v>
      </c>
    </row>
    <row r="6828" spans="1:10" ht="15.75" hidden="1" thickBot="1" x14ac:dyDescent="0.3">
      <c r="A6828" s="218" t="s">
        <v>2848</v>
      </c>
      <c r="B6828" s="221" t="e">
        <f>INDEX(#REF!,MATCH(Composições!A6828,#REF!,0),2)</f>
        <v>#REF!</v>
      </c>
      <c r="C6828" s="41"/>
      <c r="D6828" s="26" t="s">
        <v>20</v>
      </c>
      <c r="E6828" s="27"/>
      <c r="F6828" s="42" t="s">
        <v>522</v>
      </c>
      <c r="G6828" s="28" t="str">
        <f t="shared" si="182"/>
        <v/>
      </c>
      <c r="H6828" s="29"/>
      <c r="I6828" s="30"/>
      <c r="J6828" s="102">
        <v>0</v>
      </c>
    </row>
    <row r="6829" spans="1:10" hidden="1" x14ac:dyDescent="0.25">
      <c r="A6829" s="219"/>
      <c r="B6829" s="222"/>
      <c r="C6829" s="32"/>
      <c r="D6829" s="32"/>
      <c r="E6829" s="33"/>
      <c r="F6829" s="43" t="s">
        <v>522</v>
      </c>
      <c r="G6829" s="31" t="str">
        <f t="shared" si="182"/>
        <v/>
      </c>
      <c r="H6829" s="35"/>
      <c r="I6829" s="31"/>
      <c r="J6829" s="102">
        <v>0</v>
      </c>
    </row>
    <row r="6830" spans="1:10" ht="25.5" hidden="1" x14ac:dyDescent="0.25">
      <c r="A6830" s="219"/>
      <c r="B6830" s="222"/>
      <c r="C6830" s="118" t="s">
        <v>3346</v>
      </c>
      <c r="D6830" s="47" t="s">
        <v>20</v>
      </c>
      <c r="E6830" s="106">
        <v>1</v>
      </c>
      <c r="F6830" s="31">
        <v>85.072499999999991</v>
      </c>
      <c r="G6830" s="31">
        <f t="shared" si="182"/>
        <v>85.072499999999991</v>
      </c>
      <c r="H6830" s="39">
        <f>SUM(G6830:G6830)</f>
        <v>85.072499999999991</v>
      </c>
      <c r="I6830" s="40"/>
      <c r="J6830" s="102">
        <v>0</v>
      </c>
    </row>
    <row r="6831" spans="1:10" ht="15.75" hidden="1" thickBot="1" x14ac:dyDescent="0.3">
      <c r="A6831" s="220"/>
      <c r="B6831" s="223"/>
      <c r="C6831" s="55"/>
      <c r="D6831" s="55"/>
      <c r="E6831" s="66"/>
      <c r="F6831" s="67" t="s">
        <v>522</v>
      </c>
      <c r="G6831" s="67" t="str">
        <f t="shared" si="182"/>
        <v/>
      </c>
      <c r="H6831" s="69"/>
      <c r="I6831" s="31"/>
      <c r="J6831" s="102">
        <v>0</v>
      </c>
    </row>
    <row r="6832" spans="1:10" ht="15.75" hidden="1" thickBot="1" x14ac:dyDescent="0.3">
      <c r="A6832" s="218" t="s">
        <v>2849</v>
      </c>
      <c r="B6832" s="221" t="e">
        <f>INDEX(#REF!,MATCH(Composições!A6832,#REF!,0),2)</f>
        <v>#REF!</v>
      </c>
      <c r="C6832" s="41"/>
      <c r="D6832" s="26" t="s">
        <v>20</v>
      </c>
      <c r="E6832" s="27"/>
      <c r="F6832" s="42" t="s">
        <v>522</v>
      </c>
      <c r="G6832" s="28" t="str">
        <f t="shared" si="182"/>
        <v/>
      </c>
      <c r="H6832" s="29"/>
      <c r="I6832" s="30"/>
      <c r="J6832" s="102">
        <v>0</v>
      </c>
    </row>
    <row r="6833" spans="1:10" hidden="1" x14ac:dyDescent="0.25">
      <c r="A6833" s="219"/>
      <c r="B6833" s="222"/>
      <c r="C6833" s="32"/>
      <c r="D6833" s="32"/>
      <c r="E6833" s="33"/>
      <c r="F6833" s="43" t="s">
        <v>522</v>
      </c>
      <c r="G6833" s="31" t="str">
        <f t="shared" si="182"/>
        <v/>
      </c>
      <c r="H6833" s="35"/>
      <c r="I6833" s="31"/>
      <c r="J6833" s="102">
        <v>0</v>
      </c>
    </row>
    <row r="6834" spans="1:10" ht="25.5" hidden="1" x14ac:dyDescent="0.25">
      <c r="A6834" s="219"/>
      <c r="B6834" s="222"/>
      <c r="C6834" s="118" t="s">
        <v>3345</v>
      </c>
      <c r="D6834" s="47" t="s">
        <v>20</v>
      </c>
      <c r="E6834" s="106">
        <v>1</v>
      </c>
      <c r="F6834" s="31">
        <v>271.03500000000003</v>
      </c>
      <c r="G6834" s="31">
        <f t="shared" si="182"/>
        <v>271.03500000000003</v>
      </c>
      <c r="H6834" s="39">
        <f>SUM(G6834:G6834)</f>
        <v>271.03500000000003</v>
      </c>
      <c r="I6834" s="40"/>
      <c r="J6834" s="102">
        <v>0</v>
      </c>
    </row>
    <row r="6835" spans="1:10" ht="15.75" hidden="1" thickBot="1" x14ac:dyDescent="0.3">
      <c r="A6835" s="220"/>
      <c r="B6835" s="223"/>
      <c r="C6835" s="55"/>
      <c r="D6835" s="55"/>
      <c r="E6835" s="66"/>
      <c r="F6835" s="67" t="s">
        <v>522</v>
      </c>
      <c r="G6835" s="67" t="str">
        <f t="shared" si="182"/>
        <v/>
      </c>
      <c r="H6835" s="69"/>
      <c r="I6835" s="31"/>
      <c r="J6835" s="102">
        <v>0</v>
      </c>
    </row>
    <row r="6836" spans="1:10" ht="15.75" hidden="1" thickBot="1" x14ac:dyDescent="0.3">
      <c r="A6836" s="218" t="s">
        <v>2850</v>
      </c>
      <c r="B6836" s="221" t="e">
        <f>INDEX(#REF!,MATCH(Composições!A6836,#REF!,0),2)</f>
        <v>#REF!</v>
      </c>
      <c r="C6836" s="41"/>
      <c r="D6836" s="26" t="s">
        <v>20</v>
      </c>
      <c r="E6836" s="27"/>
      <c r="F6836" s="42" t="s">
        <v>522</v>
      </c>
      <c r="G6836" s="28" t="str">
        <f t="shared" si="182"/>
        <v/>
      </c>
      <c r="H6836" s="29"/>
      <c r="I6836" s="30"/>
      <c r="J6836" s="102">
        <v>0</v>
      </c>
    </row>
    <row r="6837" spans="1:10" hidden="1" x14ac:dyDescent="0.25">
      <c r="A6837" s="219"/>
      <c r="B6837" s="222"/>
      <c r="C6837" s="32"/>
      <c r="D6837" s="32"/>
      <c r="E6837" s="33"/>
      <c r="F6837" s="43" t="s">
        <v>522</v>
      </c>
      <c r="G6837" s="31" t="str">
        <f t="shared" si="182"/>
        <v/>
      </c>
      <c r="H6837" s="35"/>
      <c r="I6837" s="31"/>
      <c r="J6837" s="102">
        <v>0</v>
      </c>
    </row>
    <row r="6838" spans="1:10" ht="25.5" hidden="1" x14ac:dyDescent="0.25">
      <c r="A6838" s="219"/>
      <c r="B6838" s="222"/>
      <c r="C6838" s="118" t="s">
        <v>3349</v>
      </c>
      <c r="D6838" s="47" t="s">
        <v>20</v>
      </c>
      <c r="E6838" s="106">
        <v>1</v>
      </c>
      <c r="F6838" s="31">
        <v>328.36749999999995</v>
      </c>
      <c r="G6838" s="31">
        <f t="shared" si="182"/>
        <v>328.36749999999995</v>
      </c>
      <c r="H6838" s="39">
        <f>SUM(G6838:G6838)</f>
        <v>328.36749999999995</v>
      </c>
      <c r="I6838" s="40"/>
      <c r="J6838" s="102">
        <v>0</v>
      </c>
    </row>
    <row r="6839" spans="1:10" ht="15.75" hidden="1" thickBot="1" x14ac:dyDescent="0.3">
      <c r="A6839" s="220"/>
      <c r="B6839" s="223"/>
      <c r="C6839" s="55"/>
      <c r="D6839" s="55"/>
      <c r="E6839" s="66"/>
      <c r="F6839" s="67" t="s">
        <v>522</v>
      </c>
      <c r="G6839" s="67" t="str">
        <f t="shared" si="182"/>
        <v/>
      </c>
      <c r="H6839" s="69"/>
      <c r="I6839" s="31"/>
      <c r="J6839" s="102">
        <v>0</v>
      </c>
    </row>
    <row r="6840" spans="1:10" ht="15.75" hidden="1" thickBot="1" x14ac:dyDescent="0.3">
      <c r="A6840" s="218" t="s">
        <v>2852</v>
      </c>
      <c r="B6840" s="221" t="e">
        <f>INDEX(#REF!,MATCH(Composições!A6840,#REF!,0),2)</f>
        <v>#REF!</v>
      </c>
      <c r="C6840" s="41"/>
      <c r="D6840" s="26" t="s">
        <v>20</v>
      </c>
      <c r="E6840" s="27"/>
      <c r="F6840" s="42" t="s">
        <v>522</v>
      </c>
      <c r="G6840" s="28" t="str">
        <f t="shared" si="182"/>
        <v/>
      </c>
      <c r="H6840" s="29"/>
      <c r="I6840" s="30"/>
      <c r="J6840" s="102">
        <v>0</v>
      </c>
    </row>
    <row r="6841" spans="1:10" hidden="1" x14ac:dyDescent="0.25">
      <c r="A6841" s="219"/>
      <c r="B6841" s="222"/>
      <c r="C6841" s="32"/>
      <c r="D6841" s="32"/>
      <c r="E6841" s="33"/>
      <c r="F6841" s="43" t="s">
        <v>522</v>
      </c>
      <c r="G6841" s="31" t="str">
        <f t="shared" si="182"/>
        <v/>
      </c>
      <c r="H6841" s="35"/>
      <c r="I6841" s="31"/>
      <c r="J6841" s="102">
        <v>0</v>
      </c>
    </row>
    <row r="6842" spans="1:10" ht="25.5" hidden="1" x14ac:dyDescent="0.25">
      <c r="A6842" s="219"/>
      <c r="B6842" s="222"/>
      <c r="C6842" s="118" t="s">
        <v>3350</v>
      </c>
      <c r="D6842" s="47" t="s">
        <v>20</v>
      </c>
      <c r="E6842" s="106">
        <v>1</v>
      </c>
      <c r="F6842" s="31">
        <v>569.89549999999997</v>
      </c>
      <c r="G6842" s="31">
        <f t="shared" si="182"/>
        <v>569.89549999999997</v>
      </c>
      <c r="H6842" s="39">
        <f>SUM(G6842:G6842)</f>
        <v>569.89549999999997</v>
      </c>
      <c r="I6842" s="40"/>
      <c r="J6842" s="102">
        <v>0</v>
      </c>
    </row>
    <row r="6843" spans="1:10" ht="15.75" hidden="1" thickBot="1" x14ac:dyDescent="0.3">
      <c r="A6843" s="220"/>
      <c r="B6843" s="223"/>
      <c r="C6843" s="55"/>
      <c r="D6843" s="55"/>
      <c r="E6843" s="66"/>
      <c r="F6843" s="67" t="s">
        <v>522</v>
      </c>
      <c r="G6843" s="67" t="str">
        <f t="shared" si="182"/>
        <v/>
      </c>
      <c r="H6843" s="69"/>
      <c r="I6843" s="31"/>
      <c r="J6843" s="102">
        <v>0</v>
      </c>
    </row>
    <row r="6844" spans="1:10" ht="15.75" hidden="1" thickBot="1" x14ac:dyDescent="0.3">
      <c r="A6844" s="218" t="s">
        <v>2854</v>
      </c>
      <c r="B6844" s="221" t="e">
        <f>INDEX(#REF!,MATCH(Composições!A6844,#REF!,0),2)</f>
        <v>#REF!</v>
      </c>
      <c r="C6844" s="41"/>
      <c r="D6844" s="26" t="s">
        <v>20</v>
      </c>
      <c r="E6844" s="27"/>
      <c r="F6844" s="42" t="s">
        <v>522</v>
      </c>
      <c r="G6844" s="28" t="str">
        <f t="shared" si="182"/>
        <v/>
      </c>
      <c r="H6844" s="29"/>
      <c r="I6844" s="30"/>
      <c r="J6844" s="102">
        <v>0</v>
      </c>
    </row>
    <row r="6845" spans="1:10" hidden="1" x14ac:dyDescent="0.25">
      <c r="A6845" s="219"/>
      <c r="B6845" s="222"/>
      <c r="C6845" s="32"/>
      <c r="D6845" s="32"/>
      <c r="E6845" s="33"/>
      <c r="F6845" s="43" t="s">
        <v>522</v>
      </c>
      <c r="G6845" s="31" t="str">
        <f t="shared" si="182"/>
        <v/>
      </c>
      <c r="H6845" s="35"/>
      <c r="I6845" s="31"/>
      <c r="J6845" s="102">
        <v>0</v>
      </c>
    </row>
    <row r="6846" spans="1:10" ht="25.5" hidden="1" x14ac:dyDescent="0.25">
      <c r="A6846" s="219"/>
      <c r="B6846" s="222"/>
      <c r="C6846" s="118" t="s">
        <v>3348</v>
      </c>
      <c r="D6846" s="47" t="s">
        <v>20</v>
      </c>
      <c r="E6846" s="106">
        <v>1</v>
      </c>
      <c r="F6846" s="31">
        <v>150.06200000000001</v>
      </c>
      <c r="G6846" s="31">
        <f t="shared" si="182"/>
        <v>150.06200000000001</v>
      </c>
      <c r="H6846" s="39">
        <f>SUM(G6846:G6846)</f>
        <v>150.06200000000001</v>
      </c>
      <c r="I6846" s="40"/>
      <c r="J6846" s="102">
        <v>0</v>
      </c>
    </row>
    <row r="6847" spans="1:10" ht="15.75" hidden="1" thickBot="1" x14ac:dyDescent="0.3">
      <c r="A6847" s="220"/>
      <c r="B6847" s="223"/>
      <c r="C6847" s="55"/>
      <c r="D6847" s="55"/>
      <c r="E6847" s="66"/>
      <c r="F6847" s="67" t="s">
        <v>522</v>
      </c>
      <c r="G6847" s="67" t="str">
        <f t="shared" si="182"/>
        <v/>
      </c>
      <c r="H6847" s="69"/>
      <c r="I6847" s="31"/>
      <c r="J6847" s="102">
        <v>0</v>
      </c>
    </row>
    <row r="6848" spans="1:10" ht="15.75" hidden="1" thickBot="1" x14ac:dyDescent="0.3">
      <c r="A6848" s="218" t="s">
        <v>2856</v>
      </c>
      <c r="B6848" s="221" t="e">
        <f>INDEX(#REF!,MATCH(Composições!A6848,#REF!,0),2)</f>
        <v>#REF!</v>
      </c>
      <c r="C6848" s="41"/>
      <c r="D6848" s="26" t="s">
        <v>20</v>
      </c>
      <c r="E6848" s="27"/>
      <c r="F6848" s="42" t="s">
        <v>522</v>
      </c>
      <c r="G6848" s="28" t="str">
        <f t="shared" si="182"/>
        <v/>
      </c>
      <c r="H6848" s="29"/>
      <c r="I6848" s="30"/>
      <c r="J6848" s="102">
        <v>0</v>
      </c>
    </row>
    <row r="6849" spans="1:10" hidden="1" x14ac:dyDescent="0.25">
      <c r="A6849" s="219"/>
      <c r="B6849" s="222"/>
      <c r="C6849" s="32"/>
      <c r="D6849" s="32"/>
      <c r="E6849" s="33"/>
      <c r="F6849" s="43" t="s">
        <v>522</v>
      </c>
      <c r="G6849" s="31" t="str">
        <f t="shared" si="182"/>
        <v/>
      </c>
      <c r="H6849" s="35"/>
      <c r="I6849" s="31"/>
      <c r="J6849" s="102">
        <v>0</v>
      </c>
    </row>
    <row r="6850" spans="1:10" ht="25.5" hidden="1" x14ac:dyDescent="0.25">
      <c r="A6850" s="219"/>
      <c r="B6850" s="222"/>
      <c r="C6850" s="118" t="s">
        <v>3347</v>
      </c>
      <c r="D6850" s="47" t="s">
        <v>20</v>
      </c>
      <c r="E6850" s="106">
        <v>1</v>
      </c>
      <c r="F6850" s="31">
        <v>240.464</v>
      </c>
      <c r="G6850" s="31">
        <f t="shared" si="182"/>
        <v>240.464</v>
      </c>
      <c r="H6850" s="39">
        <f>SUM(G6850:G6850)</f>
        <v>240.464</v>
      </c>
      <c r="I6850" s="40"/>
      <c r="J6850" s="102">
        <v>0</v>
      </c>
    </row>
    <row r="6851" spans="1:10" ht="15.75" hidden="1" thickBot="1" x14ac:dyDescent="0.3">
      <c r="A6851" s="220"/>
      <c r="B6851" s="223"/>
      <c r="C6851" s="55"/>
      <c r="D6851" s="55"/>
      <c r="E6851" s="66"/>
      <c r="F6851" s="67" t="s">
        <v>522</v>
      </c>
      <c r="G6851" s="67" t="str">
        <f t="shared" si="182"/>
        <v/>
      </c>
      <c r="H6851" s="69"/>
      <c r="I6851" s="31"/>
      <c r="J6851" s="102">
        <v>0</v>
      </c>
    </row>
    <row r="6852" spans="1:10" ht="15.75" hidden="1" thickBot="1" x14ac:dyDescent="0.3">
      <c r="A6852" s="218" t="s">
        <v>2859</v>
      </c>
      <c r="B6852" s="221" t="e">
        <f>INDEX(#REF!,MATCH(Composições!A6852,#REF!,0),2)</f>
        <v>#REF!</v>
      </c>
      <c r="C6852" s="41"/>
      <c r="D6852" s="26" t="s">
        <v>20</v>
      </c>
      <c r="E6852" s="27"/>
      <c r="F6852" s="42" t="s">
        <v>522</v>
      </c>
      <c r="G6852" s="28" t="str">
        <f t="shared" si="182"/>
        <v/>
      </c>
      <c r="H6852" s="29"/>
      <c r="I6852" s="30"/>
      <c r="J6852" s="102">
        <v>0</v>
      </c>
    </row>
    <row r="6853" spans="1:10" hidden="1" x14ac:dyDescent="0.25">
      <c r="A6853" s="219"/>
      <c r="B6853" s="222"/>
      <c r="C6853" s="32"/>
      <c r="D6853" s="32"/>
      <c r="E6853" s="33"/>
      <c r="F6853" s="43" t="s">
        <v>522</v>
      </c>
      <c r="G6853" s="31" t="str">
        <f t="shared" si="182"/>
        <v/>
      </c>
      <c r="H6853" s="35"/>
      <c r="I6853" s="31"/>
      <c r="J6853" s="102">
        <v>0</v>
      </c>
    </row>
    <row r="6854" spans="1:10" ht="25.5" hidden="1" x14ac:dyDescent="0.25">
      <c r="A6854" s="219"/>
      <c r="B6854" s="222"/>
      <c r="C6854" s="118" t="s">
        <v>2432</v>
      </c>
      <c r="D6854" s="47" t="s">
        <v>20</v>
      </c>
      <c r="E6854" s="106">
        <v>1</v>
      </c>
      <c r="F6854" s="31">
        <v>48.905999999999992</v>
      </c>
      <c r="G6854" s="31">
        <f t="shared" si="182"/>
        <v>48.905999999999992</v>
      </c>
      <c r="H6854" s="39">
        <f>SUM(G6854:G6854)</f>
        <v>48.905999999999992</v>
      </c>
      <c r="I6854" s="40"/>
      <c r="J6854" s="102">
        <v>0</v>
      </c>
    </row>
    <row r="6855" spans="1:10" ht="15.75" hidden="1" thickBot="1" x14ac:dyDescent="0.3">
      <c r="A6855" s="220"/>
      <c r="B6855" s="223"/>
      <c r="C6855" s="55"/>
      <c r="D6855" s="55"/>
      <c r="E6855" s="66"/>
      <c r="F6855" s="67" t="s">
        <v>522</v>
      </c>
      <c r="G6855" s="67" t="str">
        <f t="shared" si="182"/>
        <v/>
      </c>
      <c r="H6855" s="69"/>
      <c r="I6855" s="31"/>
      <c r="J6855" s="102">
        <v>0</v>
      </c>
    </row>
    <row r="6856" spans="1:10" ht="15.75" hidden="1" thickBot="1" x14ac:dyDescent="0.3">
      <c r="A6856" s="218" t="s">
        <v>2860</v>
      </c>
      <c r="B6856" s="221" t="e">
        <f>INDEX(#REF!,MATCH(Composições!A6856,#REF!,0),2)</f>
        <v>#REF!</v>
      </c>
      <c r="C6856" s="41"/>
      <c r="D6856" s="26" t="s">
        <v>20</v>
      </c>
      <c r="E6856" s="27"/>
      <c r="F6856" s="42" t="s">
        <v>522</v>
      </c>
      <c r="G6856" s="28" t="str">
        <f t="shared" si="182"/>
        <v/>
      </c>
      <c r="H6856" s="29"/>
      <c r="I6856" s="30"/>
      <c r="J6856" s="102">
        <v>0</v>
      </c>
    </row>
    <row r="6857" spans="1:10" hidden="1" x14ac:dyDescent="0.25">
      <c r="A6857" s="219"/>
      <c r="B6857" s="222"/>
      <c r="C6857" s="32"/>
      <c r="D6857" s="32"/>
      <c r="E6857" s="33"/>
      <c r="F6857" s="43" t="s">
        <v>522</v>
      </c>
      <c r="G6857" s="31" t="str">
        <f t="shared" si="182"/>
        <v/>
      </c>
      <c r="H6857" s="35"/>
      <c r="I6857" s="31"/>
      <c r="J6857" s="102">
        <v>0</v>
      </c>
    </row>
    <row r="6858" spans="1:10" hidden="1" x14ac:dyDescent="0.25">
      <c r="A6858" s="219"/>
      <c r="B6858" s="222"/>
      <c r="C6858" s="118" t="s">
        <v>3288</v>
      </c>
      <c r="D6858" s="47" t="s">
        <v>20</v>
      </c>
      <c r="E6858" s="106">
        <v>1</v>
      </c>
      <c r="F6858" s="31">
        <v>164.654</v>
      </c>
      <c r="G6858" s="31">
        <f t="shared" si="182"/>
        <v>164.654</v>
      </c>
      <c r="H6858" s="39">
        <f>SUM(G6858:G6858)</f>
        <v>164.654</v>
      </c>
      <c r="I6858" s="40"/>
      <c r="J6858" s="102">
        <v>0</v>
      </c>
    </row>
    <row r="6859" spans="1:10" ht="15.75" hidden="1" thickBot="1" x14ac:dyDescent="0.3">
      <c r="A6859" s="220"/>
      <c r="B6859" s="223"/>
      <c r="C6859" s="55"/>
      <c r="D6859" s="55"/>
      <c r="E6859" s="66"/>
      <c r="F6859" s="67" t="s">
        <v>522</v>
      </c>
      <c r="G6859" s="67" t="str">
        <f t="shared" si="182"/>
        <v/>
      </c>
      <c r="H6859" s="69"/>
      <c r="I6859" s="31"/>
      <c r="J6859" s="102">
        <v>0</v>
      </c>
    </row>
    <row r="6860" spans="1:10" ht="15.75" hidden="1" thickBot="1" x14ac:dyDescent="0.3">
      <c r="A6860" s="218" t="s">
        <v>2861</v>
      </c>
      <c r="B6860" s="221" t="e">
        <f>INDEX(#REF!,MATCH(Composições!A6860,#REF!,0),2)</f>
        <v>#REF!</v>
      </c>
      <c r="C6860" s="41"/>
      <c r="D6860" s="26" t="s">
        <v>20</v>
      </c>
      <c r="E6860" s="27"/>
      <c r="F6860" s="42" t="s">
        <v>522</v>
      </c>
      <c r="G6860" s="28" t="str">
        <f t="shared" si="182"/>
        <v/>
      </c>
      <c r="H6860" s="29"/>
      <c r="I6860" s="30"/>
      <c r="J6860" s="102">
        <v>0</v>
      </c>
    </row>
    <row r="6861" spans="1:10" hidden="1" x14ac:dyDescent="0.25">
      <c r="A6861" s="219"/>
      <c r="B6861" s="222"/>
      <c r="C6861" s="32"/>
      <c r="D6861" s="32"/>
      <c r="E6861" s="33"/>
      <c r="F6861" s="43" t="s">
        <v>522</v>
      </c>
      <c r="G6861" s="31" t="str">
        <f t="shared" si="182"/>
        <v/>
      </c>
      <c r="H6861" s="35"/>
      <c r="I6861" s="31"/>
      <c r="J6861" s="102">
        <v>0</v>
      </c>
    </row>
    <row r="6862" spans="1:10" ht="25.5" hidden="1" x14ac:dyDescent="0.25">
      <c r="A6862" s="219"/>
      <c r="B6862" s="222"/>
      <c r="C6862" s="118" t="s">
        <v>1172</v>
      </c>
      <c r="D6862" s="47" t="s">
        <v>20</v>
      </c>
      <c r="E6862" s="106">
        <v>1</v>
      </c>
      <c r="F6862" s="31">
        <v>82.478999999999985</v>
      </c>
      <c r="G6862" s="31">
        <f t="shared" si="182"/>
        <v>82.478999999999985</v>
      </c>
      <c r="H6862" s="39">
        <f>SUM(G6862:G6862)</f>
        <v>82.478999999999985</v>
      </c>
      <c r="I6862" s="40"/>
      <c r="J6862" s="102">
        <v>0</v>
      </c>
    </row>
    <row r="6863" spans="1:10" ht="15.75" hidden="1" thickBot="1" x14ac:dyDescent="0.3">
      <c r="A6863" s="220"/>
      <c r="B6863" s="223"/>
      <c r="C6863" s="55"/>
      <c r="D6863" s="55"/>
      <c r="E6863" s="66"/>
      <c r="F6863" s="67" t="s">
        <v>522</v>
      </c>
      <c r="G6863" s="67" t="str">
        <f t="shared" si="182"/>
        <v/>
      </c>
      <c r="H6863" s="69"/>
      <c r="I6863" s="31"/>
      <c r="J6863" s="102">
        <v>0</v>
      </c>
    </row>
    <row r="6864" spans="1:10" ht="15.75" hidden="1" thickBot="1" x14ac:dyDescent="0.3">
      <c r="A6864" s="218" t="s">
        <v>2862</v>
      </c>
      <c r="B6864" s="221" t="e">
        <f>INDEX(#REF!,MATCH(Composições!A6864,#REF!,0),2)</f>
        <v>#REF!</v>
      </c>
      <c r="C6864" s="41"/>
      <c r="D6864" s="26" t="s">
        <v>20</v>
      </c>
      <c r="E6864" s="27"/>
      <c r="F6864" s="42" t="s">
        <v>522</v>
      </c>
      <c r="G6864" s="28" t="str">
        <f t="shared" si="182"/>
        <v/>
      </c>
      <c r="H6864" s="29"/>
      <c r="I6864" s="30"/>
      <c r="J6864" s="102">
        <v>0</v>
      </c>
    </row>
    <row r="6865" spans="1:10" hidden="1" x14ac:dyDescent="0.25">
      <c r="A6865" s="219"/>
      <c r="B6865" s="222"/>
      <c r="C6865" s="32"/>
      <c r="D6865" s="32"/>
      <c r="E6865" s="33"/>
      <c r="F6865" s="43" t="s">
        <v>522</v>
      </c>
      <c r="G6865" s="31" t="str">
        <f t="shared" si="182"/>
        <v/>
      </c>
      <c r="H6865" s="35"/>
      <c r="I6865" s="31"/>
      <c r="J6865" s="102">
        <v>0</v>
      </c>
    </row>
    <row r="6866" spans="1:10" ht="25.5" hidden="1" x14ac:dyDescent="0.25">
      <c r="A6866" s="219"/>
      <c r="B6866" s="222"/>
      <c r="C6866" s="118" t="s">
        <v>3204</v>
      </c>
      <c r="D6866" s="47" t="s">
        <v>20</v>
      </c>
      <c r="E6866" s="106">
        <v>1</v>
      </c>
      <c r="F6866" s="31">
        <v>4.75</v>
      </c>
      <c r="G6866" s="31">
        <f t="shared" si="182"/>
        <v>4.75</v>
      </c>
      <c r="H6866" s="39">
        <f>SUM(G6866:G6866)</f>
        <v>4.75</v>
      </c>
      <c r="I6866" s="40"/>
      <c r="J6866" s="102">
        <v>0</v>
      </c>
    </row>
    <row r="6867" spans="1:10" ht="15.75" hidden="1" thickBot="1" x14ac:dyDescent="0.3">
      <c r="A6867" s="220"/>
      <c r="B6867" s="223"/>
      <c r="C6867" s="55"/>
      <c r="D6867" s="55"/>
      <c r="E6867" s="66"/>
      <c r="F6867" s="67" t="s">
        <v>522</v>
      </c>
      <c r="G6867" s="67" t="str">
        <f t="shared" si="182"/>
        <v/>
      </c>
      <c r="H6867" s="69"/>
      <c r="I6867" s="31"/>
      <c r="J6867" s="102">
        <v>0</v>
      </c>
    </row>
    <row r="6868" spans="1:10" ht="15.75" hidden="1" thickBot="1" x14ac:dyDescent="0.3">
      <c r="A6868" s="218" t="s">
        <v>2864</v>
      </c>
      <c r="B6868" s="221" t="e">
        <f>INDEX(#REF!,MATCH(Composições!A6868,#REF!,0),2)</f>
        <v>#REF!</v>
      </c>
      <c r="C6868" s="41"/>
      <c r="D6868" s="26" t="s">
        <v>20</v>
      </c>
      <c r="E6868" s="27"/>
      <c r="F6868" s="42" t="s">
        <v>522</v>
      </c>
      <c r="G6868" s="28" t="str">
        <f t="shared" si="182"/>
        <v/>
      </c>
      <c r="H6868" s="29"/>
      <c r="I6868" s="30"/>
      <c r="J6868" s="102">
        <v>0</v>
      </c>
    </row>
    <row r="6869" spans="1:10" hidden="1" x14ac:dyDescent="0.25">
      <c r="A6869" s="219"/>
      <c r="B6869" s="222"/>
      <c r="C6869" s="32"/>
      <c r="D6869" s="32"/>
      <c r="E6869" s="33"/>
      <c r="F6869" s="43" t="s">
        <v>522</v>
      </c>
      <c r="G6869" s="31" t="str">
        <f t="shared" si="182"/>
        <v/>
      </c>
      <c r="H6869" s="35"/>
      <c r="I6869" s="31"/>
      <c r="J6869" s="102">
        <v>0</v>
      </c>
    </row>
    <row r="6870" spans="1:10" ht="25.5" hidden="1" x14ac:dyDescent="0.25">
      <c r="A6870" s="219"/>
      <c r="B6870" s="222"/>
      <c r="C6870" s="118" t="s">
        <v>3208</v>
      </c>
      <c r="D6870" s="47" t="s">
        <v>20</v>
      </c>
      <c r="E6870" s="106">
        <v>1</v>
      </c>
      <c r="F6870" s="31">
        <v>292.46699999999998</v>
      </c>
      <c r="G6870" s="31">
        <f t="shared" si="182"/>
        <v>292.46699999999998</v>
      </c>
      <c r="H6870" s="39">
        <f>SUM(G6870:G6870)</f>
        <v>292.46699999999998</v>
      </c>
      <c r="I6870" s="40"/>
      <c r="J6870" s="102">
        <v>0</v>
      </c>
    </row>
    <row r="6871" spans="1:10" ht="15.75" hidden="1" thickBot="1" x14ac:dyDescent="0.3">
      <c r="A6871" s="220"/>
      <c r="B6871" s="223"/>
      <c r="C6871" s="55"/>
      <c r="D6871" s="55"/>
      <c r="E6871" s="66"/>
      <c r="F6871" s="67" t="s">
        <v>522</v>
      </c>
      <c r="G6871" s="67" t="str">
        <f t="shared" si="182"/>
        <v/>
      </c>
      <c r="H6871" s="69"/>
      <c r="I6871" s="31"/>
      <c r="J6871" s="102">
        <v>0</v>
      </c>
    </row>
    <row r="6872" spans="1:10" ht="15.75" hidden="1" thickBot="1" x14ac:dyDescent="0.3">
      <c r="A6872" s="218" t="s">
        <v>2874</v>
      </c>
      <c r="B6872" s="221" t="e">
        <f>INDEX(#REF!,MATCH(Composições!A6872,#REF!,0),2)</f>
        <v>#REF!</v>
      </c>
      <c r="C6872" s="41"/>
      <c r="D6872" s="26" t="s">
        <v>20</v>
      </c>
      <c r="E6872" s="27"/>
      <c r="F6872" s="42" t="s">
        <v>522</v>
      </c>
      <c r="G6872" s="28" t="str">
        <f t="shared" si="182"/>
        <v/>
      </c>
      <c r="H6872" s="29"/>
      <c r="I6872" s="30"/>
      <c r="J6872" s="102">
        <v>0</v>
      </c>
    </row>
    <row r="6873" spans="1:10" hidden="1" x14ac:dyDescent="0.25">
      <c r="A6873" s="219"/>
      <c r="B6873" s="222"/>
      <c r="C6873" s="32"/>
      <c r="D6873" s="32"/>
      <c r="E6873" s="33"/>
      <c r="F6873" s="43" t="s">
        <v>522</v>
      </c>
      <c r="G6873" s="31" t="str">
        <f t="shared" si="182"/>
        <v/>
      </c>
      <c r="H6873" s="35"/>
      <c r="I6873" s="31"/>
      <c r="J6873" s="102">
        <v>0</v>
      </c>
    </row>
    <row r="6874" spans="1:10" ht="25.5" hidden="1" x14ac:dyDescent="0.25">
      <c r="A6874" s="219"/>
      <c r="B6874" s="222"/>
      <c r="C6874" s="118" t="s">
        <v>3205</v>
      </c>
      <c r="D6874" s="47" t="s">
        <v>20</v>
      </c>
      <c r="E6874" s="106">
        <v>1</v>
      </c>
      <c r="F6874" s="31">
        <v>14.3925</v>
      </c>
      <c r="G6874" s="31">
        <f t="shared" si="182"/>
        <v>14.3925</v>
      </c>
      <c r="H6874" s="39">
        <f>SUM(G6874:G6874)</f>
        <v>14.3925</v>
      </c>
      <c r="I6874" s="40"/>
      <c r="J6874" s="102">
        <v>0</v>
      </c>
    </row>
    <row r="6875" spans="1:10" ht="15.75" hidden="1" thickBot="1" x14ac:dyDescent="0.3">
      <c r="A6875" s="220"/>
      <c r="B6875" s="223"/>
      <c r="C6875" s="55"/>
      <c r="D6875" s="55"/>
      <c r="E6875" s="66"/>
      <c r="F6875" s="67" t="s">
        <v>522</v>
      </c>
      <c r="G6875" s="67" t="str">
        <f t="shared" si="182"/>
        <v/>
      </c>
      <c r="H6875" s="69"/>
      <c r="I6875" s="31"/>
      <c r="J6875" s="102">
        <v>0</v>
      </c>
    </row>
    <row r="6876" spans="1:10" ht="15.75" hidden="1" thickBot="1" x14ac:dyDescent="0.3">
      <c r="A6876" s="218" t="s">
        <v>2876</v>
      </c>
      <c r="B6876" s="221" t="e">
        <f>INDEX(#REF!,MATCH(Composições!A6876,#REF!,0),2)</f>
        <v>#REF!</v>
      </c>
      <c r="C6876" s="41"/>
      <c r="D6876" s="26" t="s">
        <v>20</v>
      </c>
      <c r="E6876" s="27"/>
      <c r="F6876" s="42" t="s">
        <v>522</v>
      </c>
      <c r="G6876" s="28" t="str">
        <f t="shared" si="182"/>
        <v/>
      </c>
      <c r="H6876" s="29"/>
      <c r="I6876" s="30"/>
      <c r="J6876" s="102">
        <v>0</v>
      </c>
    </row>
    <row r="6877" spans="1:10" hidden="1" x14ac:dyDescent="0.25">
      <c r="A6877" s="219"/>
      <c r="B6877" s="222"/>
      <c r="C6877" s="32"/>
      <c r="D6877" s="32"/>
      <c r="E6877" s="33"/>
      <c r="F6877" s="43" t="s">
        <v>522</v>
      </c>
      <c r="G6877" s="31" t="str">
        <f t="shared" si="182"/>
        <v/>
      </c>
      <c r="H6877" s="35"/>
      <c r="I6877" s="31"/>
      <c r="J6877" s="102">
        <v>0</v>
      </c>
    </row>
    <row r="6878" spans="1:10" ht="38.25" hidden="1" x14ac:dyDescent="0.25">
      <c r="A6878" s="219"/>
      <c r="B6878" s="222"/>
      <c r="C6878" s="118" t="s">
        <v>3211</v>
      </c>
      <c r="D6878" s="47" t="s">
        <v>20</v>
      </c>
      <c r="E6878" s="106">
        <v>1</v>
      </c>
      <c r="F6878" s="31">
        <v>264.04300000000001</v>
      </c>
      <c r="G6878" s="31">
        <f t="shared" si="182"/>
        <v>264.04300000000001</v>
      </c>
      <c r="H6878" s="39">
        <f>SUM(G6878:G6878)</f>
        <v>264.04300000000001</v>
      </c>
      <c r="I6878" s="40"/>
      <c r="J6878" s="102">
        <v>0</v>
      </c>
    </row>
    <row r="6879" spans="1:10" ht="15.75" hidden="1" thickBot="1" x14ac:dyDescent="0.3">
      <c r="A6879" s="220"/>
      <c r="B6879" s="223"/>
      <c r="C6879" s="55"/>
      <c r="D6879" s="55"/>
      <c r="E6879" s="66"/>
      <c r="F6879" s="67" t="s">
        <v>522</v>
      </c>
      <c r="G6879" s="67" t="str">
        <f t="shared" si="182"/>
        <v/>
      </c>
      <c r="H6879" s="69"/>
      <c r="I6879" s="31"/>
      <c r="J6879" s="102">
        <v>0</v>
      </c>
    </row>
    <row r="6880" spans="1:10" ht="15.75" hidden="1" thickBot="1" x14ac:dyDescent="0.3">
      <c r="A6880" s="218" t="s">
        <v>2880</v>
      </c>
      <c r="B6880" s="221" t="e">
        <f>INDEX(#REF!,MATCH(Composições!A6880,#REF!,0),2)</f>
        <v>#REF!</v>
      </c>
      <c r="C6880" s="41"/>
      <c r="D6880" s="26" t="s">
        <v>20</v>
      </c>
      <c r="E6880" s="27"/>
      <c r="F6880" s="42" t="s">
        <v>522</v>
      </c>
      <c r="G6880" s="28" t="str">
        <f t="shared" si="182"/>
        <v/>
      </c>
      <c r="H6880" s="29"/>
      <c r="I6880" s="30"/>
      <c r="J6880" s="102">
        <v>0</v>
      </c>
    </row>
    <row r="6881" spans="1:10" hidden="1" x14ac:dyDescent="0.25">
      <c r="A6881" s="219"/>
      <c r="B6881" s="222"/>
      <c r="C6881" s="32"/>
      <c r="D6881" s="32"/>
      <c r="E6881" s="33"/>
      <c r="F6881" s="43" t="s">
        <v>522</v>
      </c>
      <c r="G6881" s="31" t="str">
        <f t="shared" si="182"/>
        <v/>
      </c>
      <c r="H6881" s="35"/>
      <c r="I6881" s="31"/>
      <c r="J6881" s="102">
        <v>0</v>
      </c>
    </row>
    <row r="6882" spans="1:10" ht="38.25" hidden="1" x14ac:dyDescent="0.25">
      <c r="A6882" s="219"/>
      <c r="B6882" s="222"/>
      <c r="C6882" s="118" t="s">
        <v>3212</v>
      </c>
      <c r="D6882" s="47" t="s">
        <v>20</v>
      </c>
      <c r="E6882" s="106">
        <v>1</v>
      </c>
      <c r="F6882" s="31">
        <v>4179.7815000000001</v>
      </c>
      <c r="G6882" s="31">
        <f t="shared" ref="G6882:G6945" si="186">IF(ISNUMBER(F6882),E6882*F6882,"")</f>
        <v>4179.7815000000001</v>
      </c>
      <c r="H6882" s="39">
        <f>SUM(G6882:G6882)</f>
        <v>4179.7815000000001</v>
      </c>
      <c r="I6882" s="40"/>
      <c r="J6882" s="102">
        <v>0</v>
      </c>
    </row>
    <row r="6883" spans="1:10" ht="15.75" hidden="1" thickBot="1" x14ac:dyDescent="0.3">
      <c r="A6883" s="220"/>
      <c r="B6883" s="223"/>
      <c r="C6883" s="55"/>
      <c r="D6883" s="55"/>
      <c r="E6883" s="66"/>
      <c r="F6883" s="67" t="s">
        <v>522</v>
      </c>
      <c r="G6883" s="67" t="str">
        <f t="shared" si="186"/>
        <v/>
      </c>
      <c r="H6883" s="69"/>
      <c r="I6883" s="31"/>
      <c r="J6883" s="102">
        <v>0</v>
      </c>
    </row>
    <row r="6884" spans="1:10" ht="15.75" hidden="1" thickBot="1" x14ac:dyDescent="0.3">
      <c r="A6884" s="218" t="s">
        <v>2932</v>
      </c>
      <c r="B6884" s="221" t="e">
        <f>INDEX(#REF!,MATCH(Composições!A6884,#REF!,0),2)</f>
        <v>#REF!</v>
      </c>
      <c r="C6884" s="41"/>
      <c r="D6884" s="26" t="s">
        <v>20</v>
      </c>
      <c r="E6884" s="27"/>
      <c r="F6884" s="42" t="s">
        <v>522</v>
      </c>
      <c r="G6884" s="28" t="str">
        <f t="shared" si="186"/>
        <v/>
      </c>
      <c r="H6884" s="29"/>
      <c r="I6884" s="30"/>
      <c r="J6884" s="102">
        <v>0</v>
      </c>
    </row>
    <row r="6885" spans="1:10" hidden="1" x14ac:dyDescent="0.25">
      <c r="A6885" s="219"/>
      <c r="B6885" s="222"/>
      <c r="C6885" s="32"/>
      <c r="D6885" s="32"/>
      <c r="E6885" s="33"/>
      <c r="F6885" s="43" t="s">
        <v>522</v>
      </c>
      <c r="G6885" s="31" t="str">
        <f t="shared" si="186"/>
        <v/>
      </c>
      <c r="H6885" s="35"/>
      <c r="I6885" s="31"/>
      <c r="J6885" s="102">
        <v>0</v>
      </c>
    </row>
    <row r="6886" spans="1:10" ht="25.5" hidden="1" x14ac:dyDescent="0.25">
      <c r="A6886" s="219"/>
      <c r="B6886" s="222"/>
      <c r="C6886" s="118" t="s">
        <v>3220</v>
      </c>
      <c r="D6886" s="47" t="s">
        <v>20</v>
      </c>
      <c r="E6886" s="106">
        <v>1</v>
      </c>
      <c r="F6886" s="31">
        <v>1.7384999999999999</v>
      </c>
      <c r="G6886" s="31">
        <f t="shared" si="186"/>
        <v>1.7384999999999999</v>
      </c>
      <c r="H6886" s="39">
        <f>SUM(G6886:G6886)</f>
        <v>1.7384999999999999</v>
      </c>
      <c r="I6886" s="40"/>
      <c r="J6886" s="102">
        <v>0</v>
      </c>
    </row>
    <row r="6887" spans="1:10" ht="15.75" hidden="1" thickBot="1" x14ac:dyDescent="0.3">
      <c r="A6887" s="220"/>
      <c r="B6887" s="223"/>
      <c r="C6887" s="55"/>
      <c r="D6887" s="55"/>
      <c r="E6887" s="66"/>
      <c r="F6887" s="67" t="s">
        <v>522</v>
      </c>
      <c r="G6887" s="67" t="str">
        <f t="shared" si="186"/>
        <v/>
      </c>
      <c r="H6887" s="69"/>
      <c r="I6887" s="31"/>
      <c r="J6887" s="102">
        <v>0</v>
      </c>
    </row>
    <row r="6888" spans="1:10" ht="15.75" hidden="1" thickBot="1" x14ac:dyDescent="0.3">
      <c r="A6888" s="218" t="s">
        <v>2938</v>
      </c>
      <c r="B6888" s="221" t="e">
        <f>INDEX(#REF!,MATCH(Composições!A6888,#REF!,0),2)</f>
        <v>#REF!</v>
      </c>
      <c r="C6888" s="41"/>
      <c r="D6888" s="26" t="s">
        <v>20</v>
      </c>
      <c r="E6888" s="27"/>
      <c r="F6888" s="42" t="s">
        <v>522</v>
      </c>
      <c r="G6888" s="28" t="str">
        <f t="shared" si="186"/>
        <v/>
      </c>
      <c r="H6888" s="29"/>
      <c r="I6888" s="30"/>
      <c r="J6888" s="102">
        <v>0</v>
      </c>
    </row>
    <row r="6889" spans="1:10" hidden="1" x14ac:dyDescent="0.25">
      <c r="A6889" s="219"/>
      <c r="B6889" s="222"/>
      <c r="C6889" s="32"/>
      <c r="D6889" s="32"/>
      <c r="E6889" s="33"/>
      <c r="F6889" s="43" t="s">
        <v>522</v>
      </c>
      <c r="G6889" s="31" t="str">
        <f t="shared" si="186"/>
        <v/>
      </c>
      <c r="H6889" s="35"/>
      <c r="I6889" s="31"/>
      <c r="J6889" s="102">
        <v>0</v>
      </c>
    </row>
    <row r="6890" spans="1:10" hidden="1" x14ac:dyDescent="0.25">
      <c r="A6890" s="219"/>
      <c r="B6890" s="222"/>
      <c r="C6890" s="118" t="s">
        <v>3267</v>
      </c>
      <c r="D6890" s="47" t="s">
        <v>20</v>
      </c>
      <c r="E6890" s="106">
        <v>1</v>
      </c>
      <c r="F6890" s="31">
        <v>106.92249999999999</v>
      </c>
      <c r="G6890" s="31">
        <f t="shared" si="186"/>
        <v>106.92249999999999</v>
      </c>
      <c r="H6890" s="39">
        <f>SUM(G6890:G6890)</f>
        <v>106.92249999999999</v>
      </c>
      <c r="I6890" s="40"/>
      <c r="J6890" s="102">
        <v>0</v>
      </c>
    </row>
    <row r="6891" spans="1:10" ht="15.75" hidden="1" thickBot="1" x14ac:dyDescent="0.3">
      <c r="A6891" s="220"/>
      <c r="B6891" s="223"/>
      <c r="C6891" s="55"/>
      <c r="D6891" s="55"/>
      <c r="E6891" s="66"/>
      <c r="F6891" s="67" t="s">
        <v>522</v>
      </c>
      <c r="G6891" s="67" t="str">
        <f t="shared" si="186"/>
        <v/>
      </c>
      <c r="H6891" s="69"/>
      <c r="I6891" s="31"/>
      <c r="J6891" s="102">
        <v>0</v>
      </c>
    </row>
    <row r="6892" spans="1:10" ht="15.75" hidden="1" thickBot="1" x14ac:dyDescent="0.3">
      <c r="A6892" s="218" t="s">
        <v>2940</v>
      </c>
      <c r="B6892" s="221" t="e">
        <f>INDEX(#REF!,MATCH(Composições!A6892,#REF!,0),2)</f>
        <v>#REF!</v>
      </c>
      <c r="C6892" s="41"/>
      <c r="D6892" s="26" t="s">
        <v>20</v>
      </c>
      <c r="E6892" s="27"/>
      <c r="F6892" s="42" t="s">
        <v>522</v>
      </c>
      <c r="G6892" s="28" t="str">
        <f t="shared" si="186"/>
        <v/>
      </c>
      <c r="H6892" s="29"/>
      <c r="I6892" s="30"/>
      <c r="J6892" s="102">
        <v>0</v>
      </c>
    </row>
    <row r="6893" spans="1:10" hidden="1" x14ac:dyDescent="0.25">
      <c r="A6893" s="219"/>
      <c r="B6893" s="222"/>
      <c r="C6893" s="32"/>
      <c r="D6893" s="32"/>
      <c r="E6893" s="33"/>
      <c r="F6893" s="43" t="s">
        <v>522</v>
      </c>
      <c r="G6893" s="31" t="str">
        <f t="shared" si="186"/>
        <v/>
      </c>
      <c r="H6893" s="35"/>
      <c r="I6893" s="31"/>
      <c r="J6893" s="102">
        <v>0</v>
      </c>
    </row>
    <row r="6894" spans="1:10" hidden="1" x14ac:dyDescent="0.25">
      <c r="A6894" s="219"/>
      <c r="B6894" s="222"/>
      <c r="C6894" s="118" t="s">
        <v>3221</v>
      </c>
      <c r="D6894" s="47" t="s">
        <v>20</v>
      </c>
      <c r="E6894" s="106">
        <v>1</v>
      </c>
      <c r="F6894" s="31">
        <v>439.375</v>
      </c>
      <c r="G6894" s="31">
        <f t="shared" si="186"/>
        <v>439.375</v>
      </c>
      <c r="H6894" s="39">
        <f>SUM(G6894:G6894)</f>
        <v>439.375</v>
      </c>
      <c r="I6894" s="40"/>
      <c r="J6894" s="102">
        <v>0</v>
      </c>
    </row>
    <row r="6895" spans="1:10" ht="15.75" hidden="1" thickBot="1" x14ac:dyDescent="0.3">
      <c r="A6895" s="220"/>
      <c r="B6895" s="223"/>
      <c r="C6895" s="55"/>
      <c r="D6895" s="55"/>
      <c r="E6895" s="66"/>
      <c r="F6895" s="67" t="s">
        <v>522</v>
      </c>
      <c r="G6895" s="67" t="str">
        <f t="shared" si="186"/>
        <v/>
      </c>
      <c r="H6895" s="69"/>
      <c r="I6895" s="31"/>
      <c r="J6895" s="102">
        <v>0</v>
      </c>
    </row>
    <row r="6896" spans="1:10" ht="15.75" hidden="1" thickBot="1" x14ac:dyDescent="0.3">
      <c r="A6896" s="218" t="s">
        <v>2942</v>
      </c>
      <c r="B6896" s="221" t="e">
        <f>INDEX(#REF!,MATCH(Composições!A6896,#REF!,0),2)</f>
        <v>#REF!</v>
      </c>
      <c r="C6896" s="41"/>
      <c r="D6896" s="26" t="s">
        <v>20</v>
      </c>
      <c r="E6896" s="27"/>
      <c r="F6896" s="42" t="s">
        <v>522</v>
      </c>
      <c r="G6896" s="28" t="str">
        <f t="shared" si="186"/>
        <v/>
      </c>
      <c r="H6896" s="29"/>
      <c r="I6896" s="30"/>
      <c r="J6896" s="102">
        <v>0</v>
      </c>
    </row>
    <row r="6897" spans="1:10" hidden="1" x14ac:dyDescent="0.25">
      <c r="A6897" s="219"/>
      <c r="B6897" s="222"/>
      <c r="C6897" s="32"/>
      <c r="D6897" s="32"/>
      <c r="E6897" s="33"/>
      <c r="F6897" s="43" t="s">
        <v>522</v>
      </c>
      <c r="G6897" s="31" t="str">
        <f t="shared" si="186"/>
        <v/>
      </c>
      <c r="H6897" s="35"/>
      <c r="I6897" s="31"/>
      <c r="J6897" s="102">
        <v>0</v>
      </c>
    </row>
    <row r="6898" spans="1:10" ht="25.5" hidden="1" x14ac:dyDescent="0.25">
      <c r="A6898" s="219"/>
      <c r="B6898" s="222"/>
      <c r="C6898" s="118" t="s">
        <v>3225</v>
      </c>
      <c r="D6898" s="47" t="s">
        <v>20</v>
      </c>
      <c r="E6898" s="106">
        <v>1</v>
      </c>
      <c r="F6898" s="31">
        <v>5.4339999999999993</v>
      </c>
      <c r="G6898" s="31">
        <f t="shared" si="186"/>
        <v>5.4339999999999993</v>
      </c>
      <c r="H6898" s="39">
        <f>SUM(G6898:G6898)</f>
        <v>5.4339999999999993</v>
      </c>
      <c r="I6898" s="40"/>
      <c r="J6898" s="102">
        <v>0</v>
      </c>
    </row>
    <row r="6899" spans="1:10" ht="15.75" hidden="1" thickBot="1" x14ac:dyDescent="0.3">
      <c r="A6899" s="220"/>
      <c r="B6899" s="223"/>
      <c r="C6899" s="55"/>
      <c r="D6899" s="55"/>
      <c r="E6899" s="66"/>
      <c r="F6899" s="67" t="s">
        <v>522</v>
      </c>
      <c r="G6899" s="67" t="str">
        <f t="shared" si="186"/>
        <v/>
      </c>
      <c r="H6899" s="69"/>
      <c r="I6899" s="31"/>
      <c r="J6899" s="102">
        <v>0</v>
      </c>
    </row>
    <row r="6900" spans="1:10" ht="15.75" hidden="1" thickBot="1" x14ac:dyDescent="0.3">
      <c r="A6900" s="218" t="s">
        <v>2944</v>
      </c>
      <c r="B6900" s="221" t="e">
        <f>INDEX(#REF!,MATCH(Composições!A6900,#REF!,0),2)</f>
        <v>#REF!</v>
      </c>
      <c r="C6900" s="41"/>
      <c r="D6900" s="26" t="s">
        <v>20</v>
      </c>
      <c r="E6900" s="27"/>
      <c r="F6900" s="42" t="s">
        <v>522</v>
      </c>
      <c r="G6900" s="28" t="str">
        <f t="shared" si="186"/>
        <v/>
      </c>
      <c r="H6900" s="29"/>
      <c r="I6900" s="30"/>
      <c r="J6900" s="102">
        <v>0</v>
      </c>
    </row>
    <row r="6901" spans="1:10" hidden="1" x14ac:dyDescent="0.25">
      <c r="A6901" s="219"/>
      <c r="B6901" s="222"/>
      <c r="C6901" s="32"/>
      <c r="D6901" s="32"/>
      <c r="E6901" s="33"/>
      <c r="F6901" s="43" t="s">
        <v>522</v>
      </c>
      <c r="G6901" s="31" t="str">
        <f t="shared" si="186"/>
        <v/>
      </c>
      <c r="H6901" s="35"/>
      <c r="I6901" s="31"/>
      <c r="J6901" s="102">
        <v>0</v>
      </c>
    </row>
    <row r="6902" spans="1:10" ht="25.5" hidden="1" x14ac:dyDescent="0.25">
      <c r="A6902" s="219"/>
      <c r="B6902" s="222"/>
      <c r="C6902" s="118" t="s">
        <v>3289</v>
      </c>
      <c r="D6902" s="47" t="s">
        <v>20</v>
      </c>
      <c r="E6902" s="106">
        <v>1</v>
      </c>
      <c r="F6902" s="31">
        <v>33.981500000000004</v>
      </c>
      <c r="G6902" s="31">
        <f t="shared" si="186"/>
        <v>33.981500000000004</v>
      </c>
      <c r="H6902" s="39">
        <f>SUM(G6902:G6902)</f>
        <v>33.981500000000004</v>
      </c>
      <c r="I6902" s="40"/>
      <c r="J6902" s="102">
        <v>0</v>
      </c>
    </row>
    <row r="6903" spans="1:10" ht="15.75" hidden="1" thickBot="1" x14ac:dyDescent="0.3">
      <c r="A6903" s="220"/>
      <c r="B6903" s="223"/>
      <c r="C6903" s="55"/>
      <c r="D6903" s="55"/>
      <c r="E6903" s="66"/>
      <c r="F6903" s="67" t="s">
        <v>522</v>
      </c>
      <c r="G6903" s="67" t="str">
        <f t="shared" si="186"/>
        <v/>
      </c>
      <c r="H6903" s="69"/>
      <c r="I6903" s="31"/>
      <c r="J6903" s="102">
        <v>0</v>
      </c>
    </row>
    <row r="6904" spans="1:10" ht="15.75" hidden="1" thickBot="1" x14ac:dyDescent="0.3">
      <c r="A6904" s="218" t="s">
        <v>2946</v>
      </c>
      <c r="B6904" s="221" t="e">
        <f>INDEX(#REF!,MATCH(Composições!A6904,#REF!,0),2)</f>
        <v>#REF!</v>
      </c>
      <c r="C6904" s="41"/>
      <c r="D6904" s="26" t="s">
        <v>20</v>
      </c>
      <c r="E6904" s="27"/>
      <c r="F6904" s="42" t="s">
        <v>522</v>
      </c>
      <c r="G6904" s="28" t="str">
        <f t="shared" si="186"/>
        <v/>
      </c>
      <c r="H6904" s="29"/>
      <c r="I6904" s="30"/>
      <c r="J6904" s="102">
        <v>0</v>
      </c>
    </row>
    <row r="6905" spans="1:10" hidden="1" x14ac:dyDescent="0.25">
      <c r="A6905" s="219"/>
      <c r="B6905" s="222"/>
      <c r="C6905" s="32"/>
      <c r="D6905" s="32"/>
      <c r="E6905" s="33"/>
      <c r="F6905" s="43" t="s">
        <v>522</v>
      </c>
      <c r="G6905" s="31" t="str">
        <f t="shared" si="186"/>
        <v/>
      </c>
      <c r="H6905" s="35"/>
      <c r="I6905" s="31"/>
      <c r="J6905" s="102">
        <v>0</v>
      </c>
    </row>
    <row r="6906" spans="1:10" hidden="1" x14ac:dyDescent="0.25">
      <c r="A6906" s="219"/>
      <c r="B6906" s="222"/>
      <c r="C6906" s="118" t="s">
        <v>3226</v>
      </c>
      <c r="D6906" s="47" t="s">
        <v>20</v>
      </c>
      <c r="E6906" s="106">
        <v>1</v>
      </c>
      <c r="F6906" s="31">
        <v>14.116999999999999</v>
      </c>
      <c r="G6906" s="31">
        <f t="shared" si="186"/>
        <v>14.116999999999999</v>
      </c>
      <c r="H6906" s="39">
        <f>SUM(G6906:G6906)</f>
        <v>14.116999999999999</v>
      </c>
      <c r="I6906" s="40"/>
      <c r="J6906" s="102">
        <v>0</v>
      </c>
    </row>
    <row r="6907" spans="1:10" ht="15.75" hidden="1" thickBot="1" x14ac:dyDescent="0.3">
      <c r="A6907" s="220"/>
      <c r="B6907" s="223"/>
      <c r="C6907" s="55"/>
      <c r="D6907" s="55"/>
      <c r="E6907" s="66"/>
      <c r="F6907" s="67" t="s">
        <v>522</v>
      </c>
      <c r="G6907" s="67" t="str">
        <f t="shared" si="186"/>
        <v/>
      </c>
      <c r="H6907" s="69"/>
      <c r="I6907" s="31"/>
      <c r="J6907" s="102">
        <v>0</v>
      </c>
    </row>
    <row r="6908" spans="1:10" ht="15.75" hidden="1" thickBot="1" x14ac:dyDescent="0.3">
      <c r="A6908" s="218" t="s">
        <v>2950</v>
      </c>
      <c r="B6908" s="221" t="e">
        <f>INDEX(#REF!,MATCH(Composições!A6908,#REF!,0),2)</f>
        <v>#REF!</v>
      </c>
      <c r="C6908" s="41"/>
      <c r="D6908" s="26" t="s">
        <v>20</v>
      </c>
      <c r="E6908" s="27"/>
      <c r="F6908" s="42" t="s">
        <v>522</v>
      </c>
      <c r="G6908" s="28" t="str">
        <f t="shared" si="186"/>
        <v/>
      </c>
      <c r="H6908" s="29"/>
      <c r="I6908" s="30"/>
      <c r="J6908" s="102">
        <v>0</v>
      </c>
    </row>
    <row r="6909" spans="1:10" hidden="1" x14ac:dyDescent="0.25">
      <c r="A6909" s="219"/>
      <c r="B6909" s="222"/>
      <c r="C6909" s="32"/>
      <c r="D6909" s="32"/>
      <c r="E6909" s="33"/>
      <c r="F6909" s="43" t="s">
        <v>522</v>
      </c>
      <c r="G6909" s="31" t="str">
        <f t="shared" si="186"/>
        <v/>
      </c>
      <c r="H6909" s="35"/>
      <c r="I6909" s="31"/>
      <c r="J6909" s="102">
        <v>0</v>
      </c>
    </row>
    <row r="6910" spans="1:10" ht="25.5" hidden="1" x14ac:dyDescent="0.25">
      <c r="A6910" s="219"/>
      <c r="B6910" s="222"/>
      <c r="C6910" s="118" t="s">
        <v>3294</v>
      </c>
      <c r="D6910" s="47" t="s">
        <v>20</v>
      </c>
      <c r="E6910" s="106">
        <v>1</v>
      </c>
      <c r="F6910" s="31">
        <v>16.330500000000001</v>
      </c>
      <c r="G6910" s="31">
        <f t="shared" si="186"/>
        <v>16.330500000000001</v>
      </c>
      <c r="H6910" s="39">
        <f>SUM(G6910:G6910)</f>
        <v>16.330500000000001</v>
      </c>
      <c r="I6910" s="40"/>
      <c r="J6910" s="102">
        <v>0</v>
      </c>
    </row>
    <row r="6911" spans="1:10" ht="15.75" hidden="1" thickBot="1" x14ac:dyDescent="0.3">
      <c r="A6911" s="220"/>
      <c r="B6911" s="223"/>
      <c r="C6911" s="55"/>
      <c r="D6911" s="55"/>
      <c r="E6911" s="66"/>
      <c r="F6911" s="67" t="s">
        <v>522</v>
      </c>
      <c r="G6911" s="67" t="str">
        <f t="shared" si="186"/>
        <v/>
      </c>
      <c r="H6911" s="69"/>
      <c r="I6911" s="31"/>
      <c r="J6911" s="102">
        <v>0</v>
      </c>
    </row>
    <row r="6912" spans="1:10" ht="15.75" hidden="1" thickBot="1" x14ac:dyDescent="0.3">
      <c r="A6912" s="218" t="s">
        <v>2952</v>
      </c>
      <c r="B6912" s="221" t="e">
        <f>INDEX(#REF!,MATCH(Composições!A6912,#REF!,0),2)</f>
        <v>#REF!</v>
      </c>
      <c r="C6912" s="41"/>
      <c r="D6912" s="26" t="s">
        <v>20</v>
      </c>
      <c r="E6912" s="27"/>
      <c r="F6912" s="42" t="s">
        <v>522</v>
      </c>
      <c r="G6912" s="28" t="str">
        <f t="shared" si="186"/>
        <v/>
      </c>
      <c r="H6912" s="29"/>
      <c r="I6912" s="30"/>
      <c r="J6912" s="102">
        <v>0</v>
      </c>
    </row>
    <row r="6913" spans="1:10" hidden="1" x14ac:dyDescent="0.25">
      <c r="A6913" s="219"/>
      <c r="B6913" s="222"/>
      <c r="C6913" s="32"/>
      <c r="D6913" s="32"/>
      <c r="E6913" s="33"/>
      <c r="F6913" s="43" t="s">
        <v>522</v>
      </c>
      <c r="G6913" s="31" t="str">
        <f t="shared" si="186"/>
        <v/>
      </c>
      <c r="H6913" s="35"/>
      <c r="I6913" s="31"/>
      <c r="J6913" s="102">
        <v>0</v>
      </c>
    </row>
    <row r="6914" spans="1:10" ht="25.5" hidden="1" x14ac:dyDescent="0.25">
      <c r="A6914" s="219"/>
      <c r="B6914" s="222"/>
      <c r="C6914" s="118" t="s">
        <v>3230</v>
      </c>
      <c r="D6914" s="47" t="s">
        <v>20</v>
      </c>
      <c r="E6914" s="106">
        <v>1</v>
      </c>
      <c r="F6914" s="31">
        <v>19.066499999999998</v>
      </c>
      <c r="G6914" s="31">
        <f t="shared" si="186"/>
        <v>19.066499999999998</v>
      </c>
      <c r="H6914" s="39">
        <f>SUM(G6914:G6914)</f>
        <v>19.066499999999998</v>
      </c>
      <c r="I6914" s="40"/>
      <c r="J6914" s="102">
        <v>0</v>
      </c>
    </row>
    <row r="6915" spans="1:10" ht="15.75" hidden="1" thickBot="1" x14ac:dyDescent="0.3">
      <c r="A6915" s="220"/>
      <c r="B6915" s="223"/>
      <c r="C6915" s="55"/>
      <c r="D6915" s="55"/>
      <c r="E6915" s="66"/>
      <c r="F6915" s="67" t="s">
        <v>522</v>
      </c>
      <c r="G6915" s="67" t="str">
        <f t="shared" si="186"/>
        <v/>
      </c>
      <c r="H6915" s="69"/>
      <c r="I6915" s="31"/>
      <c r="J6915" s="102">
        <v>0</v>
      </c>
    </row>
    <row r="6916" spans="1:10" ht="15.75" hidden="1" thickBot="1" x14ac:dyDescent="0.3">
      <c r="A6916" s="218" t="s">
        <v>2962</v>
      </c>
      <c r="B6916" s="221" t="e">
        <f>INDEX(#REF!,MATCH(Composições!A6916,#REF!,0),2)</f>
        <v>#REF!</v>
      </c>
      <c r="C6916" s="41"/>
      <c r="D6916" s="26" t="s">
        <v>20</v>
      </c>
      <c r="E6916" s="27"/>
      <c r="F6916" s="42" t="s">
        <v>522</v>
      </c>
      <c r="G6916" s="28" t="str">
        <f t="shared" si="186"/>
        <v/>
      </c>
      <c r="H6916" s="29"/>
      <c r="I6916" s="30"/>
      <c r="J6916" s="102">
        <v>0</v>
      </c>
    </row>
    <row r="6917" spans="1:10" hidden="1" x14ac:dyDescent="0.25">
      <c r="A6917" s="219"/>
      <c r="B6917" s="222"/>
      <c r="C6917" s="32"/>
      <c r="D6917" s="32"/>
      <c r="E6917" s="33"/>
      <c r="F6917" s="43" t="s">
        <v>522</v>
      </c>
      <c r="G6917" s="31" t="str">
        <f t="shared" si="186"/>
        <v/>
      </c>
      <c r="H6917" s="35"/>
      <c r="I6917" s="31"/>
      <c r="J6917" s="102">
        <v>0</v>
      </c>
    </row>
    <row r="6918" spans="1:10" ht="25.5" hidden="1" x14ac:dyDescent="0.25">
      <c r="A6918" s="219"/>
      <c r="B6918" s="222"/>
      <c r="C6918" s="118" t="s">
        <v>3234</v>
      </c>
      <c r="D6918" s="47" t="s">
        <v>20</v>
      </c>
      <c r="E6918" s="106">
        <v>1</v>
      </c>
      <c r="F6918" s="31">
        <v>130.25450000000001</v>
      </c>
      <c r="G6918" s="31">
        <f t="shared" si="186"/>
        <v>130.25450000000001</v>
      </c>
      <c r="H6918" s="39">
        <f>SUM(G6918:G6918)</f>
        <v>130.25450000000001</v>
      </c>
      <c r="I6918" s="40"/>
      <c r="J6918" s="102">
        <v>0</v>
      </c>
    </row>
    <row r="6919" spans="1:10" ht="15.75" hidden="1" thickBot="1" x14ac:dyDescent="0.3">
      <c r="A6919" s="220"/>
      <c r="B6919" s="223"/>
      <c r="C6919" s="55"/>
      <c r="D6919" s="55"/>
      <c r="E6919" s="66"/>
      <c r="F6919" s="67" t="s">
        <v>522</v>
      </c>
      <c r="G6919" s="67" t="str">
        <f t="shared" si="186"/>
        <v/>
      </c>
      <c r="H6919" s="69"/>
      <c r="I6919" s="31"/>
      <c r="J6919" s="102">
        <v>0</v>
      </c>
    </row>
    <row r="6920" spans="1:10" ht="15.75" hidden="1" thickBot="1" x14ac:dyDescent="0.3">
      <c r="A6920" s="218" t="s">
        <v>2964</v>
      </c>
      <c r="B6920" s="221" t="e">
        <f>INDEX(#REF!,MATCH(Composições!A6920,#REF!,0),2)</f>
        <v>#REF!</v>
      </c>
      <c r="C6920" s="41"/>
      <c r="D6920" s="26" t="s">
        <v>20</v>
      </c>
      <c r="E6920" s="27"/>
      <c r="F6920" s="42" t="s">
        <v>522</v>
      </c>
      <c r="G6920" s="28" t="str">
        <f t="shared" si="186"/>
        <v/>
      </c>
      <c r="H6920" s="29"/>
      <c r="I6920" s="30"/>
      <c r="J6920" s="102">
        <v>0</v>
      </c>
    </row>
    <row r="6921" spans="1:10" hidden="1" x14ac:dyDescent="0.25">
      <c r="A6921" s="219"/>
      <c r="B6921" s="222"/>
      <c r="C6921" s="32"/>
      <c r="D6921" s="32"/>
      <c r="E6921" s="33"/>
      <c r="F6921" s="43" t="s">
        <v>522</v>
      </c>
      <c r="G6921" s="31" t="str">
        <f t="shared" si="186"/>
        <v/>
      </c>
      <c r="H6921" s="35"/>
      <c r="I6921" s="31"/>
      <c r="J6921" s="102">
        <v>0</v>
      </c>
    </row>
    <row r="6922" spans="1:10" hidden="1" x14ac:dyDescent="0.25">
      <c r="A6922" s="219"/>
      <c r="B6922" s="222"/>
      <c r="C6922" s="118" t="s">
        <v>3233</v>
      </c>
      <c r="D6922" s="47" t="s">
        <v>20</v>
      </c>
      <c r="E6922" s="106">
        <v>1</v>
      </c>
      <c r="F6922" s="31">
        <v>53.133499999999998</v>
      </c>
      <c r="G6922" s="31">
        <f t="shared" si="186"/>
        <v>53.133499999999998</v>
      </c>
      <c r="H6922" s="39">
        <f>SUM(G6922:G6922)</f>
        <v>53.133499999999998</v>
      </c>
      <c r="I6922" s="40"/>
      <c r="J6922" s="102">
        <v>0</v>
      </c>
    </row>
    <row r="6923" spans="1:10" ht="15.75" hidden="1" thickBot="1" x14ac:dyDescent="0.3">
      <c r="A6923" s="220"/>
      <c r="B6923" s="223"/>
      <c r="C6923" s="55"/>
      <c r="D6923" s="55"/>
      <c r="E6923" s="66"/>
      <c r="F6923" s="67" t="s">
        <v>522</v>
      </c>
      <c r="G6923" s="67" t="str">
        <f t="shared" si="186"/>
        <v/>
      </c>
      <c r="H6923" s="69"/>
      <c r="I6923" s="31"/>
      <c r="J6923" s="102">
        <v>0</v>
      </c>
    </row>
    <row r="6924" spans="1:10" ht="15.75" hidden="1" thickBot="1" x14ac:dyDescent="0.3">
      <c r="A6924" s="218" t="s">
        <v>2966</v>
      </c>
      <c r="B6924" s="221" t="e">
        <f>INDEX(#REF!,MATCH(Composições!A6924,#REF!,0),2)</f>
        <v>#REF!</v>
      </c>
      <c r="C6924" s="41"/>
      <c r="D6924" s="26" t="s">
        <v>20</v>
      </c>
      <c r="E6924" s="27"/>
      <c r="F6924" s="42" t="s">
        <v>522</v>
      </c>
      <c r="G6924" s="28" t="str">
        <f t="shared" si="186"/>
        <v/>
      </c>
      <c r="H6924" s="29"/>
      <c r="I6924" s="30"/>
      <c r="J6924" s="102">
        <v>0</v>
      </c>
    </row>
    <row r="6925" spans="1:10" hidden="1" x14ac:dyDescent="0.25">
      <c r="A6925" s="219"/>
      <c r="B6925" s="222"/>
      <c r="C6925" s="32"/>
      <c r="D6925" s="32"/>
      <c r="E6925" s="33"/>
      <c r="F6925" s="43" t="s">
        <v>522</v>
      </c>
      <c r="G6925" s="31" t="str">
        <f t="shared" si="186"/>
        <v/>
      </c>
      <c r="H6925" s="35"/>
      <c r="I6925" s="31"/>
      <c r="J6925" s="102">
        <v>0</v>
      </c>
    </row>
    <row r="6926" spans="1:10" ht="25.5" hidden="1" x14ac:dyDescent="0.25">
      <c r="A6926" s="219"/>
      <c r="B6926" s="222"/>
      <c r="C6926" s="118" t="s">
        <v>3235</v>
      </c>
      <c r="D6926" s="47" t="s">
        <v>20</v>
      </c>
      <c r="E6926" s="106">
        <v>1</v>
      </c>
      <c r="F6926" s="31">
        <v>305.12099999999998</v>
      </c>
      <c r="G6926" s="31">
        <f t="shared" si="186"/>
        <v>305.12099999999998</v>
      </c>
      <c r="H6926" s="39">
        <f t="shared" ref="H6926" si="187">SUM(G6926:G6926)</f>
        <v>305.12099999999998</v>
      </c>
      <c r="I6926" s="40"/>
      <c r="J6926" s="102">
        <v>0</v>
      </c>
    </row>
    <row r="6927" spans="1:10" ht="15.75" hidden="1" thickBot="1" x14ac:dyDescent="0.3">
      <c r="A6927" s="220"/>
      <c r="B6927" s="223"/>
      <c r="C6927" s="55"/>
      <c r="D6927" s="55"/>
      <c r="E6927" s="66"/>
      <c r="F6927" s="67" t="s">
        <v>522</v>
      </c>
      <c r="G6927" s="67" t="str">
        <f t="shared" si="186"/>
        <v/>
      </c>
      <c r="H6927" s="69"/>
      <c r="I6927" s="31"/>
      <c r="J6927" s="102">
        <v>0</v>
      </c>
    </row>
    <row r="6928" spans="1:10" ht="15.75" hidden="1" thickBot="1" x14ac:dyDescent="0.3">
      <c r="A6928" s="218" t="s">
        <v>2968</v>
      </c>
      <c r="B6928" s="221" t="e">
        <f>INDEX(#REF!,MATCH(Composições!A6928,#REF!,0),2)</f>
        <v>#REF!</v>
      </c>
      <c r="C6928" s="41"/>
      <c r="D6928" s="26" t="s">
        <v>20</v>
      </c>
      <c r="E6928" s="27"/>
      <c r="F6928" s="42" t="s">
        <v>522</v>
      </c>
      <c r="G6928" s="28" t="str">
        <f t="shared" si="186"/>
        <v/>
      </c>
      <c r="H6928" s="29"/>
      <c r="I6928" s="30"/>
      <c r="J6928" s="102">
        <v>0</v>
      </c>
    </row>
    <row r="6929" spans="1:10" hidden="1" x14ac:dyDescent="0.25">
      <c r="A6929" s="219"/>
      <c r="B6929" s="222"/>
      <c r="C6929" s="32"/>
      <c r="D6929" s="32"/>
      <c r="E6929" s="33"/>
      <c r="F6929" s="43" t="s">
        <v>522</v>
      </c>
      <c r="G6929" s="31" t="str">
        <f t="shared" si="186"/>
        <v/>
      </c>
      <c r="H6929" s="35"/>
      <c r="I6929" s="31"/>
      <c r="J6929" s="102">
        <v>0</v>
      </c>
    </row>
    <row r="6930" spans="1:10" ht="25.5" hidden="1" x14ac:dyDescent="0.25">
      <c r="A6930" s="219"/>
      <c r="B6930" s="222"/>
      <c r="C6930" s="118" t="s">
        <v>3232</v>
      </c>
      <c r="D6930" s="47" t="s">
        <v>20</v>
      </c>
      <c r="E6930" s="106">
        <v>1</v>
      </c>
      <c r="F6930" s="31">
        <v>68.361999999999995</v>
      </c>
      <c r="G6930" s="31">
        <f t="shared" si="186"/>
        <v>68.361999999999995</v>
      </c>
      <c r="H6930" s="39">
        <f t="shared" ref="H6930" si="188">SUM(G6930:G6930)</f>
        <v>68.361999999999995</v>
      </c>
      <c r="I6930" s="40"/>
      <c r="J6930" s="102">
        <v>0</v>
      </c>
    </row>
    <row r="6931" spans="1:10" ht="15.75" hidden="1" thickBot="1" x14ac:dyDescent="0.3">
      <c r="A6931" s="220"/>
      <c r="B6931" s="223"/>
      <c r="C6931" s="55"/>
      <c r="D6931" s="55"/>
      <c r="E6931" s="66"/>
      <c r="F6931" s="67" t="s">
        <v>522</v>
      </c>
      <c r="G6931" s="67" t="str">
        <f t="shared" si="186"/>
        <v/>
      </c>
      <c r="H6931" s="69"/>
      <c r="I6931" s="31"/>
      <c r="J6931" s="102">
        <v>0</v>
      </c>
    </row>
    <row r="6932" spans="1:10" ht="15.75" hidden="1" thickBot="1" x14ac:dyDescent="0.3">
      <c r="A6932" s="218" t="s">
        <v>2970</v>
      </c>
      <c r="B6932" s="221" t="e">
        <f>INDEX(#REF!,MATCH(Composições!A6932,#REF!,0),2)</f>
        <v>#REF!</v>
      </c>
      <c r="C6932" s="41"/>
      <c r="D6932" s="26" t="s">
        <v>20</v>
      </c>
      <c r="E6932" s="27"/>
      <c r="F6932" s="42" t="s">
        <v>522</v>
      </c>
      <c r="G6932" s="28" t="str">
        <f t="shared" si="186"/>
        <v/>
      </c>
      <c r="H6932" s="29"/>
      <c r="I6932" s="30"/>
      <c r="J6932" s="102">
        <v>0</v>
      </c>
    </row>
    <row r="6933" spans="1:10" hidden="1" x14ac:dyDescent="0.25">
      <c r="A6933" s="219"/>
      <c r="B6933" s="222"/>
      <c r="C6933" s="32"/>
      <c r="D6933" s="32"/>
      <c r="E6933" s="33"/>
      <c r="F6933" s="43" t="s">
        <v>522</v>
      </c>
      <c r="G6933" s="31" t="str">
        <f t="shared" si="186"/>
        <v/>
      </c>
      <c r="H6933" s="35"/>
      <c r="I6933" s="31"/>
      <c r="J6933" s="102">
        <v>0</v>
      </c>
    </row>
    <row r="6934" spans="1:10" ht="25.5" hidden="1" x14ac:dyDescent="0.25">
      <c r="A6934" s="219"/>
      <c r="B6934" s="222"/>
      <c r="C6934" s="118" t="s">
        <v>3242</v>
      </c>
      <c r="D6934" s="47" t="s">
        <v>20</v>
      </c>
      <c r="E6934" s="106">
        <v>1</v>
      </c>
      <c r="F6934" s="31">
        <v>40.907000000000004</v>
      </c>
      <c r="G6934" s="31">
        <f t="shared" si="186"/>
        <v>40.907000000000004</v>
      </c>
      <c r="H6934" s="39">
        <f t="shared" ref="H6934" si="189">SUM(G6934:G6934)</f>
        <v>40.907000000000004</v>
      </c>
      <c r="I6934" s="40"/>
      <c r="J6934" s="102">
        <v>0</v>
      </c>
    </row>
    <row r="6935" spans="1:10" ht="15.75" hidden="1" thickBot="1" x14ac:dyDescent="0.3">
      <c r="A6935" s="220"/>
      <c r="B6935" s="223"/>
      <c r="C6935" s="55"/>
      <c r="D6935" s="55"/>
      <c r="E6935" s="66"/>
      <c r="F6935" s="67" t="s">
        <v>522</v>
      </c>
      <c r="G6935" s="67" t="str">
        <f t="shared" si="186"/>
        <v/>
      </c>
      <c r="H6935" s="69"/>
      <c r="I6935" s="31"/>
      <c r="J6935" s="102">
        <v>0</v>
      </c>
    </row>
    <row r="6936" spans="1:10" ht="15.75" hidden="1" thickBot="1" x14ac:dyDescent="0.3">
      <c r="A6936" s="218" t="s">
        <v>2972</v>
      </c>
      <c r="B6936" s="221" t="e">
        <f>INDEX(#REF!,MATCH(Composições!A6936,#REF!,0),2)</f>
        <v>#REF!</v>
      </c>
      <c r="C6936" s="41"/>
      <c r="D6936" s="26" t="s">
        <v>20</v>
      </c>
      <c r="E6936" s="27"/>
      <c r="F6936" s="42" t="s">
        <v>522</v>
      </c>
      <c r="G6936" s="28" t="str">
        <f t="shared" si="186"/>
        <v/>
      </c>
      <c r="H6936" s="29"/>
      <c r="I6936" s="30"/>
      <c r="J6936" s="102">
        <v>0</v>
      </c>
    </row>
    <row r="6937" spans="1:10" hidden="1" x14ac:dyDescent="0.25">
      <c r="A6937" s="219"/>
      <c r="B6937" s="222"/>
      <c r="C6937" s="32"/>
      <c r="D6937" s="32"/>
      <c r="E6937" s="33"/>
      <c r="F6937" s="43" t="s">
        <v>522</v>
      </c>
      <c r="G6937" s="31" t="str">
        <f t="shared" si="186"/>
        <v/>
      </c>
      <c r="H6937" s="35"/>
      <c r="I6937" s="31"/>
      <c r="J6937" s="102">
        <v>0</v>
      </c>
    </row>
    <row r="6938" spans="1:10" ht="25.5" hidden="1" x14ac:dyDescent="0.25">
      <c r="A6938" s="219"/>
      <c r="B6938" s="222"/>
      <c r="C6938" s="118" t="s">
        <v>3207</v>
      </c>
      <c r="D6938" s="47" t="s">
        <v>20</v>
      </c>
      <c r="E6938" s="106">
        <v>1</v>
      </c>
      <c r="F6938" s="31">
        <v>39.605499999999999</v>
      </c>
      <c r="G6938" s="31">
        <f t="shared" si="186"/>
        <v>39.605499999999999</v>
      </c>
      <c r="H6938" s="39">
        <f t="shared" ref="H6938" si="190">SUM(G6938:G6938)</f>
        <v>39.605499999999999</v>
      </c>
      <c r="I6938" s="40"/>
      <c r="J6938" s="102">
        <v>0</v>
      </c>
    </row>
    <row r="6939" spans="1:10" ht="15.75" hidden="1" thickBot="1" x14ac:dyDescent="0.3">
      <c r="A6939" s="220"/>
      <c r="B6939" s="223"/>
      <c r="C6939" s="55"/>
      <c r="D6939" s="55"/>
      <c r="E6939" s="66"/>
      <c r="F6939" s="67" t="s">
        <v>522</v>
      </c>
      <c r="G6939" s="67" t="str">
        <f t="shared" si="186"/>
        <v/>
      </c>
      <c r="H6939" s="69"/>
      <c r="I6939" s="31"/>
      <c r="J6939" s="102">
        <v>0</v>
      </c>
    </row>
    <row r="6940" spans="1:10" ht="15.75" hidden="1" thickBot="1" x14ac:dyDescent="0.3">
      <c r="A6940" s="218" t="s">
        <v>2974</v>
      </c>
      <c r="B6940" s="221" t="e">
        <f>INDEX(#REF!,MATCH(Composições!A6940,#REF!,0),2)</f>
        <v>#REF!</v>
      </c>
      <c r="C6940" s="41"/>
      <c r="D6940" s="26" t="s">
        <v>20</v>
      </c>
      <c r="E6940" s="27"/>
      <c r="F6940" s="42" t="s">
        <v>522</v>
      </c>
      <c r="G6940" s="28" t="str">
        <f t="shared" si="186"/>
        <v/>
      </c>
      <c r="H6940" s="29"/>
      <c r="I6940" s="30"/>
      <c r="J6940" s="102">
        <v>0</v>
      </c>
    </row>
    <row r="6941" spans="1:10" hidden="1" x14ac:dyDescent="0.25">
      <c r="A6941" s="219"/>
      <c r="B6941" s="222"/>
      <c r="C6941" s="32"/>
      <c r="D6941" s="32"/>
      <c r="E6941" s="33"/>
      <c r="F6941" s="43" t="s">
        <v>522</v>
      </c>
      <c r="G6941" s="31" t="str">
        <f t="shared" si="186"/>
        <v/>
      </c>
      <c r="H6941" s="35"/>
      <c r="I6941" s="31"/>
      <c r="J6941" s="102">
        <v>0</v>
      </c>
    </row>
    <row r="6942" spans="1:10" ht="25.5" hidden="1" x14ac:dyDescent="0.25">
      <c r="A6942" s="219"/>
      <c r="B6942" s="222"/>
      <c r="C6942" s="118" t="s">
        <v>3206</v>
      </c>
      <c r="D6942" s="47" t="s">
        <v>20</v>
      </c>
      <c r="E6942" s="106">
        <v>1</v>
      </c>
      <c r="F6942" s="31">
        <v>13.375999999999999</v>
      </c>
      <c r="G6942" s="31">
        <f t="shared" si="186"/>
        <v>13.375999999999999</v>
      </c>
      <c r="H6942" s="39">
        <f t="shared" ref="H6942" si="191">SUM(G6942:G6942)</f>
        <v>13.375999999999999</v>
      </c>
      <c r="I6942" s="40"/>
      <c r="J6942" s="102">
        <v>0</v>
      </c>
    </row>
    <row r="6943" spans="1:10" ht="15.75" hidden="1" thickBot="1" x14ac:dyDescent="0.3">
      <c r="A6943" s="220"/>
      <c r="B6943" s="223"/>
      <c r="C6943" s="55"/>
      <c r="D6943" s="55"/>
      <c r="E6943" s="66"/>
      <c r="F6943" s="67" t="s">
        <v>522</v>
      </c>
      <c r="G6943" s="67" t="str">
        <f t="shared" si="186"/>
        <v/>
      </c>
      <c r="H6943" s="69"/>
      <c r="I6943" s="31"/>
      <c r="J6943" s="102">
        <v>0</v>
      </c>
    </row>
    <row r="6944" spans="1:10" ht="15.75" hidden="1" thickBot="1" x14ac:dyDescent="0.3">
      <c r="A6944" s="218" t="s">
        <v>2984</v>
      </c>
      <c r="B6944" s="221" t="e">
        <f>INDEX(#REF!,MATCH(Composições!A6944,#REF!,0),2)</f>
        <v>#REF!</v>
      </c>
      <c r="C6944" s="41"/>
      <c r="D6944" s="26" t="s">
        <v>20</v>
      </c>
      <c r="E6944" s="27"/>
      <c r="F6944" s="42" t="s">
        <v>522</v>
      </c>
      <c r="G6944" s="28" t="str">
        <f t="shared" si="186"/>
        <v/>
      </c>
      <c r="H6944" s="29"/>
      <c r="I6944" s="30"/>
      <c r="J6944" s="102">
        <v>0</v>
      </c>
    </row>
    <row r="6945" spans="1:10" hidden="1" x14ac:dyDescent="0.25">
      <c r="A6945" s="219"/>
      <c r="B6945" s="222"/>
      <c r="C6945" s="32"/>
      <c r="D6945" s="32"/>
      <c r="E6945" s="33"/>
      <c r="F6945" s="43" t="s">
        <v>522</v>
      </c>
      <c r="G6945" s="31" t="str">
        <f t="shared" si="186"/>
        <v/>
      </c>
      <c r="H6945" s="35"/>
      <c r="I6945" s="31"/>
      <c r="J6945" s="102">
        <v>0</v>
      </c>
    </row>
    <row r="6946" spans="1:10" hidden="1" x14ac:dyDescent="0.25">
      <c r="A6946" s="219"/>
      <c r="B6946" s="222"/>
      <c r="C6946" s="118" t="s">
        <v>3245</v>
      </c>
      <c r="D6946" s="47" t="s">
        <v>20</v>
      </c>
      <c r="E6946" s="106">
        <v>1</v>
      </c>
      <c r="F6946" s="31">
        <v>8.1415000000000006</v>
      </c>
      <c r="G6946" s="31">
        <f t="shared" ref="G6946:G7009" si="192">IF(ISNUMBER(F6946),E6946*F6946,"")</f>
        <v>8.1415000000000006</v>
      </c>
      <c r="H6946" s="39">
        <f t="shared" ref="H6946" si="193">SUM(G6946:G6946)</f>
        <v>8.1415000000000006</v>
      </c>
      <c r="I6946" s="40"/>
      <c r="J6946" s="102">
        <v>0</v>
      </c>
    </row>
    <row r="6947" spans="1:10" ht="15.75" hidden="1" thickBot="1" x14ac:dyDescent="0.3">
      <c r="A6947" s="220"/>
      <c r="B6947" s="223"/>
      <c r="C6947" s="55"/>
      <c r="D6947" s="55"/>
      <c r="E6947" s="66"/>
      <c r="F6947" s="67" t="s">
        <v>522</v>
      </c>
      <c r="G6947" s="67" t="str">
        <f t="shared" si="192"/>
        <v/>
      </c>
      <c r="H6947" s="69"/>
      <c r="I6947" s="31"/>
      <c r="J6947" s="102">
        <v>0</v>
      </c>
    </row>
    <row r="6948" spans="1:10" ht="15.75" hidden="1" thickBot="1" x14ac:dyDescent="0.3">
      <c r="A6948" s="218" t="s">
        <v>2986</v>
      </c>
      <c r="B6948" s="221" t="e">
        <f>INDEX(#REF!,MATCH(Composições!A6948,#REF!,0),2)</f>
        <v>#REF!</v>
      </c>
      <c r="C6948" s="41"/>
      <c r="D6948" s="26" t="s">
        <v>20</v>
      </c>
      <c r="E6948" s="27"/>
      <c r="F6948" s="42" t="s">
        <v>522</v>
      </c>
      <c r="G6948" s="28" t="str">
        <f t="shared" si="192"/>
        <v/>
      </c>
      <c r="H6948" s="29"/>
      <c r="I6948" s="30"/>
      <c r="J6948" s="102">
        <v>0</v>
      </c>
    </row>
    <row r="6949" spans="1:10" hidden="1" x14ac:dyDescent="0.25">
      <c r="A6949" s="219"/>
      <c r="B6949" s="222"/>
      <c r="C6949" s="32"/>
      <c r="D6949" s="32"/>
      <c r="E6949" s="33"/>
      <c r="F6949" s="43" t="s">
        <v>522</v>
      </c>
      <c r="G6949" s="31" t="str">
        <f t="shared" si="192"/>
        <v/>
      </c>
      <c r="H6949" s="35"/>
      <c r="I6949" s="31"/>
      <c r="J6949" s="102">
        <v>0</v>
      </c>
    </row>
    <row r="6950" spans="1:10" ht="25.5" hidden="1" x14ac:dyDescent="0.25">
      <c r="A6950" s="219"/>
      <c r="B6950" s="222"/>
      <c r="C6950" s="118" t="s">
        <v>3250</v>
      </c>
      <c r="D6950" s="47" t="s">
        <v>20</v>
      </c>
      <c r="E6950" s="106">
        <v>1</v>
      </c>
      <c r="F6950" s="31">
        <v>34.295000000000002</v>
      </c>
      <c r="G6950" s="31">
        <f t="shared" si="192"/>
        <v>34.295000000000002</v>
      </c>
      <c r="H6950" s="39">
        <f t="shared" ref="H6950" si="194">SUM(G6950:G6950)</f>
        <v>34.295000000000002</v>
      </c>
      <c r="I6950" s="40"/>
      <c r="J6950" s="102">
        <v>0</v>
      </c>
    </row>
    <row r="6951" spans="1:10" ht="15.75" hidden="1" thickBot="1" x14ac:dyDescent="0.3">
      <c r="A6951" s="220"/>
      <c r="B6951" s="223"/>
      <c r="C6951" s="55"/>
      <c r="D6951" s="55"/>
      <c r="E6951" s="66"/>
      <c r="F6951" s="67" t="s">
        <v>522</v>
      </c>
      <c r="G6951" s="67" t="str">
        <f t="shared" si="192"/>
        <v/>
      </c>
      <c r="H6951" s="69"/>
      <c r="I6951" s="31"/>
      <c r="J6951" s="102">
        <v>0</v>
      </c>
    </row>
    <row r="6952" spans="1:10" ht="15.75" hidden="1" thickBot="1" x14ac:dyDescent="0.3">
      <c r="A6952" s="218" t="s">
        <v>2988</v>
      </c>
      <c r="B6952" s="221" t="e">
        <f>INDEX(#REF!,MATCH(Composições!A6952,#REF!,0),2)</f>
        <v>#REF!</v>
      </c>
      <c r="C6952" s="41"/>
      <c r="D6952" s="26" t="s">
        <v>20</v>
      </c>
      <c r="E6952" s="27"/>
      <c r="F6952" s="42" t="s">
        <v>522</v>
      </c>
      <c r="G6952" s="28" t="str">
        <f t="shared" si="192"/>
        <v/>
      </c>
      <c r="H6952" s="29"/>
      <c r="I6952" s="30"/>
      <c r="J6952" s="102">
        <v>0</v>
      </c>
    </row>
    <row r="6953" spans="1:10" hidden="1" x14ac:dyDescent="0.25">
      <c r="A6953" s="219"/>
      <c r="B6953" s="222"/>
      <c r="C6953" s="32"/>
      <c r="D6953" s="32"/>
      <c r="E6953" s="33"/>
      <c r="F6953" s="43" t="s">
        <v>522</v>
      </c>
      <c r="G6953" s="31" t="str">
        <f t="shared" si="192"/>
        <v/>
      </c>
      <c r="H6953" s="35"/>
      <c r="I6953" s="31"/>
      <c r="J6953" s="102">
        <v>0</v>
      </c>
    </row>
    <row r="6954" spans="1:10" hidden="1" x14ac:dyDescent="0.25">
      <c r="A6954" s="219"/>
      <c r="B6954" s="222"/>
      <c r="C6954" s="118" t="s">
        <v>3244</v>
      </c>
      <c r="D6954" s="47" t="s">
        <v>20</v>
      </c>
      <c r="E6954" s="106">
        <v>1</v>
      </c>
      <c r="F6954" s="31">
        <v>5.6144999999999996</v>
      </c>
      <c r="G6954" s="31">
        <f t="shared" si="192"/>
        <v>5.6144999999999996</v>
      </c>
      <c r="H6954" s="39">
        <f t="shared" ref="H6954" si="195">SUM(G6954:G6954)</f>
        <v>5.6144999999999996</v>
      </c>
      <c r="I6954" s="40"/>
      <c r="J6954" s="102">
        <v>0</v>
      </c>
    </row>
    <row r="6955" spans="1:10" ht="15.75" hidden="1" thickBot="1" x14ac:dyDescent="0.3">
      <c r="A6955" s="220"/>
      <c r="B6955" s="223"/>
      <c r="C6955" s="55"/>
      <c r="D6955" s="55"/>
      <c r="E6955" s="66"/>
      <c r="F6955" s="67" t="s">
        <v>522</v>
      </c>
      <c r="G6955" s="67" t="str">
        <f t="shared" si="192"/>
        <v/>
      </c>
      <c r="H6955" s="69"/>
      <c r="I6955" s="31"/>
      <c r="J6955" s="102">
        <v>0</v>
      </c>
    </row>
    <row r="6956" spans="1:10" ht="15.75" hidden="1" thickBot="1" x14ac:dyDescent="0.3">
      <c r="A6956" s="218" t="s">
        <v>2990</v>
      </c>
      <c r="B6956" s="221" t="e">
        <f>INDEX(#REF!,MATCH(Composições!A6956,#REF!,0),2)</f>
        <v>#REF!</v>
      </c>
      <c r="C6956" s="41"/>
      <c r="D6956" s="26" t="s">
        <v>20</v>
      </c>
      <c r="E6956" s="27"/>
      <c r="F6956" s="42" t="s">
        <v>522</v>
      </c>
      <c r="G6956" s="28" t="str">
        <f t="shared" si="192"/>
        <v/>
      </c>
      <c r="H6956" s="29"/>
      <c r="I6956" s="30"/>
      <c r="J6956" s="102">
        <v>0</v>
      </c>
    </row>
    <row r="6957" spans="1:10" hidden="1" x14ac:dyDescent="0.25">
      <c r="A6957" s="219"/>
      <c r="B6957" s="222"/>
      <c r="C6957" s="32"/>
      <c r="D6957" s="32"/>
      <c r="E6957" s="33"/>
      <c r="F6957" s="43" t="s">
        <v>522</v>
      </c>
      <c r="G6957" s="31" t="str">
        <f t="shared" si="192"/>
        <v/>
      </c>
      <c r="H6957" s="35"/>
      <c r="I6957" s="31"/>
      <c r="J6957" s="102">
        <v>0</v>
      </c>
    </row>
    <row r="6958" spans="1:10" ht="25.5" hidden="1" x14ac:dyDescent="0.25">
      <c r="A6958" s="219"/>
      <c r="B6958" s="222"/>
      <c r="C6958" s="118" t="s">
        <v>3248</v>
      </c>
      <c r="D6958" s="47" t="s">
        <v>20</v>
      </c>
      <c r="E6958" s="106">
        <v>1</v>
      </c>
      <c r="F6958" s="31">
        <v>3.7334999999999998</v>
      </c>
      <c r="G6958" s="31">
        <f t="shared" si="192"/>
        <v>3.7334999999999998</v>
      </c>
      <c r="H6958" s="39">
        <f t="shared" ref="H6958" si="196">SUM(G6958:G6958)</f>
        <v>3.7334999999999998</v>
      </c>
      <c r="I6958" s="40"/>
      <c r="J6958" s="102">
        <v>0</v>
      </c>
    </row>
    <row r="6959" spans="1:10" ht="15.75" hidden="1" thickBot="1" x14ac:dyDescent="0.3">
      <c r="A6959" s="220"/>
      <c r="B6959" s="223"/>
      <c r="C6959" s="55"/>
      <c r="D6959" s="55"/>
      <c r="E6959" s="66"/>
      <c r="F6959" s="67" t="s">
        <v>522</v>
      </c>
      <c r="G6959" s="67" t="str">
        <f t="shared" si="192"/>
        <v/>
      </c>
      <c r="H6959" s="69"/>
      <c r="I6959" s="31"/>
      <c r="J6959" s="102">
        <v>0</v>
      </c>
    </row>
    <row r="6960" spans="1:10" ht="15.75" hidden="1" thickBot="1" x14ac:dyDescent="0.3">
      <c r="A6960" s="218" t="s">
        <v>3004</v>
      </c>
      <c r="B6960" s="221" t="e">
        <f>INDEX(#REF!,MATCH(Composições!A6960,#REF!,0),2)</f>
        <v>#REF!</v>
      </c>
      <c r="C6960" s="41"/>
      <c r="D6960" s="26" t="s">
        <v>20</v>
      </c>
      <c r="E6960" s="27"/>
      <c r="F6960" s="42" t="s">
        <v>522</v>
      </c>
      <c r="G6960" s="28" t="str">
        <f t="shared" si="192"/>
        <v/>
      </c>
      <c r="H6960" s="29"/>
      <c r="I6960" s="30"/>
      <c r="J6960" s="102">
        <v>0</v>
      </c>
    </row>
    <row r="6961" spans="1:10" hidden="1" x14ac:dyDescent="0.25">
      <c r="A6961" s="219"/>
      <c r="B6961" s="222"/>
      <c r="C6961" s="32"/>
      <c r="D6961" s="32"/>
      <c r="E6961" s="33"/>
      <c r="F6961" s="43" t="s">
        <v>522</v>
      </c>
      <c r="G6961" s="31" t="str">
        <f t="shared" si="192"/>
        <v/>
      </c>
      <c r="H6961" s="35"/>
      <c r="I6961" s="31"/>
      <c r="J6961" s="102">
        <v>0</v>
      </c>
    </row>
    <row r="6962" spans="1:10" hidden="1" x14ac:dyDescent="0.25">
      <c r="A6962" s="219"/>
      <c r="B6962" s="222"/>
      <c r="C6962" s="118" t="s">
        <v>3246</v>
      </c>
      <c r="D6962" s="47" t="s">
        <v>20</v>
      </c>
      <c r="E6962" s="106">
        <v>1</v>
      </c>
      <c r="F6962" s="31">
        <v>4.0279999999999996</v>
      </c>
      <c r="G6962" s="31">
        <f t="shared" si="192"/>
        <v>4.0279999999999996</v>
      </c>
      <c r="H6962" s="39">
        <f t="shared" ref="H6962" si="197">SUM(G6962:G6962)</f>
        <v>4.0279999999999996</v>
      </c>
      <c r="I6962" s="40"/>
      <c r="J6962" s="102">
        <v>0</v>
      </c>
    </row>
    <row r="6963" spans="1:10" ht="15.75" hidden="1" thickBot="1" x14ac:dyDescent="0.3">
      <c r="A6963" s="220"/>
      <c r="B6963" s="223"/>
      <c r="C6963" s="55"/>
      <c r="D6963" s="55"/>
      <c r="E6963" s="66"/>
      <c r="F6963" s="67" t="s">
        <v>522</v>
      </c>
      <c r="G6963" s="67" t="str">
        <f t="shared" si="192"/>
        <v/>
      </c>
      <c r="H6963" s="69"/>
      <c r="I6963" s="31"/>
      <c r="J6963" s="102">
        <v>0</v>
      </c>
    </row>
    <row r="6964" spans="1:10" ht="15.75" hidden="1" thickBot="1" x14ac:dyDescent="0.3">
      <c r="A6964" s="218" t="s">
        <v>3006</v>
      </c>
      <c r="B6964" s="221" t="e">
        <f>INDEX(#REF!,MATCH(Composições!A6964,#REF!,0),2)</f>
        <v>#REF!</v>
      </c>
      <c r="C6964" s="41"/>
      <c r="D6964" s="26" t="s">
        <v>20</v>
      </c>
      <c r="E6964" s="27"/>
      <c r="F6964" s="42" t="s">
        <v>522</v>
      </c>
      <c r="G6964" s="28" t="str">
        <f t="shared" si="192"/>
        <v/>
      </c>
      <c r="H6964" s="29"/>
      <c r="I6964" s="30"/>
      <c r="J6964" s="102">
        <v>0</v>
      </c>
    </row>
    <row r="6965" spans="1:10" hidden="1" x14ac:dyDescent="0.25">
      <c r="A6965" s="219"/>
      <c r="B6965" s="222"/>
      <c r="C6965" s="32"/>
      <c r="D6965" s="32"/>
      <c r="E6965" s="33"/>
      <c r="F6965" s="43" t="s">
        <v>522</v>
      </c>
      <c r="G6965" s="31" t="str">
        <f t="shared" si="192"/>
        <v/>
      </c>
      <c r="H6965" s="35"/>
      <c r="I6965" s="31"/>
      <c r="J6965" s="102">
        <v>0</v>
      </c>
    </row>
    <row r="6966" spans="1:10" hidden="1" x14ac:dyDescent="0.25">
      <c r="A6966" s="219"/>
      <c r="B6966" s="222"/>
      <c r="C6966" s="118" t="s">
        <v>3247</v>
      </c>
      <c r="D6966" s="47" t="s">
        <v>20</v>
      </c>
      <c r="E6966" s="106">
        <v>1</v>
      </c>
      <c r="F6966" s="31">
        <v>8.5024999999999995</v>
      </c>
      <c r="G6966" s="31">
        <f t="shared" si="192"/>
        <v>8.5024999999999995</v>
      </c>
      <c r="H6966" s="39">
        <f t="shared" ref="H6966" si="198">SUM(G6966:G6966)</f>
        <v>8.5024999999999995</v>
      </c>
      <c r="I6966" s="40"/>
      <c r="J6966" s="102">
        <v>0</v>
      </c>
    </row>
    <row r="6967" spans="1:10" ht="15.75" hidden="1" thickBot="1" x14ac:dyDescent="0.3">
      <c r="A6967" s="220"/>
      <c r="B6967" s="223"/>
      <c r="C6967" s="55"/>
      <c r="D6967" s="55"/>
      <c r="E6967" s="66"/>
      <c r="F6967" s="67" t="s">
        <v>522</v>
      </c>
      <c r="G6967" s="67" t="str">
        <f t="shared" si="192"/>
        <v/>
      </c>
      <c r="H6967" s="69"/>
      <c r="I6967" s="31"/>
      <c r="J6967" s="102">
        <v>0</v>
      </c>
    </row>
    <row r="6968" spans="1:10" ht="15.75" hidden="1" thickBot="1" x14ac:dyDescent="0.3">
      <c r="A6968" s="218" t="s">
        <v>3008</v>
      </c>
      <c r="B6968" s="221" t="e">
        <f>INDEX(#REF!,MATCH(Composições!A6968,#REF!,0),2)</f>
        <v>#REF!</v>
      </c>
      <c r="C6968" s="41"/>
      <c r="D6968" s="26" t="s">
        <v>20</v>
      </c>
      <c r="E6968" s="27"/>
      <c r="F6968" s="42" t="s">
        <v>522</v>
      </c>
      <c r="G6968" s="28" t="str">
        <f t="shared" si="192"/>
        <v/>
      </c>
      <c r="H6968" s="29"/>
      <c r="I6968" s="30"/>
      <c r="J6968" s="102">
        <v>0</v>
      </c>
    </row>
    <row r="6969" spans="1:10" hidden="1" x14ac:dyDescent="0.25">
      <c r="A6969" s="219"/>
      <c r="B6969" s="222"/>
      <c r="C6969" s="32"/>
      <c r="D6969" s="32"/>
      <c r="E6969" s="33"/>
      <c r="F6969" s="43" t="s">
        <v>522</v>
      </c>
      <c r="G6969" s="31" t="str">
        <f t="shared" si="192"/>
        <v/>
      </c>
      <c r="H6969" s="35"/>
      <c r="I6969" s="31"/>
      <c r="J6969" s="102">
        <v>0</v>
      </c>
    </row>
    <row r="6970" spans="1:10" ht="25.5" hidden="1" x14ac:dyDescent="0.25">
      <c r="A6970" s="219"/>
      <c r="B6970" s="222"/>
      <c r="C6970" s="118" t="s">
        <v>3249</v>
      </c>
      <c r="D6970" s="47" t="s">
        <v>20</v>
      </c>
      <c r="E6970" s="106">
        <v>1</v>
      </c>
      <c r="F6970" s="31">
        <v>29.222000000000001</v>
      </c>
      <c r="G6970" s="31">
        <f t="shared" si="192"/>
        <v>29.222000000000001</v>
      </c>
      <c r="H6970" s="39">
        <f t="shared" ref="H6970" si="199">SUM(G6970:G6970)</f>
        <v>29.222000000000001</v>
      </c>
      <c r="I6970" s="40"/>
      <c r="J6970" s="102">
        <v>0</v>
      </c>
    </row>
    <row r="6971" spans="1:10" ht="15.75" hidden="1" thickBot="1" x14ac:dyDescent="0.3">
      <c r="A6971" s="220"/>
      <c r="B6971" s="223"/>
      <c r="C6971" s="55"/>
      <c r="D6971" s="55"/>
      <c r="E6971" s="66"/>
      <c r="F6971" s="67" t="s">
        <v>522</v>
      </c>
      <c r="G6971" s="67" t="str">
        <f t="shared" si="192"/>
        <v/>
      </c>
      <c r="H6971" s="69"/>
      <c r="I6971" s="31"/>
      <c r="J6971" s="102">
        <v>0</v>
      </c>
    </row>
    <row r="6972" spans="1:10" ht="15.75" hidden="1" thickBot="1" x14ac:dyDescent="0.3">
      <c r="A6972" s="218" t="s">
        <v>3010</v>
      </c>
      <c r="B6972" s="221" t="e">
        <f>INDEX(#REF!,MATCH(Composições!A6972,#REF!,0),2)</f>
        <v>#REF!</v>
      </c>
      <c r="C6972" s="41"/>
      <c r="D6972" s="26" t="s">
        <v>20</v>
      </c>
      <c r="E6972" s="27"/>
      <c r="F6972" s="42" t="s">
        <v>522</v>
      </c>
      <c r="G6972" s="28" t="str">
        <f t="shared" si="192"/>
        <v/>
      </c>
      <c r="H6972" s="29"/>
      <c r="I6972" s="30"/>
      <c r="J6972" s="102">
        <v>0</v>
      </c>
    </row>
    <row r="6973" spans="1:10" hidden="1" x14ac:dyDescent="0.25">
      <c r="A6973" s="219"/>
      <c r="B6973" s="222"/>
      <c r="C6973" s="32"/>
      <c r="D6973" s="32"/>
      <c r="E6973" s="33"/>
      <c r="F6973" s="43" t="s">
        <v>522</v>
      </c>
      <c r="G6973" s="31" t="str">
        <f t="shared" si="192"/>
        <v/>
      </c>
      <c r="H6973" s="35"/>
      <c r="I6973" s="31"/>
      <c r="J6973" s="102">
        <v>0</v>
      </c>
    </row>
    <row r="6974" spans="1:10" ht="25.5" hidden="1" x14ac:dyDescent="0.25">
      <c r="A6974" s="219"/>
      <c r="B6974" s="222"/>
      <c r="C6974" s="118" t="s">
        <v>3300</v>
      </c>
      <c r="D6974" s="47" t="s">
        <v>20</v>
      </c>
      <c r="E6974" s="106">
        <v>1</v>
      </c>
      <c r="F6974" s="31">
        <v>36.128500000000003</v>
      </c>
      <c r="G6974" s="31">
        <f t="shared" si="192"/>
        <v>36.128500000000003</v>
      </c>
      <c r="H6974" s="39">
        <f t="shared" ref="H6974" si="200">SUM(G6974:G6974)</f>
        <v>36.128500000000003</v>
      </c>
      <c r="I6974" s="40"/>
      <c r="J6974" s="102">
        <v>0</v>
      </c>
    </row>
    <row r="6975" spans="1:10" ht="15.75" hidden="1" thickBot="1" x14ac:dyDescent="0.3">
      <c r="A6975" s="220"/>
      <c r="B6975" s="223"/>
      <c r="C6975" s="55"/>
      <c r="D6975" s="55"/>
      <c r="E6975" s="66"/>
      <c r="F6975" s="67" t="s">
        <v>522</v>
      </c>
      <c r="G6975" s="67" t="str">
        <f t="shared" si="192"/>
        <v/>
      </c>
      <c r="H6975" s="69"/>
      <c r="I6975" s="31"/>
      <c r="J6975" s="102">
        <v>0</v>
      </c>
    </row>
    <row r="6976" spans="1:10" ht="15.75" hidden="1" thickBot="1" x14ac:dyDescent="0.3">
      <c r="A6976" s="218" t="s">
        <v>3017</v>
      </c>
      <c r="B6976" s="221" t="e">
        <f>INDEX(#REF!,MATCH(Composições!A6976,#REF!,0),2)</f>
        <v>#REF!</v>
      </c>
      <c r="C6976" s="41"/>
      <c r="D6976" s="26" t="s">
        <v>93</v>
      </c>
      <c r="E6976" s="27"/>
      <c r="F6976" s="42" t="s">
        <v>522</v>
      </c>
      <c r="G6976" s="28" t="str">
        <f t="shared" si="192"/>
        <v/>
      </c>
      <c r="H6976" s="29"/>
      <c r="I6976" s="30"/>
      <c r="J6976" s="102">
        <v>0</v>
      </c>
    </row>
    <row r="6977" spans="1:10" hidden="1" x14ac:dyDescent="0.25">
      <c r="A6977" s="219"/>
      <c r="B6977" s="222"/>
      <c r="C6977" s="32"/>
      <c r="D6977" s="32"/>
      <c r="E6977" s="33"/>
      <c r="F6977" s="43" t="s">
        <v>522</v>
      </c>
      <c r="G6977" s="31" t="str">
        <f t="shared" si="192"/>
        <v/>
      </c>
      <c r="H6977" s="35"/>
      <c r="I6977" s="31"/>
      <c r="J6977" s="102">
        <v>0</v>
      </c>
    </row>
    <row r="6978" spans="1:10" ht="38.25" hidden="1" x14ac:dyDescent="0.25">
      <c r="A6978" s="219"/>
      <c r="B6978" s="222"/>
      <c r="C6978" s="118" t="s">
        <v>1101</v>
      </c>
      <c r="D6978" s="47" t="s">
        <v>93</v>
      </c>
      <c r="E6978" s="106">
        <v>1</v>
      </c>
      <c r="F6978" s="31">
        <v>11.058</v>
      </c>
      <c r="G6978" s="31">
        <f t="shared" si="192"/>
        <v>11.058</v>
      </c>
      <c r="H6978" s="39">
        <f t="shared" ref="H6978" si="201">SUM(G6978:G6978)</f>
        <v>11.058</v>
      </c>
      <c r="I6978" s="40"/>
      <c r="J6978" s="102">
        <v>0</v>
      </c>
    </row>
    <row r="6979" spans="1:10" ht="15.75" hidden="1" thickBot="1" x14ac:dyDescent="0.3">
      <c r="A6979" s="220"/>
      <c r="B6979" s="223"/>
      <c r="C6979" s="55"/>
      <c r="D6979" s="55"/>
      <c r="E6979" s="66"/>
      <c r="F6979" s="67" t="s">
        <v>522</v>
      </c>
      <c r="G6979" s="67" t="str">
        <f t="shared" si="192"/>
        <v/>
      </c>
      <c r="H6979" s="69"/>
      <c r="I6979" s="31"/>
      <c r="J6979" s="102">
        <v>0</v>
      </c>
    </row>
    <row r="6980" spans="1:10" ht="15.75" hidden="1" thickBot="1" x14ac:dyDescent="0.3">
      <c r="A6980" s="218" t="s">
        <v>3019</v>
      </c>
      <c r="B6980" s="221" t="e">
        <f>INDEX(#REF!,MATCH(Composições!A6980,#REF!,0),2)</f>
        <v>#REF!</v>
      </c>
      <c r="C6980" s="41"/>
      <c r="D6980" s="26" t="s">
        <v>93</v>
      </c>
      <c r="E6980" s="27"/>
      <c r="F6980" s="42" t="s">
        <v>522</v>
      </c>
      <c r="G6980" s="28" t="str">
        <f t="shared" si="192"/>
        <v/>
      </c>
      <c r="H6980" s="29"/>
      <c r="I6980" s="30"/>
      <c r="J6980" s="102">
        <v>0</v>
      </c>
    </row>
    <row r="6981" spans="1:10" hidden="1" x14ac:dyDescent="0.25">
      <c r="A6981" s="219"/>
      <c r="B6981" s="222"/>
      <c r="C6981" s="32"/>
      <c r="D6981" s="32"/>
      <c r="E6981" s="33"/>
      <c r="F6981" s="43" t="s">
        <v>522</v>
      </c>
      <c r="G6981" s="31" t="str">
        <f t="shared" si="192"/>
        <v/>
      </c>
      <c r="H6981" s="35"/>
      <c r="I6981" s="31"/>
      <c r="J6981" s="102">
        <v>0</v>
      </c>
    </row>
    <row r="6982" spans="1:10" ht="25.5" hidden="1" x14ac:dyDescent="0.25">
      <c r="A6982" s="219"/>
      <c r="B6982" s="222"/>
      <c r="C6982" s="118" t="s">
        <v>3229</v>
      </c>
      <c r="D6982" s="47" t="s">
        <v>93</v>
      </c>
      <c r="E6982" s="106">
        <v>1</v>
      </c>
      <c r="F6982" s="31">
        <v>13.793999999999999</v>
      </c>
      <c r="G6982" s="31">
        <f t="shared" si="192"/>
        <v>13.793999999999999</v>
      </c>
      <c r="H6982" s="39">
        <f t="shared" ref="H6982" si="202">SUM(G6982:G6982)</f>
        <v>13.793999999999999</v>
      </c>
      <c r="I6982" s="40"/>
      <c r="J6982" s="102">
        <v>0</v>
      </c>
    </row>
    <row r="6983" spans="1:10" ht="15.75" hidden="1" thickBot="1" x14ac:dyDescent="0.3">
      <c r="A6983" s="220"/>
      <c r="B6983" s="223"/>
      <c r="C6983" s="55"/>
      <c r="D6983" s="55"/>
      <c r="E6983" s="66"/>
      <c r="F6983" s="67" t="s">
        <v>522</v>
      </c>
      <c r="G6983" s="67" t="str">
        <f t="shared" si="192"/>
        <v/>
      </c>
      <c r="H6983" s="69"/>
      <c r="I6983" s="31"/>
      <c r="J6983" s="102">
        <v>0</v>
      </c>
    </row>
    <row r="6984" spans="1:10" ht="15.75" hidden="1" thickBot="1" x14ac:dyDescent="0.3">
      <c r="A6984" s="218" t="s">
        <v>3020</v>
      </c>
      <c r="B6984" s="221" t="e">
        <f>INDEX(#REF!,MATCH(Composições!A6984,#REF!,0),2)</f>
        <v>#REF!</v>
      </c>
      <c r="C6984" s="41"/>
      <c r="D6984" s="26" t="s">
        <v>20</v>
      </c>
      <c r="E6984" s="27"/>
      <c r="F6984" s="42" t="s">
        <v>522</v>
      </c>
      <c r="G6984" s="28" t="str">
        <f t="shared" si="192"/>
        <v/>
      </c>
      <c r="H6984" s="29"/>
      <c r="I6984" s="30"/>
      <c r="J6984" s="102">
        <v>0</v>
      </c>
    </row>
    <row r="6985" spans="1:10" hidden="1" x14ac:dyDescent="0.25">
      <c r="A6985" s="219"/>
      <c r="B6985" s="222"/>
      <c r="C6985" s="32"/>
      <c r="D6985" s="32"/>
      <c r="E6985" s="33"/>
      <c r="F6985" s="43" t="s">
        <v>522</v>
      </c>
      <c r="G6985" s="31" t="str">
        <f t="shared" si="192"/>
        <v/>
      </c>
      <c r="H6985" s="35"/>
      <c r="I6985" s="31"/>
      <c r="J6985" s="102">
        <v>0</v>
      </c>
    </row>
    <row r="6986" spans="1:10" ht="25.5" hidden="1" x14ac:dyDescent="0.25">
      <c r="A6986" s="219"/>
      <c r="B6986" s="222"/>
      <c r="C6986" s="118" t="s">
        <v>3254</v>
      </c>
      <c r="D6986" s="47" t="s">
        <v>20</v>
      </c>
      <c r="E6986" s="106">
        <v>1</v>
      </c>
      <c r="F6986" s="31">
        <v>30.703999999999997</v>
      </c>
      <c r="G6986" s="31">
        <f t="shared" si="192"/>
        <v>30.703999999999997</v>
      </c>
      <c r="H6986" s="39">
        <f t="shared" ref="H6986" si="203">SUM(G6986:G6986)</f>
        <v>30.703999999999997</v>
      </c>
      <c r="I6986" s="40"/>
      <c r="J6986" s="102">
        <v>0</v>
      </c>
    </row>
    <row r="6987" spans="1:10" ht="15.75" hidden="1" thickBot="1" x14ac:dyDescent="0.3">
      <c r="A6987" s="220"/>
      <c r="B6987" s="223"/>
      <c r="C6987" s="55"/>
      <c r="D6987" s="55"/>
      <c r="E6987" s="66"/>
      <c r="F6987" s="67" t="s">
        <v>522</v>
      </c>
      <c r="G6987" s="67" t="str">
        <f t="shared" si="192"/>
        <v/>
      </c>
      <c r="H6987" s="69"/>
      <c r="I6987" s="31"/>
      <c r="J6987" s="102">
        <v>0</v>
      </c>
    </row>
    <row r="6988" spans="1:10" ht="15.75" hidden="1" thickBot="1" x14ac:dyDescent="0.3">
      <c r="A6988" s="218" t="s">
        <v>3024</v>
      </c>
      <c r="B6988" s="221" t="e">
        <f>INDEX(#REF!,MATCH(Composições!A6988,#REF!,0),2)</f>
        <v>#REF!</v>
      </c>
      <c r="C6988" s="41"/>
      <c r="D6988" s="26" t="s">
        <v>20</v>
      </c>
      <c r="E6988" s="27"/>
      <c r="F6988" s="42" t="s">
        <v>522</v>
      </c>
      <c r="G6988" s="28" t="str">
        <f t="shared" si="192"/>
        <v/>
      </c>
      <c r="H6988" s="29"/>
      <c r="I6988" s="30"/>
      <c r="J6988" s="102">
        <v>0</v>
      </c>
    </row>
    <row r="6989" spans="1:10" hidden="1" x14ac:dyDescent="0.25">
      <c r="A6989" s="219"/>
      <c r="B6989" s="222"/>
      <c r="C6989" s="32"/>
      <c r="D6989" s="32"/>
      <c r="E6989" s="33"/>
      <c r="F6989" s="43" t="s">
        <v>522</v>
      </c>
      <c r="G6989" s="31" t="str">
        <f t="shared" si="192"/>
        <v/>
      </c>
      <c r="H6989" s="35"/>
      <c r="I6989" s="31"/>
      <c r="J6989" s="102">
        <v>0</v>
      </c>
    </row>
    <row r="6990" spans="1:10" hidden="1" x14ac:dyDescent="0.25">
      <c r="A6990" s="219"/>
      <c r="B6990" s="222"/>
      <c r="C6990" s="118" t="s">
        <v>3255</v>
      </c>
      <c r="D6990" s="47" t="s">
        <v>20</v>
      </c>
      <c r="E6990" s="106">
        <v>1</v>
      </c>
      <c r="F6990" s="31">
        <v>8.8350000000000009</v>
      </c>
      <c r="G6990" s="31">
        <f t="shared" si="192"/>
        <v>8.8350000000000009</v>
      </c>
      <c r="H6990" s="39">
        <f t="shared" ref="H6990" si="204">SUM(G6990:G6990)</f>
        <v>8.8350000000000009</v>
      </c>
      <c r="I6990" s="40"/>
      <c r="J6990" s="102">
        <v>0</v>
      </c>
    </row>
    <row r="6991" spans="1:10" ht="15.75" hidden="1" thickBot="1" x14ac:dyDescent="0.3">
      <c r="A6991" s="220"/>
      <c r="B6991" s="223"/>
      <c r="C6991" s="55"/>
      <c r="D6991" s="55"/>
      <c r="E6991" s="66"/>
      <c r="F6991" s="67" t="s">
        <v>522</v>
      </c>
      <c r="G6991" s="67" t="str">
        <f t="shared" si="192"/>
        <v/>
      </c>
      <c r="H6991" s="69"/>
      <c r="I6991" s="31"/>
      <c r="J6991" s="102">
        <v>0</v>
      </c>
    </row>
    <row r="6992" spans="1:10" ht="15.75" hidden="1" thickBot="1" x14ac:dyDescent="0.3">
      <c r="A6992" s="218" t="s">
        <v>3028</v>
      </c>
      <c r="B6992" s="221" t="e">
        <f>INDEX(#REF!,MATCH(Composições!A6992,#REF!,0),2)</f>
        <v>#REF!</v>
      </c>
      <c r="C6992" s="41"/>
      <c r="D6992" s="26" t="s">
        <v>20</v>
      </c>
      <c r="E6992" s="27"/>
      <c r="F6992" s="42" t="s">
        <v>522</v>
      </c>
      <c r="G6992" s="28" t="str">
        <f t="shared" si="192"/>
        <v/>
      </c>
      <c r="H6992" s="29"/>
      <c r="I6992" s="30"/>
      <c r="J6992" s="102">
        <v>0</v>
      </c>
    </row>
    <row r="6993" spans="1:10" hidden="1" x14ac:dyDescent="0.25">
      <c r="A6993" s="219"/>
      <c r="B6993" s="222"/>
      <c r="C6993" s="32"/>
      <c r="D6993" s="32"/>
      <c r="E6993" s="33"/>
      <c r="F6993" s="43" t="s">
        <v>522</v>
      </c>
      <c r="G6993" s="31" t="str">
        <f t="shared" si="192"/>
        <v/>
      </c>
      <c r="H6993" s="35"/>
      <c r="I6993" s="31"/>
      <c r="J6993" s="102">
        <v>0</v>
      </c>
    </row>
    <row r="6994" spans="1:10" ht="25.5" hidden="1" x14ac:dyDescent="0.25">
      <c r="A6994" s="219"/>
      <c r="B6994" s="222"/>
      <c r="C6994" s="118" t="s">
        <v>1789</v>
      </c>
      <c r="D6994" s="47" t="s">
        <v>20</v>
      </c>
      <c r="E6994" s="106">
        <v>1</v>
      </c>
      <c r="F6994" s="31">
        <v>13.281000000000001</v>
      </c>
      <c r="G6994" s="31">
        <f t="shared" si="192"/>
        <v>13.281000000000001</v>
      </c>
      <c r="H6994" s="39">
        <f t="shared" ref="H6994" si="205">SUM(G6994:G6994)</f>
        <v>13.281000000000001</v>
      </c>
      <c r="I6994" s="40"/>
      <c r="J6994" s="102">
        <v>0</v>
      </c>
    </row>
    <row r="6995" spans="1:10" ht="15.75" hidden="1" thickBot="1" x14ac:dyDescent="0.3">
      <c r="A6995" s="220"/>
      <c r="B6995" s="223"/>
      <c r="C6995" s="55"/>
      <c r="D6995" s="55"/>
      <c r="E6995" s="66"/>
      <c r="F6995" s="67" t="s">
        <v>522</v>
      </c>
      <c r="G6995" s="67" t="str">
        <f t="shared" si="192"/>
        <v/>
      </c>
      <c r="H6995" s="69"/>
      <c r="I6995" s="31"/>
      <c r="J6995" s="102">
        <v>0</v>
      </c>
    </row>
    <row r="6996" spans="1:10" ht="15.75" hidden="1" thickBot="1" x14ac:dyDescent="0.3">
      <c r="A6996" s="218" t="s">
        <v>3030</v>
      </c>
      <c r="B6996" s="221" t="e">
        <f>INDEX(#REF!,MATCH(Composições!A6996,#REF!,0),2)</f>
        <v>#REF!</v>
      </c>
      <c r="C6996" s="41"/>
      <c r="D6996" s="26" t="s">
        <v>20</v>
      </c>
      <c r="E6996" s="27"/>
      <c r="F6996" s="42" t="s">
        <v>522</v>
      </c>
      <c r="G6996" s="28" t="str">
        <f t="shared" si="192"/>
        <v/>
      </c>
      <c r="H6996" s="29"/>
      <c r="I6996" s="30"/>
      <c r="J6996" s="102">
        <v>0</v>
      </c>
    </row>
    <row r="6997" spans="1:10" hidden="1" x14ac:dyDescent="0.25">
      <c r="A6997" s="219"/>
      <c r="B6997" s="222"/>
      <c r="C6997" s="32"/>
      <c r="D6997" s="32"/>
      <c r="E6997" s="33"/>
      <c r="F6997" s="43" t="s">
        <v>522</v>
      </c>
      <c r="G6997" s="31" t="str">
        <f t="shared" si="192"/>
        <v/>
      </c>
      <c r="H6997" s="35"/>
      <c r="I6997" s="31"/>
      <c r="J6997" s="102">
        <v>0</v>
      </c>
    </row>
    <row r="6998" spans="1:10" ht="25.5" hidden="1" x14ac:dyDescent="0.25">
      <c r="A6998" s="219"/>
      <c r="B6998" s="222"/>
      <c r="C6998" s="118" t="s">
        <v>1788</v>
      </c>
      <c r="D6998" s="47" t="s">
        <v>20</v>
      </c>
      <c r="E6998" s="106">
        <v>1</v>
      </c>
      <c r="F6998" s="31">
        <v>9.1009999999999991</v>
      </c>
      <c r="G6998" s="31">
        <f t="shared" si="192"/>
        <v>9.1009999999999991</v>
      </c>
      <c r="H6998" s="39">
        <f t="shared" ref="H6998" si="206">SUM(G6998:G6998)</f>
        <v>9.1009999999999991</v>
      </c>
      <c r="I6998" s="40"/>
      <c r="J6998" s="102">
        <v>0</v>
      </c>
    </row>
    <row r="6999" spans="1:10" ht="15.75" hidden="1" thickBot="1" x14ac:dyDescent="0.3">
      <c r="A6999" s="220"/>
      <c r="B6999" s="223"/>
      <c r="C6999" s="55"/>
      <c r="D6999" s="55"/>
      <c r="E6999" s="66"/>
      <c r="F6999" s="67" t="s">
        <v>522</v>
      </c>
      <c r="G6999" s="67" t="str">
        <f t="shared" si="192"/>
        <v/>
      </c>
      <c r="H6999" s="69"/>
      <c r="I6999" s="31"/>
      <c r="J6999" s="102">
        <v>0</v>
      </c>
    </row>
    <row r="7000" spans="1:10" ht="15.75" hidden="1" thickBot="1" x14ac:dyDescent="0.3">
      <c r="A7000" s="218" t="s">
        <v>3032</v>
      </c>
      <c r="B7000" s="221" t="e">
        <f>INDEX(#REF!,MATCH(Composições!A7000,#REF!,0),2)</f>
        <v>#REF!</v>
      </c>
      <c r="C7000" s="41"/>
      <c r="D7000" s="26" t="s">
        <v>20</v>
      </c>
      <c r="E7000" s="27"/>
      <c r="F7000" s="42" t="s">
        <v>522</v>
      </c>
      <c r="G7000" s="28" t="str">
        <f t="shared" si="192"/>
        <v/>
      </c>
      <c r="H7000" s="29"/>
      <c r="I7000" s="30"/>
      <c r="J7000" s="102">
        <v>0</v>
      </c>
    </row>
    <row r="7001" spans="1:10" hidden="1" x14ac:dyDescent="0.25">
      <c r="A7001" s="219"/>
      <c r="B7001" s="222"/>
      <c r="C7001" s="32"/>
      <c r="D7001" s="32"/>
      <c r="E7001" s="33"/>
      <c r="F7001" s="43" t="s">
        <v>522</v>
      </c>
      <c r="G7001" s="31" t="str">
        <f t="shared" si="192"/>
        <v/>
      </c>
      <c r="H7001" s="35"/>
      <c r="I7001" s="31"/>
      <c r="J7001" s="102">
        <v>0</v>
      </c>
    </row>
    <row r="7002" spans="1:10" ht="25.5" hidden="1" x14ac:dyDescent="0.25">
      <c r="A7002" s="219"/>
      <c r="B7002" s="222"/>
      <c r="C7002" s="118" t="s">
        <v>1790</v>
      </c>
      <c r="D7002" s="47" t="s">
        <v>20</v>
      </c>
      <c r="E7002" s="106">
        <v>1</v>
      </c>
      <c r="F7002" s="31">
        <v>20.225499999999997</v>
      </c>
      <c r="G7002" s="31">
        <f t="shared" si="192"/>
        <v>20.225499999999997</v>
      </c>
      <c r="H7002" s="39">
        <f t="shared" ref="H7002" si="207">SUM(G7002:G7002)</f>
        <v>20.225499999999997</v>
      </c>
      <c r="I7002" s="40"/>
      <c r="J7002" s="102">
        <v>0</v>
      </c>
    </row>
    <row r="7003" spans="1:10" ht="15.75" hidden="1" thickBot="1" x14ac:dyDescent="0.3">
      <c r="A7003" s="220"/>
      <c r="B7003" s="223"/>
      <c r="C7003" s="55"/>
      <c r="D7003" s="55"/>
      <c r="E7003" s="66"/>
      <c r="F7003" s="67" t="s">
        <v>522</v>
      </c>
      <c r="G7003" s="67" t="str">
        <f t="shared" si="192"/>
        <v/>
      </c>
      <c r="H7003" s="69"/>
      <c r="I7003" s="31"/>
      <c r="J7003" s="102">
        <v>0</v>
      </c>
    </row>
    <row r="7004" spans="1:10" ht="15.75" hidden="1" thickBot="1" x14ac:dyDescent="0.3">
      <c r="A7004" s="218" t="s">
        <v>3034</v>
      </c>
      <c r="B7004" s="221" t="e">
        <f>INDEX(#REF!,MATCH(Composições!A7004,#REF!,0),2)</f>
        <v>#REF!</v>
      </c>
      <c r="C7004" s="41"/>
      <c r="D7004" s="26" t="s">
        <v>20</v>
      </c>
      <c r="E7004" s="27"/>
      <c r="F7004" s="42" t="s">
        <v>522</v>
      </c>
      <c r="G7004" s="28" t="str">
        <f t="shared" si="192"/>
        <v/>
      </c>
      <c r="H7004" s="29"/>
      <c r="I7004" s="30"/>
      <c r="J7004" s="102">
        <v>0</v>
      </c>
    </row>
    <row r="7005" spans="1:10" hidden="1" x14ac:dyDescent="0.25">
      <c r="A7005" s="219"/>
      <c r="B7005" s="222"/>
      <c r="C7005" s="32"/>
      <c r="D7005" s="32"/>
      <c r="E7005" s="33"/>
      <c r="F7005" s="43" t="s">
        <v>522</v>
      </c>
      <c r="G7005" s="31" t="str">
        <f t="shared" si="192"/>
        <v/>
      </c>
      <c r="H7005" s="35"/>
      <c r="I7005" s="31"/>
      <c r="J7005" s="102">
        <v>0</v>
      </c>
    </row>
    <row r="7006" spans="1:10" hidden="1" x14ac:dyDescent="0.25">
      <c r="A7006" s="219"/>
      <c r="B7006" s="222"/>
      <c r="C7006" s="118" t="s">
        <v>3301</v>
      </c>
      <c r="D7006" s="47" t="s">
        <v>20</v>
      </c>
      <c r="E7006" s="106">
        <v>1</v>
      </c>
      <c r="F7006" s="31">
        <v>254.34350000000001</v>
      </c>
      <c r="G7006" s="31">
        <f t="shared" si="192"/>
        <v>254.34350000000001</v>
      </c>
      <c r="H7006" s="39">
        <f t="shared" ref="H7006" si="208">SUM(G7006:G7006)</f>
        <v>254.34350000000001</v>
      </c>
      <c r="I7006" s="40"/>
      <c r="J7006" s="102">
        <v>0</v>
      </c>
    </row>
    <row r="7007" spans="1:10" ht="15.75" hidden="1" thickBot="1" x14ac:dyDescent="0.3">
      <c r="A7007" s="220"/>
      <c r="B7007" s="223"/>
      <c r="C7007" s="55"/>
      <c r="D7007" s="55"/>
      <c r="E7007" s="66"/>
      <c r="F7007" s="67" t="s">
        <v>522</v>
      </c>
      <c r="G7007" s="67" t="str">
        <f t="shared" si="192"/>
        <v/>
      </c>
      <c r="H7007" s="69"/>
      <c r="I7007" s="31"/>
      <c r="J7007" s="102">
        <v>0</v>
      </c>
    </row>
    <row r="7008" spans="1:10" ht="15.75" hidden="1" thickBot="1" x14ac:dyDescent="0.3">
      <c r="A7008" s="218" t="s">
        <v>3036</v>
      </c>
      <c r="B7008" s="221" t="e">
        <f>INDEX(#REF!,MATCH(Composições!A7008,#REF!,0),2)</f>
        <v>#REF!</v>
      </c>
      <c r="C7008" s="41"/>
      <c r="D7008" s="26" t="s">
        <v>20</v>
      </c>
      <c r="E7008" s="27"/>
      <c r="F7008" s="42" t="s">
        <v>522</v>
      </c>
      <c r="G7008" s="28" t="str">
        <f t="shared" si="192"/>
        <v/>
      </c>
      <c r="H7008" s="29"/>
      <c r="I7008" s="30"/>
      <c r="J7008" s="102">
        <v>0</v>
      </c>
    </row>
    <row r="7009" spans="1:10" hidden="1" x14ac:dyDescent="0.25">
      <c r="A7009" s="219"/>
      <c r="B7009" s="222"/>
      <c r="C7009" s="32"/>
      <c r="D7009" s="32"/>
      <c r="E7009" s="33"/>
      <c r="F7009" s="43" t="s">
        <v>522</v>
      </c>
      <c r="G7009" s="31" t="str">
        <f t="shared" si="192"/>
        <v/>
      </c>
      <c r="H7009" s="35"/>
      <c r="I7009" s="31"/>
      <c r="J7009" s="102">
        <v>0</v>
      </c>
    </row>
    <row r="7010" spans="1:10" hidden="1" x14ac:dyDescent="0.25">
      <c r="A7010" s="219"/>
      <c r="B7010" s="222"/>
      <c r="C7010" s="118" t="s">
        <v>3302</v>
      </c>
      <c r="D7010" s="47" t="s">
        <v>20</v>
      </c>
      <c r="E7010" s="106">
        <v>1</v>
      </c>
      <c r="F7010" s="31">
        <v>136.51499999999999</v>
      </c>
      <c r="G7010" s="31">
        <f t="shared" ref="G7010:G7073" si="209">IF(ISNUMBER(F7010),E7010*F7010,"")</f>
        <v>136.51499999999999</v>
      </c>
      <c r="H7010" s="39">
        <f t="shared" ref="H7010" si="210">SUM(G7010:G7010)</f>
        <v>136.51499999999999</v>
      </c>
      <c r="I7010" s="40"/>
      <c r="J7010" s="102">
        <v>0</v>
      </c>
    </row>
    <row r="7011" spans="1:10" ht="15.75" hidden="1" thickBot="1" x14ac:dyDescent="0.3">
      <c r="A7011" s="220"/>
      <c r="B7011" s="223"/>
      <c r="C7011" s="55"/>
      <c r="D7011" s="55"/>
      <c r="E7011" s="66"/>
      <c r="F7011" s="67" t="s">
        <v>522</v>
      </c>
      <c r="G7011" s="67" t="str">
        <f t="shared" si="209"/>
        <v/>
      </c>
      <c r="H7011" s="69"/>
      <c r="I7011" s="31"/>
      <c r="J7011" s="102">
        <v>0</v>
      </c>
    </row>
    <row r="7012" spans="1:10" ht="15.75" hidden="1" thickBot="1" x14ac:dyDescent="0.3">
      <c r="A7012" s="218" t="s">
        <v>3038</v>
      </c>
      <c r="B7012" s="221" t="e">
        <f>INDEX(#REF!,MATCH(Composições!A7012,#REF!,0),2)</f>
        <v>#REF!</v>
      </c>
      <c r="C7012" s="41"/>
      <c r="D7012" s="26" t="s">
        <v>20</v>
      </c>
      <c r="E7012" s="27"/>
      <c r="F7012" s="42" t="s">
        <v>522</v>
      </c>
      <c r="G7012" s="28" t="str">
        <f t="shared" si="209"/>
        <v/>
      </c>
      <c r="H7012" s="29"/>
      <c r="I7012" s="30"/>
      <c r="J7012" s="102">
        <v>0</v>
      </c>
    </row>
    <row r="7013" spans="1:10" hidden="1" x14ac:dyDescent="0.25">
      <c r="A7013" s="219"/>
      <c r="B7013" s="222"/>
      <c r="C7013" s="32"/>
      <c r="D7013" s="32"/>
      <c r="E7013" s="33"/>
      <c r="F7013" s="43" t="s">
        <v>522</v>
      </c>
      <c r="G7013" s="31" t="str">
        <f t="shared" si="209"/>
        <v/>
      </c>
      <c r="H7013" s="35"/>
      <c r="I7013" s="31"/>
      <c r="J7013" s="102">
        <v>0</v>
      </c>
    </row>
    <row r="7014" spans="1:10" hidden="1" x14ac:dyDescent="0.25">
      <c r="A7014" s="219"/>
      <c r="B7014" s="222"/>
      <c r="C7014" s="118" t="s">
        <v>3303</v>
      </c>
      <c r="D7014" s="47" t="s">
        <v>20</v>
      </c>
      <c r="E7014" s="106">
        <v>1</v>
      </c>
      <c r="F7014" s="31">
        <v>402.03999999999996</v>
      </c>
      <c r="G7014" s="31">
        <f t="shared" si="209"/>
        <v>402.03999999999996</v>
      </c>
      <c r="H7014" s="39">
        <f t="shared" ref="H7014" si="211">SUM(G7014:G7014)</f>
        <v>402.03999999999996</v>
      </c>
      <c r="I7014" s="40"/>
      <c r="J7014" s="102">
        <v>0</v>
      </c>
    </row>
    <row r="7015" spans="1:10" ht="15.75" hidden="1" thickBot="1" x14ac:dyDescent="0.3">
      <c r="A7015" s="220"/>
      <c r="B7015" s="223"/>
      <c r="C7015" s="55"/>
      <c r="D7015" s="55"/>
      <c r="E7015" s="66"/>
      <c r="F7015" s="67" t="s">
        <v>522</v>
      </c>
      <c r="G7015" s="67" t="str">
        <f t="shared" si="209"/>
        <v/>
      </c>
      <c r="H7015" s="69"/>
      <c r="I7015" s="31"/>
      <c r="J7015" s="102">
        <v>0</v>
      </c>
    </row>
    <row r="7016" spans="1:10" ht="15.75" hidden="1" thickBot="1" x14ac:dyDescent="0.3">
      <c r="A7016" s="218" t="s">
        <v>3040</v>
      </c>
      <c r="B7016" s="221" t="e">
        <f>INDEX(#REF!,MATCH(Composições!A7016,#REF!,0),2)</f>
        <v>#REF!</v>
      </c>
      <c r="C7016" s="41"/>
      <c r="D7016" s="26" t="s">
        <v>20</v>
      </c>
      <c r="E7016" s="27"/>
      <c r="F7016" s="42" t="s">
        <v>522</v>
      </c>
      <c r="G7016" s="28" t="str">
        <f t="shared" si="209"/>
        <v/>
      </c>
      <c r="H7016" s="29"/>
      <c r="I7016" s="30"/>
      <c r="J7016" s="102">
        <v>0</v>
      </c>
    </row>
    <row r="7017" spans="1:10" hidden="1" x14ac:dyDescent="0.25">
      <c r="A7017" s="219"/>
      <c r="B7017" s="222"/>
      <c r="C7017" s="32"/>
      <c r="D7017" s="32"/>
      <c r="E7017" s="33"/>
      <c r="F7017" s="43" t="s">
        <v>522</v>
      </c>
      <c r="G7017" s="31" t="str">
        <f t="shared" si="209"/>
        <v/>
      </c>
      <c r="H7017" s="35"/>
      <c r="I7017" s="31"/>
      <c r="J7017" s="102">
        <v>0</v>
      </c>
    </row>
    <row r="7018" spans="1:10" ht="25.5" hidden="1" x14ac:dyDescent="0.25">
      <c r="A7018" s="219"/>
      <c r="B7018" s="222"/>
      <c r="C7018" s="118" t="s">
        <v>3251</v>
      </c>
      <c r="D7018" s="47" t="s">
        <v>20</v>
      </c>
      <c r="E7018" s="106">
        <v>1</v>
      </c>
      <c r="F7018" s="31">
        <v>44.630999999999993</v>
      </c>
      <c r="G7018" s="31">
        <f t="shared" si="209"/>
        <v>44.630999999999993</v>
      </c>
      <c r="H7018" s="39">
        <f t="shared" ref="H7018" si="212">SUM(G7018:G7018)</f>
        <v>44.630999999999993</v>
      </c>
      <c r="I7018" s="40"/>
      <c r="J7018" s="102">
        <v>0</v>
      </c>
    </row>
    <row r="7019" spans="1:10" ht="15.75" hidden="1" thickBot="1" x14ac:dyDescent="0.3">
      <c r="A7019" s="220"/>
      <c r="B7019" s="223"/>
      <c r="C7019" s="55"/>
      <c r="D7019" s="55"/>
      <c r="E7019" s="66"/>
      <c r="F7019" s="67" t="s">
        <v>522</v>
      </c>
      <c r="G7019" s="67" t="str">
        <f t="shared" si="209"/>
        <v/>
      </c>
      <c r="H7019" s="69"/>
      <c r="I7019" s="31"/>
      <c r="J7019" s="102">
        <v>0</v>
      </c>
    </row>
    <row r="7020" spans="1:10" ht="15.75" hidden="1" thickBot="1" x14ac:dyDescent="0.3">
      <c r="A7020" s="218" t="s">
        <v>3042</v>
      </c>
      <c r="B7020" s="221" t="e">
        <f>INDEX(#REF!,MATCH(Composições!A7020,#REF!,0),2)</f>
        <v>#REF!</v>
      </c>
      <c r="C7020" s="41"/>
      <c r="D7020" s="26" t="s">
        <v>20</v>
      </c>
      <c r="E7020" s="27"/>
      <c r="F7020" s="42" t="s">
        <v>522</v>
      </c>
      <c r="G7020" s="28" t="str">
        <f t="shared" si="209"/>
        <v/>
      </c>
      <c r="H7020" s="29"/>
      <c r="I7020" s="30"/>
      <c r="J7020" s="102">
        <v>0</v>
      </c>
    </row>
    <row r="7021" spans="1:10" hidden="1" x14ac:dyDescent="0.25">
      <c r="A7021" s="219"/>
      <c r="B7021" s="222"/>
      <c r="C7021" s="32"/>
      <c r="D7021" s="32"/>
      <c r="E7021" s="33"/>
      <c r="F7021" s="43" t="s">
        <v>522</v>
      </c>
      <c r="G7021" s="31" t="str">
        <f t="shared" si="209"/>
        <v/>
      </c>
      <c r="H7021" s="35"/>
      <c r="I7021" s="31"/>
      <c r="J7021" s="102">
        <v>0</v>
      </c>
    </row>
    <row r="7022" spans="1:10" hidden="1" x14ac:dyDescent="0.25">
      <c r="A7022" s="219"/>
      <c r="B7022" s="222"/>
      <c r="C7022" s="118" t="s">
        <v>3338</v>
      </c>
      <c r="D7022" s="47" t="s">
        <v>20</v>
      </c>
      <c r="E7022" s="106">
        <v>1</v>
      </c>
      <c r="F7022" s="31">
        <v>12.0175</v>
      </c>
      <c r="G7022" s="31">
        <f t="shared" si="209"/>
        <v>12.0175</v>
      </c>
      <c r="H7022" s="39">
        <f t="shared" ref="H7022:H7082" si="213">SUM(G7022:G7022)</f>
        <v>12.0175</v>
      </c>
      <c r="I7022" s="40"/>
      <c r="J7022" s="102">
        <v>0</v>
      </c>
    </row>
    <row r="7023" spans="1:10" ht="15.75" hidden="1" thickBot="1" x14ac:dyDescent="0.3">
      <c r="A7023" s="220"/>
      <c r="B7023" s="223"/>
      <c r="C7023" s="55"/>
      <c r="D7023" s="55"/>
      <c r="E7023" s="66"/>
      <c r="F7023" s="67" t="s">
        <v>522</v>
      </c>
      <c r="G7023" s="67" t="str">
        <f t="shared" si="209"/>
        <v/>
      </c>
      <c r="H7023" s="69"/>
      <c r="I7023" s="31"/>
      <c r="J7023" s="102">
        <v>0</v>
      </c>
    </row>
    <row r="7024" spans="1:10" ht="15.75" hidden="1" thickBot="1" x14ac:dyDescent="0.3">
      <c r="A7024" s="218" t="s">
        <v>3044</v>
      </c>
      <c r="B7024" s="221" t="e">
        <f>INDEX(#REF!,MATCH(Composições!A7024,#REF!,0),2)</f>
        <v>#REF!</v>
      </c>
      <c r="C7024" s="41"/>
      <c r="D7024" s="26" t="s">
        <v>20</v>
      </c>
      <c r="E7024" s="27"/>
      <c r="F7024" s="42" t="s">
        <v>522</v>
      </c>
      <c r="G7024" s="28" t="str">
        <f t="shared" si="209"/>
        <v/>
      </c>
      <c r="H7024" s="29"/>
      <c r="I7024" s="30"/>
      <c r="J7024" s="102">
        <v>0</v>
      </c>
    </row>
    <row r="7025" spans="1:10" hidden="1" x14ac:dyDescent="0.25">
      <c r="A7025" s="219"/>
      <c r="B7025" s="222"/>
      <c r="C7025" s="32"/>
      <c r="D7025" s="32"/>
      <c r="E7025" s="33"/>
      <c r="F7025" s="43" t="s">
        <v>522</v>
      </c>
      <c r="G7025" s="31" t="str">
        <f t="shared" si="209"/>
        <v/>
      </c>
      <c r="H7025" s="35"/>
      <c r="I7025" s="31"/>
      <c r="J7025" s="102">
        <v>0</v>
      </c>
    </row>
    <row r="7026" spans="1:10" hidden="1" x14ac:dyDescent="0.25">
      <c r="A7026" s="219"/>
      <c r="B7026" s="222"/>
      <c r="C7026" s="118" t="s">
        <v>3339</v>
      </c>
      <c r="D7026" s="47" t="s">
        <v>20</v>
      </c>
      <c r="E7026" s="106">
        <v>1</v>
      </c>
      <c r="F7026" s="31">
        <v>19.009499999999999</v>
      </c>
      <c r="G7026" s="31">
        <f t="shared" si="209"/>
        <v>19.009499999999999</v>
      </c>
      <c r="H7026" s="39">
        <f t="shared" si="213"/>
        <v>19.009499999999999</v>
      </c>
      <c r="I7026" s="40"/>
      <c r="J7026" s="102">
        <v>0</v>
      </c>
    </row>
    <row r="7027" spans="1:10" ht="15.75" hidden="1" thickBot="1" x14ac:dyDescent="0.3">
      <c r="A7027" s="220"/>
      <c r="B7027" s="223"/>
      <c r="C7027" s="55"/>
      <c r="D7027" s="55"/>
      <c r="E7027" s="66"/>
      <c r="F7027" s="67" t="s">
        <v>522</v>
      </c>
      <c r="G7027" s="67" t="str">
        <f t="shared" si="209"/>
        <v/>
      </c>
      <c r="H7027" s="69"/>
      <c r="I7027" s="31"/>
      <c r="J7027" s="102">
        <v>0</v>
      </c>
    </row>
    <row r="7028" spans="1:10" ht="15.75" hidden="1" thickBot="1" x14ac:dyDescent="0.3">
      <c r="A7028" s="218" t="s">
        <v>3046</v>
      </c>
      <c r="B7028" s="221" t="e">
        <f>INDEX(#REF!,MATCH(Composições!A7028,#REF!,0),2)</f>
        <v>#REF!</v>
      </c>
      <c r="C7028" s="41"/>
      <c r="D7028" s="26" t="s">
        <v>20</v>
      </c>
      <c r="E7028" s="27"/>
      <c r="F7028" s="42" t="s">
        <v>522</v>
      </c>
      <c r="G7028" s="28" t="str">
        <f t="shared" si="209"/>
        <v/>
      </c>
      <c r="H7028" s="29"/>
      <c r="I7028" s="30"/>
      <c r="J7028" s="102">
        <v>0</v>
      </c>
    </row>
    <row r="7029" spans="1:10" hidden="1" x14ac:dyDescent="0.25">
      <c r="A7029" s="219"/>
      <c r="B7029" s="222"/>
      <c r="C7029" s="32"/>
      <c r="D7029" s="32"/>
      <c r="E7029" s="33"/>
      <c r="F7029" s="43" t="s">
        <v>522</v>
      </c>
      <c r="G7029" s="31" t="str">
        <f t="shared" si="209"/>
        <v/>
      </c>
      <c r="H7029" s="35"/>
      <c r="I7029" s="31"/>
      <c r="J7029" s="102">
        <v>0</v>
      </c>
    </row>
    <row r="7030" spans="1:10" ht="25.5" hidden="1" x14ac:dyDescent="0.25">
      <c r="A7030" s="219"/>
      <c r="B7030" s="222"/>
      <c r="C7030" s="118" t="s">
        <v>3333</v>
      </c>
      <c r="D7030" s="47" t="s">
        <v>20</v>
      </c>
      <c r="E7030" s="106">
        <v>1</v>
      </c>
      <c r="F7030" s="31">
        <v>68.266999999999996</v>
      </c>
      <c r="G7030" s="31">
        <f t="shared" si="209"/>
        <v>68.266999999999996</v>
      </c>
      <c r="H7030" s="39">
        <f t="shared" si="213"/>
        <v>68.266999999999996</v>
      </c>
      <c r="I7030" s="40"/>
      <c r="J7030" s="102">
        <v>0</v>
      </c>
    </row>
    <row r="7031" spans="1:10" ht="15.75" hidden="1" thickBot="1" x14ac:dyDescent="0.3">
      <c r="A7031" s="220"/>
      <c r="B7031" s="223"/>
      <c r="C7031" s="55"/>
      <c r="D7031" s="55"/>
      <c r="E7031" s="66"/>
      <c r="F7031" s="67" t="s">
        <v>522</v>
      </c>
      <c r="G7031" s="67" t="str">
        <f t="shared" si="209"/>
        <v/>
      </c>
      <c r="H7031" s="69"/>
      <c r="I7031" s="31"/>
      <c r="J7031" s="102">
        <v>0</v>
      </c>
    </row>
    <row r="7032" spans="1:10" ht="15.75" hidden="1" thickBot="1" x14ac:dyDescent="0.3">
      <c r="A7032" s="218" t="s">
        <v>3048</v>
      </c>
      <c r="B7032" s="221" t="e">
        <f>INDEX(#REF!,MATCH(Composições!A7032,#REF!,0),2)</f>
        <v>#REF!</v>
      </c>
      <c r="C7032" s="41"/>
      <c r="D7032" s="26" t="s">
        <v>20</v>
      </c>
      <c r="E7032" s="27"/>
      <c r="F7032" s="42" t="s">
        <v>522</v>
      </c>
      <c r="G7032" s="28" t="str">
        <f t="shared" si="209"/>
        <v/>
      </c>
      <c r="H7032" s="29"/>
      <c r="I7032" s="30"/>
      <c r="J7032" s="102">
        <v>0</v>
      </c>
    </row>
    <row r="7033" spans="1:10" hidden="1" x14ac:dyDescent="0.25">
      <c r="A7033" s="219"/>
      <c r="B7033" s="222"/>
      <c r="C7033" s="32"/>
      <c r="D7033" s="32"/>
      <c r="E7033" s="33"/>
      <c r="F7033" s="43" t="s">
        <v>522</v>
      </c>
      <c r="G7033" s="31" t="str">
        <f t="shared" si="209"/>
        <v/>
      </c>
      <c r="H7033" s="35"/>
      <c r="I7033" s="31"/>
      <c r="J7033" s="102">
        <v>0</v>
      </c>
    </row>
    <row r="7034" spans="1:10" ht="25.5" hidden="1" x14ac:dyDescent="0.25">
      <c r="A7034" s="219"/>
      <c r="B7034" s="222"/>
      <c r="C7034" s="118" t="s">
        <v>3332</v>
      </c>
      <c r="D7034" s="47" t="s">
        <v>20</v>
      </c>
      <c r="E7034" s="106">
        <v>1</v>
      </c>
      <c r="F7034" s="31">
        <v>91.513499999999993</v>
      </c>
      <c r="G7034" s="31">
        <f t="shared" si="209"/>
        <v>91.513499999999993</v>
      </c>
      <c r="H7034" s="39">
        <f t="shared" si="213"/>
        <v>91.513499999999993</v>
      </c>
      <c r="I7034" s="40"/>
      <c r="J7034" s="102">
        <v>0</v>
      </c>
    </row>
    <row r="7035" spans="1:10" ht="15.75" hidden="1" thickBot="1" x14ac:dyDescent="0.3">
      <c r="A7035" s="220"/>
      <c r="B7035" s="223"/>
      <c r="C7035" s="55"/>
      <c r="D7035" s="55"/>
      <c r="E7035" s="66"/>
      <c r="F7035" s="67" t="s">
        <v>522</v>
      </c>
      <c r="G7035" s="67" t="str">
        <f t="shared" si="209"/>
        <v/>
      </c>
      <c r="H7035" s="69"/>
      <c r="I7035" s="31"/>
      <c r="J7035" s="102">
        <v>0</v>
      </c>
    </row>
    <row r="7036" spans="1:10" ht="15.75" hidden="1" thickBot="1" x14ac:dyDescent="0.3">
      <c r="A7036" s="218" t="s">
        <v>3050</v>
      </c>
      <c r="B7036" s="221" t="e">
        <f>INDEX(#REF!,MATCH(Composições!A7036,#REF!,0),2)</f>
        <v>#REF!</v>
      </c>
      <c r="C7036" s="41"/>
      <c r="D7036" s="26" t="s">
        <v>20</v>
      </c>
      <c r="E7036" s="27"/>
      <c r="F7036" s="42" t="s">
        <v>522</v>
      </c>
      <c r="G7036" s="28" t="str">
        <f t="shared" si="209"/>
        <v/>
      </c>
      <c r="H7036" s="29"/>
      <c r="I7036" s="30"/>
      <c r="J7036" s="102">
        <v>0</v>
      </c>
    </row>
    <row r="7037" spans="1:10" hidden="1" x14ac:dyDescent="0.25">
      <c r="A7037" s="219"/>
      <c r="B7037" s="222"/>
      <c r="C7037" s="32"/>
      <c r="D7037" s="32"/>
      <c r="E7037" s="33"/>
      <c r="F7037" s="43" t="s">
        <v>522</v>
      </c>
      <c r="G7037" s="31" t="str">
        <f t="shared" si="209"/>
        <v/>
      </c>
      <c r="H7037" s="35"/>
      <c r="I7037" s="31"/>
      <c r="J7037" s="102">
        <v>0</v>
      </c>
    </row>
    <row r="7038" spans="1:10" ht="25.5" hidden="1" x14ac:dyDescent="0.25">
      <c r="A7038" s="219"/>
      <c r="B7038" s="222"/>
      <c r="C7038" s="118" t="s">
        <v>3335</v>
      </c>
      <c r="D7038" s="47" t="s">
        <v>20</v>
      </c>
      <c r="E7038" s="106">
        <v>1</v>
      </c>
      <c r="F7038" s="31">
        <v>100.377</v>
      </c>
      <c r="G7038" s="31">
        <f t="shared" si="209"/>
        <v>100.377</v>
      </c>
      <c r="H7038" s="39">
        <f t="shared" si="213"/>
        <v>100.377</v>
      </c>
      <c r="I7038" s="40"/>
      <c r="J7038" s="102">
        <v>0</v>
      </c>
    </row>
    <row r="7039" spans="1:10" ht="15.75" hidden="1" thickBot="1" x14ac:dyDescent="0.3">
      <c r="A7039" s="220"/>
      <c r="B7039" s="223"/>
      <c r="C7039" s="55"/>
      <c r="D7039" s="55"/>
      <c r="E7039" s="66"/>
      <c r="F7039" s="67" t="s">
        <v>522</v>
      </c>
      <c r="G7039" s="67" t="str">
        <f t="shared" si="209"/>
        <v/>
      </c>
      <c r="H7039" s="69"/>
      <c r="I7039" s="31"/>
      <c r="J7039" s="102">
        <v>0</v>
      </c>
    </row>
    <row r="7040" spans="1:10" ht="15.75" hidden="1" thickBot="1" x14ac:dyDescent="0.3">
      <c r="A7040" s="218" t="s">
        <v>3052</v>
      </c>
      <c r="B7040" s="221" t="e">
        <f>INDEX(#REF!,MATCH(Composições!A7040,#REF!,0),2)</f>
        <v>#REF!</v>
      </c>
      <c r="C7040" s="41"/>
      <c r="D7040" s="26" t="s">
        <v>20</v>
      </c>
      <c r="E7040" s="27"/>
      <c r="F7040" s="42" t="s">
        <v>522</v>
      </c>
      <c r="G7040" s="28" t="str">
        <f t="shared" si="209"/>
        <v/>
      </c>
      <c r="H7040" s="29"/>
      <c r="I7040" s="30"/>
      <c r="J7040" s="102">
        <v>0</v>
      </c>
    </row>
    <row r="7041" spans="1:10" hidden="1" x14ac:dyDescent="0.25">
      <c r="A7041" s="219"/>
      <c r="B7041" s="222"/>
      <c r="C7041" s="32"/>
      <c r="D7041" s="32"/>
      <c r="E7041" s="33"/>
      <c r="F7041" s="43" t="s">
        <v>522</v>
      </c>
      <c r="G7041" s="31" t="str">
        <f t="shared" si="209"/>
        <v/>
      </c>
      <c r="H7041" s="35"/>
      <c r="I7041" s="31"/>
      <c r="J7041" s="102">
        <v>0</v>
      </c>
    </row>
    <row r="7042" spans="1:10" ht="25.5" hidden="1" x14ac:dyDescent="0.25">
      <c r="A7042" s="219"/>
      <c r="B7042" s="222"/>
      <c r="C7042" s="118" t="s">
        <v>3336</v>
      </c>
      <c r="D7042" s="47" t="s">
        <v>20</v>
      </c>
      <c r="E7042" s="106">
        <v>1</v>
      </c>
      <c r="F7042" s="31">
        <v>257.2885</v>
      </c>
      <c r="G7042" s="31">
        <f t="shared" si="209"/>
        <v>257.2885</v>
      </c>
      <c r="H7042" s="39">
        <f t="shared" si="213"/>
        <v>257.2885</v>
      </c>
      <c r="I7042" s="40"/>
      <c r="J7042" s="102">
        <v>0</v>
      </c>
    </row>
    <row r="7043" spans="1:10" ht="15.75" hidden="1" thickBot="1" x14ac:dyDescent="0.3">
      <c r="A7043" s="220"/>
      <c r="B7043" s="223"/>
      <c r="C7043" s="55"/>
      <c r="D7043" s="55"/>
      <c r="E7043" s="66"/>
      <c r="F7043" s="67" t="s">
        <v>522</v>
      </c>
      <c r="G7043" s="67" t="str">
        <f t="shared" si="209"/>
        <v/>
      </c>
      <c r="H7043" s="69"/>
      <c r="I7043" s="31"/>
      <c r="J7043" s="102">
        <v>0</v>
      </c>
    </row>
    <row r="7044" spans="1:10" ht="15.75" hidden="1" thickBot="1" x14ac:dyDescent="0.3">
      <c r="A7044" s="218" t="s">
        <v>3054</v>
      </c>
      <c r="B7044" s="221" t="e">
        <f>INDEX(#REF!,MATCH(Composições!A7044,#REF!,0),2)</f>
        <v>#REF!</v>
      </c>
      <c r="C7044" s="41"/>
      <c r="D7044" s="26" t="s">
        <v>20</v>
      </c>
      <c r="E7044" s="27"/>
      <c r="F7044" s="42" t="s">
        <v>522</v>
      </c>
      <c r="G7044" s="28" t="str">
        <f t="shared" si="209"/>
        <v/>
      </c>
      <c r="H7044" s="29"/>
      <c r="I7044" s="30"/>
      <c r="J7044" s="102">
        <v>0</v>
      </c>
    </row>
    <row r="7045" spans="1:10" hidden="1" x14ac:dyDescent="0.25">
      <c r="A7045" s="219"/>
      <c r="B7045" s="222"/>
      <c r="C7045" s="32"/>
      <c r="D7045" s="32"/>
      <c r="E7045" s="33"/>
      <c r="F7045" s="43" t="s">
        <v>522</v>
      </c>
      <c r="G7045" s="31" t="str">
        <f t="shared" si="209"/>
        <v/>
      </c>
      <c r="H7045" s="35"/>
      <c r="I7045" s="31"/>
      <c r="J7045" s="102">
        <v>0</v>
      </c>
    </row>
    <row r="7046" spans="1:10" ht="25.5" hidden="1" x14ac:dyDescent="0.25">
      <c r="A7046" s="219"/>
      <c r="B7046" s="222"/>
      <c r="C7046" s="118" t="s">
        <v>3337</v>
      </c>
      <c r="D7046" s="47" t="s">
        <v>20</v>
      </c>
      <c r="E7046" s="106">
        <v>1</v>
      </c>
      <c r="F7046" s="31">
        <v>361.19</v>
      </c>
      <c r="G7046" s="31">
        <f t="shared" si="209"/>
        <v>361.19</v>
      </c>
      <c r="H7046" s="39">
        <f t="shared" si="213"/>
        <v>361.19</v>
      </c>
      <c r="I7046" s="40"/>
      <c r="J7046" s="102">
        <v>0</v>
      </c>
    </row>
    <row r="7047" spans="1:10" ht="15.75" hidden="1" thickBot="1" x14ac:dyDescent="0.3">
      <c r="A7047" s="220"/>
      <c r="B7047" s="223"/>
      <c r="C7047" s="55"/>
      <c r="D7047" s="55"/>
      <c r="E7047" s="66"/>
      <c r="F7047" s="67" t="s">
        <v>522</v>
      </c>
      <c r="G7047" s="67" t="str">
        <f t="shared" si="209"/>
        <v/>
      </c>
      <c r="H7047" s="69"/>
      <c r="I7047" s="31"/>
      <c r="J7047" s="102">
        <v>0</v>
      </c>
    </row>
    <row r="7048" spans="1:10" ht="15.75" hidden="1" thickBot="1" x14ac:dyDescent="0.3">
      <c r="A7048" s="218" t="s">
        <v>3056</v>
      </c>
      <c r="B7048" s="221" t="e">
        <f>INDEX(#REF!,MATCH(Composições!A7048,#REF!,0),2)</f>
        <v>#REF!</v>
      </c>
      <c r="C7048" s="41"/>
      <c r="D7048" s="26" t="s">
        <v>20</v>
      </c>
      <c r="E7048" s="27"/>
      <c r="F7048" s="42" t="s">
        <v>522</v>
      </c>
      <c r="G7048" s="28" t="str">
        <f t="shared" si="209"/>
        <v/>
      </c>
      <c r="H7048" s="29"/>
      <c r="I7048" s="30"/>
      <c r="J7048" s="102">
        <v>0</v>
      </c>
    </row>
    <row r="7049" spans="1:10" hidden="1" x14ac:dyDescent="0.25">
      <c r="A7049" s="219"/>
      <c r="B7049" s="222"/>
      <c r="C7049" s="32"/>
      <c r="D7049" s="32"/>
      <c r="E7049" s="33"/>
      <c r="F7049" s="43" t="s">
        <v>522</v>
      </c>
      <c r="G7049" s="31" t="str">
        <f t="shared" si="209"/>
        <v/>
      </c>
      <c r="H7049" s="35"/>
      <c r="I7049" s="31"/>
      <c r="J7049" s="102">
        <v>0</v>
      </c>
    </row>
    <row r="7050" spans="1:10" ht="25.5" hidden="1" x14ac:dyDescent="0.25">
      <c r="A7050" s="219"/>
      <c r="B7050" s="222"/>
      <c r="C7050" s="118" t="s">
        <v>1143</v>
      </c>
      <c r="D7050" s="47" t="s">
        <v>20</v>
      </c>
      <c r="E7050" s="106">
        <v>1</v>
      </c>
      <c r="F7050" s="31">
        <v>32.784499999999994</v>
      </c>
      <c r="G7050" s="31">
        <f t="shared" si="209"/>
        <v>32.784499999999994</v>
      </c>
      <c r="H7050" s="39">
        <f t="shared" si="213"/>
        <v>32.784499999999994</v>
      </c>
      <c r="I7050" s="40"/>
      <c r="J7050" s="102">
        <v>0</v>
      </c>
    </row>
    <row r="7051" spans="1:10" ht="15.75" hidden="1" thickBot="1" x14ac:dyDescent="0.3">
      <c r="A7051" s="220"/>
      <c r="B7051" s="223"/>
      <c r="C7051" s="55"/>
      <c r="D7051" s="55"/>
      <c r="E7051" s="66"/>
      <c r="F7051" s="67" t="s">
        <v>522</v>
      </c>
      <c r="G7051" s="67" t="str">
        <f t="shared" si="209"/>
        <v/>
      </c>
      <c r="H7051" s="69"/>
      <c r="I7051" s="31"/>
      <c r="J7051" s="102">
        <v>0</v>
      </c>
    </row>
    <row r="7052" spans="1:10" ht="15.75" hidden="1" thickBot="1" x14ac:dyDescent="0.3">
      <c r="A7052" s="218" t="s">
        <v>3058</v>
      </c>
      <c r="B7052" s="221" t="e">
        <f>INDEX(#REF!,MATCH(Composições!A7052,#REF!,0),2)</f>
        <v>#REF!</v>
      </c>
      <c r="C7052" s="41"/>
      <c r="D7052" s="26" t="s">
        <v>20</v>
      </c>
      <c r="E7052" s="27"/>
      <c r="F7052" s="42" t="s">
        <v>522</v>
      </c>
      <c r="G7052" s="28" t="str">
        <f t="shared" si="209"/>
        <v/>
      </c>
      <c r="H7052" s="29"/>
      <c r="I7052" s="30"/>
      <c r="J7052" s="102">
        <v>0</v>
      </c>
    </row>
    <row r="7053" spans="1:10" hidden="1" x14ac:dyDescent="0.25">
      <c r="A7053" s="219"/>
      <c r="B7053" s="222"/>
      <c r="C7053" s="32"/>
      <c r="D7053" s="32"/>
      <c r="E7053" s="33"/>
      <c r="F7053" s="43" t="s">
        <v>522</v>
      </c>
      <c r="G7053" s="31" t="str">
        <f t="shared" si="209"/>
        <v/>
      </c>
      <c r="H7053" s="35"/>
      <c r="I7053" s="31"/>
      <c r="J7053" s="102">
        <v>0</v>
      </c>
    </row>
    <row r="7054" spans="1:10" ht="25.5" hidden="1" x14ac:dyDescent="0.25">
      <c r="A7054" s="219"/>
      <c r="B7054" s="222"/>
      <c r="C7054" s="118" t="s">
        <v>3334</v>
      </c>
      <c r="D7054" s="47" t="s">
        <v>20</v>
      </c>
      <c r="E7054" s="106">
        <v>1</v>
      </c>
      <c r="F7054" s="31">
        <v>166.07899999999998</v>
      </c>
      <c r="G7054" s="31">
        <f t="shared" si="209"/>
        <v>166.07899999999998</v>
      </c>
      <c r="H7054" s="39">
        <f t="shared" si="213"/>
        <v>166.07899999999998</v>
      </c>
      <c r="I7054" s="40"/>
      <c r="J7054" s="102">
        <v>0</v>
      </c>
    </row>
    <row r="7055" spans="1:10" ht="15.75" hidden="1" thickBot="1" x14ac:dyDescent="0.3">
      <c r="A7055" s="220"/>
      <c r="B7055" s="223"/>
      <c r="C7055" s="55"/>
      <c r="D7055" s="55"/>
      <c r="E7055" s="66"/>
      <c r="F7055" s="67" t="s">
        <v>522</v>
      </c>
      <c r="G7055" s="67" t="str">
        <f t="shared" si="209"/>
        <v/>
      </c>
      <c r="H7055" s="69"/>
      <c r="I7055" s="31"/>
      <c r="J7055" s="102">
        <v>0</v>
      </c>
    </row>
    <row r="7056" spans="1:10" ht="15.75" hidden="1" thickBot="1" x14ac:dyDescent="0.3">
      <c r="A7056" s="218" t="s">
        <v>3060</v>
      </c>
      <c r="B7056" s="221" t="e">
        <f>INDEX(#REF!,MATCH(Composições!A7056,#REF!,0),2)</f>
        <v>#REF!</v>
      </c>
      <c r="C7056" s="41"/>
      <c r="D7056" s="26" t="s">
        <v>20</v>
      </c>
      <c r="E7056" s="27"/>
      <c r="F7056" s="42" t="s">
        <v>522</v>
      </c>
      <c r="G7056" s="28" t="str">
        <f t="shared" si="209"/>
        <v/>
      </c>
      <c r="H7056" s="29"/>
      <c r="I7056" s="30"/>
      <c r="J7056" s="102">
        <v>0</v>
      </c>
    </row>
    <row r="7057" spans="1:10" hidden="1" x14ac:dyDescent="0.25">
      <c r="A7057" s="219"/>
      <c r="B7057" s="222"/>
      <c r="C7057" s="32"/>
      <c r="D7057" s="32"/>
      <c r="E7057" s="33"/>
      <c r="F7057" s="43" t="s">
        <v>522</v>
      </c>
      <c r="G7057" s="31" t="str">
        <f t="shared" si="209"/>
        <v/>
      </c>
      <c r="H7057" s="35"/>
      <c r="I7057" s="31"/>
      <c r="J7057" s="102">
        <v>0</v>
      </c>
    </row>
    <row r="7058" spans="1:10" hidden="1" x14ac:dyDescent="0.25">
      <c r="A7058" s="219"/>
      <c r="B7058" s="222"/>
      <c r="C7058" s="118" t="s">
        <v>3295</v>
      </c>
      <c r="D7058" s="47" t="s">
        <v>20</v>
      </c>
      <c r="E7058" s="106">
        <v>1</v>
      </c>
      <c r="F7058" s="31">
        <v>41.277500000000003</v>
      </c>
      <c r="G7058" s="31">
        <f t="shared" si="209"/>
        <v>41.277500000000003</v>
      </c>
      <c r="H7058" s="39">
        <f t="shared" si="213"/>
        <v>41.277500000000003</v>
      </c>
      <c r="I7058" s="40"/>
      <c r="J7058" s="102">
        <v>0</v>
      </c>
    </row>
    <row r="7059" spans="1:10" ht="15.75" hidden="1" thickBot="1" x14ac:dyDescent="0.3">
      <c r="A7059" s="220"/>
      <c r="B7059" s="223"/>
      <c r="C7059" s="55"/>
      <c r="D7059" s="55"/>
      <c r="E7059" s="66"/>
      <c r="F7059" s="67" t="s">
        <v>522</v>
      </c>
      <c r="G7059" s="67" t="str">
        <f t="shared" si="209"/>
        <v/>
      </c>
      <c r="H7059" s="69"/>
      <c r="I7059" s="31"/>
      <c r="J7059" s="102">
        <v>0</v>
      </c>
    </row>
    <row r="7060" spans="1:10" ht="15.75" hidden="1" thickBot="1" x14ac:dyDescent="0.3">
      <c r="A7060" s="218" t="s">
        <v>3062</v>
      </c>
      <c r="B7060" s="221" t="e">
        <f>INDEX(#REF!,MATCH(Composições!A7060,#REF!,0),2)</f>
        <v>#REF!</v>
      </c>
      <c r="C7060" s="41"/>
      <c r="D7060" s="26" t="s">
        <v>20</v>
      </c>
      <c r="E7060" s="27"/>
      <c r="F7060" s="42" t="s">
        <v>522</v>
      </c>
      <c r="G7060" s="28" t="str">
        <f t="shared" si="209"/>
        <v/>
      </c>
      <c r="H7060" s="29"/>
      <c r="I7060" s="30"/>
      <c r="J7060" s="102">
        <v>0</v>
      </c>
    </row>
    <row r="7061" spans="1:10" hidden="1" x14ac:dyDescent="0.25">
      <c r="A7061" s="219"/>
      <c r="B7061" s="222"/>
      <c r="C7061" s="32"/>
      <c r="D7061" s="32"/>
      <c r="E7061" s="33"/>
      <c r="F7061" s="43" t="s">
        <v>522</v>
      </c>
      <c r="G7061" s="31" t="str">
        <f t="shared" si="209"/>
        <v/>
      </c>
      <c r="H7061" s="35"/>
      <c r="I7061" s="31"/>
      <c r="J7061" s="102">
        <v>0</v>
      </c>
    </row>
    <row r="7062" spans="1:10" hidden="1" x14ac:dyDescent="0.25">
      <c r="A7062" s="219"/>
      <c r="B7062" s="222"/>
      <c r="C7062" s="118" t="s">
        <v>3296</v>
      </c>
      <c r="D7062" s="47" t="s">
        <v>20</v>
      </c>
      <c r="E7062" s="106">
        <v>1</v>
      </c>
      <c r="F7062" s="31">
        <v>9.2909999999999986</v>
      </c>
      <c r="G7062" s="31">
        <f t="shared" si="209"/>
        <v>9.2909999999999986</v>
      </c>
      <c r="H7062" s="39">
        <f t="shared" si="213"/>
        <v>9.2909999999999986</v>
      </c>
      <c r="I7062" s="40"/>
      <c r="J7062" s="102">
        <v>0</v>
      </c>
    </row>
    <row r="7063" spans="1:10" ht="15.75" hidden="1" thickBot="1" x14ac:dyDescent="0.3">
      <c r="A7063" s="220"/>
      <c r="B7063" s="223"/>
      <c r="C7063" s="55"/>
      <c r="D7063" s="55"/>
      <c r="E7063" s="66"/>
      <c r="F7063" s="67" t="s">
        <v>522</v>
      </c>
      <c r="G7063" s="67" t="str">
        <f t="shared" si="209"/>
        <v/>
      </c>
      <c r="H7063" s="69"/>
      <c r="I7063" s="31"/>
      <c r="J7063" s="102">
        <v>0</v>
      </c>
    </row>
    <row r="7064" spans="1:10" ht="15.75" hidden="1" thickBot="1" x14ac:dyDescent="0.3">
      <c r="A7064" s="218" t="s">
        <v>3064</v>
      </c>
      <c r="B7064" s="221" t="e">
        <f>INDEX(#REF!,MATCH(Composições!A7064,#REF!,0),2)</f>
        <v>#REF!</v>
      </c>
      <c r="C7064" s="41"/>
      <c r="D7064" s="26" t="s">
        <v>20</v>
      </c>
      <c r="E7064" s="27"/>
      <c r="F7064" s="42" t="s">
        <v>522</v>
      </c>
      <c r="G7064" s="28" t="str">
        <f t="shared" si="209"/>
        <v/>
      </c>
      <c r="H7064" s="29"/>
      <c r="I7064" s="30"/>
      <c r="J7064" s="102">
        <v>0</v>
      </c>
    </row>
    <row r="7065" spans="1:10" hidden="1" x14ac:dyDescent="0.25">
      <c r="A7065" s="219"/>
      <c r="B7065" s="222"/>
      <c r="C7065" s="32"/>
      <c r="D7065" s="32"/>
      <c r="E7065" s="33"/>
      <c r="F7065" s="43" t="s">
        <v>522</v>
      </c>
      <c r="G7065" s="31" t="str">
        <f t="shared" si="209"/>
        <v/>
      </c>
      <c r="H7065" s="35"/>
      <c r="I7065" s="31"/>
      <c r="J7065" s="102">
        <v>0</v>
      </c>
    </row>
    <row r="7066" spans="1:10" hidden="1" x14ac:dyDescent="0.25">
      <c r="A7066" s="219"/>
      <c r="B7066" s="222"/>
      <c r="C7066" s="118" t="s">
        <v>3297</v>
      </c>
      <c r="D7066" s="47" t="s">
        <v>20</v>
      </c>
      <c r="E7066" s="106">
        <v>1</v>
      </c>
      <c r="F7066" s="31">
        <v>124.13649999999998</v>
      </c>
      <c r="G7066" s="31">
        <f t="shared" si="209"/>
        <v>124.13649999999998</v>
      </c>
      <c r="H7066" s="39">
        <f t="shared" si="213"/>
        <v>124.13649999999998</v>
      </c>
      <c r="I7066" s="40"/>
      <c r="J7066" s="102">
        <v>0</v>
      </c>
    </row>
    <row r="7067" spans="1:10" ht="15.75" hidden="1" thickBot="1" x14ac:dyDescent="0.3">
      <c r="A7067" s="220"/>
      <c r="B7067" s="223"/>
      <c r="C7067" s="55"/>
      <c r="D7067" s="55"/>
      <c r="E7067" s="66"/>
      <c r="F7067" s="67" t="s">
        <v>522</v>
      </c>
      <c r="G7067" s="67" t="str">
        <f t="shared" si="209"/>
        <v/>
      </c>
      <c r="H7067" s="69"/>
      <c r="I7067" s="31"/>
      <c r="J7067" s="102">
        <v>0</v>
      </c>
    </row>
    <row r="7068" spans="1:10" ht="15.75" hidden="1" thickBot="1" x14ac:dyDescent="0.3">
      <c r="A7068" s="218" t="s">
        <v>3066</v>
      </c>
      <c r="B7068" s="221" t="e">
        <f>INDEX(#REF!,MATCH(Composições!A7068,#REF!,0),2)</f>
        <v>#REF!</v>
      </c>
      <c r="C7068" s="41"/>
      <c r="D7068" s="26" t="s">
        <v>20</v>
      </c>
      <c r="E7068" s="27"/>
      <c r="F7068" s="42" t="s">
        <v>522</v>
      </c>
      <c r="G7068" s="28" t="str">
        <f t="shared" si="209"/>
        <v/>
      </c>
      <c r="H7068" s="29"/>
      <c r="I7068" s="30"/>
      <c r="J7068" s="102">
        <v>0</v>
      </c>
    </row>
    <row r="7069" spans="1:10" hidden="1" x14ac:dyDescent="0.25">
      <c r="A7069" s="219"/>
      <c r="B7069" s="222"/>
      <c r="C7069" s="32"/>
      <c r="D7069" s="32"/>
      <c r="E7069" s="33"/>
      <c r="F7069" s="43" t="s">
        <v>522</v>
      </c>
      <c r="G7069" s="31" t="str">
        <f t="shared" si="209"/>
        <v/>
      </c>
      <c r="H7069" s="35"/>
      <c r="I7069" s="31"/>
      <c r="J7069" s="102">
        <v>0</v>
      </c>
    </row>
    <row r="7070" spans="1:10" hidden="1" x14ac:dyDescent="0.25">
      <c r="A7070" s="219"/>
      <c r="B7070" s="222"/>
      <c r="C7070" s="118" t="s">
        <v>3298</v>
      </c>
      <c r="D7070" s="47" t="s">
        <v>20</v>
      </c>
      <c r="E7070" s="106">
        <v>1</v>
      </c>
      <c r="F7070" s="31">
        <v>65.378999999999991</v>
      </c>
      <c r="G7070" s="31">
        <f t="shared" si="209"/>
        <v>65.378999999999991</v>
      </c>
      <c r="H7070" s="39">
        <f t="shared" si="213"/>
        <v>65.378999999999991</v>
      </c>
      <c r="I7070" s="40"/>
      <c r="J7070" s="102">
        <v>0</v>
      </c>
    </row>
    <row r="7071" spans="1:10" ht="15.75" hidden="1" thickBot="1" x14ac:dyDescent="0.3">
      <c r="A7071" s="220"/>
      <c r="B7071" s="223"/>
      <c r="C7071" s="55"/>
      <c r="D7071" s="55"/>
      <c r="E7071" s="66"/>
      <c r="F7071" s="67" t="s">
        <v>522</v>
      </c>
      <c r="G7071" s="67" t="str">
        <f t="shared" si="209"/>
        <v/>
      </c>
      <c r="H7071" s="69"/>
      <c r="I7071" s="31"/>
      <c r="J7071" s="102">
        <v>0</v>
      </c>
    </row>
    <row r="7072" spans="1:10" ht="15.75" hidden="1" thickBot="1" x14ac:dyDescent="0.3">
      <c r="A7072" s="218" t="s">
        <v>3068</v>
      </c>
      <c r="B7072" s="221" t="e">
        <f>INDEX(#REF!,MATCH(Composições!A7072,#REF!,0),2)</f>
        <v>#REF!</v>
      </c>
      <c r="C7072" s="41"/>
      <c r="D7072" s="26" t="s">
        <v>20</v>
      </c>
      <c r="E7072" s="27"/>
      <c r="F7072" s="42" t="s">
        <v>522</v>
      </c>
      <c r="G7072" s="28" t="str">
        <f t="shared" si="209"/>
        <v/>
      </c>
      <c r="H7072" s="29"/>
      <c r="I7072" s="30"/>
      <c r="J7072" s="102">
        <v>0</v>
      </c>
    </row>
    <row r="7073" spans="1:10" hidden="1" x14ac:dyDescent="0.25">
      <c r="A7073" s="219"/>
      <c r="B7073" s="222"/>
      <c r="C7073" s="32"/>
      <c r="D7073" s="32"/>
      <c r="E7073" s="33"/>
      <c r="F7073" s="43" t="s">
        <v>522</v>
      </c>
      <c r="G7073" s="31" t="str">
        <f t="shared" si="209"/>
        <v/>
      </c>
      <c r="H7073" s="35"/>
      <c r="I7073" s="31"/>
      <c r="J7073" s="102">
        <v>0</v>
      </c>
    </row>
    <row r="7074" spans="1:10" ht="25.5" hidden="1" x14ac:dyDescent="0.25">
      <c r="A7074" s="219"/>
      <c r="B7074" s="222"/>
      <c r="C7074" s="118" t="s">
        <v>3299</v>
      </c>
      <c r="D7074" s="47" t="s">
        <v>20</v>
      </c>
      <c r="E7074" s="106">
        <v>1</v>
      </c>
      <c r="F7074" s="31">
        <v>72.380499999999998</v>
      </c>
      <c r="G7074" s="31">
        <f t="shared" ref="G7074:G7137" si="214">IF(ISNUMBER(F7074),E7074*F7074,"")</f>
        <v>72.380499999999998</v>
      </c>
      <c r="H7074" s="39">
        <f t="shared" si="213"/>
        <v>72.380499999999998</v>
      </c>
      <c r="I7074" s="40"/>
      <c r="J7074" s="102">
        <v>0</v>
      </c>
    </row>
    <row r="7075" spans="1:10" ht="15.75" hidden="1" thickBot="1" x14ac:dyDescent="0.3">
      <c r="A7075" s="220"/>
      <c r="B7075" s="223"/>
      <c r="C7075" s="55"/>
      <c r="D7075" s="55"/>
      <c r="E7075" s="66"/>
      <c r="F7075" s="67" t="s">
        <v>522</v>
      </c>
      <c r="G7075" s="67" t="str">
        <f t="shared" si="214"/>
        <v/>
      </c>
      <c r="H7075" s="69"/>
      <c r="I7075" s="31"/>
      <c r="J7075" s="102">
        <v>0</v>
      </c>
    </row>
    <row r="7076" spans="1:10" ht="15.75" hidden="1" thickBot="1" x14ac:dyDescent="0.3">
      <c r="A7076" s="218" t="s">
        <v>3070</v>
      </c>
      <c r="B7076" s="221" t="e">
        <f>INDEX(#REF!,MATCH(Composições!A7076,#REF!,0),2)</f>
        <v>#REF!</v>
      </c>
      <c r="C7076" s="41"/>
      <c r="D7076" s="26" t="s">
        <v>20</v>
      </c>
      <c r="E7076" s="27"/>
      <c r="F7076" s="42" t="s">
        <v>522</v>
      </c>
      <c r="G7076" s="28" t="str">
        <f t="shared" si="214"/>
        <v/>
      </c>
      <c r="H7076" s="29"/>
      <c r="I7076" s="30"/>
      <c r="J7076" s="102">
        <v>0</v>
      </c>
    </row>
    <row r="7077" spans="1:10" hidden="1" x14ac:dyDescent="0.25">
      <c r="A7077" s="219"/>
      <c r="B7077" s="222"/>
      <c r="C7077" s="32"/>
      <c r="D7077" s="32"/>
      <c r="E7077" s="33"/>
      <c r="F7077" s="43" t="s">
        <v>522</v>
      </c>
      <c r="G7077" s="31" t="str">
        <f t="shared" si="214"/>
        <v/>
      </c>
      <c r="H7077" s="35"/>
      <c r="I7077" s="31"/>
      <c r="J7077" s="102">
        <v>0</v>
      </c>
    </row>
    <row r="7078" spans="1:10" ht="25.5" hidden="1" x14ac:dyDescent="0.25">
      <c r="A7078" s="219"/>
      <c r="B7078" s="222"/>
      <c r="C7078" s="118" t="s">
        <v>3292</v>
      </c>
      <c r="D7078" s="47" t="s">
        <v>20</v>
      </c>
      <c r="E7078" s="106">
        <v>1</v>
      </c>
      <c r="F7078" s="31">
        <v>4.7214999999999998</v>
      </c>
      <c r="G7078" s="31">
        <f t="shared" si="214"/>
        <v>4.7214999999999998</v>
      </c>
      <c r="H7078" s="39">
        <f t="shared" si="213"/>
        <v>4.7214999999999998</v>
      </c>
      <c r="I7078" s="40"/>
      <c r="J7078" s="102">
        <v>0</v>
      </c>
    </row>
    <row r="7079" spans="1:10" ht="15.75" hidden="1" thickBot="1" x14ac:dyDescent="0.3">
      <c r="A7079" s="220"/>
      <c r="B7079" s="223"/>
      <c r="C7079" s="55"/>
      <c r="D7079" s="55"/>
      <c r="E7079" s="66"/>
      <c r="F7079" s="67" t="s">
        <v>522</v>
      </c>
      <c r="G7079" s="67" t="str">
        <f t="shared" si="214"/>
        <v/>
      </c>
      <c r="H7079" s="69"/>
      <c r="I7079" s="31"/>
      <c r="J7079" s="102">
        <v>0</v>
      </c>
    </row>
    <row r="7080" spans="1:10" ht="15.75" hidden="1" thickBot="1" x14ac:dyDescent="0.3">
      <c r="A7080" s="218" t="s">
        <v>3072</v>
      </c>
      <c r="B7080" s="221" t="e">
        <f>INDEX(#REF!,MATCH(Composições!A7080,#REF!,0),2)</f>
        <v>#REF!</v>
      </c>
      <c r="C7080" s="41"/>
      <c r="D7080" s="26" t="s">
        <v>20</v>
      </c>
      <c r="E7080" s="27"/>
      <c r="F7080" s="42" t="s">
        <v>522</v>
      </c>
      <c r="G7080" s="28" t="str">
        <f t="shared" si="214"/>
        <v/>
      </c>
      <c r="H7080" s="29"/>
      <c r="I7080" s="30"/>
      <c r="J7080" s="102">
        <v>0</v>
      </c>
    </row>
    <row r="7081" spans="1:10" hidden="1" x14ac:dyDescent="0.25">
      <c r="A7081" s="219"/>
      <c r="B7081" s="222"/>
      <c r="C7081" s="32"/>
      <c r="D7081" s="32"/>
      <c r="E7081" s="33"/>
      <c r="F7081" s="43" t="s">
        <v>522</v>
      </c>
      <c r="G7081" s="31" t="str">
        <f t="shared" si="214"/>
        <v/>
      </c>
      <c r="H7081" s="35"/>
      <c r="I7081" s="31"/>
      <c r="J7081" s="102">
        <v>0</v>
      </c>
    </row>
    <row r="7082" spans="1:10" ht="25.5" hidden="1" x14ac:dyDescent="0.25">
      <c r="A7082" s="219"/>
      <c r="B7082" s="222"/>
      <c r="C7082" s="118" t="s">
        <v>3293</v>
      </c>
      <c r="D7082" s="47" t="s">
        <v>20</v>
      </c>
      <c r="E7082" s="106">
        <v>1</v>
      </c>
      <c r="F7082" s="31">
        <v>8.7114999999999991</v>
      </c>
      <c r="G7082" s="31">
        <f t="shared" si="214"/>
        <v>8.7114999999999991</v>
      </c>
      <c r="H7082" s="39">
        <f t="shared" si="213"/>
        <v>8.7114999999999991</v>
      </c>
      <c r="I7082" s="40"/>
      <c r="J7082" s="102">
        <v>0</v>
      </c>
    </row>
    <row r="7083" spans="1:10" ht="15.75" hidden="1" thickBot="1" x14ac:dyDescent="0.3">
      <c r="A7083" s="220"/>
      <c r="B7083" s="223"/>
      <c r="C7083" s="55"/>
      <c r="D7083" s="55"/>
      <c r="E7083" s="66"/>
      <c r="F7083" s="67" t="s">
        <v>522</v>
      </c>
      <c r="G7083" s="67" t="str">
        <f t="shared" si="214"/>
        <v/>
      </c>
      <c r="H7083" s="69"/>
      <c r="I7083" s="31"/>
      <c r="J7083" s="102">
        <v>0</v>
      </c>
    </row>
    <row r="7084" spans="1:10" ht="15.75" hidden="1" thickBot="1" x14ac:dyDescent="0.3">
      <c r="A7084" s="218" t="s">
        <v>3074</v>
      </c>
      <c r="B7084" s="221" t="e">
        <f>INDEX(#REF!,MATCH(Composições!A7084,#REF!,0),2)</f>
        <v>#REF!</v>
      </c>
      <c r="C7084" s="41"/>
      <c r="D7084" s="26" t="s">
        <v>20</v>
      </c>
      <c r="E7084" s="27"/>
      <c r="F7084" s="42" t="s">
        <v>522</v>
      </c>
      <c r="G7084" s="28" t="str">
        <f t="shared" si="214"/>
        <v/>
      </c>
      <c r="H7084" s="29"/>
      <c r="I7084" s="30"/>
      <c r="J7084" s="102">
        <v>0</v>
      </c>
    </row>
    <row r="7085" spans="1:10" hidden="1" x14ac:dyDescent="0.25">
      <c r="A7085" s="219"/>
      <c r="B7085" s="222"/>
      <c r="C7085" s="32"/>
      <c r="D7085" s="32"/>
      <c r="E7085" s="33"/>
      <c r="F7085" s="43" t="s">
        <v>522</v>
      </c>
      <c r="G7085" s="31" t="str">
        <f t="shared" si="214"/>
        <v/>
      </c>
      <c r="H7085" s="35"/>
      <c r="I7085" s="31"/>
      <c r="J7085" s="102">
        <v>0</v>
      </c>
    </row>
    <row r="7086" spans="1:10" hidden="1" x14ac:dyDescent="0.25">
      <c r="A7086" s="219"/>
      <c r="B7086" s="222"/>
      <c r="C7086" s="118" t="s">
        <v>3252</v>
      </c>
      <c r="D7086" s="47" t="s">
        <v>20</v>
      </c>
      <c r="E7086" s="106">
        <v>1</v>
      </c>
      <c r="F7086" s="31">
        <v>2.242</v>
      </c>
      <c r="G7086" s="31">
        <f t="shared" si="214"/>
        <v>2.242</v>
      </c>
      <c r="H7086" s="39">
        <f t="shared" ref="H7086:H7182" si="215">SUM(G7086:G7086)</f>
        <v>2.242</v>
      </c>
      <c r="I7086" s="40"/>
      <c r="J7086" s="102">
        <v>0</v>
      </c>
    </row>
    <row r="7087" spans="1:10" ht="15.75" hidden="1" thickBot="1" x14ac:dyDescent="0.3">
      <c r="A7087" s="220"/>
      <c r="B7087" s="223"/>
      <c r="C7087" s="55"/>
      <c r="D7087" s="55"/>
      <c r="E7087" s="66"/>
      <c r="F7087" s="67" t="s">
        <v>522</v>
      </c>
      <c r="G7087" s="67" t="str">
        <f t="shared" si="214"/>
        <v/>
      </c>
      <c r="H7087" s="69"/>
      <c r="I7087" s="31"/>
      <c r="J7087" s="102">
        <v>0</v>
      </c>
    </row>
    <row r="7088" spans="1:10" ht="15.75" hidden="1" thickBot="1" x14ac:dyDescent="0.3">
      <c r="A7088" s="218" t="s">
        <v>3076</v>
      </c>
      <c r="B7088" s="221" t="e">
        <f>INDEX(#REF!,MATCH(Composições!A7088,#REF!,0),2)</f>
        <v>#REF!</v>
      </c>
      <c r="C7088" s="41"/>
      <c r="D7088" s="26" t="s">
        <v>20</v>
      </c>
      <c r="E7088" s="27"/>
      <c r="F7088" s="42" t="s">
        <v>522</v>
      </c>
      <c r="G7088" s="28" t="str">
        <f t="shared" si="214"/>
        <v/>
      </c>
      <c r="H7088" s="29"/>
      <c r="I7088" s="30"/>
      <c r="J7088" s="102">
        <v>0</v>
      </c>
    </row>
    <row r="7089" spans="1:10" hidden="1" x14ac:dyDescent="0.25">
      <c r="A7089" s="219"/>
      <c r="B7089" s="222"/>
      <c r="C7089" s="32"/>
      <c r="D7089" s="32"/>
      <c r="E7089" s="33"/>
      <c r="F7089" s="43" t="s">
        <v>522</v>
      </c>
      <c r="G7089" s="31" t="str">
        <f t="shared" si="214"/>
        <v/>
      </c>
      <c r="H7089" s="35"/>
      <c r="I7089" s="31"/>
      <c r="J7089" s="102">
        <v>0</v>
      </c>
    </row>
    <row r="7090" spans="1:10" hidden="1" x14ac:dyDescent="0.25">
      <c r="A7090" s="219"/>
      <c r="B7090" s="222"/>
      <c r="C7090" s="118" t="s">
        <v>3253</v>
      </c>
      <c r="D7090" s="47" t="s">
        <v>20</v>
      </c>
      <c r="E7090" s="106">
        <v>1</v>
      </c>
      <c r="F7090" s="31">
        <v>4.5599999999999996</v>
      </c>
      <c r="G7090" s="31">
        <f t="shared" si="214"/>
        <v>4.5599999999999996</v>
      </c>
      <c r="H7090" s="39">
        <f t="shared" si="215"/>
        <v>4.5599999999999996</v>
      </c>
      <c r="I7090" s="40"/>
      <c r="J7090" s="102">
        <v>0</v>
      </c>
    </row>
    <row r="7091" spans="1:10" ht="15.75" hidden="1" thickBot="1" x14ac:dyDescent="0.3">
      <c r="A7091" s="220"/>
      <c r="B7091" s="223"/>
      <c r="C7091" s="55"/>
      <c r="D7091" s="55"/>
      <c r="E7091" s="66"/>
      <c r="F7091" s="67" t="s">
        <v>522</v>
      </c>
      <c r="G7091" s="67" t="str">
        <f t="shared" si="214"/>
        <v/>
      </c>
      <c r="H7091" s="69"/>
      <c r="I7091" s="31"/>
      <c r="J7091" s="102">
        <v>0</v>
      </c>
    </row>
    <row r="7092" spans="1:10" ht="15.75" hidden="1" thickBot="1" x14ac:dyDescent="0.3">
      <c r="A7092" s="218" t="s">
        <v>3078</v>
      </c>
      <c r="B7092" s="221" t="e">
        <f>INDEX(#REF!,MATCH(Composições!A7092,#REF!,0),2)</f>
        <v>#REF!</v>
      </c>
      <c r="C7092" s="41"/>
      <c r="D7092" s="26" t="s">
        <v>20</v>
      </c>
      <c r="E7092" s="27"/>
      <c r="F7092" s="42" t="s">
        <v>522</v>
      </c>
      <c r="G7092" s="28" t="str">
        <f t="shared" si="214"/>
        <v/>
      </c>
      <c r="H7092" s="29"/>
      <c r="I7092" s="30"/>
      <c r="J7092" s="102">
        <v>0</v>
      </c>
    </row>
    <row r="7093" spans="1:10" hidden="1" x14ac:dyDescent="0.25">
      <c r="A7093" s="219"/>
      <c r="B7093" s="222"/>
      <c r="C7093" s="32"/>
      <c r="D7093" s="32"/>
      <c r="E7093" s="33"/>
      <c r="F7093" s="43" t="s">
        <v>522</v>
      </c>
      <c r="G7093" s="31" t="str">
        <f t="shared" si="214"/>
        <v/>
      </c>
      <c r="H7093" s="35"/>
      <c r="I7093" s="31"/>
      <c r="J7093" s="102">
        <v>0</v>
      </c>
    </row>
    <row r="7094" spans="1:10" hidden="1" x14ac:dyDescent="0.25">
      <c r="A7094" s="219"/>
      <c r="B7094" s="222"/>
      <c r="C7094" s="118" t="s">
        <v>3379</v>
      </c>
      <c r="D7094" s="47" t="s">
        <v>20</v>
      </c>
      <c r="E7094" s="106">
        <v>1</v>
      </c>
      <c r="F7094" s="31">
        <v>8.7874999999999996</v>
      </c>
      <c r="G7094" s="31">
        <f t="shared" si="214"/>
        <v>8.7874999999999996</v>
      </c>
      <c r="H7094" s="39">
        <f t="shared" si="215"/>
        <v>8.7874999999999996</v>
      </c>
      <c r="I7094" s="40"/>
      <c r="J7094" s="102">
        <v>0</v>
      </c>
    </row>
    <row r="7095" spans="1:10" ht="15.75" hidden="1" thickBot="1" x14ac:dyDescent="0.3">
      <c r="A7095" s="220"/>
      <c r="B7095" s="223"/>
      <c r="C7095" s="55"/>
      <c r="D7095" s="55"/>
      <c r="E7095" s="66"/>
      <c r="F7095" s="67" t="s">
        <v>522</v>
      </c>
      <c r="G7095" s="67" t="str">
        <f t="shared" si="214"/>
        <v/>
      </c>
      <c r="H7095" s="69"/>
      <c r="I7095" s="31"/>
      <c r="J7095" s="102">
        <v>0</v>
      </c>
    </row>
    <row r="7096" spans="1:10" ht="15.75" hidden="1" thickBot="1" x14ac:dyDescent="0.3">
      <c r="A7096" s="218" t="s">
        <v>3080</v>
      </c>
      <c r="B7096" s="221" t="e">
        <f>INDEX(#REF!,MATCH(Composições!A7096,#REF!,0),2)</f>
        <v>#REF!</v>
      </c>
      <c r="C7096" s="41"/>
      <c r="D7096" s="26" t="s">
        <v>20</v>
      </c>
      <c r="E7096" s="27"/>
      <c r="F7096" s="42" t="s">
        <v>522</v>
      </c>
      <c r="G7096" s="28" t="str">
        <f t="shared" si="214"/>
        <v/>
      </c>
      <c r="H7096" s="29"/>
      <c r="I7096" s="30"/>
      <c r="J7096" s="102">
        <v>0</v>
      </c>
    </row>
    <row r="7097" spans="1:10" hidden="1" x14ac:dyDescent="0.25">
      <c r="A7097" s="219"/>
      <c r="B7097" s="222"/>
      <c r="C7097" s="32"/>
      <c r="D7097" s="32"/>
      <c r="E7097" s="33"/>
      <c r="F7097" s="43" t="s">
        <v>522</v>
      </c>
      <c r="G7097" s="31" t="str">
        <f t="shared" si="214"/>
        <v/>
      </c>
      <c r="H7097" s="35"/>
      <c r="I7097" s="31"/>
      <c r="J7097" s="102">
        <v>0</v>
      </c>
    </row>
    <row r="7098" spans="1:10" hidden="1" x14ac:dyDescent="0.25">
      <c r="A7098" s="219"/>
      <c r="B7098" s="222"/>
      <c r="C7098" s="118" t="s">
        <v>3380</v>
      </c>
      <c r="D7098" s="47" t="s">
        <v>20</v>
      </c>
      <c r="E7098" s="106">
        <v>1</v>
      </c>
      <c r="F7098" s="31">
        <v>17.736499999999999</v>
      </c>
      <c r="G7098" s="31">
        <f t="shared" si="214"/>
        <v>17.736499999999999</v>
      </c>
      <c r="H7098" s="39">
        <f t="shared" si="215"/>
        <v>17.736499999999999</v>
      </c>
      <c r="I7098" s="40"/>
      <c r="J7098" s="102">
        <v>0</v>
      </c>
    </row>
    <row r="7099" spans="1:10" ht="15.75" hidden="1" thickBot="1" x14ac:dyDescent="0.3">
      <c r="A7099" s="220"/>
      <c r="B7099" s="223"/>
      <c r="C7099" s="55"/>
      <c r="D7099" s="55"/>
      <c r="E7099" s="66"/>
      <c r="F7099" s="67" t="s">
        <v>522</v>
      </c>
      <c r="G7099" s="67" t="str">
        <f t="shared" si="214"/>
        <v/>
      </c>
      <c r="H7099" s="69"/>
      <c r="I7099" s="31"/>
      <c r="J7099" s="102">
        <v>0</v>
      </c>
    </row>
    <row r="7100" spans="1:10" ht="15.75" hidden="1" thickBot="1" x14ac:dyDescent="0.3">
      <c r="A7100" s="218" t="s">
        <v>3082</v>
      </c>
      <c r="B7100" s="221" t="e">
        <f>INDEX(#REF!,MATCH(Composições!A7100,#REF!,0),2)</f>
        <v>#REF!</v>
      </c>
      <c r="C7100" s="41"/>
      <c r="D7100" s="26" t="s">
        <v>20</v>
      </c>
      <c r="E7100" s="27"/>
      <c r="F7100" s="42" t="s">
        <v>522</v>
      </c>
      <c r="G7100" s="28" t="str">
        <f t="shared" si="214"/>
        <v/>
      </c>
      <c r="H7100" s="29"/>
      <c r="I7100" s="30"/>
      <c r="J7100" s="102">
        <v>0</v>
      </c>
    </row>
    <row r="7101" spans="1:10" hidden="1" x14ac:dyDescent="0.25">
      <c r="A7101" s="219"/>
      <c r="B7101" s="222"/>
      <c r="C7101" s="32"/>
      <c r="D7101" s="32"/>
      <c r="E7101" s="33"/>
      <c r="F7101" s="43" t="s">
        <v>522</v>
      </c>
      <c r="G7101" s="31" t="str">
        <f t="shared" si="214"/>
        <v/>
      </c>
      <c r="H7101" s="35"/>
      <c r="I7101" s="31"/>
      <c r="J7101" s="102">
        <v>0</v>
      </c>
    </row>
    <row r="7102" spans="1:10" hidden="1" x14ac:dyDescent="0.25">
      <c r="A7102" s="219"/>
      <c r="B7102" s="222"/>
      <c r="C7102" s="118" t="s">
        <v>3256</v>
      </c>
      <c r="D7102" s="47" t="s">
        <v>20</v>
      </c>
      <c r="E7102" s="106">
        <v>1</v>
      </c>
      <c r="F7102" s="31">
        <v>14.3735</v>
      </c>
      <c r="G7102" s="31">
        <f t="shared" si="214"/>
        <v>14.3735</v>
      </c>
      <c r="H7102" s="39">
        <f t="shared" si="215"/>
        <v>14.3735</v>
      </c>
      <c r="I7102" s="40"/>
      <c r="J7102" s="102">
        <v>0</v>
      </c>
    </row>
    <row r="7103" spans="1:10" ht="15.75" hidden="1" thickBot="1" x14ac:dyDescent="0.3">
      <c r="A7103" s="220"/>
      <c r="B7103" s="223"/>
      <c r="C7103" s="55"/>
      <c r="D7103" s="55"/>
      <c r="E7103" s="66"/>
      <c r="F7103" s="67" t="s">
        <v>522</v>
      </c>
      <c r="G7103" s="67" t="str">
        <f t="shared" si="214"/>
        <v/>
      </c>
      <c r="H7103" s="69"/>
      <c r="I7103" s="31"/>
      <c r="J7103" s="102">
        <v>0</v>
      </c>
    </row>
    <row r="7104" spans="1:10" ht="15.75" hidden="1" thickBot="1" x14ac:dyDescent="0.3">
      <c r="A7104" s="218" t="s">
        <v>3083</v>
      </c>
      <c r="B7104" s="221" t="e">
        <f>INDEX(#REF!,MATCH(Composições!A7104,#REF!,0),2)</f>
        <v>#REF!</v>
      </c>
      <c r="C7104" s="41"/>
      <c r="D7104" s="26" t="s">
        <v>20</v>
      </c>
      <c r="E7104" s="27"/>
      <c r="F7104" s="42" t="s">
        <v>522</v>
      </c>
      <c r="G7104" s="28" t="str">
        <f t="shared" si="214"/>
        <v/>
      </c>
      <c r="H7104" s="29"/>
      <c r="I7104" s="30"/>
      <c r="J7104" s="102">
        <v>0</v>
      </c>
    </row>
    <row r="7105" spans="1:10" hidden="1" x14ac:dyDescent="0.25">
      <c r="A7105" s="219"/>
      <c r="B7105" s="222"/>
      <c r="C7105" s="32"/>
      <c r="D7105" s="32"/>
      <c r="E7105" s="33"/>
      <c r="F7105" s="43" t="s">
        <v>522</v>
      </c>
      <c r="G7105" s="31" t="str">
        <f t="shared" si="214"/>
        <v/>
      </c>
      <c r="H7105" s="35"/>
      <c r="I7105" s="31"/>
      <c r="J7105" s="102">
        <v>0</v>
      </c>
    </row>
    <row r="7106" spans="1:10" hidden="1" x14ac:dyDescent="0.25">
      <c r="A7106" s="219"/>
      <c r="B7106" s="222"/>
      <c r="C7106" s="118" t="s">
        <v>3381</v>
      </c>
      <c r="D7106" s="47" t="s">
        <v>20</v>
      </c>
      <c r="E7106" s="106">
        <v>1</v>
      </c>
      <c r="F7106" s="31">
        <v>93.090499999999992</v>
      </c>
      <c r="G7106" s="31">
        <f t="shared" si="214"/>
        <v>93.090499999999992</v>
      </c>
      <c r="H7106" s="39">
        <f t="shared" si="215"/>
        <v>93.090499999999992</v>
      </c>
      <c r="I7106" s="40"/>
      <c r="J7106" s="102">
        <v>0</v>
      </c>
    </row>
    <row r="7107" spans="1:10" ht="15.75" hidden="1" thickBot="1" x14ac:dyDescent="0.3">
      <c r="A7107" s="220"/>
      <c r="B7107" s="223"/>
      <c r="C7107" s="55"/>
      <c r="D7107" s="55"/>
      <c r="E7107" s="66"/>
      <c r="F7107" s="67" t="s">
        <v>522</v>
      </c>
      <c r="G7107" s="67" t="str">
        <f t="shared" si="214"/>
        <v/>
      </c>
      <c r="H7107" s="69"/>
      <c r="I7107" s="31"/>
      <c r="J7107" s="102">
        <v>0</v>
      </c>
    </row>
    <row r="7108" spans="1:10" ht="15.75" hidden="1" thickBot="1" x14ac:dyDescent="0.3">
      <c r="A7108" s="218" t="s">
        <v>3085</v>
      </c>
      <c r="B7108" s="221" t="e">
        <f>INDEX(#REF!,MATCH(Composições!A7108,#REF!,0),2)</f>
        <v>#REF!</v>
      </c>
      <c r="C7108" s="41"/>
      <c r="D7108" s="26" t="s">
        <v>20</v>
      </c>
      <c r="E7108" s="27"/>
      <c r="F7108" s="42" t="s">
        <v>522</v>
      </c>
      <c r="G7108" s="28" t="str">
        <f t="shared" si="214"/>
        <v/>
      </c>
      <c r="H7108" s="29"/>
      <c r="I7108" s="30"/>
      <c r="J7108" s="102">
        <v>0</v>
      </c>
    </row>
    <row r="7109" spans="1:10" hidden="1" x14ac:dyDescent="0.25">
      <c r="A7109" s="219"/>
      <c r="B7109" s="222"/>
      <c r="C7109" s="32"/>
      <c r="D7109" s="32"/>
      <c r="E7109" s="33"/>
      <c r="F7109" s="43" t="s">
        <v>522</v>
      </c>
      <c r="G7109" s="31" t="str">
        <f t="shared" si="214"/>
        <v/>
      </c>
      <c r="H7109" s="35"/>
      <c r="I7109" s="31"/>
      <c r="J7109" s="102">
        <v>0</v>
      </c>
    </row>
    <row r="7110" spans="1:10" hidden="1" x14ac:dyDescent="0.25">
      <c r="A7110" s="219"/>
      <c r="B7110" s="222"/>
      <c r="C7110" s="118" t="s">
        <v>3382</v>
      </c>
      <c r="D7110" s="47" t="s">
        <v>20</v>
      </c>
      <c r="E7110" s="106">
        <v>1</v>
      </c>
      <c r="F7110" s="31">
        <v>288.83800000000002</v>
      </c>
      <c r="G7110" s="31">
        <f t="shared" si="214"/>
        <v>288.83800000000002</v>
      </c>
      <c r="H7110" s="39">
        <f t="shared" si="215"/>
        <v>288.83800000000002</v>
      </c>
      <c r="I7110" s="40"/>
      <c r="J7110" s="102">
        <v>0</v>
      </c>
    </row>
    <row r="7111" spans="1:10" ht="15.75" hidden="1" thickBot="1" x14ac:dyDescent="0.3">
      <c r="A7111" s="220"/>
      <c r="B7111" s="223"/>
      <c r="C7111" s="55"/>
      <c r="D7111" s="55"/>
      <c r="E7111" s="66"/>
      <c r="F7111" s="67" t="s">
        <v>522</v>
      </c>
      <c r="G7111" s="67" t="str">
        <f t="shared" si="214"/>
        <v/>
      </c>
      <c r="H7111" s="69"/>
      <c r="I7111" s="31"/>
      <c r="J7111" s="102">
        <v>0</v>
      </c>
    </row>
    <row r="7112" spans="1:10" ht="15.75" hidden="1" thickBot="1" x14ac:dyDescent="0.3">
      <c r="A7112" s="218" t="s">
        <v>3155</v>
      </c>
      <c r="B7112" s="221" t="e">
        <f>INDEX(#REF!,MATCH(Composições!A7112,#REF!,0),2)</f>
        <v>#REF!</v>
      </c>
      <c r="C7112" s="41"/>
      <c r="D7112" s="26" t="s">
        <v>1514</v>
      </c>
      <c r="E7112" s="27"/>
      <c r="F7112" s="42" t="s">
        <v>522</v>
      </c>
      <c r="G7112" s="28" t="str">
        <f t="shared" si="214"/>
        <v/>
      </c>
      <c r="H7112" s="29"/>
      <c r="I7112" s="30"/>
      <c r="J7112" s="102">
        <v>0</v>
      </c>
    </row>
    <row r="7113" spans="1:10" hidden="1" x14ac:dyDescent="0.25">
      <c r="A7113" s="219"/>
      <c r="B7113" s="237"/>
      <c r="C7113" s="32"/>
      <c r="D7113" s="32"/>
      <c r="E7113" s="33"/>
      <c r="F7113" s="43" t="s">
        <v>522</v>
      </c>
      <c r="G7113" s="34" t="str">
        <f t="shared" si="214"/>
        <v/>
      </c>
      <c r="H7113" s="35"/>
      <c r="I7113" s="31"/>
      <c r="J7113" s="102">
        <v>0</v>
      </c>
    </row>
    <row r="7114" spans="1:10" ht="25.5" hidden="1" x14ac:dyDescent="0.25">
      <c r="A7114" s="219"/>
      <c r="B7114" s="237"/>
      <c r="C7114" s="36" t="s">
        <v>780</v>
      </c>
      <c r="D7114" s="47" t="s">
        <v>12</v>
      </c>
      <c r="E7114" s="106">
        <f>ROUND(220/(1+110.14%),4)</f>
        <v>104.6921</v>
      </c>
      <c r="F7114" s="31">
        <v>85.870499999999993</v>
      </c>
      <c r="G7114" s="34">
        <f t="shared" si="214"/>
        <v>8989.9629730499983</v>
      </c>
      <c r="H7114" s="39">
        <f>SUM(G7114:G7114)</f>
        <v>8989.9629730499983</v>
      </c>
      <c r="I7114" s="40"/>
      <c r="J7114" s="102">
        <v>0</v>
      </c>
    </row>
    <row r="7115" spans="1:10" hidden="1" x14ac:dyDescent="0.25">
      <c r="A7115" s="219"/>
      <c r="B7115" s="237"/>
      <c r="C7115" s="36"/>
      <c r="D7115" s="47"/>
      <c r="E7115" s="37"/>
      <c r="F7115" s="31" t="s">
        <v>522</v>
      </c>
      <c r="G7115" s="34" t="str">
        <f t="shared" si="214"/>
        <v/>
      </c>
      <c r="H7115" s="35"/>
      <c r="I7115" s="40"/>
      <c r="J7115" s="102">
        <v>0</v>
      </c>
    </row>
    <row r="7116" spans="1:10" ht="25.5" hidden="1" x14ac:dyDescent="0.25">
      <c r="A7116" s="219"/>
      <c r="B7116" s="237"/>
      <c r="C7116" s="48" t="s">
        <v>781</v>
      </c>
      <c r="D7116" s="47"/>
      <c r="E7116" s="37"/>
      <c r="F7116" s="31" t="s">
        <v>522</v>
      </c>
      <c r="G7116" s="34" t="str">
        <f t="shared" si="214"/>
        <v/>
      </c>
      <c r="H7116" s="35"/>
      <c r="I7116" s="40"/>
      <c r="J7116" s="102">
        <v>0</v>
      </c>
    </row>
    <row r="7117" spans="1:10" ht="15.75" hidden="1" thickBot="1" x14ac:dyDescent="0.3">
      <c r="A7117" s="220"/>
      <c r="B7117" s="223"/>
      <c r="C7117" s="36"/>
      <c r="D7117" s="36"/>
      <c r="E7117" s="37"/>
      <c r="F7117" s="31" t="s">
        <v>522</v>
      </c>
      <c r="G7117" s="34" t="str">
        <f t="shared" si="214"/>
        <v/>
      </c>
      <c r="H7117" s="35"/>
      <c r="I7117" s="31"/>
      <c r="J7117" s="102">
        <v>0</v>
      </c>
    </row>
    <row r="7118" spans="1:10" ht="15.75" hidden="1" thickBot="1" x14ac:dyDescent="0.3">
      <c r="A7118" s="218" t="s">
        <v>3156</v>
      </c>
      <c r="B7118" s="221" t="e">
        <f>INDEX(#REF!,MATCH(Composições!A7118,#REF!,0),2)</f>
        <v>#REF!</v>
      </c>
      <c r="C7118" s="41"/>
      <c r="D7118" s="26" t="s">
        <v>1514</v>
      </c>
      <c r="E7118" s="27"/>
      <c r="F7118" s="42" t="s">
        <v>522</v>
      </c>
      <c r="G7118" s="28" t="str">
        <f t="shared" si="214"/>
        <v/>
      </c>
      <c r="H7118" s="29"/>
      <c r="I7118" s="30"/>
      <c r="J7118" s="102">
        <v>0</v>
      </c>
    </row>
    <row r="7119" spans="1:10" hidden="1" x14ac:dyDescent="0.25">
      <c r="A7119" s="219"/>
      <c r="B7119" s="237"/>
      <c r="C7119" s="32"/>
      <c r="D7119" s="32"/>
      <c r="E7119" s="33"/>
      <c r="F7119" s="43" t="s">
        <v>522</v>
      </c>
      <c r="G7119" s="34" t="str">
        <f t="shared" si="214"/>
        <v/>
      </c>
      <c r="H7119" s="35"/>
      <c r="I7119" s="31"/>
      <c r="J7119" s="102">
        <v>0</v>
      </c>
    </row>
    <row r="7120" spans="1:10" ht="25.5" hidden="1" x14ac:dyDescent="0.25">
      <c r="A7120" s="219"/>
      <c r="B7120" s="237"/>
      <c r="C7120" s="36" t="s">
        <v>780</v>
      </c>
      <c r="D7120" s="47" t="s">
        <v>12</v>
      </c>
      <c r="E7120" s="106">
        <f>ROUND(220/(1+110.14%),4)</f>
        <v>104.6921</v>
      </c>
      <c r="F7120" s="31">
        <v>85.870499999999993</v>
      </c>
      <c r="G7120" s="34">
        <f t="shared" si="214"/>
        <v>8989.9629730499983</v>
      </c>
      <c r="H7120" s="39">
        <f>SUM(G7120:G7120)</f>
        <v>8989.9629730499983</v>
      </c>
      <c r="I7120" s="40"/>
      <c r="J7120" s="102">
        <v>0</v>
      </c>
    </row>
    <row r="7121" spans="1:10" hidden="1" x14ac:dyDescent="0.25">
      <c r="A7121" s="219"/>
      <c r="B7121" s="237"/>
      <c r="C7121" s="36"/>
      <c r="D7121" s="47"/>
      <c r="E7121" s="37"/>
      <c r="F7121" s="31" t="s">
        <v>522</v>
      </c>
      <c r="G7121" s="34" t="str">
        <f t="shared" si="214"/>
        <v/>
      </c>
      <c r="H7121" s="35"/>
      <c r="I7121" s="40"/>
      <c r="J7121" s="102">
        <v>0</v>
      </c>
    </row>
    <row r="7122" spans="1:10" ht="25.5" hidden="1" x14ac:dyDescent="0.25">
      <c r="A7122" s="219"/>
      <c r="B7122" s="237"/>
      <c r="C7122" s="48" t="s">
        <v>781</v>
      </c>
      <c r="D7122" s="47"/>
      <c r="E7122" s="37"/>
      <c r="F7122" s="31" t="s">
        <v>522</v>
      </c>
      <c r="G7122" s="34" t="str">
        <f t="shared" si="214"/>
        <v/>
      </c>
      <c r="H7122" s="35"/>
      <c r="I7122" s="40"/>
      <c r="J7122" s="102">
        <v>0</v>
      </c>
    </row>
    <row r="7123" spans="1:10" ht="15.75" hidden="1" thickBot="1" x14ac:dyDescent="0.3">
      <c r="A7123" s="220"/>
      <c r="B7123" s="223"/>
      <c r="C7123" s="36"/>
      <c r="D7123" s="36"/>
      <c r="E7123" s="37"/>
      <c r="F7123" s="31" t="s">
        <v>522</v>
      </c>
      <c r="G7123" s="34" t="str">
        <f t="shared" si="214"/>
        <v/>
      </c>
      <c r="H7123" s="35"/>
      <c r="I7123" s="31"/>
      <c r="J7123" s="102">
        <v>0</v>
      </c>
    </row>
    <row r="7124" spans="1:10" ht="15.75" hidden="1" thickBot="1" x14ac:dyDescent="0.3">
      <c r="A7124" s="218" t="s">
        <v>3157</v>
      </c>
      <c r="B7124" s="221" t="e">
        <f>INDEX(#REF!,MATCH(Composições!A7124,#REF!,0),2)</f>
        <v>#REF!</v>
      </c>
      <c r="C7124" s="41"/>
      <c r="D7124" s="26" t="s">
        <v>1514</v>
      </c>
      <c r="E7124" s="27"/>
      <c r="F7124" s="42" t="s">
        <v>522</v>
      </c>
      <c r="G7124" s="28" t="str">
        <f t="shared" si="214"/>
        <v/>
      </c>
      <c r="H7124" s="29"/>
      <c r="I7124" s="30"/>
      <c r="J7124" s="102">
        <v>0</v>
      </c>
    </row>
    <row r="7125" spans="1:10" hidden="1" x14ac:dyDescent="0.25">
      <c r="A7125" s="219"/>
      <c r="B7125" s="237"/>
      <c r="C7125" s="32"/>
      <c r="D7125" s="32"/>
      <c r="E7125" s="33"/>
      <c r="F7125" s="43" t="s">
        <v>522</v>
      </c>
      <c r="G7125" s="34" t="str">
        <f t="shared" si="214"/>
        <v/>
      </c>
      <c r="H7125" s="35"/>
      <c r="I7125" s="31"/>
      <c r="J7125" s="102">
        <v>0</v>
      </c>
    </row>
    <row r="7126" spans="1:10" hidden="1" x14ac:dyDescent="0.25">
      <c r="A7126" s="219"/>
      <c r="B7126" s="237"/>
      <c r="C7126" s="36" t="s">
        <v>1690</v>
      </c>
      <c r="D7126" s="47" t="s">
        <v>12</v>
      </c>
      <c r="E7126" s="106">
        <f>ROUND(220/(1+110.14%),4)</f>
        <v>104.6921</v>
      </c>
      <c r="F7126" s="31">
        <v>16.852999999999998</v>
      </c>
      <c r="G7126" s="34">
        <f t="shared" si="214"/>
        <v>1764.3759612999997</v>
      </c>
      <c r="H7126" s="39">
        <f>SUM(G7126:G7126)</f>
        <v>1764.3759612999997</v>
      </c>
      <c r="I7126" s="40"/>
      <c r="J7126" s="102">
        <v>0</v>
      </c>
    </row>
    <row r="7127" spans="1:10" hidden="1" x14ac:dyDescent="0.25">
      <c r="A7127" s="219"/>
      <c r="B7127" s="237"/>
      <c r="C7127" s="36"/>
      <c r="D7127" s="47"/>
      <c r="E7127" s="37"/>
      <c r="F7127" s="31" t="s">
        <v>522</v>
      </c>
      <c r="G7127" s="34" t="str">
        <f t="shared" si="214"/>
        <v/>
      </c>
      <c r="H7127" s="35"/>
      <c r="I7127" s="40"/>
      <c r="J7127" s="102">
        <v>0</v>
      </c>
    </row>
    <row r="7128" spans="1:10" ht="25.5" hidden="1" x14ac:dyDescent="0.25">
      <c r="A7128" s="219"/>
      <c r="B7128" s="237"/>
      <c r="C7128" s="48" t="s">
        <v>781</v>
      </c>
      <c r="D7128" s="47"/>
      <c r="E7128" s="37"/>
      <c r="F7128" s="31" t="s">
        <v>522</v>
      </c>
      <c r="G7128" s="34" t="str">
        <f t="shared" si="214"/>
        <v/>
      </c>
      <c r="H7128" s="35"/>
      <c r="I7128" s="40"/>
      <c r="J7128" s="102">
        <v>0</v>
      </c>
    </row>
    <row r="7129" spans="1:10" ht="15.75" hidden="1" thickBot="1" x14ac:dyDescent="0.3">
      <c r="A7129" s="220"/>
      <c r="B7129" s="223"/>
      <c r="C7129" s="36"/>
      <c r="D7129" s="36"/>
      <c r="E7129" s="37"/>
      <c r="F7129" s="31" t="s">
        <v>522</v>
      </c>
      <c r="G7129" s="34" t="str">
        <f t="shared" si="214"/>
        <v/>
      </c>
      <c r="H7129" s="35"/>
      <c r="I7129" s="31"/>
      <c r="J7129" s="102">
        <v>0</v>
      </c>
    </row>
    <row r="7130" spans="1:10" ht="15.75" hidden="1" thickBot="1" x14ac:dyDescent="0.3">
      <c r="A7130" s="218" t="s">
        <v>3158</v>
      </c>
      <c r="B7130" s="221" t="e">
        <f>INDEX(#REF!,MATCH(Composições!A7130,#REF!,0),2)</f>
        <v>#REF!</v>
      </c>
      <c r="C7130" s="41"/>
      <c r="D7130" s="26" t="s">
        <v>1514</v>
      </c>
      <c r="E7130" s="27"/>
      <c r="F7130" s="42" t="s">
        <v>522</v>
      </c>
      <c r="G7130" s="28" t="str">
        <f t="shared" si="214"/>
        <v/>
      </c>
      <c r="H7130" s="29"/>
      <c r="I7130" s="30"/>
      <c r="J7130" s="102">
        <v>0</v>
      </c>
    </row>
    <row r="7131" spans="1:10" hidden="1" x14ac:dyDescent="0.25">
      <c r="A7131" s="219"/>
      <c r="B7131" s="237"/>
      <c r="C7131" s="32"/>
      <c r="D7131" s="32"/>
      <c r="E7131" s="33"/>
      <c r="F7131" s="43" t="s">
        <v>522</v>
      </c>
      <c r="G7131" s="34" t="str">
        <f t="shared" si="214"/>
        <v/>
      </c>
      <c r="H7131" s="35"/>
      <c r="I7131" s="31"/>
      <c r="J7131" s="102">
        <v>0</v>
      </c>
    </row>
    <row r="7132" spans="1:10" ht="25.5" hidden="1" x14ac:dyDescent="0.25">
      <c r="A7132" s="219"/>
      <c r="B7132" s="237"/>
      <c r="C7132" s="36" t="s">
        <v>954</v>
      </c>
      <c r="D7132" s="47" t="s">
        <v>12</v>
      </c>
      <c r="E7132" s="106">
        <f>ROUND(220/(1+110.14%),4)</f>
        <v>104.6921</v>
      </c>
      <c r="F7132" s="31">
        <v>20.9</v>
      </c>
      <c r="G7132" s="34">
        <f t="shared" si="214"/>
        <v>2188.0648899999997</v>
      </c>
      <c r="H7132" s="39">
        <f>SUM(G7132:G7132)</f>
        <v>2188.0648899999997</v>
      </c>
      <c r="I7132" s="40"/>
      <c r="J7132" s="102">
        <v>0</v>
      </c>
    </row>
    <row r="7133" spans="1:10" hidden="1" x14ac:dyDescent="0.25">
      <c r="A7133" s="219"/>
      <c r="B7133" s="237"/>
      <c r="C7133" s="36"/>
      <c r="D7133" s="47"/>
      <c r="E7133" s="37"/>
      <c r="F7133" s="31" t="s">
        <v>522</v>
      </c>
      <c r="G7133" s="34" t="str">
        <f t="shared" si="214"/>
        <v/>
      </c>
      <c r="H7133" s="35"/>
      <c r="I7133" s="40"/>
      <c r="J7133" s="102">
        <v>0</v>
      </c>
    </row>
    <row r="7134" spans="1:10" ht="25.5" hidden="1" x14ac:dyDescent="0.25">
      <c r="A7134" s="219"/>
      <c r="B7134" s="237"/>
      <c r="C7134" s="48" t="s">
        <v>781</v>
      </c>
      <c r="D7134" s="47"/>
      <c r="E7134" s="37"/>
      <c r="F7134" s="31" t="s">
        <v>522</v>
      </c>
      <c r="G7134" s="34" t="str">
        <f t="shared" si="214"/>
        <v/>
      </c>
      <c r="H7134" s="35"/>
      <c r="I7134" s="40"/>
      <c r="J7134" s="102">
        <v>0</v>
      </c>
    </row>
    <row r="7135" spans="1:10" ht="15.75" hidden="1" thickBot="1" x14ac:dyDescent="0.3">
      <c r="A7135" s="220"/>
      <c r="B7135" s="223"/>
      <c r="C7135" s="36"/>
      <c r="D7135" s="36"/>
      <c r="E7135" s="37"/>
      <c r="F7135" s="31" t="s">
        <v>522</v>
      </c>
      <c r="G7135" s="34" t="str">
        <f t="shared" si="214"/>
        <v/>
      </c>
      <c r="H7135" s="35"/>
      <c r="I7135" s="31"/>
      <c r="J7135" s="102">
        <v>0</v>
      </c>
    </row>
    <row r="7136" spans="1:10" ht="15.75" hidden="1" thickBot="1" x14ac:dyDescent="0.3">
      <c r="A7136" s="218" t="s">
        <v>3159</v>
      </c>
      <c r="B7136" s="221" t="e">
        <f>INDEX(#REF!,MATCH(Composições!A7136,#REF!,0),2)</f>
        <v>#REF!</v>
      </c>
      <c r="C7136" s="41"/>
      <c r="D7136" s="26" t="s">
        <v>1514</v>
      </c>
      <c r="E7136" s="27"/>
      <c r="F7136" s="42" t="s">
        <v>522</v>
      </c>
      <c r="G7136" s="28" t="str">
        <f t="shared" si="214"/>
        <v/>
      </c>
      <c r="H7136" s="29"/>
      <c r="I7136" s="30"/>
      <c r="J7136" s="102">
        <v>0</v>
      </c>
    </row>
    <row r="7137" spans="1:10" hidden="1" x14ac:dyDescent="0.25">
      <c r="A7137" s="219"/>
      <c r="B7137" s="237"/>
      <c r="C7137" s="32"/>
      <c r="D7137" s="32"/>
      <c r="E7137" s="33"/>
      <c r="F7137" s="43" t="s">
        <v>522</v>
      </c>
      <c r="G7137" s="34" t="str">
        <f t="shared" si="214"/>
        <v/>
      </c>
      <c r="H7137" s="35"/>
      <c r="I7137" s="31"/>
      <c r="J7137" s="102">
        <v>0</v>
      </c>
    </row>
    <row r="7138" spans="1:10" hidden="1" x14ac:dyDescent="0.25">
      <c r="A7138" s="219"/>
      <c r="B7138" s="237"/>
      <c r="C7138" s="36" t="s">
        <v>3243</v>
      </c>
      <c r="D7138" s="47" t="s">
        <v>12</v>
      </c>
      <c r="E7138" s="106">
        <f>ROUND(220/(1+110.14%),4)</f>
        <v>104.6921</v>
      </c>
      <c r="F7138" s="31">
        <v>11.295500000000001</v>
      </c>
      <c r="G7138" s="34">
        <f t="shared" ref="G7138:G7187" si="216">IF(ISNUMBER(F7138),E7138*F7138,"")</f>
        <v>1182.54961555</v>
      </c>
      <c r="H7138" s="39">
        <f>SUM(G7138:G7138)</f>
        <v>1182.54961555</v>
      </c>
      <c r="I7138" s="40"/>
      <c r="J7138" s="102">
        <v>0</v>
      </c>
    </row>
    <row r="7139" spans="1:10" hidden="1" x14ac:dyDescent="0.25">
      <c r="A7139" s="219"/>
      <c r="B7139" s="237"/>
      <c r="C7139" s="36"/>
      <c r="D7139" s="47"/>
      <c r="E7139" s="37"/>
      <c r="F7139" s="31" t="s">
        <v>522</v>
      </c>
      <c r="G7139" s="34" t="str">
        <f t="shared" si="216"/>
        <v/>
      </c>
      <c r="H7139" s="35"/>
      <c r="I7139" s="40"/>
      <c r="J7139" s="102">
        <v>0</v>
      </c>
    </row>
    <row r="7140" spans="1:10" ht="25.5" hidden="1" x14ac:dyDescent="0.25">
      <c r="A7140" s="219"/>
      <c r="B7140" s="237"/>
      <c r="C7140" s="48" t="s">
        <v>781</v>
      </c>
      <c r="D7140" s="47"/>
      <c r="E7140" s="37"/>
      <c r="F7140" s="31" t="s">
        <v>522</v>
      </c>
      <c r="G7140" s="34" t="str">
        <f t="shared" si="216"/>
        <v/>
      </c>
      <c r="H7140" s="35"/>
      <c r="I7140" s="40"/>
      <c r="J7140" s="102">
        <v>0</v>
      </c>
    </row>
    <row r="7141" spans="1:10" ht="15.75" hidden="1" thickBot="1" x14ac:dyDescent="0.3">
      <c r="A7141" s="220"/>
      <c r="B7141" s="223"/>
      <c r="C7141" s="36"/>
      <c r="D7141" s="36"/>
      <c r="E7141" s="37"/>
      <c r="F7141" s="31" t="s">
        <v>522</v>
      </c>
      <c r="G7141" s="34" t="str">
        <f t="shared" si="216"/>
        <v/>
      </c>
      <c r="H7141" s="35"/>
      <c r="I7141" s="31"/>
      <c r="J7141" s="102">
        <v>0</v>
      </c>
    </row>
    <row r="7142" spans="1:10" ht="15.75" hidden="1" thickBot="1" x14ac:dyDescent="0.3">
      <c r="A7142" s="218" t="s">
        <v>3160</v>
      </c>
      <c r="B7142" s="221" t="e">
        <f>INDEX(#REF!,MATCH(Composições!A7142,#REF!,0),2)</f>
        <v>#REF!</v>
      </c>
      <c r="C7142" s="41"/>
      <c r="D7142" s="26" t="s">
        <v>1514</v>
      </c>
      <c r="E7142" s="27"/>
      <c r="F7142" s="42" t="s">
        <v>522</v>
      </c>
      <c r="G7142" s="28" t="str">
        <f t="shared" si="216"/>
        <v/>
      </c>
      <c r="H7142" s="29"/>
      <c r="I7142" s="30"/>
      <c r="J7142" s="102">
        <v>0</v>
      </c>
    </row>
    <row r="7143" spans="1:10" hidden="1" x14ac:dyDescent="0.25">
      <c r="A7143" s="219"/>
      <c r="B7143" s="237"/>
      <c r="C7143" s="111"/>
      <c r="D7143" s="32"/>
      <c r="E7143" s="33"/>
      <c r="F7143" s="43" t="s">
        <v>522</v>
      </c>
      <c r="G7143" s="34" t="str">
        <f t="shared" si="216"/>
        <v/>
      </c>
      <c r="H7143" s="35"/>
      <c r="I7143" s="31"/>
      <c r="J7143" s="102">
        <v>0</v>
      </c>
    </row>
    <row r="7144" spans="1:10" ht="25.5" hidden="1" x14ac:dyDescent="0.25">
      <c r="A7144" s="219"/>
      <c r="B7144" s="237"/>
      <c r="C7144" s="36" t="s">
        <v>954</v>
      </c>
      <c r="D7144" s="47" t="s">
        <v>12</v>
      </c>
      <c r="E7144" s="106">
        <f>ROUND(220/(1+110.14%),4)</f>
        <v>104.6921</v>
      </c>
      <c r="F7144" s="31">
        <v>20.9</v>
      </c>
      <c r="G7144" s="34">
        <f t="shared" si="216"/>
        <v>2188.0648899999997</v>
      </c>
      <c r="H7144" s="39">
        <f>SUM(G7144:G7144)</f>
        <v>2188.0648899999997</v>
      </c>
      <c r="I7144" s="40"/>
      <c r="J7144" s="102">
        <v>0</v>
      </c>
    </row>
    <row r="7145" spans="1:10" hidden="1" x14ac:dyDescent="0.25">
      <c r="A7145" s="219"/>
      <c r="B7145" s="237"/>
      <c r="C7145" s="111"/>
      <c r="D7145" s="47"/>
      <c r="E7145" s="37"/>
      <c r="F7145" s="31" t="s">
        <v>522</v>
      </c>
      <c r="G7145" s="34" t="str">
        <f t="shared" si="216"/>
        <v/>
      </c>
      <c r="H7145" s="35"/>
      <c r="I7145" s="40"/>
      <c r="J7145" s="102">
        <v>0</v>
      </c>
    </row>
    <row r="7146" spans="1:10" ht="25.5" hidden="1" x14ac:dyDescent="0.25">
      <c r="A7146" s="219"/>
      <c r="B7146" s="237"/>
      <c r="C7146" s="48" t="s">
        <v>781</v>
      </c>
      <c r="D7146" s="47"/>
      <c r="E7146" s="37"/>
      <c r="F7146" s="31" t="s">
        <v>522</v>
      </c>
      <c r="G7146" s="34" t="str">
        <f t="shared" si="216"/>
        <v/>
      </c>
      <c r="H7146" s="35"/>
      <c r="I7146" s="40"/>
      <c r="J7146" s="102">
        <v>0</v>
      </c>
    </row>
    <row r="7147" spans="1:10" ht="15.75" hidden="1" thickBot="1" x14ac:dyDescent="0.3">
      <c r="A7147" s="220"/>
      <c r="B7147" s="223"/>
      <c r="C7147" s="55"/>
      <c r="D7147" s="36"/>
      <c r="E7147" s="37"/>
      <c r="F7147" s="31" t="s">
        <v>522</v>
      </c>
      <c r="G7147" s="34" t="str">
        <f t="shared" si="216"/>
        <v/>
      </c>
      <c r="H7147" s="35"/>
      <c r="I7147" s="31"/>
      <c r="J7147" s="102">
        <v>0</v>
      </c>
    </row>
    <row r="7148" spans="1:10" ht="15.75" hidden="1" thickBot="1" x14ac:dyDescent="0.3">
      <c r="A7148" s="218" t="s">
        <v>3161</v>
      </c>
      <c r="B7148" s="221" t="e">
        <f>INDEX(#REF!,MATCH(Composições!A7148,#REF!,0),2)</f>
        <v>#REF!</v>
      </c>
      <c r="C7148" s="41"/>
      <c r="D7148" s="26" t="s">
        <v>1514</v>
      </c>
      <c r="E7148" s="27"/>
      <c r="F7148" s="42" t="s">
        <v>522</v>
      </c>
      <c r="G7148" s="28" t="str">
        <f t="shared" si="216"/>
        <v/>
      </c>
      <c r="H7148" s="29"/>
      <c r="I7148" s="30"/>
      <c r="J7148" s="102">
        <v>0</v>
      </c>
    </row>
    <row r="7149" spans="1:10" hidden="1" x14ac:dyDescent="0.25">
      <c r="A7149" s="219"/>
      <c r="B7149" s="237"/>
      <c r="C7149" s="111"/>
      <c r="D7149" s="32"/>
      <c r="E7149" s="33"/>
      <c r="F7149" s="43" t="s">
        <v>522</v>
      </c>
      <c r="G7149" s="34" t="str">
        <f t="shared" si="216"/>
        <v/>
      </c>
      <c r="H7149" s="35"/>
      <c r="I7149" s="31"/>
      <c r="J7149" s="102">
        <v>0</v>
      </c>
    </row>
    <row r="7150" spans="1:10" ht="25.5" hidden="1" x14ac:dyDescent="0.25">
      <c r="A7150" s="219"/>
      <c r="B7150" s="237"/>
      <c r="C7150" s="36" t="s">
        <v>954</v>
      </c>
      <c r="D7150" s="47" t="s">
        <v>12</v>
      </c>
      <c r="E7150" s="106">
        <f>ROUND(220/(1+110.14%),4)</f>
        <v>104.6921</v>
      </c>
      <c r="F7150" s="31">
        <v>20.9</v>
      </c>
      <c r="G7150" s="34">
        <f t="shared" si="216"/>
        <v>2188.0648899999997</v>
      </c>
      <c r="H7150" s="39">
        <f>SUM(G7150:G7150)</f>
        <v>2188.0648899999997</v>
      </c>
      <c r="I7150" s="40"/>
      <c r="J7150" s="102">
        <v>0</v>
      </c>
    </row>
    <row r="7151" spans="1:10" hidden="1" x14ac:dyDescent="0.25">
      <c r="A7151" s="219"/>
      <c r="B7151" s="237"/>
      <c r="C7151" s="111"/>
      <c r="D7151" s="47"/>
      <c r="E7151" s="37"/>
      <c r="F7151" s="31" t="s">
        <v>522</v>
      </c>
      <c r="G7151" s="34" t="str">
        <f t="shared" si="216"/>
        <v/>
      </c>
      <c r="H7151" s="35"/>
      <c r="I7151" s="40"/>
      <c r="J7151" s="102">
        <v>0</v>
      </c>
    </row>
    <row r="7152" spans="1:10" ht="25.5" hidden="1" x14ac:dyDescent="0.25">
      <c r="A7152" s="219"/>
      <c r="B7152" s="237"/>
      <c r="C7152" s="48" t="s">
        <v>781</v>
      </c>
      <c r="D7152" s="47"/>
      <c r="E7152" s="37"/>
      <c r="F7152" s="31" t="s">
        <v>522</v>
      </c>
      <c r="G7152" s="34" t="str">
        <f t="shared" si="216"/>
        <v/>
      </c>
      <c r="H7152" s="35"/>
      <c r="I7152" s="40"/>
      <c r="J7152" s="102">
        <v>0</v>
      </c>
    </row>
    <row r="7153" spans="1:10" ht="15.75" hidden="1" thickBot="1" x14ac:dyDescent="0.3">
      <c r="A7153" s="220"/>
      <c r="B7153" s="223"/>
      <c r="C7153" s="55"/>
      <c r="D7153" s="36"/>
      <c r="E7153" s="37"/>
      <c r="F7153" s="31" t="s">
        <v>522</v>
      </c>
      <c r="G7153" s="34" t="str">
        <f t="shared" si="216"/>
        <v/>
      </c>
      <c r="H7153" s="35"/>
      <c r="I7153" s="31"/>
      <c r="J7153" s="102">
        <v>0</v>
      </c>
    </row>
    <row r="7154" spans="1:10" ht="15.75" hidden="1" thickBot="1" x14ac:dyDescent="0.3">
      <c r="A7154" s="218" t="s">
        <v>3162</v>
      </c>
      <c r="B7154" s="221" t="e">
        <f>INDEX(#REF!,MATCH(Composições!A7154,#REF!,0),2)</f>
        <v>#REF!</v>
      </c>
      <c r="C7154" s="41"/>
      <c r="D7154" s="26" t="s">
        <v>1514</v>
      </c>
      <c r="E7154" s="27"/>
      <c r="F7154" s="42" t="s">
        <v>522</v>
      </c>
      <c r="G7154" s="28" t="str">
        <f t="shared" si="216"/>
        <v/>
      </c>
      <c r="H7154" s="29"/>
      <c r="I7154" s="30"/>
      <c r="J7154" s="102">
        <v>0</v>
      </c>
    </row>
    <row r="7155" spans="1:10" hidden="1" x14ac:dyDescent="0.25">
      <c r="A7155" s="219"/>
      <c r="B7155" s="237"/>
      <c r="C7155" s="111"/>
      <c r="D7155" s="32"/>
      <c r="E7155" s="33"/>
      <c r="F7155" s="43" t="s">
        <v>522</v>
      </c>
      <c r="G7155" s="34" t="str">
        <f t="shared" si="216"/>
        <v/>
      </c>
      <c r="H7155" s="35"/>
      <c r="I7155" s="31"/>
      <c r="J7155" s="102">
        <v>0</v>
      </c>
    </row>
    <row r="7156" spans="1:10" ht="25.5" hidden="1" x14ac:dyDescent="0.25">
      <c r="A7156" s="219"/>
      <c r="B7156" s="237"/>
      <c r="C7156" s="36" t="s">
        <v>953</v>
      </c>
      <c r="D7156" s="47" t="s">
        <v>12</v>
      </c>
      <c r="E7156" s="106">
        <f>ROUND(220/(1+110.14%),4)</f>
        <v>104.6921</v>
      </c>
      <c r="F7156" s="31">
        <v>16.672499999999999</v>
      </c>
      <c r="G7156" s="34">
        <f t="shared" si="216"/>
        <v>1745.4790372499999</v>
      </c>
      <c r="H7156" s="39">
        <f>SUM(G7156:G7156)</f>
        <v>1745.4790372499999</v>
      </c>
      <c r="I7156" s="40"/>
      <c r="J7156" s="102">
        <v>0</v>
      </c>
    </row>
    <row r="7157" spans="1:10" hidden="1" x14ac:dyDescent="0.25">
      <c r="A7157" s="219"/>
      <c r="B7157" s="237"/>
      <c r="C7157" s="111"/>
      <c r="D7157" s="47"/>
      <c r="E7157" s="37"/>
      <c r="F7157" s="31" t="s">
        <v>522</v>
      </c>
      <c r="G7157" s="34" t="str">
        <f t="shared" si="216"/>
        <v/>
      </c>
      <c r="H7157" s="35"/>
      <c r="I7157" s="40"/>
      <c r="J7157" s="102">
        <v>0</v>
      </c>
    </row>
    <row r="7158" spans="1:10" ht="25.5" hidden="1" x14ac:dyDescent="0.25">
      <c r="A7158" s="219"/>
      <c r="B7158" s="237"/>
      <c r="C7158" s="48" t="s">
        <v>781</v>
      </c>
      <c r="D7158" s="47"/>
      <c r="E7158" s="37"/>
      <c r="F7158" s="31" t="s">
        <v>522</v>
      </c>
      <c r="G7158" s="34" t="str">
        <f t="shared" si="216"/>
        <v/>
      </c>
      <c r="H7158" s="35"/>
      <c r="I7158" s="40"/>
      <c r="J7158" s="102">
        <v>0</v>
      </c>
    </row>
    <row r="7159" spans="1:10" ht="15.75" hidden="1" thickBot="1" x14ac:dyDescent="0.3">
      <c r="A7159" s="220"/>
      <c r="B7159" s="223"/>
      <c r="C7159" s="55"/>
      <c r="D7159" s="36"/>
      <c r="E7159" s="37"/>
      <c r="F7159" s="31" t="s">
        <v>522</v>
      </c>
      <c r="G7159" s="34" t="str">
        <f t="shared" si="216"/>
        <v/>
      </c>
      <c r="H7159" s="35"/>
      <c r="I7159" s="31"/>
      <c r="J7159" s="102">
        <v>0</v>
      </c>
    </row>
    <row r="7160" spans="1:10" ht="15.75" hidden="1" thickBot="1" x14ac:dyDescent="0.3">
      <c r="A7160" s="218" t="s">
        <v>3163</v>
      </c>
      <c r="B7160" s="221" t="e">
        <f>INDEX(#REF!,MATCH(Composições!A7160,#REF!,0),2)</f>
        <v>#REF!</v>
      </c>
      <c r="C7160" s="41"/>
      <c r="D7160" s="26" t="s">
        <v>1514</v>
      </c>
      <c r="E7160" s="27"/>
      <c r="F7160" s="42" t="s">
        <v>522</v>
      </c>
      <c r="G7160" s="28" t="str">
        <f t="shared" si="216"/>
        <v/>
      </c>
      <c r="H7160" s="29"/>
      <c r="I7160" s="30"/>
      <c r="J7160" s="102">
        <v>0</v>
      </c>
    </row>
    <row r="7161" spans="1:10" hidden="1" x14ac:dyDescent="0.25">
      <c r="A7161" s="219"/>
      <c r="B7161" s="237"/>
      <c r="C7161" s="111"/>
      <c r="D7161" s="32"/>
      <c r="E7161" s="33"/>
      <c r="F7161" s="43" t="s">
        <v>522</v>
      </c>
      <c r="G7161" s="34" t="str">
        <f t="shared" si="216"/>
        <v/>
      </c>
      <c r="H7161" s="35"/>
      <c r="I7161" s="31"/>
      <c r="J7161" s="102">
        <v>0</v>
      </c>
    </row>
    <row r="7162" spans="1:10" ht="25.5" hidden="1" x14ac:dyDescent="0.25">
      <c r="A7162" s="219"/>
      <c r="B7162" s="237"/>
      <c r="C7162" s="36" t="s">
        <v>953</v>
      </c>
      <c r="D7162" s="47" t="s">
        <v>12</v>
      </c>
      <c r="E7162" s="106">
        <f>ROUND(220/(1+110.14%),4)</f>
        <v>104.6921</v>
      </c>
      <c r="F7162" s="31">
        <v>16.672499999999999</v>
      </c>
      <c r="G7162" s="34">
        <f t="shared" si="216"/>
        <v>1745.4790372499999</v>
      </c>
      <c r="H7162" s="39">
        <f>SUM(G7162:G7162)</f>
        <v>1745.4790372499999</v>
      </c>
      <c r="I7162" s="40"/>
      <c r="J7162" s="102">
        <v>0</v>
      </c>
    </row>
    <row r="7163" spans="1:10" hidden="1" x14ac:dyDescent="0.25">
      <c r="A7163" s="219"/>
      <c r="B7163" s="237"/>
      <c r="C7163" s="111"/>
      <c r="D7163" s="47"/>
      <c r="E7163" s="37"/>
      <c r="F7163" s="31" t="s">
        <v>522</v>
      </c>
      <c r="G7163" s="34" t="str">
        <f t="shared" si="216"/>
        <v/>
      </c>
      <c r="H7163" s="35"/>
      <c r="I7163" s="40"/>
      <c r="J7163" s="102">
        <v>0</v>
      </c>
    </row>
    <row r="7164" spans="1:10" ht="25.5" hidden="1" x14ac:dyDescent="0.25">
      <c r="A7164" s="219"/>
      <c r="B7164" s="237"/>
      <c r="C7164" s="48" t="s">
        <v>781</v>
      </c>
      <c r="D7164" s="47"/>
      <c r="E7164" s="37"/>
      <c r="F7164" s="31" t="s">
        <v>522</v>
      </c>
      <c r="G7164" s="34" t="str">
        <f t="shared" si="216"/>
        <v/>
      </c>
      <c r="H7164" s="35"/>
      <c r="I7164" s="40"/>
      <c r="J7164" s="102">
        <v>0</v>
      </c>
    </row>
    <row r="7165" spans="1:10" ht="15.75" hidden="1" thickBot="1" x14ac:dyDescent="0.3">
      <c r="A7165" s="220"/>
      <c r="B7165" s="223"/>
      <c r="C7165" s="55"/>
      <c r="D7165" s="36"/>
      <c r="E7165" s="37"/>
      <c r="F7165" s="31" t="s">
        <v>522</v>
      </c>
      <c r="G7165" s="34" t="str">
        <f t="shared" si="216"/>
        <v/>
      </c>
      <c r="H7165" s="35"/>
      <c r="I7165" s="31"/>
      <c r="J7165" s="102">
        <v>0</v>
      </c>
    </row>
    <row r="7166" spans="1:10" ht="15.75" hidden="1" thickBot="1" x14ac:dyDescent="0.3">
      <c r="A7166" s="218" t="s">
        <v>3164</v>
      </c>
      <c r="B7166" s="221" t="e">
        <f>INDEX(#REF!,MATCH(Composições!A7166,#REF!,0),2)</f>
        <v>#REF!</v>
      </c>
      <c r="C7166" s="41"/>
      <c r="D7166" s="26" t="s">
        <v>1514</v>
      </c>
      <c r="E7166" s="27"/>
      <c r="F7166" s="42" t="s">
        <v>522</v>
      </c>
      <c r="G7166" s="28" t="str">
        <f t="shared" si="216"/>
        <v/>
      </c>
      <c r="H7166" s="29"/>
      <c r="I7166" s="30"/>
      <c r="J7166" s="102">
        <v>0</v>
      </c>
    </row>
    <row r="7167" spans="1:10" hidden="1" x14ac:dyDescent="0.25">
      <c r="A7167" s="219"/>
      <c r="B7167" s="237"/>
      <c r="C7167" s="111"/>
      <c r="D7167" s="32"/>
      <c r="E7167" s="33"/>
      <c r="F7167" s="43" t="s">
        <v>522</v>
      </c>
      <c r="G7167" s="34" t="str">
        <f t="shared" si="216"/>
        <v/>
      </c>
      <c r="H7167" s="35"/>
      <c r="I7167" s="31"/>
      <c r="J7167" s="102">
        <v>0</v>
      </c>
    </row>
    <row r="7168" spans="1:10" ht="25.5" hidden="1" x14ac:dyDescent="0.25">
      <c r="A7168" s="219"/>
      <c r="B7168" s="237"/>
      <c r="C7168" s="36" t="s">
        <v>953</v>
      </c>
      <c r="D7168" s="47" t="s">
        <v>12</v>
      </c>
      <c r="E7168" s="106">
        <f>ROUND(220/(1+110.14%),4)</f>
        <v>104.6921</v>
      </c>
      <c r="F7168" s="31">
        <v>16.672499999999999</v>
      </c>
      <c r="G7168" s="34">
        <f t="shared" si="216"/>
        <v>1745.4790372499999</v>
      </c>
      <c r="H7168" s="39">
        <f>SUM(G7168:G7168)</f>
        <v>1745.4790372499999</v>
      </c>
      <c r="I7168" s="40"/>
      <c r="J7168" s="102">
        <v>0</v>
      </c>
    </row>
    <row r="7169" spans="1:10" hidden="1" x14ac:dyDescent="0.25">
      <c r="A7169" s="219"/>
      <c r="B7169" s="237"/>
      <c r="C7169" s="111"/>
      <c r="D7169" s="47"/>
      <c r="E7169" s="37"/>
      <c r="F7169" s="31" t="s">
        <v>522</v>
      </c>
      <c r="G7169" s="34" t="str">
        <f t="shared" si="216"/>
        <v/>
      </c>
      <c r="H7169" s="35"/>
      <c r="I7169" s="40"/>
      <c r="J7169" s="102">
        <v>0</v>
      </c>
    </row>
    <row r="7170" spans="1:10" ht="25.5" hidden="1" x14ac:dyDescent="0.25">
      <c r="A7170" s="219"/>
      <c r="B7170" s="237"/>
      <c r="C7170" s="48" t="s">
        <v>781</v>
      </c>
      <c r="D7170" s="47"/>
      <c r="E7170" s="37"/>
      <c r="F7170" s="31" t="s">
        <v>522</v>
      </c>
      <c r="G7170" s="34" t="str">
        <f t="shared" si="216"/>
        <v/>
      </c>
      <c r="H7170" s="35"/>
      <c r="I7170" s="40"/>
      <c r="J7170" s="102">
        <v>0</v>
      </c>
    </row>
    <row r="7171" spans="1:10" ht="15.75" hidden="1" thickBot="1" x14ac:dyDescent="0.3">
      <c r="A7171" s="220"/>
      <c r="B7171" s="223"/>
      <c r="C7171" s="55"/>
      <c r="D7171" s="36"/>
      <c r="E7171" s="37"/>
      <c r="F7171" s="31" t="s">
        <v>522</v>
      </c>
      <c r="G7171" s="34" t="str">
        <f t="shared" si="216"/>
        <v/>
      </c>
      <c r="H7171" s="35"/>
      <c r="I7171" s="31"/>
      <c r="J7171" s="102">
        <v>0</v>
      </c>
    </row>
    <row r="7172" spans="1:10" ht="15.75" hidden="1" thickBot="1" x14ac:dyDescent="0.3">
      <c r="A7172" s="218" t="s">
        <v>3167</v>
      </c>
      <c r="B7172" s="221" t="e">
        <f>INDEX(#REF!,MATCH(Composições!A7172,#REF!,0),2)</f>
        <v>#REF!</v>
      </c>
      <c r="C7172" s="41"/>
      <c r="D7172" s="26" t="s">
        <v>20</v>
      </c>
      <c r="E7172" s="27"/>
      <c r="F7172" s="42" t="s">
        <v>522</v>
      </c>
      <c r="G7172" s="28" t="str">
        <f t="shared" si="216"/>
        <v/>
      </c>
      <c r="H7172" s="29"/>
      <c r="I7172" s="30"/>
      <c r="J7172" s="102">
        <v>0</v>
      </c>
    </row>
    <row r="7173" spans="1:10" hidden="1" x14ac:dyDescent="0.25">
      <c r="A7173" s="219"/>
      <c r="B7173" s="222"/>
      <c r="C7173" s="32"/>
      <c r="D7173" s="32"/>
      <c r="E7173" s="33"/>
      <c r="F7173" s="43" t="s">
        <v>522</v>
      </c>
      <c r="G7173" s="31" t="str">
        <f t="shared" si="216"/>
        <v/>
      </c>
      <c r="H7173" s="35"/>
      <c r="I7173" s="31"/>
      <c r="J7173" s="102">
        <v>0</v>
      </c>
    </row>
    <row r="7174" spans="1:10" ht="38.25" hidden="1" x14ac:dyDescent="0.25">
      <c r="A7174" s="219"/>
      <c r="B7174" s="222"/>
      <c r="C7174" s="118" t="s">
        <v>3258</v>
      </c>
      <c r="D7174" s="47" t="s">
        <v>20</v>
      </c>
      <c r="E7174" s="106">
        <v>1</v>
      </c>
      <c r="F7174" s="31">
        <v>565.76299999999992</v>
      </c>
      <c r="G7174" s="31">
        <f t="shared" si="216"/>
        <v>565.76299999999992</v>
      </c>
      <c r="H7174" s="39">
        <f t="shared" si="215"/>
        <v>565.76299999999992</v>
      </c>
      <c r="I7174" s="40"/>
      <c r="J7174" s="102">
        <v>0</v>
      </c>
    </row>
    <row r="7175" spans="1:10" ht="15.75" hidden="1" thickBot="1" x14ac:dyDescent="0.3">
      <c r="A7175" s="220"/>
      <c r="B7175" s="223"/>
      <c r="C7175" s="55"/>
      <c r="D7175" s="55"/>
      <c r="E7175" s="66"/>
      <c r="F7175" s="67" t="s">
        <v>522</v>
      </c>
      <c r="G7175" s="67" t="str">
        <f t="shared" si="216"/>
        <v/>
      </c>
      <c r="H7175" s="69"/>
      <c r="I7175" s="31"/>
      <c r="J7175" s="102">
        <v>0</v>
      </c>
    </row>
    <row r="7176" spans="1:10" ht="15.75" hidden="1" thickBot="1" x14ac:dyDescent="0.3">
      <c r="A7176" s="218" t="s">
        <v>3169</v>
      </c>
      <c r="B7176" s="221" t="e">
        <f>INDEX(#REF!,MATCH(Composições!A7176,#REF!,0),2)</f>
        <v>#REF!</v>
      </c>
      <c r="C7176" s="41"/>
      <c r="D7176" s="26" t="s">
        <v>20</v>
      </c>
      <c r="E7176" s="27"/>
      <c r="F7176" s="42" t="s">
        <v>522</v>
      </c>
      <c r="G7176" s="28" t="str">
        <f t="shared" si="216"/>
        <v/>
      </c>
      <c r="H7176" s="29"/>
      <c r="I7176" s="30"/>
      <c r="J7176" s="102">
        <v>0</v>
      </c>
    </row>
    <row r="7177" spans="1:10" hidden="1" x14ac:dyDescent="0.25">
      <c r="A7177" s="219"/>
      <c r="B7177" s="222"/>
      <c r="C7177" s="32"/>
      <c r="D7177" s="32"/>
      <c r="E7177" s="33"/>
      <c r="F7177" s="43" t="s">
        <v>522</v>
      </c>
      <c r="G7177" s="31" t="str">
        <f t="shared" si="216"/>
        <v/>
      </c>
      <c r="H7177" s="35"/>
      <c r="I7177" s="31"/>
      <c r="J7177" s="102">
        <v>0</v>
      </c>
    </row>
    <row r="7178" spans="1:10" ht="25.5" hidden="1" x14ac:dyDescent="0.25">
      <c r="A7178" s="219"/>
      <c r="B7178" s="222"/>
      <c r="C7178" s="118" t="s">
        <v>3260</v>
      </c>
      <c r="D7178" s="47" t="s">
        <v>20</v>
      </c>
      <c r="E7178" s="106">
        <v>1</v>
      </c>
      <c r="F7178" s="31">
        <v>153.9</v>
      </c>
      <c r="G7178" s="31">
        <f t="shared" si="216"/>
        <v>153.9</v>
      </c>
      <c r="H7178" s="39">
        <f t="shared" si="215"/>
        <v>153.9</v>
      </c>
      <c r="I7178" s="40"/>
      <c r="J7178" s="102">
        <v>0</v>
      </c>
    </row>
    <row r="7179" spans="1:10" ht="15.75" hidden="1" thickBot="1" x14ac:dyDescent="0.3">
      <c r="A7179" s="220"/>
      <c r="B7179" s="223"/>
      <c r="C7179" s="55"/>
      <c r="D7179" s="55"/>
      <c r="E7179" s="66"/>
      <c r="F7179" s="67" t="s">
        <v>522</v>
      </c>
      <c r="G7179" s="67" t="str">
        <f t="shared" si="216"/>
        <v/>
      </c>
      <c r="H7179" s="69"/>
      <c r="I7179" s="31"/>
      <c r="J7179" s="102">
        <v>0</v>
      </c>
    </row>
    <row r="7180" spans="1:10" ht="15.75" hidden="1" thickBot="1" x14ac:dyDescent="0.3">
      <c r="A7180" s="218" t="s">
        <v>3196</v>
      </c>
      <c r="B7180" s="221" t="e">
        <f>INDEX(#REF!,MATCH(Composições!A7180,#REF!,0),2)</f>
        <v>#REF!</v>
      </c>
      <c r="C7180" s="41"/>
      <c r="D7180" s="26" t="s">
        <v>20</v>
      </c>
      <c r="E7180" s="27"/>
      <c r="F7180" s="42" t="s">
        <v>522</v>
      </c>
      <c r="G7180" s="28" t="str">
        <f t="shared" si="216"/>
        <v/>
      </c>
      <c r="H7180" s="29"/>
      <c r="I7180" s="30"/>
      <c r="J7180" s="102">
        <v>0</v>
      </c>
    </row>
    <row r="7181" spans="1:10" hidden="1" x14ac:dyDescent="0.25">
      <c r="A7181" s="219"/>
      <c r="B7181" s="222"/>
      <c r="C7181" s="32"/>
      <c r="D7181" s="32"/>
      <c r="E7181" s="33"/>
      <c r="F7181" s="43" t="s">
        <v>522</v>
      </c>
      <c r="G7181" s="31" t="str">
        <f t="shared" si="216"/>
        <v/>
      </c>
      <c r="H7181" s="35"/>
      <c r="I7181" s="31"/>
      <c r="J7181" s="102">
        <v>0</v>
      </c>
    </row>
    <row r="7182" spans="1:10" ht="25.5" hidden="1" x14ac:dyDescent="0.25">
      <c r="A7182" s="219"/>
      <c r="B7182" s="222"/>
      <c r="C7182" s="118" t="s">
        <v>3219</v>
      </c>
      <c r="D7182" s="47" t="s">
        <v>20</v>
      </c>
      <c r="E7182" s="106">
        <v>1</v>
      </c>
      <c r="F7182" s="31">
        <v>63.440999999999995</v>
      </c>
      <c r="G7182" s="31">
        <f t="shared" si="216"/>
        <v>63.440999999999995</v>
      </c>
      <c r="H7182" s="39">
        <f t="shared" si="215"/>
        <v>63.440999999999995</v>
      </c>
      <c r="I7182" s="40"/>
      <c r="J7182" s="102">
        <v>0</v>
      </c>
    </row>
    <row r="7183" spans="1:10" ht="15.75" hidden="1" thickBot="1" x14ac:dyDescent="0.3">
      <c r="A7183" s="220"/>
      <c r="B7183" s="223"/>
      <c r="C7183" s="55"/>
      <c r="D7183" s="55"/>
      <c r="E7183" s="66"/>
      <c r="F7183" s="67" t="s">
        <v>522</v>
      </c>
      <c r="G7183" s="67" t="str">
        <f t="shared" si="216"/>
        <v/>
      </c>
      <c r="H7183" s="69"/>
      <c r="I7183" s="31"/>
      <c r="J7183" s="102">
        <v>0</v>
      </c>
    </row>
    <row r="7184" spans="1:10" ht="15.75" hidden="1" thickBot="1" x14ac:dyDescent="0.3">
      <c r="A7184" s="218" t="s">
        <v>3198</v>
      </c>
      <c r="B7184" s="221" t="e">
        <f>INDEX(#REF!,MATCH(Composições!A7184,#REF!,0),2)</f>
        <v>#REF!</v>
      </c>
      <c r="C7184" s="41"/>
      <c r="D7184" s="26" t="s">
        <v>93</v>
      </c>
      <c r="E7184" s="27"/>
      <c r="F7184" s="42" t="s">
        <v>522</v>
      </c>
      <c r="G7184" s="28" t="str">
        <f t="shared" si="216"/>
        <v/>
      </c>
      <c r="H7184" s="29"/>
      <c r="I7184" s="30"/>
      <c r="J7184" s="102">
        <v>0</v>
      </c>
    </row>
    <row r="7185" spans="1:10" hidden="1" x14ac:dyDescent="0.25">
      <c r="A7185" s="219"/>
      <c r="B7185" s="222"/>
      <c r="C7185" s="32"/>
      <c r="D7185" s="32"/>
      <c r="E7185" s="33"/>
      <c r="F7185" s="43" t="s">
        <v>522</v>
      </c>
      <c r="G7185" s="31" t="str">
        <f t="shared" si="216"/>
        <v/>
      </c>
      <c r="H7185" s="35"/>
      <c r="I7185" s="31"/>
      <c r="J7185" s="102">
        <v>0</v>
      </c>
    </row>
    <row r="7186" spans="1:10" ht="25.5" hidden="1" x14ac:dyDescent="0.25">
      <c r="A7186" s="219"/>
      <c r="B7186" s="222"/>
      <c r="C7186" s="118" t="s">
        <v>3383</v>
      </c>
      <c r="D7186" s="47" t="s">
        <v>93</v>
      </c>
      <c r="E7186" s="106">
        <v>1</v>
      </c>
      <c r="F7186" s="31">
        <v>57.408499999999997</v>
      </c>
      <c r="G7186" s="31">
        <f t="shared" si="216"/>
        <v>57.408499999999997</v>
      </c>
      <c r="H7186" s="39">
        <f t="shared" ref="H7186" si="217">SUM(G7186:G7186)</f>
        <v>57.408499999999997</v>
      </c>
      <c r="I7186" s="40"/>
      <c r="J7186" s="102">
        <v>0</v>
      </c>
    </row>
    <row r="7187" spans="1:10" ht="15.75" hidden="1" thickBot="1" x14ac:dyDescent="0.3">
      <c r="A7187" s="220"/>
      <c r="B7187" s="223"/>
      <c r="C7187" s="55"/>
      <c r="D7187" s="55"/>
      <c r="E7187" s="66"/>
      <c r="F7187" s="67" t="s">
        <v>522</v>
      </c>
      <c r="G7187" s="67" t="str">
        <f t="shared" si="216"/>
        <v/>
      </c>
      <c r="H7187" s="69"/>
      <c r="I7187" s="31"/>
      <c r="J7187" s="102">
        <v>0</v>
      </c>
    </row>
  </sheetData>
  <protectedRanges>
    <protectedRange sqref="C217 C108 C3204:C3205 C816 C3348 C1856 C1862 C1898 C1874 C1892 C1868 C1880 C1886 C1904 C1910 C1815 C1820 C1916 C2400 C3209 C3336 C3245 C3266 C3213 C3220 C3179 C3251 C3261 C3235 C3241 C3253 C3342 C1937 C1942 C1947 C2778 C2414 C2799 C2804 C2434 C2406 C2410 C2418 C2422 C2426 C2430 C2438 C2770 C118 C2738 C2746 C2758 C2750" name="COTACOES_92_6"/>
    <protectedRange sqref="C355" name="COTACOES_14_1_1"/>
    <protectedRange sqref="C421 C400" name="COTACOES_92_13_1"/>
    <protectedRange sqref="C507" name="COTACOES_92_4_1_1"/>
    <protectedRange sqref="C500" name="COTACOES_92_4_2_1"/>
    <protectedRange sqref="C794:C795 C762 C759:C760 C776:C777 C779 C800" name="COTACOES_92_3_1_1"/>
    <protectedRange sqref="C750" name="COTACOES_92_22_1"/>
    <protectedRange sqref="C1229" name="COTACOES_91_1_2_1"/>
    <protectedRange sqref="C1223" name="COTACOES_91_1_3_1"/>
    <protectedRange sqref="C1390:C1391" name="COTACOES_68_1_1"/>
    <protectedRange sqref="F1528 F1544 F1520 F1512 F1536" name="COTACOES_27_1_2_1_8_1"/>
    <protectedRange sqref="C1552 C1528 C1544 C1520 C1512 C1536" name="COTACOES_5_1_8_1"/>
    <protectedRange sqref="C1409:C1413 C1424:C1428 C1439:C1443 C1454:C1458 C1469:C1473 C1484:C1488 C1499:C1503" name="COTACOES_32_1_1"/>
    <protectedRange sqref="F1584 F1587 F1590" name="COTACOES_27_1_2_1_17_1"/>
    <protectedRange sqref="C1583:C1588 C1590:C1591" name="COTACOES_5_1_17_1"/>
    <protectedRange sqref="C1648 C1631 C1625 C1654 C5069 C5075" name="COTACOES_15_1_1"/>
    <protectedRange sqref="C1737 C1748 C1739 C1750" name="COTACOES_8_1_1"/>
    <protectedRange sqref="C1715 C4928:C4929 C4935:C4936 C4942:C4943 C4949:C4950 C4992:C4993 C5005:C5006 C5011 C5015:C5016 C5021:C5022 C5036:C5037 C5081:C5082 C5603 C5607 C5611 C5615 C1726 C1717 C1728" name="COTACOES_9_1_1_3"/>
    <protectedRange sqref="C1701" name="COTACOES_10_1_1"/>
    <protectedRange sqref="C1775" name="COTACOES_42_1_3"/>
    <protectedRange sqref="C1789" name="COTACOES_42_1_1_1"/>
    <protectedRange sqref="C1803" name="COTACOES_42_1_2_1"/>
    <protectedRange sqref="F1761" name="COTACOES_27_1_1_3_1"/>
    <protectedRange sqref="F1768" name="COTACOES_27_1_1_4_1"/>
    <protectedRange sqref="C1827" name="COTACOES_37_1_1"/>
    <protectedRange sqref="C1833" name="COTACOES_82_1_1"/>
    <protectedRange sqref="C1846" name="COTACOES_58_1_1"/>
    <protectedRange sqref="C1852" name="COTACOES_61_1_1"/>
    <protectedRange sqref="C1858" name="COTACOES_40_1_1"/>
    <protectedRange sqref="C1864" name="COTACOES_36_1_2"/>
    <protectedRange sqref="C1900" name="COTACOES_41_1_2"/>
    <protectedRange sqref="C1876 C1894" name="COTACOES_41_1_1_1"/>
    <protectedRange sqref="C1870" name="COTACOES_36_1_1_1"/>
    <protectedRange sqref="C1882 C1888" name="COTACOES_44_1_1"/>
    <protectedRange sqref="C1906" name="COTACOES_51_1_1"/>
    <protectedRange sqref="F1906" name="COTACOES_54_1_1"/>
    <protectedRange sqref="C1912 C2402 C3089:C3090 C3239 C3233 C3216 C3269 C3223:C3225 C2779 C2794 C2814" name="COTACOES_55_1_3"/>
    <protectedRange sqref="F1912" name="COTACOES_57_1_1"/>
    <protectedRange sqref="C1956" name="COTACOES_75_1_2"/>
    <protectedRange sqref="C1962" name="COTACOES_75_1_1_1"/>
    <protectedRange sqref="C1992 C1984" name="COTACOES_78_1_1"/>
    <protectedRange sqref="C1975" name="COTACOES_80_1_2"/>
    <protectedRange sqref="C1968" name="COTACOES_80_1_1_1"/>
    <protectedRange sqref="C2333" name="COTACOES_62_1_1"/>
    <protectedRange sqref="C2394" name="COTACOES_4_1_1"/>
    <protectedRange sqref="C834:C835" name="COTACOES_92_4_3"/>
    <protectedRange sqref="C785" name="COTACOES_92_2_7"/>
    <protectedRange sqref="C3362" name="COTACOES_92_2_3_2"/>
    <protectedRange sqref="C3365" name="COTACOES_55_1_1_3"/>
    <protectedRange sqref="C3370" name="COTACOES_92_2_5_1"/>
    <protectedRange sqref="C3376" name="COTACOES_55_1_2_1"/>
    <protectedRange sqref="C3678:C3680" name="COTACOES_55_1_1_1_1"/>
    <protectedRange sqref="C3698:C3700 C3713" name="COTACOES_55_1_1_2_1"/>
    <protectedRange sqref="C3704" name="COTACOES_92_1_2_1"/>
    <protectedRange sqref="C3832 C3772 C3711:C3712 C3714 C3706:C3709 C3778 C3784 C3790 C3796 C3802 C3808 C3814 C3820 C3826" name="COTACOES_55_1_1_4_1"/>
    <protectedRange sqref="C3861 C3870" name="COTACOES_92_12_1"/>
    <protectedRange sqref="C3864:C3865 C3873:C3874" name="COTACOES_55_1_5_1"/>
    <protectedRange sqref="C3878" name="COTACOES_92_14_1"/>
    <protectedRange sqref="C3880:C3882" name="COTACOES_55_1_6_1"/>
    <protectedRange sqref="C3890:C3900" name="COTACOES_92_15_1"/>
    <protectedRange sqref="C3955" name="COTACOES_9_1_1_1_1"/>
    <protectedRange sqref="C3965:C3966" name="COTACOES_9_1_1_2_1"/>
    <protectedRange sqref="C3997" name="COTACOES_92_16_1"/>
    <protectedRange sqref="C4000:C4001" name="COTACOES_55_1_7_2"/>
    <protectedRange sqref="C4010" name="COTACOES_92_17_2"/>
    <protectedRange sqref="C4016:C4018" name="COTACOES_55_1_8_1"/>
    <protectedRange sqref="C3982 C4154 C4187 C4201 C4219" name="COTACOES_55_1_7_1_2"/>
    <protectedRange sqref="C4036 C4045 C4054 C4063 C4072 C4081" name="COTACOES_92_17_1_1"/>
    <protectedRange sqref="C4102" name="COTACOES_55_1_7_1_1_1"/>
    <protectedRange sqref="C2442 C2654 C2450 C2462 C2466 C2470 C2474 C2478 C2482 C2486 C2490 C2494 C2498 C2502 C2506 C2510 C2514 C2518 C2522 C2526 C2530 C2534 C2538 C2542 C2546 C2550 C2554 C2558 C2658 C2454 C2458" name="COTACOES_92_3_2"/>
    <protectedRange sqref="C2562 C2566 C2570 C2590 C2582 C2584:C2585 C2592:C2593 C2598 C2600:C2601 C2610 C2614 C2618 C2626 C2630 C2634 C2638 C2646 C2622 C2650" name="COTACOES_92_5_2"/>
    <protectedRange sqref="C4119 C4109:C4111 C4115:C4116" name="COTACOES_55_1_7_1_1_1_1"/>
    <protectedRange sqref="C4368" name="COTACOES_92_17_1_1_1"/>
    <protectedRange sqref="C2662:C2664 C2668:C2670 C2674:C2676 C2680:C2682 C2686:C2688 C2692:C2694 C2704:C2706 C2710:C2712 C2716:C2718 C2698:C2700 C7114:C7116 C7120:C7122 C7127:C7128 C7133:C7134 C7139:C7140" name="COTACOES_92_3_2_1"/>
    <protectedRange sqref="C4350" name="COTACOES_92_17_1_1_1_1"/>
    <protectedRange sqref="C388" name="COTACOES_92_3_1_1_1"/>
    <protectedRange sqref="C409" name="COTACOES_92_3_1_1_2"/>
    <protectedRange sqref="C418" name="COTACOES_92_3_1_1_3"/>
    <protectedRange sqref="C797" name="COTACOES_92_3_1_1_4"/>
    <protectedRange sqref="C808" name="COTACOES_92_3_1_1_5"/>
    <protectedRange sqref="C2578" name="COTACOES_92_5_2_1"/>
    <protectedRange sqref="C4220" name="COTACOES_92_5_2_2"/>
    <protectedRange sqref="C1738" name="COTACOES_9_1_1_3_1"/>
    <protectedRange sqref="C1749" name="COTACOES_9_1_1_3_2"/>
    <protectedRange sqref="C1716 C1727" name="COTACOES_9_1_1_3_3"/>
    <protectedRange sqref="C5378 C5380 C5386 C5388 C5394 C5396 C5402 C5404 C5437:C5438 C5431:C5432 C5450:C5451 C5456:C5457" name="COTACOES_8_1_1_1"/>
    <protectedRange sqref="C5379 C5387 C5395 C5403" name="COTACOES_9_1_1_3_4"/>
    <protectedRange sqref="C6372 C6374 C6379:C6380 C6414 C6385 C6387 C6424" name="COTACOES_8_1_1_2"/>
    <protectedRange sqref="C6373 C6386" name="COTACOES_9_1_1_3_5"/>
    <protectedRange sqref="C6433 C6435" name="COTACOES_8_1_1_2_1"/>
    <protectedRange sqref="C6434" name="COTACOES_9_1_1_3_5_1"/>
    <protectedRange sqref="C6440 C6442" name="COTACOES_8_1_1_2_2"/>
    <protectedRange sqref="C6441" name="COTACOES_9_1_1_3_5_2"/>
  </protectedRanges>
  <autoFilter ref="A5:J7187">
    <filterColumn colId="9">
      <filters>
        <filter val="100,00"/>
      </filters>
    </filterColumn>
  </autoFilter>
  <mergeCells count="2336">
    <mergeCell ref="A4744:A4747"/>
    <mergeCell ref="B4744:B4747"/>
    <mergeCell ref="A6025:A6028"/>
    <mergeCell ref="B6025:B6028"/>
    <mergeCell ref="A6041:A6044"/>
    <mergeCell ref="B6041:B6044"/>
    <mergeCell ref="A6045:A6048"/>
    <mergeCell ref="B6045:B6048"/>
    <mergeCell ref="A6109:A6112"/>
    <mergeCell ref="B6109:B6112"/>
    <mergeCell ref="A6113:A6116"/>
    <mergeCell ref="B6113:B6116"/>
    <mergeCell ref="A6117:A6120"/>
    <mergeCell ref="B6117:B6120"/>
    <mergeCell ref="A6932:A6935"/>
    <mergeCell ref="B6932:B6935"/>
    <mergeCell ref="A6928:A6931"/>
    <mergeCell ref="B6928:B6931"/>
    <mergeCell ref="A6816:A6819"/>
    <mergeCell ref="B6816:B6819"/>
    <mergeCell ref="A6876:A6879"/>
    <mergeCell ref="B6876:B6879"/>
    <mergeCell ref="A6780:A6783"/>
    <mergeCell ref="B6780:B6783"/>
    <mergeCell ref="A6784:A6787"/>
    <mergeCell ref="B6784:B6787"/>
    <mergeCell ref="A6788:A6791"/>
    <mergeCell ref="B6788:B6791"/>
    <mergeCell ref="A6792:A6795"/>
    <mergeCell ref="B6792:B6795"/>
    <mergeCell ref="A6768:A6771"/>
    <mergeCell ref="B6768:B6771"/>
    <mergeCell ref="A2720:A2723"/>
    <mergeCell ref="B2720:B2723"/>
    <mergeCell ref="A2724:A2727"/>
    <mergeCell ref="B2724:B2727"/>
    <mergeCell ref="A2728:A2731"/>
    <mergeCell ref="B2728:B2731"/>
    <mergeCell ref="A2748:A2751"/>
    <mergeCell ref="B2748:B2751"/>
    <mergeCell ref="A2760:A2763"/>
    <mergeCell ref="B2760:B2763"/>
    <mergeCell ref="A3467:A3477"/>
    <mergeCell ref="B3467:B3477"/>
    <mergeCell ref="A3538:A3546"/>
    <mergeCell ref="B3538:B3546"/>
    <mergeCell ref="A2817:A2821"/>
    <mergeCell ref="B2817:B2821"/>
    <mergeCell ref="A2822:A2826"/>
    <mergeCell ref="B2822:B2826"/>
    <mergeCell ref="A2827:A2831"/>
    <mergeCell ref="B2827:B2831"/>
    <mergeCell ref="A2781:A2790"/>
    <mergeCell ref="B2781:B2790"/>
    <mergeCell ref="A2791:A2796"/>
    <mergeCell ref="B2791:B2796"/>
    <mergeCell ref="A2807:A2816"/>
    <mergeCell ref="B2807:B2816"/>
    <mergeCell ref="A2797:A2801"/>
    <mergeCell ref="B2797:B2801"/>
    <mergeCell ref="A2744:A2747"/>
    <mergeCell ref="B2744:B2747"/>
    <mergeCell ref="A2752:A2755"/>
    <mergeCell ref="B2752:B2755"/>
    <mergeCell ref="A7184:A7187"/>
    <mergeCell ref="B7184:B7187"/>
    <mergeCell ref="A7172:A7175"/>
    <mergeCell ref="B7172:B7175"/>
    <mergeCell ref="A7176:A7179"/>
    <mergeCell ref="B7176:B7179"/>
    <mergeCell ref="A7112:A7117"/>
    <mergeCell ref="B7112:B7117"/>
    <mergeCell ref="A7118:A7123"/>
    <mergeCell ref="B7118:B7123"/>
    <mergeCell ref="A7124:A7129"/>
    <mergeCell ref="B7124:B7129"/>
    <mergeCell ref="A7130:A7135"/>
    <mergeCell ref="B7130:B7135"/>
    <mergeCell ref="A7136:A7141"/>
    <mergeCell ref="B7136:B7141"/>
    <mergeCell ref="A7142:A7147"/>
    <mergeCell ref="B7142:B7147"/>
    <mergeCell ref="A7148:A7153"/>
    <mergeCell ref="B7148:B7153"/>
    <mergeCell ref="A7154:A7159"/>
    <mergeCell ref="B7154:B7159"/>
    <mergeCell ref="A7160:A7165"/>
    <mergeCell ref="B7160:B7165"/>
    <mergeCell ref="A7166:A7171"/>
    <mergeCell ref="B7166:B7171"/>
    <mergeCell ref="A7092:A7095"/>
    <mergeCell ref="B7092:B7095"/>
    <mergeCell ref="A7096:A7099"/>
    <mergeCell ref="B7096:B7099"/>
    <mergeCell ref="A7100:A7103"/>
    <mergeCell ref="B7100:B7103"/>
    <mergeCell ref="A7104:A7107"/>
    <mergeCell ref="B7104:B7107"/>
    <mergeCell ref="A7108:A7111"/>
    <mergeCell ref="B7108:B7111"/>
    <mergeCell ref="A7180:A7183"/>
    <mergeCell ref="B7180:B7183"/>
    <mergeCell ref="A7004:A7007"/>
    <mergeCell ref="B7004:B7007"/>
    <mergeCell ref="A7008:A7011"/>
    <mergeCell ref="B7008:B7011"/>
    <mergeCell ref="A7012:A7015"/>
    <mergeCell ref="B7012:B7015"/>
    <mergeCell ref="A7056:A7059"/>
    <mergeCell ref="B7056:B7059"/>
    <mergeCell ref="A7060:A7063"/>
    <mergeCell ref="B7060:B7063"/>
    <mergeCell ref="A7064:A7067"/>
    <mergeCell ref="B7064:B7067"/>
    <mergeCell ref="A7068:A7071"/>
    <mergeCell ref="B7068:B7071"/>
    <mergeCell ref="A7072:A7075"/>
    <mergeCell ref="B7072:B7075"/>
    <mergeCell ref="A7076:A7079"/>
    <mergeCell ref="B7076:B7079"/>
    <mergeCell ref="A7080:A7083"/>
    <mergeCell ref="B7080:B7083"/>
    <mergeCell ref="A7084:A7087"/>
    <mergeCell ref="B7084:B7087"/>
    <mergeCell ref="A7088:A7091"/>
    <mergeCell ref="B7088:B7091"/>
    <mergeCell ref="A7020:A7023"/>
    <mergeCell ref="B7020:B7023"/>
    <mergeCell ref="A7024:A7027"/>
    <mergeCell ref="B7024:B7027"/>
    <mergeCell ref="A7028:A7031"/>
    <mergeCell ref="B7028:B7031"/>
    <mergeCell ref="A7032:A7035"/>
    <mergeCell ref="B7032:B7035"/>
    <mergeCell ref="A7036:A7039"/>
    <mergeCell ref="B7036:B7039"/>
    <mergeCell ref="A7040:A7043"/>
    <mergeCell ref="B7040:B7043"/>
    <mergeCell ref="A7044:A7047"/>
    <mergeCell ref="B7044:B7047"/>
    <mergeCell ref="A7048:A7051"/>
    <mergeCell ref="B7048:B7051"/>
    <mergeCell ref="A7052:A7055"/>
    <mergeCell ref="B7052:B7055"/>
    <mergeCell ref="A6968:A6971"/>
    <mergeCell ref="B6968:B6971"/>
    <mergeCell ref="A6972:A6975"/>
    <mergeCell ref="B6972:B6975"/>
    <mergeCell ref="A6980:A6983"/>
    <mergeCell ref="B6980:B6983"/>
    <mergeCell ref="A6984:A6987"/>
    <mergeCell ref="B6984:B6987"/>
    <mergeCell ref="A6988:A6991"/>
    <mergeCell ref="B6988:B6991"/>
    <mergeCell ref="A6992:A6995"/>
    <mergeCell ref="B6992:B6995"/>
    <mergeCell ref="A6996:A6999"/>
    <mergeCell ref="B6996:B6999"/>
    <mergeCell ref="A7000:A7003"/>
    <mergeCell ref="B7000:B7003"/>
    <mergeCell ref="A7016:A7019"/>
    <mergeCell ref="B7016:B7019"/>
    <mergeCell ref="A6976:A6979"/>
    <mergeCell ref="B6976:B6979"/>
    <mergeCell ref="A6960:A6963"/>
    <mergeCell ref="B6960:B6963"/>
    <mergeCell ref="A6964:A6967"/>
    <mergeCell ref="B6964:B6967"/>
    <mergeCell ref="A6812:A6815"/>
    <mergeCell ref="B6812:B6815"/>
    <mergeCell ref="A6864:A6867"/>
    <mergeCell ref="B6864:B6867"/>
    <mergeCell ref="A6868:A6871"/>
    <mergeCell ref="B6868:B6871"/>
    <mergeCell ref="A6872:A6875"/>
    <mergeCell ref="B6872:B6875"/>
    <mergeCell ref="A6884:A6887"/>
    <mergeCell ref="B6884:B6887"/>
    <mergeCell ref="A6888:A6891"/>
    <mergeCell ref="B6888:B6891"/>
    <mergeCell ref="A6924:A6927"/>
    <mergeCell ref="B6924:B6927"/>
    <mergeCell ref="A6852:A6855"/>
    <mergeCell ref="B6852:B6855"/>
    <mergeCell ref="A6832:A6835"/>
    <mergeCell ref="B6832:B6835"/>
    <mergeCell ref="A6836:A6839"/>
    <mergeCell ref="B6836:B6839"/>
    <mergeCell ref="A6840:A6843"/>
    <mergeCell ref="B6840:B6843"/>
    <mergeCell ref="A6844:A6847"/>
    <mergeCell ref="B6844:B6847"/>
    <mergeCell ref="A6848:A6851"/>
    <mergeCell ref="B6848:B6851"/>
    <mergeCell ref="A6856:A6859"/>
    <mergeCell ref="B6856:B6859"/>
    <mergeCell ref="A6772:A6775"/>
    <mergeCell ref="B6772:B6775"/>
    <mergeCell ref="A6776:A6779"/>
    <mergeCell ref="B6776:B6779"/>
    <mergeCell ref="A6936:A6939"/>
    <mergeCell ref="B6936:B6939"/>
    <mergeCell ref="A6940:A6943"/>
    <mergeCell ref="B6940:B6943"/>
    <mergeCell ref="A6944:A6947"/>
    <mergeCell ref="B6944:B6947"/>
    <mergeCell ref="A6948:A6951"/>
    <mergeCell ref="B6948:B6951"/>
    <mergeCell ref="A6952:A6955"/>
    <mergeCell ref="B6952:B6955"/>
    <mergeCell ref="A6956:A6959"/>
    <mergeCell ref="B6956:B6959"/>
    <mergeCell ref="A6896:A6899"/>
    <mergeCell ref="B6896:B6899"/>
    <mergeCell ref="A6900:A6903"/>
    <mergeCell ref="B6900:B6903"/>
    <mergeCell ref="A6904:A6907"/>
    <mergeCell ref="B6904:B6907"/>
    <mergeCell ref="A6908:A6911"/>
    <mergeCell ref="B6908:B6911"/>
    <mergeCell ref="A6912:A6915"/>
    <mergeCell ref="B6912:B6915"/>
    <mergeCell ref="A6916:A6919"/>
    <mergeCell ref="B6916:B6919"/>
    <mergeCell ref="A6920:A6923"/>
    <mergeCell ref="B6920:B6923"/>
    <mergeCell ref="A6860:A6863"/>
    <mergeCell ref="B6860:B6863"/>
    <mergeCell ref="A6728:A6731"/>
    <mergeCell ref="B6728:B6731"/>
    <mergeCell ref="A6732:A6735"/>
    <mergeCell ref="B6732:B6735"/>
    <mergeCell ref="A6736:A6739"/>
    <mergeCell ref="B6736:B6739"/>
    <mergeCell ref="A6740:A6743"/>
    <mergeCell ref="B6740:B6743"/>
    <mergeCell ref="A6796:A6799"/>
    <mergeCell ref="B6796:B6799"/>
    <mergeCell ref="A6800:A6803"/>
    <mergeCell ref="B6800:B6803"/>
    <mergeCell ref="A6804:A6807"/>
    <mergeCell ref="B6804:B6807"/>
    <mergeCell ref="A6820:A6823"/>
    <mergeCell ref="B6820:B6823"/>
    <mergeCell ref="A6824:A6827"/>
    <mergeCell ref="B6824:B6827"/>
    <mergeCell ref="A6808:A6811"/>
    <mergeCell ref="B6808:B6811"/>
    <mergeCell ref="A6744:A6747"/>
    <mergeCell ref="B6744:B6747"/>
    <mergeCell ref="A6748:A6751"/>
    <mergeCell ref="B6748:B6751"/>
    <mergeCell ref="A6752:A6755"/>
    <mergeCell ref="B6752:B6755"/>
    <mergeCell ref="A6756:A6759"/>
    <mergeCell ref="B6756:B6759"/>
    <mergeCell ref="A6760:A6763"/>
    <mergeCell ref="B6760:B6763"/>
    <mergeCell ref="A6764:A6767"/>
    <mergeCell ref="B6764:B6767"/>
    <mergeCell ref="A6700:A6703"/>
    <mergeCell ref="B6700:B6703"/>
    <mergeCell ref="A6704:A6707"/>
    <mergeCell ref="B6704:B6707"/>
    <mergeCell ref="A6680:A6683"/>
    <mergeCell ref="B6680:B6683"/>
    <mergeCell ref="A6708:A6711"/>
    <mergeCell ref="B6708:B6711"/>
    <mergeCell ref="A6712:A6715"/>
    <mergeCell ref="B6712:B6715"/>
    <mergeCell ref="A6716:A6719"/>
    <mergeCell ref="B6716:B6719"/>
    <mergeCell ref="A6720:A6723"/>
    <mergeCell ref="B6720:B6723"/>
    <mergeCell ref="A6724:A6727"/>
    <mergeCell ref="B6724:B6727"/>
    <mergeCell ref="A6684:A6687"/>
    <mergeCell ref="B6684:B6687"/>
    <mergeCell ref="A6688:A6691"/>
    <mergeCell ref="B6688:B6691"/>
    <mergeCell ref="A6692:A6695"/>
    <mergeCell ref="B6692:B6695"/>
    <mergeCell ref="A6452:A6455"/>
    <mergeCell ref="B6452:B6455"/>
    <mergeCell ref="A6496:A6499"/>
    <mergeCell ref="B6496:B6499"/>
    <mergeCell ref="A6544:A6547"/>
    <mergeCell ref="B6544:B6547"/>
    <mergeCell ref="A6608:A6611"/>
    <mergeCell ref="B6608:B6611"/>
    <mergeCell ref="A6612:A6615"/>
    <mergeCell ref="B6612:B6615"/>
    <mergeCell ref="A6616:A6619"/>
    <mergeCell ref="B6616:B6619"/>
    <mergeCell ref="A6584:A6587"/>
    <mergeCell ref="B6584:B6587"/>
    <mergeCell ref="A6588:A6591"/>
    <mergeCell ref="B6588:B6591"/>
    <mergeCell ref="A6516:A6519"/>
    <mergeCell ref="B6516:B6519"/>
    <mergeCell ref="A6596:A6599"/>
    <mergeCell ref="B6596:B6599"/>
    <mergeCell ref="A6600:A6603"/>
    <mergeCell ref="B6600:B6603"/>
    <mergeCell ref="A6604:A6607"/>
    <mergeCell ref="B6604:B6607"/>
    <mergeCell ref="A6524:A6527"/>
    <mergeCell ref="B6524:B6527"/>
    <mergeCell ref="A6528:A6531"/>
    <mergeCell ref="B6528:B6531"/>
    <mergeCell ref="A6532:A6535"/>
    <mergeCell ref="B6532:B6535"/>
    <mergeCell ref="A6536:A6539"/>
    <mergeCell ref="B6536:B6539"/>
    <mergeCell ref="A2756:A2759"/>
    <mergeCell ref="B2756:B2759"/>
    <mergeCell ref="A4736:A4739"/>
    <mergeCell ref="B4736:B4739"/>
    <mergeCell ref="A4740:A4743"/>
    <mergeCell ref="B4740:B4743"/>
    <mergeCell ref="A4748:A4751"/>
    <mergeCell ref="B4748:B4751"/>
    <mergeCell ref="A2802:A2806"/>
    <mergeCell ref="B2802:B2806"/>
    <mergeCell ref="A2917:A2924"/>
    <mergeCell ref="B2917:B2924"/>
    <mergeCell ref="A2925:A2932"/>
    <mergeCell ref="B2925:B2932"/>
    <mergeCell ref="A2933:A2940"/>
    <mergeCell ref="B2933:B2940"/>
    <mergeCell ref="A2896:A2900"/>
    <mergeCell ref="B2896:B2900"/>
    <mergeCell ref="A2901:A2908"/>
    <mergeCell ref="B2901:B2908"/>
    <mergeCell ref="A2909:A2916"/>
    <mergeCell ref="B2909:B2916"/>
    <mergeCell ref="A3815:A3820"/>
    <mergeCell ref="B3815:B3820"/>
    <mergeCell ref="A3821:A3826"/>
    <mergeCell ref="B3821:B3826"/>
    <mergeCell ref="A4732:A4735"/>
    <mergeCell ref="B4732:B4735"/>
    <mergeCell ref="A2879:A2885"/>
    <mergeCell ref="B2879:B2885"/>
    <mergeCell ref="A2886:A2890"/>
    <mergeCell ref="B2886:B2890"/>
    <mergeCell ref="A6880:A6883"/>
    <mergeCell ref="B6880:B6883"/>
    <mergeCell ref="A6892:A6895"/>
    <mergeCell ref="B6892:B6895"/>
    <mergeCell ref="A6632:A6635"/>
    <mergeCell ref="B6632:B6635"/>
    <mergeCell ref="A6636:A6639"/>
    <mergeCell ref="B6636:B6639"/>
    <mergeCell ref="A6828:A6831"/>
    <mergeCell ref="B6828:B6831"/>
    <mergeCell ref="A6640:A6643"/>
    <mergeCell ref="B6640:B6643"/>
    <mergeCell ref="A6644:A6647"/>
    <mergeCell ref="B6644:B6647"/>
    <mergeCell ref="A6648:A6651"/>
    <mergeCell ref="B6648:B6651"/>
    <mergeCell ref="A6652:A6655"/>
    <mergeCell ref="B6652:B6655"/>
    <mergeCell ref="A6656:A6659"/>
    <mergeCell ref="B6656:B6659"/>
    <mergeCell ref="A6660:A6663"/>
    <mergeCell ref="B6660:B6663"/>
    <mergeCell ref="A6664:A6667"/>
    <mergeCell ref="B6664:B6667"/>
    <mergeCell ref="A6668:A6671"/>
    <mergeCell ref="B6668:B6671"/>
    <mergeCell ref="A6672:A6675"/>
    <mergeCell ref="B6672:B6675"/>
    <mergeCell ref="A6676:A6679"/>
    <mergeCell ref="B6676:B6679"/>
    <mergeCell ref="A6696:A6699"/>
    <mergeCell ref="B6696:B6699"/>
    <mergeCell ref="A6620:A6623"/>
    <mergeCell ref="B6620:B6623"/>
    <mergeCell ref="A6624:A6627"/>
    <mergeCell ref="B6624:B6627"/>
    <mergeCell ref="A6628:A6631"/>
    <mergeCell ref="B6628:B6631"/>
    <mergeCell ref="A6556:A6559"/>
    <mergeCell ref="B6556:B6559"/>
    <mergeCell ref="A6560:A6563"/>
    <mergeCell ref="B6560:B6563"/>
    <mergeCell ref="A6564:A6567"/>
    <mergeCell ref="B6564:B6567"/>
    <mergeCell ref="A6568:A6571"/>
    <mergeCell ref="B6568:B6571"/>
    <mergeCell ref="A6572:A6575"/>
    <mergeCell ref="B6572:B6575"/>
    <mergeCell ref="A6576:A6579"/>
    <mergeCell ref="B6576:B6579"/>
    <mergeCell ref="A6580:A6583"/>
    <mergeCell ref="B6580:B6583"/>
    <mergeCell ref="A6592:A6595"/>
    <mergeCell ref="B6592:B6595"/>
    <mergeCell ref="A6540:A6543"/>
    <mergeCell ref="B6540:B6543"/>
    <mergeCell ref="A6548:A6551"/>
    <mergeCell ref="B6548:B6551"/>
    <mergeCell ref="A6552:A6555"/>
    <mergeCell ref="B6552:B6555"/>
    <mergeCell ref="A6520:A6523"/>
    <mergeCell ref="B6520:B6523"/>
    <mergeCell ref="A6484:A6487"/>
    <mergeCell ref="B6484:B6487"/>
    <mergeCell ref="A6488:A6491"/>
    <mergeCell ref="B6488:B6491"/>
    <mergeCell ref="A6492:A6495"/>
    <mergeCell ref="B6492:B6495"/>
    <mergeCell ref="A6500:A6503"/>
    <mergeCell ref="B6500:B6503"/>
    <mergeCell ref="A6504:A6507"/>
    <mergeCell ref="B6504:B6507"/>
    <mergeCell ref="A6508:A6511"/>
    <mergeCell ref="B6508:B6511"/>
    <mergeCell ref="A6512:A6515"/>
    <mergeCell ref="B6512:B6515"/>
    <mergeCell ref="A6456:A6459"/>
    <mergeCell ref="B6456:B6459"/>
    <mergeCell ref="A6460:A6463"/>
    <mergeCell ref="B6460:B6463"/>
    <mergeCell ref="A6464:A6467"/>
    <mergeCell ref="B6464:B6467"/>
    <mergeCell ref="A6468:A6471"/>
    <mergeCell ref="B6468:B6471"/>
    <mergeCell ref="A6472:A6475"/>
    <mergeCell ref="B6472:B6475"/>
    <mergeCell ref="A6476:A6479"/>
    <mergeCell ref="B6476:B6479"/>
    <mergeCell ref="A6480:A6483"/>
    <mergeCell ref="B6480:B6483"/>
    <mergeCell ref="A6412:A6416"/>
    <mergeCell ref="B6412:B6416"/>
    <mergeCell ref="A5605:A5608"/>
    <mergeCell ref="B5605:B5608"/>
    <mergeCell ref="A5609:A5612"/>
    <mergeCell ref="B5609:B5612"/>
    <mergeCell ref="A5613:A5616"/>
    <mergeCell ref="B5613:B5616"/>
    <mergeCell ref="A6417:A6421"/>
    <mergeCell ref="B6417:B6421"/>
    <mergeCell ref="A6422:A6430"/>
    <mergeCell ref="B6422:B6430"/>
    <mergeCell ref="A6383:A6389"/>
    <mergeCell ref="B6383:B6389"/>
    <mergeCell ref="A6390:A6393"/>
    <mergeCell ref="B6390:B6393"/>
    <mergeCell ref="A6394:A6398"/>
    <mergeCell ref="B6394:B6398"/>
    <mergeCell ref="A6399:A6402"/>
    <mergeCell ref="B6399:B6402"/>
    <mergeCell ref="A6403:A6406"/>
    <mergeCell ref="B6403:B6406"/>
    <mergeCell ref="A6336:A6340"/>
    <mergeCell ref="B6336:B6340"/>
    <mergeCell ref="A6341:A6354"/>
    <mergeCell ref="B6341:B6354"/>
    <mergeCell ref="A6355:A6369"/>
    <mergeCell ref="B6355:B6369"/>
    <mergeCell ref="A6370:A6376"/>
    <mergeCell ref="B6370:B6376"/>
    <mergeCell ref="A6377:A6382"/>
    <mergeCell ref="B6377:B6382"/>
    <mergeCell ref="A6407:A6411"/>
    <mergeCell ref="B6407:B6411"/>
    <mergeCell ref="A5294:A5299"/>
    <mergeCell ref="B5294:B5299"/>
    <mergeCell ref="A5331:A5337"/>
    <mergeCell ref="B5331:B5337"/>
    <mergeCell ref="A5338:A5344"/>
    <mergeCell ref="B5338:B5344"/>
    <mergeCell ref="A5345:A5350"/>
    <mergeCell ref="B5345:B5350"/>
    <mergeCell ref="A5351:A5356"/>
    <mergeCell ref="B5351:B5356"/>
    <mergeCell ref="A5357:A5363"/>
    <mergeCell ref="B5357:B5363"/>
    <mergeCell ref="A5364:A5369"/>
    <mergeCell ref="B5364:B5369"/>
    <mergeCell ref="A5370:A5375"/>
    <mergeCell ref="B5370:B5375"/>
    <mergeCell ref="A5376:A5383"/>
    <mergeCell ref="B5376:B5383"/>
    <mergeCell ref="A5306:A5311"/>
    <mergeCell ref="B5306:B5311"/>
    <mergeCell ref="A5300:A5305"/>
    <mergeCell ref="B5300:B5305"/>
    <mergeCell ref="A5312:A5317"/>
    <mergeCell ref="B5312:B5317"/>
    <mergeCell ref="A5318:A5323"/>
    <mergeCell ref="B5318:B5323"/>
    <mergeCell ref="A5324:A5330"/>
    <mergeCell ref="B5324:B5330"/>
    <mergeCell ref="A5384:A5391"/>
    <mergeCell ref="B5384:B5391"/>
    <mergeCell ref="A5236:A5241"/>
    <mergeCell ref="B5236:B5241"/>
    <mergeCell ref="A5242:A5248"/>
    <mergeCell ref="B5242:B5248"/>
    <mergeCell ref="A5249:A5260"/>
    <mergeCell ref="B5249:B5260"/>
    <mergeCell ref="A5269:A5274"/>
    <mergeCell ref="B5269:B5274"/>
    <mergeCell ref="A5275:A5281"/>
    <mergeCell ref="B5275:B5281"/>
    <mergeCell ref="A5282:A5287"/>
    <mergeCell ref="B5282:B5287"/>
    <mergeCell ref="A5288:A5293"/>
    <mergeCell ref="B5288:B5293"/>
    <mergeCell ref="A5162:A5169"/>
    <mergeCell ref="B5162:B5169"/>
    <mergeCell ref="A5170:A5177"/>
    <mergeCell ref="B5170:B5177"/>
    <mergeCell ref="A5178:A5185"/>
    <mergeCell ref="B5178:B5185"/>
    <mergeCell ref="A5186:A5200"/>
    <mergeCell ref="B5186:B5200"/>
    <mergeCell ref="A5201:A5215"/>
    <mergeCell ref="B5201:B5215"/>
    <mergeCell ref="A5216:A5222"/>
    <mergeCell ref="B5216:B5222"/>
    <mergeCell ref="A5223:A5229"/>
    <mergeCell ref="B5223:B5229"/>
    <mergeCell ref="A5230:A5235"/>
    <mergeCell ref="B5230:B5235"/>
    <mergeCell ref="A5261:A5268"/>
    <mergeCell ref="B5261:B5268"/>
    <mergeCell ref="A5126:A5133"/>
    <mergeCell ref="B5126:B5133"/>
    <mergeCell ref="A5134:A5141"/>
    <mergeCell ref="B5134:B5141"/>
    <mergeCell ref="A5142:A5147"/>
    <mergeCell ref="B5142:B5147"/>
    <mergeCell ref="A5148:A5155"/>
    <mergeCell ref="B5148:B5155"/>
    <mergeCell ref="A5156:A5161"/>
    <mergeCell ref="B5156:B5161"/>
    <mergeCell ref="B135:B138"/>
    <mergeCell ref="A183:A189"/>
    <mergeCell ref="B183:B189"/>
    <mergeCell ref="A190:A196"/>
    <mergeCell ref="B190:B196"/>
    <mergeCell ref="A197:A200"/>
    <mergeCell ref="B197:B200"/>
    <mergeCell ref="A214:A218"/>
    <mergeCell ref="B214:B218"/>
    <mergeCell ref="A219:A223"/>
    <mergeCell ref="B219:B223"/>
    <mergeCell ref="A224:A227"/>
    <mergeCell ref="B224:B227"/>
    <mergeCell ref="A201:A204"/>
    <mergeCell ref="B201:B204"/>
    <mergeCell ref="A205:A209"/>
    <mergeCell ref="B161:B165"/>
    <mergeCell ref="A166:A170"/>
    <mergeCell ref="B166:B170"/>
    <mergeCell ref="A236:A239"/>
    <mergeCell ref="B236:B239"/>
    <mergeCell ref="A268:A275"/>
    <mergeCell ref="A97:A101"/>
    <mergeCell ref="B97:B101"/>
    <mergeCell ref="A102:A105"/>
    <mergeCell ref="B102:B105"/>
    <mergeCell ref="A106:A110"/>
    <mergeCell ref="B106:B110"/>
    <mergeCell ref="B69:B76"/>
    <mergeCell ref="A77:A81"/>
    <mergeCell ref="B77:B81"/>
    <mergeCell ref="A87:A91"/>
    <mergeCell ref="B87:B91"/>
    <mergeCell ref="A92:A96"/>
    <mergeCell ref="B92:B96"/>
    <mergeCell ref="A5104:A5109"/>
    <mergeCell ref="B5104:B5109"/>
    <mergeCell ref="A5110:A5117"/>
    <mergeCell ref="B5110:B5117"/>
    <mergeCell ref="A139:A143"/>
    <mergeCell ref="B139:B143"/>
    <mergeCell ref="A144:A148"/>
    <mergeCell ref="B144:B148"/>
    <mergeCell ref="A149:A153"/>
    <mergeCell ref="B149:B153"/>
    <mergeCell ref="A171:A174"/>
    <mergeCell ref="B171:B174"/>
    <mergeCell ref="A175:A178"/>
    <mergeCell ref="B175:B178"/>
    <mergeCell ref="A179:A182"/>
    <mergeCell ref="B179:B182"/>
    <mergeCell ref="A154:A160"/>
    <mergeCell ref="B154:B160"/>
    <mergeCell ref="A161:A165"/>
    <mergeCell ref="A6:A9"/>
    <mergeCell ref="B6:B9"/>
    <mergeCell ref="A10:A13"/>
    <mergeCell ref="B10:B13"/>
    <mergeCell ref="A14:A17"/>
    <mergeCell ref="B14:B17"/>
    <mergeCell ref="A47:A51"/>
    <mergeCell ref="B47:B51"/>
    <mergeCell ref="A52:A58"/>
    <mergeCell ref="B52:B58"/>
    <mergeCell ref="A59:A63"/>
    <mergeCell ref="B59:B63"/>
    <mergeCell ref="A33:A36"/>
    <mergeCell ref="B33:B36"/>
    <mergeCell ref="A37:A41"/>
    <mergeCell ref="A82:A86"/>
    <mergeCell ref="B82:B86"/>
    <mergeCell ref="A64:A68"/>
    <mergeCell ref="B64:B68"/>
    <mergeCell ref="A69:A76"/>
    <mergeCell ref="B37:B41"/>
    <mergeCell ref="A42:A46"/>
    <mergeCell ref="B42:B46"/>
    <mergeCell ref="A18:A22"/>
    <mergeCell ref="B18:B22"/>
    <mergeCell ref="A23:A27"/>
    <mergeCell ref="B23:B27"/>
    <mergeCell ref="A28:A32"/>
    <mergeCell ref="B28:B32"/>
    <mergeCell ref="A126:A130"/>
    <mergeCell ref="B126:B130"/>
    <mergeCell ref="A131:A134"/>
    <mergeCell ref="B131:B134"/>
    <mergeCell ref="A135:A138"/>
    <mergeCell ref="A111:A115"/>
    <mergeCell ref="B111:B115"/>
    <mergeCell ref="A116:A120"/>
    <mergeCell ref="B116:B120"/>
    <mergeCell ref="A121:A125"/>
    <mergeCell ref="B121:B125"/>
    <mergeCell ref="B205:B209"/>
    <mergeCell ref="A210:A213"/>
    <mergeCell ref="B210:B213"/>
    <mergeCell ref="A228:A231"/>
    <mergeCell ref="B228:B231"/>
    <mergeCell ref="A232:A235"/>
    <mergeCell ref="B232:B235"/>
    <mergeCell ref="B268:B275"/>
    <mergeCell ref="A276:A282"/>
    <mergeCell ref="B276:B282"/>
    <mergeCell ref="A283:A289"/>
    <mergeCell ref="B283:B289"/>
    <mergeCell ref="A240:A247"/>
    <mergeCell ref="B240:B247"/>
    <mergeCell ref="A248:A262"/>
    <mergeCell ref="B248:B262"/>
    <mergeCell ref="A263:A267"/>
    <mergeCell ref="B263:B267"/>
    <mergeCell ref="A290:A304"/>
    <mergeCell ref="B290:B304"/>
    <mergeCell ref="A305:A319"/>
    <mergeCell ref="B305:B319"/>
    <mergeCell ref="A320:A325"/>
    <mergeCell ref="B320:B325"/>
    <mergeCell ref="A365:A370"/>
    <mergeCell ref="B365:B370"/>
    <mergeCell ref="A371:A379"/>
    <mergeCell ref="B371:B379"/>
    <mergeCell ref="A380:A393"/>
    <mergeCell ref="B380:B393"/>
    <mergeCell ref="A326:A340"/>
    <mergeCell ref="B326:B340"/>
    <mergeCell ref="A341:A350"/>
    <mergeCell ref="B341:B350"/>
    <mergeCell ref="A351:A364"/>
    <mergeCell ref="B351:B364"/>
    <mergeCell ref="A394:A400"/>
    <mergeCell ref="B394:B400"/>
    <mergeCell ref="A401:A414"/>
    <mergeCell ref="B401:B414"/>
    <mergeCell ref="A415:A421"/>
    <mergeCell ref="B415:B421"/>
    <mergeCell ref="A606:A614"/>
    <mergeCell ref="B606:B614"/>
    <mergeCell ref="A561:A568"/>
    <mergeCell ref="B561:B568"/>
    <mergeCell ref="A569:A578"/>
    <mergeCell ref="B569:B578"/>
    <mergeCell ref="A446:A453"/>
    <mergeCell ref="B446:B453"/>
    <mergeCell ref="A454:A463"/>
    <mergeCell ref="B454:B463"/>
    <mergeCell ref="A464:A470"/>
    <mergeCell ref="B464:B470"/>
    <mergeCell ref="A422:A433"/>
    <mergeCell ref="B422:B433"/>
    <mergeCell ref="A434:A439"/>
    <mergeCell ref="B434:B439"/>
    <mergeCell ref="A440:A445"/>
    <mergeCell ref="B440:B445"/>
    <mergeCell ref="A471:A482"/>
    <mergeCell ref="B471:B482"/>
    <mergeCell ref="A483:A488"/>
    <mergeCell ref="B483:B488"/>
    <mergeCell ref="A489:A496"/>
    <mergeCell ref="B489:B496"/>
    <mergeCell ref="A637:A643"/>
    <mergeCell ref="B637:B643"/>
    <mergeCell ref="A644:A647"/>
    <mergeCell ref="B644:B647"/>
    <mergeCell ref="A648:A651"/>
    <mergeCell ref="B648:B651"/>
    <mergeCell ref="A517:A523"/>
    <mergeCell ref="B517:B523"/>
    <mergeCell ref="A524:A530"/>
    <mergeCell ref="B524:B530"/>
    <mergeCell ref="A531:A536"/>
    <mergeCell ref="B531:B536"/>
    <mergeCell ref="A497:A503"/>
    <mergeCell ref="B497:B503"/>
    <mergeCell ref="A504:A510"/>
    <mergeCell ref="B504:B510"/>
    <mergeCell ref="A511:A516"/>
    <mergeCell ref="B511:B516"/>
    <mergeCell ref="A615:A620"/>
    <mergeCell ref="B615:B620"/>
    <mergeCell ref="A621:A628"/>
    <mergeCell ref="B621:B628"/>
    <mergeCell ref="A537:A544"/>
    <mergeCell ref="B537:B544"/>
    <mergeCell ref="A545:A552"/>
    <mergeCell ref="B545:B552"/>
    <mergeCell ref="A553:A560"/>
    <mergeCell ref="B553:B560"/>
    <mergeCell ref="A588:A595"/>
    <mergeCell ref="B588:B595"/>
    <mergeCell ref="A596:A605"/>
    <mergeCell ref="B596:B605"/>
    <mergeCell ref="A736:A743"/>
    <mergeCell ref="B736:B743"/>
    <mergeCell ref="A744:A747"/>
    <mergeCell ref="B744:B747"/>
    <mergeCell ref="A748:A754"/>
    <mergeCell ref="B748:B754"/>
    <mergeCell ref="A579:A587"/>
    <mergeCell ref="B579:B587"/>
    <mergeCell ref="A723:A729"/>
    <mergeCell ref="B723:B729"/>
    <mergeCell ref="A730:A735"/>
    <mergeCell ref="B730:B735"/>
    <mergeCell ref="A686:A695"/>
    <mergeCell ref="B686:B695"/>
    <mergeCell ref="A696:A703"/>
    <mergeCell ref="B696:B703"/>
    <mergeCell ref="A704:A713"/>
    <mergeCell ref="B704:B713"/>
    <mergeCell ref="A664:A667"/>
    <mergeCell ref="B664:B667"/>
    <mergeCell ref="A668:A675"/>
    <mergeCell ref="B668:B675"/>
    <mergeCell ref="A676:A685"/>
    <mergeCell ref="B676:B685"/>
    <mergeCell ref="A629:A636"/>
    <mergeCell ref="B629:B636"/>
    <mergeCell ref="A652:A655"/>
    <mergeCell ref="B652:B655"/>
    <mergeCell ref="A656:A659"/>
    <mergeCell ref="B656:B659"/>
    <mergeCell ref="A660:A663"/>
    <mergeCell ref="B660:B663"/>
    <mergeCell ref="A714:A722"/>
    <mergeCell ref="B714:B722"/>
    <mergeCell ref="A845:A849"/>
    <mergeCell ref="B845:B849"/>
    <mergeCell ref="A850:A855"/>
    <mergeCell ref="B850:B855"/>
    <mergeCell ref="A856:A861"/>
    <mergeCell ref="B856:B861"/>
    <mergeCell ref="A827:A831"/>
    <mergeCell ref="B827:B831"/>
    <mergeCell ref="A832:A838"/>
    <mergeCell ref="B832:B838"/>
    <mergeCell ref="A839:A844"/>
    <mergeCell ref="B839:B844"/>
    <mergeCell ref="A814:A817"/>
    <mergeCell ref="B814:B817"/>
    <mergeCell ref="A818:A822"/>
    <mergeCell ref="B818:B822"/>
    <mergeCell ref="A823:A826"/>
    <mergeCell ref="B823:B826"/>
    <mergeCell ref="A783:A789"/>
    <mergeCell ref="B783:B789"/>
    <mergeCell ref="A790:A803"/>
    <mergeCell ref="B790:B803"/>
    <mergeCell ref="A804:A813"/>
    <mergeCell ref="B804:B813"/>
    <mergeCell ref="A755:A765"/>
    <mergeCell ref="B755:B765"/>
    <mergeCell ref="A766:A771"/>
    <mergeCell ref="B766:B771"/>
    <mergeCell ref="A772:A782"/>
    <mergeCell ref="B772:B782"/>
    <mergeCell ref="A903:A906"/>
    <mergeCell ref="B903:B906"/>
    <mergeCell ref="A907:A912"/>
    <mergeCell ref="B907:B912"/>
    <mergeCell ref="A913:A921"/>
    <mergeCell ref="B913:B921"/>
    <mergeCell ref="A883:A890"/>
    <mergeCell ref="B883:B890"/>
    <mergeCell ref="A891:A895"/>
    <mergeCell ref="B891:B895"/>
    <mergeCell ref="A896:A902"/>
    <mergeCell ref="B896:B902"/>
    <mergeCell ref="A862:A866"/>
    <mergeCell ref="B862:B866"/>
    <mergeCell ref="A867:A874"/>
    <mergeCell ref="B867:B874"/>
    <mergeCell ref="A875:A882"/>
    <mergeCell ref="B875:B882"/>
    <mergeCell ref="A966:A972"/>
    <mergeCell ref="B966:B972"/>
    <mergeCell ref="A973:A979"/>
    <mergeCell ref="B973:B979"/>
    <mergeCell ref="A980:A990"/>
    <mergeCell ref="B980:B990"/>
    <mergeCell ref="A947:A952"/>
    <mergeCell ref="B947:B952"/>
    <mergeCell ref="A953:A958"/>
    <mergeCell ref="B953:B958"/>
    <mergeCell ref="A959:A965"/>
    <mergeCell ref="B959:B965"/>
    <mergeCell ref="A922:A928"/>
    <mergeCell ref="B922:B928"/>
    <mergeCell ref="A929:A937"/>
    <mergeCell ref="B929:B937"/>
    <mergeCell ref="A938:A946"/>
    <mergeCell ref="B938:B946"/>
    <mergeCell ref="A1036:A1044"/>
    <mergeCell ref="B1036:B1044"/>
    <mergeCell ref="A1045:A1051"/>
    <mergeCell ref="B1045:B1051"/>
    <mergeCell ref="A1052:A1058"/>
    <mergeCell ref="B1052:B1058"/>
    <mergeCell ref="A1012:A1020"/>
    <mergeCell ref="B1012:B1020"/>
    <mergeCell ref="A1021:A1025"/>
    <mergeCell ref="B1021:B1025"/>
    <mergeCell ref="A1026:A1035"/>
    <mergeCell ref="B1026:B1035"/>
    <mergeCell ref="A991:A1001"/>
    <mergeCell ref="B991:B1001"/>
    <mergeCell ref="A1002:A1006"/>
    <mergeCell ref="B1002:B1006"/>
    <mergeCell ref="A1007:A1011"/>
    <mergeCell ref="B1007:B1011"/>
    <mergeCell ref="A1108:A1115"/>
    <mergeCell ref="B1108:B1115"/>
    <mergeCell ref="A1116:A1120"/>
    <mergeCell ref="B1116:B1120"/>
    <mergeCell ref="A1121:A1125"/>
    <mergeCell ref="B1121:B1125"/>
    <mergeCell ref="A1082:A1089"/>
    <mergeCell ref="B1082:B1089"/>
    <mergeCell ref="A1090:A1097"/>
    <mergeCell ref="B1090:B1097"/>
    <mergeCell ref="A1098:A1107"/>
    <mergeCell ref="B1098:B1107"/>
    <mergeCell ref="A1059:A1065"/>
    <mergeCell ref="B1059:B1065"/>
    <mergeCell ref="A1066:A1072"/>
    <mergeCell ref="B1066:B1072"/>
    <mergeCell ref="A1073:A1081"/>
    <mergeCell ref="B1073:B1081"/>
    <mergeCell ref="A1165:A1171"/>
    <mergeCell ref="B1165:B1171"/>
    <mergeCell ref="A1172:A1178"/>
    <mergeCell ref="B1172:B1178"/>
    <mergeCell ref="A1179:A1185"/>
    <mergeCell ref="B1179:B1185"/>
    <mergeCell ref="A1144:A1150"/>
    <mergeCell ref="B1144:B1150"/>
    <mergeCell ref="A1151:A1157"/>
    <mergeCell ref="B1151:B1157"/>
    <mergeCell ref="A1158:A1164"/>
    <mergeCell ref="B1158:B1164"/>
    <mergeCell ref="A1126:A1131"/>
    <mergeCell ref="B1126:B1131"/>
    <mergeCell ref="A1132:A1136"/>
    <mergeCell ref="B1132:B1136"/>
    <mergeCell ref="A1137:A1143"/>
    <mergeCell ref="B1137:B1143"/>
    <mergeCell ref="A1227:A1232"/>
    <mergeCell ref="B1227:B1232"/>
    <mergeCell ref="A1233:A1238"/>
    <mergeCell ref="B1233:B1238"/>
    <mergeCell ref="A1239:A1244"/>
    <mergeCell ref="B1239:B1244"/>
    <mergeCell ref="A1207:A1213"/>
    <mergeCell ref="B1207:B1213"/>
    <mergeCell ref="A1214:A1220"/>
    <mergeCell ref="B1214:B1220"/>
    <mergeCell ref="A1221:A1226"/>
    <mergeCell ref="B1221:B1226"/>
    <mergeCell ref="A1186:A1192"/>
    <mergeCell ref="B1186:B1192"/>
    <mergeCell ref="A1193:A1199"/>
    <mergeCell ref="B1193:B1199"/>
    <mergeCell ref="A1200:A1206"/>
    <mergeCell ref="B1200:B1206"/>
    <mergeCell ref="A1286:A1292"/>
    <mergeCell ref="B1286:B1292"/>
    <mergeCell ref="A1293:A1299"/>
    <mergeCell ref="B1293:B1299"/>
    <mergeCell ref="A1300:A1307"/>
    <mergeCell ref="B1300:B1307"/>
    <mergeCell ref="A1266:A1271"/>
    <mergeCell ref="B1266:B1271"/>
    <mergeCell ref="A1272:A1278"/>
    <mergeCell ref="B1272:B1278"/>
    <mergeCell ref="A1279:A1285"/>
    <mergeCell ref="B1279:B1285"/>
    <mergeCell ref="A1245:A1251"/>
    <mergeCell ref="B1245:B1251"/>
    <mergeCell ref="A1252:A1258"/>
    <mergeCell ref="B1252:B1258"/>
    <mergeCell ref="A1259:A1265"/>
    <mergeCell ref="B1259:B1265"/>
    <mergeCell ref="A1348:A1353"/>
    <mergeCell ref="B1348:B1353"/>
    <mergeCell ref="A1354:A1360"/>
    <mergeCell ref="B1354:B1360"/>
    <mergeCell ref="A1361:A1366"/>
    <mergeCell ref="B1361:B1366"/>
    <mergeCell ref="A1329:A1334"/>
    <mergeCell ref="B1329:B1334"/>
    <mergeCell ref="A1335:A1340"/>
    <mergeCell ref="B1335:B1340"/>
    <mergeCell ref="A1341:A1347"/>
    <mergeCell ref="B1341:B1347"/>
    <mergeCell ref="A1308:A1316"/>
    <mergeCell ref="B1308:B1316"/>
    <mergeCell ref="A1317:A1322"/>
    <mergeCell ref="B1317:B1322"/>
    <mergeCell ref="A1323:A1328"/>
    <mergeCell ref="B1323:B1328"/>
    <mergeCell ref="A1405:A1419"/>
    <mergeCell ref="B1405:B1419"/>
    <mergeCell ref="A1420:A1434"/>
    <mergeCell ref="B1420:B1434"/>
    <mergeCell ref="A1435:A1449"/>
    <mergeCell ref="B1435:B1449"/>
    <mergeCell ref="A1386:A1391"/>
    <mergeCell ref="B1386:B1391"/>
    <mergeCell ref="A1392:A1397"/>
    <mergeCell ref="B1392:B1397"/>
    <mergeCell ref="A1398:A1404"/>
    <mergeCell ref="B1398:B1404"/>
    <mergeCell ref="A1367:A1372"/>
    <mergeCell ref="B1367:B1372"/>
    <mergeCell ref="A1373:A1379"/>
    <mergeCell ref="B1373:B1379"/>
    <mergeCell ref="A1380:A1385"/>
    <mergeCell ref="B1380:B1385"/>
    <mergeCell ref="A1526:A1533"/>
    <mergeCell ref="B1526:B1533"/>
    <mergeCell ref="A1534:A1541"/>
    <mergeCell ref="B1534:B1541"/>
    <mergeCell ref="A1542:A1549"/>
    <mergeCell ref="B1542:B1549"/>
    <mergeCell ref="A1495:A1509"/>
    <mergeCell ref="B1495:B1509"/>
    <mergeCell ref="A1510:A1517"/>
    <mergeCell ref="B1510:B1517"/>
    <mergeCell ref="A1518:A1525"/>
    <mergeCell ref="B1518:B1525"/>
    <mergeCell ref="A1450:A1464"/>
    <mergeCell ref="B1450:B1464"/>
    <mergeCell ref="A1465:A1479"/>
    <mergeCell ref="B1465:B1479"/>
    <mergeCell ref="A1480:A1494"/>
    <mergeCell ref="B1480:B1494"/>
    <mergeCell ref="A1599:A1604"/>
    <mergeCell ref="B1599:B1604"/>
    <mergeCell ref="A1605:A1610"/>
    <mergeCell ref="B1605:B1610"/>
    <mergeCell ref="A1611:A1617"/>
    <mergeCell ref="B1611:B1617"/>
    <mergeCell ref="A1571:A1577"/>
    <mergeCell ref="B1571:B1577"/>
    <mergeCell ref="A1578:A1592"/>
    <mergeCell ref="B1578:B1592"/>
    <mergeCell ref="A1593:A1598"/>
    <mergeCell ref="B1593:B1598"/>
    <mergeCell ref="A1550:A1556"/>
    <mergeCell ref="B1550:B1556"/>
    <mergeCell ref="A1557:A1563"/>
    <mergeCell ref="B1557:B1563"/>
    <mergeCell ref="A1564:A1570"/>
    <mergeCell ref="B1564:B1570"/>
    <mergeCell ref="A1652:A1657"/>
    <mergeCell ref="B1652:B1657"/>
    <mergeCell ref="A1658:A1663"/>
    <mergeCell ref="B1658:B1663"/>
    <mergeCell ref="A1664:A1668"/>
    <mergeCell ref="B1664:B1668"/>
    <mergeCell ref="A1635:A1639"/>
    <mergeCell ref="B1635:B1639"/>
    <mergeCell ref="A1640:A1645"/>
    <mergeCell ref="B1640:B1645"/>
    <mergeCell ref="A1646:A1651"/>
    <mergeCell ref="B1646:B1651"/>
    <mergeCell ref="A1618:A1622"/>
    <mergeCell ref="B1618:B1622"/>
    <mergeCell ref="A1623:A1628"/>
    <mergeCell ref="B1623:B1628"/>
    <mergeCell ref="A1629:A1634"/>
    <mergeCell ref="B1629:B1634"/>
    <mergeCell ref="A1705:A1712"/>
    <mergeCell ref="B1705:B1712"/>
    <mergeCell ref="A1713:A1723"/>
    <mergeCell ref="B1713:B1723"/>
    <mergeCell ref="A1724:A1734"/>
    <mergeCell ref="B1724:B1734"/>
    <mergeCell ref="A1685:A1691"/>
    <mergeCell ref="B1685:B1691"/>
    <mergeCell ref="A1692:A1698"/>
    <mergeCell ref="B1692:B1698"/>
    <mergeCell ref="A1699:A1704"/>
    <mergeCell ref="B1699:B1704"/>
    <mergeCell ref="A1669:A1673"/>
    <mergeCell ref="B1669:B1673"/>
    <mergeCell ref="A1674:A1678"/>
    <mergeCell ref="B1674:B1678"/>
    <mergeCell ref="A1679:A1684"/>
    <mergeCell ref="B1679:B1684"/>
    <mergeCell ref="A1785:A1791"/>
    <mergeCell ref="B1785:B1791"/>
    <mergeCell ref="A1792:A1798"/>
    <mergeCell ref="B1792:B1798"/>
    <mergeCell ref="A1799:A1805"/>
    <mergeCell ref="B1799:B1805"/>
    <mergeCell ref="A1764:A1770"/>
    <mergeCell ref="B1764:B1770"/>
    <mergeCell ref="A1771:A1777"/>
    <mergeCell ref="B1771:B1777"/>
    <mergeCell ref="A1778:A1784"/>
    <mergeCell ref="B1778:B1784"/>
    <mergeCell ref="A1735:A1745"/>
    <mergeCell ref="B1735:B1745"/>
    <mergeCell ref="A1746:A1756"/>
    <mergeCell ref="B1746:B1756"/>
    <mergeCell ref="A1757:A1763"/>
    <mergeCell ref="B1757:B1763"/>
    <mergeCell ref="A1842:A1847"/>
    <mergeCell ref="B1842:B1847"/>
    <mergeCell ref="A1848:A1853"/>
    <mergeCell ref="B1848:B1853"/>
    <mergeCell ref="A1854:A1859"/>
    <mergeCell ref="B1854:B1859"/>
    <mergeCell ref="A1823:A1828"/>
    <mergeCell ref="B1823:B1828"/>
    <mergeCell ref="A1829:A1834"/>
    <mergeCell ref="B1829:B1834"/>
    <mergeCell ref="A1835:A1841"/>
    <mergeCell ref="B1835:B1841"/>
    <mergeCell ref="A1806:A1812"/>
    <mergeCell ref="B1806:B1812"/>
    <mergeCell ref="A1813:A1817"/>
    <mergeCell ref="B1813:B1817"/>
    <mergeCell ref="A1818:A1822"/>
    <mergeCell ref="B1818:B1822"/>
    <mergeCell ref="A1896:A1901"/>
    <mergeCell ref="B1896:B1901"/>
    <mergeCell ref="A1902:A1907"/>
    <mergeCell ref="B1902:B1907"/>
    <mergeCell ref="A1908:A1913"/>
    <mergeCell ref="B1908:B1913"/>
    <mergeCell ref="A1878:A1883"/>
    <mergeCell ref="B1878:B1883"/>
    <mergeCell ref="A1884:A1889"/>
    <mergeCell ref="B1884:B1889"/>
    <mergeCell ref="A1890:A1895"/>
    <mergeCell ref="B1890:B1895"/>
    <mergeCell ref="A1860:A1865"/>
    <mergeCell ref="B1860:B1865"/>
    <mergeCell ref="A1866:A1871"/>
    <mergeCell ref="B1866:B1871"/>
    <mergeCell ref="A1872:A1877"/>
    <mergeCell ref="B1872:B1877"/>
    <mergeCell ref="A1945:A1951"/>
    <mergeCell ref="B1945:B1951"/>
    <mergeCell ref="A1952:A1957"/>
    <mergeCell ref="B1952:B1957"/>
    <mergeCell ref="A1958:A1963"/>
    <mergeCell ref="B1958:B1963"/>
    <mergeCell ref="A1929:A1934"/>
    <mergeCell ref="B1929:B1934"/>
    <mergeCell ref="A1935:A1939"/>
    <mergeCell ref="B1935:B1939"/>
    <mergeCell ref="A1940:A1944"/>
    <mergeCell ref="B1940:B1944"/>
    <mergeCell ref="A1914:A1918"/>
    <mergeCell ref="B1914:B1918"/>
    <mergeCell ref="A1919:A1923"/>
    <mergeCell ref="B1919:B1923"/>
    <mergeCell ref="A1924:A1928"/>
    <mergeCell ref="B1924:B1928"/>
    <mergeCell ref="A2008:A2014"/>
    <mergeCell ref="B2008:B2014"/>
    <mergeCell ref="A2015:A2021"/>
    <mergeCell ref="B2015:B2021"/>
    <mergeCell ref="A2022:A2027"/>
    <mergeCell ref="B2022:B2027"/>
    <mergeCell ref="A1986:A1993"/>
    <mergeCell ref="B1986:B1993"/>
    <mergeCell ref="A1994:A2000"/>
    <mergeCell ref="B1994:B2000"/>
    <mergeCell ref="A2001:A2007"/>
    <mergeCell ref="B2001:B2007"/>
    <mergeCell ref="A1964:A1970"/>
    <mergeCell ref="B1964:B1970"/>
    <mergeCell ref="A1971:A1977"/>
    <mergeCell ref="B1971:B1977"/>
    <mergeCell ref="A1978:A1985"/>
    <mergeCell ref="B1978:B1985"/>
    <mergeCell ref="A2076:A2083"/>
    <mergeCell ref="B2076:B2083"/>
    <mergeCell ref="A2084:A2091"/>
    <mergeCell ref="B2084:B2091"/>
    <mergeCell ref="A2092:A2099"/>
    <mergeCell ref="B2092:B2099"/>
    <mergeCell ref="A2052:A2059"/>
    <mergeCell ref="B2052:B2059"/>
    <mergeCell ref="A2060:A2067"/>
    <mergeCell ref="B2060:B2067"/>
    <mergeCell ref="A2068:A2075"/>
    <mergeCell ref="B2068:B2075"/>
    <mergeCell ref="A2028:A2035"/>
    <mergeCell ref="B2028:B2035"/>
    <mergeCell ref="A2036:A2043"/>
    <mergeCell ref="B2036:B2043"/>
    <mergeCell ref="A2044:A2051"/>
    <mergeCell ref="B2044:B2051"/>
    <mergeCell ref="A2140:A2145"/>
    <mergeCell ref="B2140:B2145"/>
    <mergeCell ref="A2146:A2153"/>
    <mergeCell ref="B2146:B2153"/>
    <mergeCell ref="A2154:A2161"/>
    <mergeCell ref="B2154:B2161"/>
    <mergeCell ref="A2122:A2127"/>
    <mergeCell ref="B2122:B2127"/>
    <mergeCell ref="A2128:A2133"/>
    <mergeCell ref="B2128:B2133"/>
    <mergeCell ref="A2134:A2139"/>
    <mergeCell ref="B2134:B2139"/>
    <mergeCell ref="A2100:A2107"/>
    <mergeCell ref="B2100:B2107"/>
    <mergeCell ref="A2108:A2115"/>
    <mergeCell ref="B2108:B2115"/>
    <mergeCell ref="A2116:A2121"/>
    <mergeCell ref="B2116:B2121"/>
    <mergeCell ref="A2210:A2214"/>
    <mergeCell ref="B2210:B2214"/>
    <mergeCell ref="A2215:A2221"/>
    <mergeCell ref="B2215:B2221"/>
    <mergeCell ref="A2222:A2228"/>
    <mergeCell ref="B2222:B2228"/>
    <mergeCell ref="A2186:A2193"/>
    <mergeCell ref="B2186:B2193"/>
    <mergeCell ref="A2194:A2201"/>
    <mergeCell ref="B2194:B2201"/>
    <mergeCell ref="A2202:A2209"/>
    <mergeCell ref="B2202:B2209"/>
    <mergeCell ref="A2162:A2169"/>
    <mergeCell ref="B2162:B2169"/>
    <mergeCell ref="A2170:A2177"/>
    <mergeCell ref="B2170:B2177"/>
    <mergeCell ref="A2178:A2185"/>
    <mergeCell ref="B2178:B2185"/>
    <mergeCell ref="A2281:A2290"/>
    <mergeCell ref="B2281:B2290"/>
    <mergeCell ref="A2291:A2300"/>
    <mergeCell ref="B2291:B2300"/>
    <mergeCell ref="A2301:A2310"/>
    <mergeCell ref="B2301:B2310"/>
    <mergeCell ref="A2255:A2260"/>
    <mergeCell ref="B2255:B2260"/>
    <mergeCell ref="A2261:A2270"/>
    <mergeCell ref="B2261:B2270"/>
    <mergeCell ref="A2271:A2280"/>
    <mergeCell ref="B2271:B2280"/>
    <mergeCell ref="A2229:A2234"/>
    <mergeCell ref="B2229:B2234"/>
    <mergeCell ref="A2235:A2240"/>
    <mergeCell ref="B2235:B2240"/>
    <mergeCell ref="A2241:A2254"/>
    <mergeCell ref="B2241:B2254"/>
    <mergeCell ref="A2349:A2353"/>
    <mergeCell ref="B2349:B2353"/>
    <mergeCell ref="A2354:A2358"/>
    <mergeCell ref="B2354:B2358"/>
    <mergeCell ref="A2359:A2363"/>
    <mergeCell ref="B2359:B2363"/>
    <mergeCell ref="A2331:A2336"/>
    <mergeCell ref="B2331:B2336"/>
    <mergeCell ref="A2337:A2342"/>
    <mergeCell ref="B2337:B2342"/>
    <mergeCell ref="A2343:A2348"/>
    <mergeCell ref="B2343:B2348"/>
    <mergeCell ref="A2311:A2317"/>
    <mergeCell ref="B2311:B2317"/>
    <mergeCell ref="A2318:A2324"/>
    <mergeCell ref="B2318:B2324"/>
    <mergeCell ref="A2325:A2330"/>
    <mergeCell ref="B2325:B2330"/>
    <mergeCell ref="A2385:A2390"/>
    <mergeCell ref="B2385:B2390"/>
    <mergeCell ref="A2391:A2397"/>
    <mergeCell ref="B2391:B2397"/>
    <mergeCell ref="A2398:A2403"/>
    <mergeCell ref="B2398:B2403"/>
    <mergeCell ref="A2364:A2369"/>
    <mergeCell ref="B2364:B2369"/>
    <mergeCell ref="A2370:A2377"/>
    <mergeCell ref="B2370:B2377"/>
    <mergeCell ref="A2378:A2384"/>
    <mergeCell ref="B2378:B2384"/>
    <mergeCell ref="A2404:A2407"/>
    <mergeCell ref="B2404:B2407"/>
    <mergeCell ref="A2408:A2411"/>
    <mergeCell ref="B2408:B2411"/>
    <mergeCell ref="A2412:A2415"/>
    <mergeCell ref="B2412:B2415"/>
    <mergeCell ref="A2440:A2443"/>
    <mergeCell ref="B2440:B2443"/>
    <mergeCell ref="A2560:A2563"/>
    <mergeCell ref="B2560:B2563"/>
    <mergeCell ref="A2416:A2419"/>
    <mergeCell ref="B2416:B2419"/>
    <mergeCell ref="A2420:A2423"/>
    <mergeCell ref="B2420:B2423"/>
    <mergeCell ref="A2424:A2427"/>
    <mergeCell ref="B2424:B2427"/>
    <mergeCell ref="A2428:A2431"/>
    <mergeCell ref="B2428:B2431"/>
    <mergeCell ref="A2432:A2435"/>
    <mergeCell ref="B2432:B2435"/>
    <mergeCell ref="A2436:A2439"/>
    <mergeCell ref="B2436:B2439"/>
    <mergeCell ref="A2444:A2447"/>
    <mergeCell ref="B2444:B2447"/>
    <mergeCell ref="A2488:A2491"/>
    <mergeCell ref="B2488:B2491"/>
    <mergeCell ref="A2544:A2547"/>
    <mergeCell ref="B2544:B2547"/>
    <mergeCell ref="A2548:A2551"/>
    <mergeCell ref="B2548:B2551"/>
    <mergeCell ref="A2452:A2455"/>
    <mergeCell ref="B2452:B2455"/>
    <mergeCell ref="A2456:A2459"/>
    <mergeCell ref="B2456:B2459"/>
    <mergeCell ref="A2448:A2451"/>
    <mergeCell ref="B2448:B2451"/>
    <mergeCell ref="A2460:A2463"/>
    <mergeCell ref="B2460:B2463"/>
    <mergeCell ref="A2620:A2623"/>
    <mergeCell ref="B2620:B2623"/>
    <mergeCell ref="A2596:A2603"/>
    <mergeCell ref="B2596:B2603"/>
    <mergeCell ref="A2604:A2607"/>
    <mergeCell ref="B2604:B2607"/>
    <mergeCell ref="A2608:A2611"/>
    <mergeCell ref="B2608:B2611"/>
    <mergeCell ref="A2576:A2579"/>
    <mergeCell ref="B2576:B2579"/>
    <mergeCell ref="A2580:A2587"/>
    <mergeCell ref="B2580:B2587"/>
    <mergeCell ref="A2588:A2595"/>
    <mergeCell ref="B2588:B2595"/>
    <mergeCell ref="A2564:A2567"/>
    <mergeCell ref="B2564:B2567"/>
    <mergeCell ref="A2568:A2571"/>
    <mergeCell ref="B2568:B2571"/>
    <mergeCell ref="A2572:A2575"/>
    <mergeCell ref="B2572:B2575"/>
    <mergeCell ref="A2690:A2695"/>
    <mergeCell ref="B2690:B2695"/>
    <mergeCell ref="A2696:A2701"/>
    <mergeCell ref="B2696:B2701"/>
    <mergeCell ref="A2702:A2707"/>
    <mergeCell ref="B2702:B2707"/>
    <mergeCell ref="A2672:A2677"/>
    <mergeCell ref="B2672:B2677"/>
    <mergeCell ref="A2678:A2683"/>
    <mergeCell ref="B2678:B2683"/>
    <mergeCell ref="A2684:A2689"/>
    <mergeCell ref="B2684:B2689"/>
    <mergeCell ref="A2652:A2655"/>
    <mergeCell ref="B2652:B2655"/>
    <mergeCell ref="A2660:A2665"/>
    <mergeCell ref="B2660:B2665"/>
    <mergeCell ref="A2666:A2671"/>
    <mergeCell ref="B2666:B2671"/>
    <mergeCell ref="A2656:A2659"/>
    <mergeCell ref="B2656:B2659"/>
    <mergeCell ref="A2708:A2713"/>
    <mergeCell ref="B2708:B2713"/>
    <mergeCell ref="A2714:A2719"/>
    <mergeCell ref="B2714:B2719"/>
    <mergeCell ref="A2776:A2780"/>
    <mergeCell ref="B2776:B2780"/>
    <mergeCell ref="A2768:A2771"/>
    <mergeCell ref="B2768:B2771"/>
    <mergeCell ref="A2864:A2868"/>
    <mergeCell ref="B2864:B2868"/>
    <mergeCell ref="A2869:A2873"/>
    <mergeCell ref="B2869:B2873"/>
    <mergeCell ref="A2874:A2878"/>
    <mergeCell ref="B2874:B2878"/>
    <mergeCell ref="A2849:A2853"/>
    <mergeCell ref="B2849:B2853"/>
    <mergeCell ref="A2854:A2858"/>
    <mergeCell ref="B2854:B2858"/>
    <mergeCell ref="A2859:A2863"/>
    <mergeCell ref="B2859:B2863"/>
    <mergeCell ref="A2832:A2838"/>
    <mergeCell ref="B2832:B2838"/>
    <mergeCell ref="A2839:A2843"/>
    <mergeCell ref="B2839:B2843"/>
    <mergeCell ref="A2844:A2848"/>
    <mergeCell ref="B2844:B2848"/>
    <mergeCell ref="A2732:A2735"/>
    <mergeCell ref="B2732:B2735"/>
    <mergeCell ref="A2736:A2739"/>
    <mergeCell ref="B2736:B2739"/>
    <mergeCell ref="A2740:A2743"/>
    <mergeCell ref="B2740:B2743"/>
    <mergeCell ref="A2891:A2895"/>
    <mergeCell ref="B2891:B2895"/>
    <mergeCell ref="A2971:A2975"/>
    <mergeCell ref="B2971:B2975"/>
    <mergeCell ref="A2976:A2980"/>
    <mergeCell ref="B2976:B2980"/>
    <mergeCell ref="A2981:A2985"/>
    <mergeCell ref="B2981:B2985"/>
    <mergeCell ref="A2956:A2960"/>
    <mergeCell ref="B2956:B2960"/>
    <mergeCell ref="A2961:A2965"/>
    <mergeCell ref="B2961:B2965"/>
    <mergeCell ref="A2966:A2970"/>
    <mergeCell ref="B2966:B2970"/>
    <mergeCell ref="A2941:A2945"/>
    <mergeCell ref="B2941:B2945"/>
    <mergeCell ref="A2946:A2950"/>
    <mergeCell ref="B2946:B2950"/>
    <mergeCell ref="A2951:A2955"/>
    <mergeCell ref="B2951:B2955"/>
    <mergeCell ref="A3021:A3025"/>
    <mergeCell ref="B3021:B3025"/>
    <mergeCell ref="A3026:A3030"/>
    <mergeCell ref="B3026:B3030"/>
    <mergeCell ref="A3031:A3035"/>
    <mergeCell ref="B3031:B3035"/>
    <mergeCell ref="A3006:A3010"/>
    <mergeCell ref="B3006:B3010"/>
    <mergeCell ref="A3011:A3015"/>
    <mergeCell ref="B3011:B3015"/>
    <mergeCell ref="A3016:A3020"/>
    <mergeCell ref="B3016:B3020"/>
    <mergeCell ref="A2986:A2990"/>
    <mergeCell ref="B2986:B2990"/>
    <mergeCell ref="A2991:A3000"/>
    <mergeCell ref="B2991:B3000"/>
    <mergeCell ref="A3001:A3005"/>
    <mergeCell ref="B3001:B3005"/>
    <mergeCell ref="A3071:A3078"/>
    <mergeCell ref="B3071:B3078"/>
    <mergeCell ref="A3079:A3083"/>
    <mergeCell ref="B3079:B3083"/>
    <mergeCell ref="A3084:A3091"/>
    <mergeCell ref="B3084:B3091"/>
    <mergeCell ref="A3054:A3058"/>
    <mergeCell ref="B3054:B3058"/>
    <mergeCell ref="A3059:A3066"/>
    <mergeCell ref="B3059:B3066"/>
    <mergeCell ref="A3067:A3070"/>
    <mergeCell ref="B3067:B3070"/>
    <mergeCell ref="A3036:A3040"/>
    <mergeCell ref="B3036:B3040"/>
    <mergeCell ref="A3041:A3045"/>
    <mergeCell ref="B3041:B3045"/>
    <mergeCell ref="A3046:A3053"/>
    <mergeCell ref="B3046:B3053"/>
    <mergeCell ref="A3122:A3126"/>
    <mergeCell ref="B3122:B3126"/>
    <mergeCell ref="A3127:A3131"/>
    <mergeCell ref="B3127:B3131"/>
    <mergeCell ref="A3132:A3136"/>
    <mergeCell ref="B3132:B3136"/>
    <mergeCell ref="A3107:A3111"/>
    <mergeCell ref="B3107:B3111"/>
    <mergeCell ref="A3112:A3116"/>
    <mergeCell ref="B3112:B3116"/>
    <mergeCell ref="A3117:A3121"/>
    <mergeCell ref="B3117:B3121"/>
    <mergeCell ref="A3092:A3096"/>
    <mergeCell ref="B3092:B3096"/>
    <mergeCell ref="A3097:A3101"/>
    <mergeCell ref="B3097:B3101"/>
    <mergeCell ref="A3102:A3106"/>
    <mergeCell ref="B3102:B3106"/>
    <mergeCell ref="A3172:A3176"/>
    <mergeCell ref="B3172:B3176"/>
    <mergeCell ref="A3177:A3185"/>
    <mergeCell ref="B3177:B3185"/>
    <mergeCell ref="A3186:A3193"/>
    <mergeCell ref="B3186:B3193"/>
    <mergeCell ref="A3155:A3160"/>
    <mergeCell ref="B3155:B3160"/>
    <mergeCell ref="A3161:A3165"/>
    <mergeCell ref="B3161:B3165"/>
    <mergeCell ref="A3166:A3171"/>
    <mergeCell ref="B3166:B3171"/>
    <mergeCell ref="A3137:A3142"/>
    <mergeCell ref="B3137:B3142"/>
    <mergeCell ref="A3143:A3148"/>
    <mergeCell ref="B3143:B3148"/>
    <mergeCell ref="A3149:A3154"/>
    <mergeCell ref="B3149:B3154"/>
    <mergeCell ref="A3237:A3242"/>
    <mergeCell ref="B3237:B3242"/>
    <mergeCell ref="A3243:A3248"/>
    <mergeCell ref="B3243:B3248"/>
    <mergeCell ref="A3249:A3258"/>
    <mergeCell ref="B3249:B3258"/>
    <mergeCell ref="A3211:A3217"/>
    <mergeCell ref="B3211:B3217"/>
    <mergeCell ref="A3218:A3230"/>
    <mergeCell ref="B3218:B3230"/>
    <mergeCell ref="A3231:A3236"/>
    <mergeCell ref="B3231:B3236"/>
    <mergeCell ref="A3194:A3201"/>
    <mergeCell ref="B3194:B3201"/>
    <mergeCell ref="A3202:A3206"/>
    <mergeCell ref="B3202:B3206"/>
    <mergeCell ref="A3207:A3210"/>
    <mergeCell ref="B3207:B3210"/>
    <mergeCell ref="A3299:A3305"/>
    <mergeCell ref="B3299:B3305"/>
    <mergeCell ref="A3306:A3312"/>
    <mergeCell ref="B3306:B3312"/>
    <mergeCell ref="A3313:A3319"/>
    <mergeCell ref="B3313:B3319"/>
    <mergeCell ref="A3278:A3284"/>
    <mergeCell ref="B3278:B3284"/>
    <mergeCell ref="A3285:A3291"/>
    <mergeCell ref="B3285:B3291"/>
    <mergeCell ref="A3292:A3298"/>
    <mergeCell ref="B3292:B3298"/>
    <mergeCell ref="A3259:A3263"/>
    <mergeCell ref="B3259:B3263"/>
    <mergeCell ref="A3264:A3270"/>
    <mergeCell ref="B3264:B3270"/>
    <mergeCell ref="A3271:A3277"/>
    <mergeCell ref="B3271:B3277"/>
    <mergeCell ref="A3360:A3366"/>
    <mergeCell ref="B3360:B3366"/>
    <mergeCell ref="A3367:A3373"/>
    <mergeCell ref="B3367:B3373"/>
    <mergeCell ref="A3374:A3380"/>
    <mergeCell ref="B3374:B3380"/>
    <mergeCell ref="A3340:A3345"/>
    <mergeCell ref="B3340:B3345"/>
    <mergeCell ref="A3346:A3354"/>
    <mergeCell ref="B3346:B3354"/>
    <mergeCell ref="A3355:A3359"/>
    <mergeCell ref="B3355:B3359"/>
    <mergeCell ref="A3320:A3326"/>
    <mergeCell ref="B3320:B3326"/>
    <mergeCell ref="A3327:A3333"/>
    <mergeCell ref="B3327:B3333"/>
    <mergeCell ref="A3334:A3339"/>
    <mergeCell ref="B3334:B3339"/>
    <mergeCell ref="A3409:A3415"/>
    <mergeCell ref="B3409:B3415"/>
    <mergeCell ref="A3416:A3422"/>
    <mergeCell ref="B3416:B3422"/>
    <mergeCell ref="A3423:A3427"/>
    <mergeCell ref="B3423:B3427"/>
    <mergeCell ref="A3394:A3397"/>
    <mergeCell ref="B3394:B3397"/>
    <mergeCell ref="A3398:A3401"/>
    <mergeCell ref="B3398:B3401"/>
    <mergeCell ref="A3402:A3408"/>
    <mergeCell ref="B3402:B3408"/>
    <mergeCell ref="A3381:A3384"/>
    <mergeCell ref="B3381:B3384"/>
    <mergeCell ref="A3385:A3388"/>
    <mergeCell ref="B3385:B3388"/>
    <mergeCell ref="A3389:A3393"/>
    <mergeCell ref="B3389:B3393"/>
    <mergeCell ref="A3478:A3485"/>
    <mergeCell ref="B3478:B3485"/>
    <mergeCell ref="A3486:A3502"/>
    <mergeCell ref="B3486:B3502"/>
    <mergeCell ref="A3503:A3510"/>
    <mergeCell ref="B3503:B3510"/>
    <mergeCell ref="A3442:A3445"/>
    <mergeCell ref="B3442:B3445"/>
    <mergeCell ref="A3446:A3455"/>
    <mergeCell ref="B3446:B3455"/>
    <mergeCell ref="A3456:A3466"/>
    <mergeCell ref="B3456:B3466"/>
    <mergeCell ref="A3428:A3432"/>
    <mergeCell ref="B3428:B3432"/>
    <mergeCell ref="A3433:A3437"/>
    <mergeCell ref="B3433:B3437"/>
    <mergeCell ref="A3438:A3441"/>
    <mergeCell ref="B3438:B3441"/>
    <mergeCell ref="A3582:A3589"/>
    <mergeCell ref="B3582:B3589"/>
    <mergeCell ref="A3590:A3596"/>
    <mergeCell ref="B3590:B3596"/>
    <mergeCell ref="A3597:A3601"/>
    <mergeCell ref="B3597:B3601"/>
    <mergeCell ref="A3554:A3569"/>
    <mergeCell ref="B3554:B3569"/>
    <mergeCell ref="A3570:A3575"/>
    <mergeCell ref="B3570:B3575"/>
    <mergeCell ref="A3576:A3581"/>
    <mergeCell ref="B3576:B3581"/>
    <mergeCell ref="A3511:A3527"/>
    <mergeCell ref="B3511:B3527"/>
    <mergeCell ref="A3528:A3537"/>
    <mergeCell ref="B3528:B3537"/>
    <mergeCell ref="A3547:A3553"/>
    <mergeCell ref="B3547:B3553"/>
    <mergeCell ref="A3644:A3648"/>
    <mergeCell ref="B3644:B3648"/>
    <mergeCell ref="A3649:A3656"/>
    <mergeCell ref="B3649:B3656"/>
    <mergeCell ref="A3657:A3660"/>
    <mergeCell ref="B3657:B3660"/>
    <mergeCell ref="A3623:A3628"/>
    <mergeCell ref="B3623:B3628"/>
    <mergeCell ref="A3629:A3638"/>
    <mergeCell ref="B3629:B3638"/>
    <mergeCell ref="A3639:A3643"/>
    <mergeCell ref="B3639:B3643"/>
    <mergeCell ref="A3602:A3609"/>
    <mergeCell ref="B3602:B3609"/>
    <mergeCell ref="A3610:A3615"/>
    <mergeCell ref="B3610:B3615"/>
    <mergeCell ref="A3616:A3622"/>
    <mergeCell ref="B3616:B3622"/>
    <mergeCell ref="A3726:A3729"/>
    <mergeCell ref="B3726:B3729"/>
    <mergeCell ref="A3730:A3739"/>
    <mergeCell ref="B3730:B3739"/>
    <mergeCell ref="A3740:A3744"/>
    <mergeCell ref="B3740:B3744"/>
    <mergeCell ref="A3690:A3701"/>
    <mergeCell ref="B3690:B3701"/>
    <mergeCell ref="A3702:A3714"/>
    <mergeCell ref="B3702:B3714"/>
    <mergeCell ref="A3715:A3725"/>
    <mergeCell ref="B3715:B3725"/>
    <mergeCell ref="A3661:A3666"/>
    <mergeCell ref="B3661:B3666"/>
    <mergeCell ref="A3667:A3681"/>
    <mergeCell ref="B3667:B3681"/>
    <mergeCell ref="A3682:A3689"/>
    <mergeCell ref="B3682:B3689"/>
    <mergeCell ref="A3833:A3837"/>
    <mergeCell ref="B3833:B3837"/>
    <mergeCell ref="A3838:A3848"/>
    <mergeCell ref="B3838:B3848"/>
    <mergeCell ref="A3849:A3858"/>
    <mergeCell ref="B3849:B3858"/>
    <mergeCell ref="A3765:A3768"/>
    <mergeCell ref="B3765:B3768"/>
    <mergeCell ref="A3769:A3772"/>
    <mergeCell ref="B3769:B3772"/>
    <mergeCell ref="A3827:A3832"/>
    <mergeCell ref="B3827:B3832"/>
    <mergeCell ref="A3745:A3753"/>
    <mergeCell ref="B3745:B3753"/>
    <mergeCell ref="A3754:A3760"/>
    <mergeCell ref="B3754:B3760"/>
    <mergeCell ref="A3761:A3764"/>
    <mergeCell ref="B3761:B3764"/>
    <mergeCell ref="A3773:A3778"/>
    <mergeCell ref="B3773:B3778"/>
    <mergeCell ref="A3779:A3784"/>
    <mergeCell ref="B3779:B3784"/>
    <mergeCell ref="A3785:A3790"/>
    <mergeCell ref="B3785:B3790"/>
    <mergeCell ref="A3791:A3796"/>
    <mergeCell ref="B3791:B3796"/>
    <mergeCell ref="A3797:A3802"/>
    <mergeCell ref="B3797:B3802"/>
    <mergeCell ref="A3803:A3808"/>
    <mergeCell ref="B3803:B3808"/>
    <mergeCell ref="A3809:A3814"/>
    <mergeCell ref="B3809:B3814"/>
    <mergeCell ref="A3928:A3933"/>
    <mergeCell ref="B3928:B3933"/>
    <mergeCell ref="A3934:A3939"/>
    <mergeCell ref="B3934:B3939"/>
    <mergeCell ref="A3940:A3945"/>
    <mergeCell ref="B3940:B3945"/>
    <mergeCell ref="A3888:A3902"/>
    <mergeCell ref="B3888:B3902"/>
    <mergeCell ref="A3903:A3909"/>
    <mergeCell ref="B3903:B3909"/>
    <mergeCell ref="A3910:A3927"/>
    <mergeCell ref="B3910:B3927"/>
    <mergeCell ref="A3859:A3867"/>
    <mergeCell ref="B3859:B3867"/>
    <mergeCell ref="A3868:A3875"/>
    <mergeCell ref="B3868:B3875"/>
    <mergeCell ref="A3876:A3887"/>
    <mergeCell ref="B3876:B3887"/>
    <mergeCell ref="A3995:A4007"/>
    <mergeCell ref="B3995:B4007"/>
    <mergeCell ref="A4008:A4020"/>
    <mergeCell ref="B4008:B4020"/>
    <mergeCell ref="A4021:A4025"/>
    <mergeCell ref="B4021:B4025"/>
    <mergeCell ref="A3970:A3979"/>
    <mergeCell ref="B3970:B3979"/>
    <mergeCell ref="A3980:A3986"/>
    <mergeCell ref="B3980:B3986"/>
    <mergeCell ref="A3987:A3994"/>
    <mergeCell ref="B3987:B3994"/>
    <mergeCell ref="A3946:A3952"/>
    <mergeCell ref="B3946:B3952"/>
    <mergeCell ref="A3953:A3961"/>
    <mergeCell ref="B3953:B3961"/>
    <mergeCell ref="A3962:A3969"/>
    <mergeCell ref="B3962:B3969"/>
    <mergeCell ref="A4070:A4078"/>
    <mergeCell ref="B4070:B4078"/>
    <mergeCell ref="A4079:A4087"/>
    <mergeCell ref="B4079:B4087"/>
    <mergeCell ref="A4088:A4093"/>
    <mergeCell ref="B4088:B4093"/>
    <mergeCell ref="A4043:A4051"/>
    <mergeCell ref="B4043:B4051"/>
    <mergeCell ref="A4052:A4060"/>
    <mergeCell ref="B4052:B4060"/>
    <mergeCell ref="A4061:A4069"/>
    <mergeCell ref="B4061:B4069"/>
    <mergeCell ref="A4026:A4029"/>
    <mergeCell ref="B4026:B4029"/>
    <mergeCell ref="A4030:A4033"/>
    <mergeCell ref="B4030:B4033"/>
    <mergeCell ref="A4034:A4042"/>
    <mergeCell ref="B4034:B4042"/>
    <mergeCell ref="A4132:A4139"/>
    <mergeCell ref="B4132:B4139"/>
    <mergeCell ref="A4140:A4147"/>
    <mergeCell ref="B4140:B4147"/>
    <mergeCell ref="A4148:A4151"/>
    <mergeCell ref="B4148:B4151"/>
    <mergeCell ref="A4113:A4116"/>
    <mergeCell ref="B4113:B4116"/>
    <mergeCell ref="A4117:A4123"/>
    <mergeCell ref="B4117:B4123"/>
    <mergeCell ref="A4124:A4131"/>
    <mergeCell ref="B4124:B4131"/>
    <mergeCell ref="A4094:A4099"/>
    <mergeCell ref="B4094:B4099"/>
    <mergeCell ref="A4100:A4106"/>
    <mergeCell ref="B4100:B4106"/>
    <mergeCell ref="A4107:A4112"/>
    <mergeCell ref="B4107:B4112"/>
    <mergeCell ref="A4199:A4204"/>
    <mergeCell ref="B4199:B4204"/>
    <mergeCell ref="A4205:A4210"/>
    <mergeCell ref="B4205:B4210"/>
    <mergeCell ref="A4211:A4216"/>
    <mergeCell ref="B4211:B4216"/>
    <mergeCell ref="A4181:A4184"/>
    <mergeCell ref="B4181:B4184"/>
    <mergeCell ref="A4185:A4191"/>
    <mergeCell ref="B4185:B4191"/>
    <mergeCell ref="A4192:A4198"/>
    <mergeCell ref="B4192:B4198"/>
    <mergeCell ref="A4152:A4158"/>
    <mergeCell ref="B4152:B4158"/>
    <mergeCell ref="A4159:A4169"/>
    <mergeCell ref="B4159:B4169"/>
    <mergeCell ref="A4170:A4180"/>
    <mergeCell ref="B4170:B4180"/>
    <mergeCell ref="A4278:A4286"/>
    <mergeCell ref="B4278:B4286"/>
    <mergeCell ref="A4287:A4302"/>
    <mergeCell ref="B4287:B4302"/>
    <mergeCell ref="A4303:A4329"/>
    <mergeCell ref="B4303:B4329"/>
    <mergeCell ref="A4258:A4264"/>
    <mergeCell ref="B4258:B4264"/>
    <mergeCell ref="A4265:A4269"/>
    <mergeCell ref="B4265:B4269"/>
    <mergeCell ref="A4270:A4277"/>
    <mergeCell ref="B4270:B4277"/>
    <mergeCell ref="A4241:A4248"/>
    <mergeCell ref="B4241:B4248"/>
    <mergeCell ref="A4249:A4257"/>
    <mergeCell ref="B4249:B4257"/>
    <mergeCell ref="A4217:A4226"/>
    <mergeCell ref="B4217:B4226"/>
    <mergeCell ref="A4227:A4232"/>
    <mergeCell ref="B4227:B4232"/>
    <mergeCell ref="A4233:A4240"/>
    <mergeCell ref="B4233:B4240"/>
    <mergeCell ref="A4384:A4393"/>
    <mergeCell ref="B4384:B4393"/>
    <mergeCell ref="A4394:A4401"/>
    <mergeCell ref="B4394:B4401"/>
    <mergeCell ref="A4402:A4409"/>
    <mergeCell ref="B4402:B4409"/>
    <mergeCell ref="A4357:A4365"/>
    <mergeCell ref="B4357:B4365"/>
    <mergeCell ref="A4366:A4374"/>
    <mergeCell ref="B4366:B4374"/>
    <mergeCell ref="A4375:A4383"/>
    <mergeCell ref="B4375:B4383"/>
    <mergeCell ref="A4330:A4336"/>
    <mergeCell ref="B4330:B4336"/>
    <mergeCell ref="A4337:A4347"/>
    <mergeCell ref="B4337:B4347"/>
    <mergeCell ref="A4348:A4356"/>
    <mergeCell ref="B4348:B4356"/>
    <mergeCell ref="A4472:A4477"/>
    <mergeCell ref="B4472:B4477"/>
    <mergeCell ref="A4478:A4497"/>
    <mergeCell ref="B4478:B4497"/>
    <mergeCell ref="A4498:A4505"/>
    <mergeCell ref="B4498:B4505"/>
    <mergeCell ref="A4440:A4447"/>
    <mergeCell ref="B4440:B4447"/>
    <mergeCell ref="A4448:A4459"/>
    <mergeCell ref="B4448:B4459"/>
    <mergeCell ref="A4460:A4471"/>
    <mergeCell ref="B4460:B4471"/>
    <mergeCell ref="A4410:A4419"/>
    <mergeCell ref="B4410:B4419"/>
    <mergeCell ref="A4420:A4429"/>
    <mergeCell ref="B4420:B4429"/>
    <mergeCell ref="A4430:A4439"/>
    <mergeCell ref="B4430:B4439"/>
    <mergeCell ref="A4546:A4550"/>
    <mergeCell ref="B4546:B4550"/>
    <mergeCell ref="A4551:A4556"/>
    <mergeCell ref="B4551:B4556"/>
    <mergeCell ref="A4557:A4568"/>
    <mergeCell ref="B4557:B4568"/>
    <mergeCell ref="A4525:A4529"/>
    <mergeCell ref="B4525:B4529"/>
    <mergeCell ref="A4530:A4537"/>
    <mergeCell ref="B4530:B4537"/>
    <mergeCell ref="A4538:A4545"/>
    <mergeCell ref="B4538:B4545"/>
    <mergeCell ref="A4506:A4513"/>
    <mergeCell ref="B4506:B4513"/>
    <mergeCell ref="A4514:A4519"/>
    <mergeCell ref="B4514:B4519"/>
    <mergeCell ref="A4520:A4524"/>
    <mergeCell ref="B4520:B4524"/>
    <mergeCell ref="A4631:A4642"/>
    <mergeCell ref="B4631:B4642"/>
    <mergeCell ref="A4643:A4650"/>
    <mergeCell ref="B4643:B4650"/>
    <mergeCell ref="A4651:A4656"/>
    <mergeCell ref="B4651:B4656"/>
    <mergeCell ref="A4608:A4616"/>
    <mergeCell ref="B4608:B4616"/>
    <mergeCell ref="A4617:A4624"/>
    <mergeCell ref="B4617:B4624"/>
    <mergeCell ref="A4625:A4630"/>
    <mergeCell ref="B4625:B4630"/>
    <mergeCell ref="A4569:A4580"/>
    <mergeCell ref="B4569:B4580"/>
    <mergeCell ref="A4581:A4599"/>
    <mergeCell ref="B4581:B4599"/>
    <mergeCell ref="A4600:A4607"/>
    <mergeCell ref="B4600:B4607"/>
    <mergeCell ref="A4706:A4717"/>
    <mergeCell ref="B4706:B4717"/>
    <mergeCell ref="A4718:A4723"/>
    <mergeCell ref="B4718:B4723"/>
    <mergeCell ref="A4724:A4731"/>
    <mergeCell ref="B4724:B4731"/>
    <mergeCell ref="A4683:A4688"/>
    <mergeCell ref="B4683:B4688"/>
    <mergeCell ref="A4689:A4696"/>
    <mergeCell ref="B4689:B4696"/>
    <mergeCell ref="A4697:A4705"/>
    <mergeCell ref="B4697:B4705"/>
    <mergeCell ref="A4657:A4664"/>
    <mergeCell ref="B4657:B4664"/>
    <mergeCell ref="A4665:A4672"/>
    <mergeCell ref="B4665:B4672"/>
    <mergeCell ref="A4673:A4682"/>
    <mergeCell ref="B4673:B4682"/>
    <mergeCell ref="A4768:A4777"/>
    <mergeCell ref="B4768:B4777"/>
    <mergeCell ref="A4778:A4787"/>
    <mergeCell ref="B4778:B4787"/>
    <mergeCell ref="A4788:A4792"/>
    <mergeCell ref="B4788:B4792"/>
    <mergeCell ref="A4793:A4797"/>
    <mergeCell ref="B4793:B4797"/>
    <mergeCell ref="A4798:A4802"/>
    <mergeCell ref="B4798:B4802"/>
    <mergeCell ref="A4811:A4818"/>
    <mergeCell ref="B4811:B4818"/>
    <mergeCell ref="A4819:A4826"/>
    <mergeCell ref="B4819:B4826"/>
    <mergeCell ref="A4827:A4834"/>
    <mergeCell ref="B4827:B4834"/>
    <mergeCell ref="A4752:A4762"/>
    <mergeCell ref="B4752:B4762"/>
    <mergeCell ref="A4763:A4767"/>
    <mergeCell ref="B4763:B4767"/>
    <mergeCell ref="A4835:A4842"/>
    <mergeCell ref="B4835:B4842"/>
    <mergeCell ref="A4843:A4850"/>
    <mergeCell ref="B4843:B4850"/>
    <mergeCell ref="A4851:A4858"/>
    <mergeCell ref="B4851:B4858"/>
    <mergeCell ref="A4859:A4866"/>
    <mergeCell ref="B4859:B4866"/>
    <mergeCell ref="A4803:A4810"/>
    <mergeCell ref="B4803:B4810"/>
    <mergeCell ref="A4867:A4876"/>
    <mergeCell ref="B4867:B4876"/>
    <mergeCell ref="A4877:A4885"/>
    <mergeCell ref="B4877:B4885"/>
    <mergeCell ref="A4886:A4892"/>
    <mergeCell ref="B4886:B4892"/>
    <mergeCell ref="A4893:A4899"/>
    <mergeCell ref="B4893:B4899"/>
    <mergeCell ref="A4900:A4906"/>
    <mergeCell ref="B4900:B4906"/>
    <mergeCell ref="A4907:A4913"/>
    <mergeCell ref="B4907:B4913"/>
    <mergeCell ref="A4914:A4920"/>
    <mergeCell ref="B4914:B4920"/>
    <mergeCell ref="A4921:A4925"/>
    <mergeCell ref="B4921:B4925"/>
    <mergeCell ref="A4926:A4932"/>
    <mergeCell ref="B4926:B4932"/>
    <mergeCell ref="B4933:B4939"/>
    <mergeCell ref="A4933:A4939"/>
    <mergeCell ref="A4940:A4946"/>
    <mergeCell ref="B4940:B4946"/>
    <mergeCell ref="A4947:A4953"/>
    <mergeCell ref="B4947:B4953"/>
    <mergeCell ref="A4954:A4958"/>
    <mergeCell ref="B4954:B4958"/>
    <mergeCell ref="A4959:A4964"/>
    <mergeCell ref="B4959:B4964"/>
    <mergeCell ref="A4965:A4970"/>
    <mergeCell ref="B4965:B4970"/>
    <mergeCell ref="A4971:A4976"/>
    <mergeCell ref="B4971:B4976"/>
    <mergeCell ref="A4977:A4982"/>
    <mergeCell ref="B4977:B4982"/>
    <mergeCell ref="A4983:A4989"/>
    <mergeCell ref="B4983:B4989"/>
    <mergeCell ref="A4990:A4994"/>
    <mergeCell ref="B4990:B4994"/>
    <mergeCell ref="A4995:A5002"/>
    <mergeCell ref="B4995:B5002"/>
    <mergeCell ref="A5003:A5008"/>
    <mergeCell ref="B5003:B5008"/>
    <mergeCell ref="A5009:A5012"/>
    <mergeCell ref="B5009:B5012"/>
    <mergeCell ref="A5093:A5103"/>
    <mergeCell ref="B5093:B5103"/>
    <mergeCell ref="A5073:A5078"/>
    <mergeCell ref="B5073:B5078"/>
    <mergeCell ref="A5079:A5085"/>
    <mergeCell ref="B5079:B5085"/>
    <mergeCell ref="A5013:A5018"/>
    <mergeCell ref="B5013:B5018"/>
    <mergeCell ref="A5019:A5024"/>
    <mergeCell ref="B5019:B5024"/>
    <mergeCell ref="A5025:A5032"/>
    <mergeCell ref="B5025:B5032"/>
    <mergeCell ref="A5033:A5039"/>
    <mergeCell ref="B5033:B5039"/>
    <mergeCell ref="A5040:A5046"/>
    <mergeCell ref="B5040:B5046"/>
    <mergeCell ref="A5047:A5054"/>
    <mergeCell ref="B5047:B5054"/>
    <mergeCell ref="A5055:A5060"/>
    <mergeCell ref="B5055:B5060"/>
    <mergeCell ref="A5061:A5066"/>
    <mergeCell ref="B5061:B5066"/>
    <mergeCell ref="A5067:A5072"/>
    <mergeCell ref="B5067:B5072"/>
    <mergeCell ref="A5118:A5125"/>
    <mergeCell ref="B5118:B5125"/>
    <mergeCell ref="A2648:A2651"/>
    <mergeCell ref="B2648:B2651"/>
    <mergeCell ref="A2516:A2519"/>
    <mergeCell ref="B2516:B2519"/>
    <mergeCell ref="A2520:A2523"/>
    <mergeCell ref="B2520:B2523"/>
    <mergeCell ref="A2524:A2527"/>
    <mergeCell ref="B2524:B2527"/>
    <mergeCell ref="A2528:A2531"/>
    <mergeCell ref="B2528:B2531"/>
    <mergeCell ref="A2532:A2535"/>
    <mergeCell ref="B2532:B2535"/>
    <mergeCell ref="A2536:A2539"/>
    <mergeCell ref="B2536:B2539"/>
    <mergeCell ref="A2540:A2543"/>
    <mergeCell ref="B2540:B2543"/>
    <mergeCell ref="A2556:A2559"/>
    <mergeCell ref="B2556:B2559"/>
    <mergeCell ref="A2624:A2627"/>
    <mergeCell ref="B2624:B2627"/>
    <mergeCell ref="A2628:A2631"/>
    <mergeCell ref="B2628:B2631"/>
    <mergeCell ref="A2632:A2635"/>
    <mergeCell ref="B2632:B2635"/>
    <mergeCell ref="A2612:A2615"/>
    <mergeCell ref="B2612:B2615"/>
    <mergeCell ref="A2616:A2619"/>
    <mergeCell ref="B2616:B2619"/>
    <mergeCell ref="A5086:A5092"/>
    <mergeCell ref="B5086:B5092"/>
    <mergeCell ref="A2464:A2467"/>
    <mergeCell ref="B2464:B2467"/>
    <mergeCell ref="A2468:A2471"/>
    <mergeCell ref="B2468:B2471"/>
    <mergeCell ref="A2472:A2475"/>
    <mergeCell ref="B2472:B2475"/>
    <mergeCell ref="A2476:A2479"/>
    <mergeCell ref="B2476:B2479"/>
    <mergeCell ref="A2480:A2483"/>
    <mergeCell ref="B2480:B2483"/>
    <mergeCell ref="A2484:A2487"/>
    <mergeCell ref="B2484:B2487"/>
    <mergeCell ref="A2636:A2639"/>
    <mergeCell ref="B2636:B2639"/>
    <mergeCell ref="A2640:A2643"/>
    <mergeCell ref="B2640:B2643"/>
    <mergeCell ref="A2644:A2647"/>
    <mergeCell ref="B2644:B2647"/>
    <mergeCell ref="A2492:A2495"/>
    <mergeCell ref="B2492:B2495"/>
    <mergeCell ref="A2496:A2499"/>
    <mergeCell ref="B2496:B2499"/>
    <mergeCell ref="A2500:A2503"/>
    <mergeCell ref="B2500:B2503"/>
    <mergeCell ref="A2504:A2507"/>
    <mergeCell ref="B2504:B2507"/>
    <mergeCell ref="A2508:A2511"/>
    <mergeCell ref="B2508:B2511"/>
    <mergeCell ref="A2512:A2515"/>
    <mergeCell ref="B2512:B2515"/>
    <mergeCell ref="A2552:A2555"/>
    <mergeCell ref="B2552:B2555"/>
    <mergeCell ref="A5392:A5399"/>
    <mergeCell ref="B5392:B5399"/>
    <mergeCell ref="A5400:A5406"/>
    <mergeCell ref="B5400:B5406"/>
    <mergeCell ref="A5407:A5416"/>
    <mergeCell ref="B5407:B5416"/>
    <mergeCell ref="A5417:A5428"/>
    <mergeCell ref="B5417:B5428"/>
    <mergeCell ref="A5429:A5434"/>
    <mergeCell ref="B5429:B5434"/>
    <mergeCell ref="A5435:A5440"/>
    <mergeCell ref="B5435:B5440"/>
    <mergeCell ref="A5441:A5447"/>
    <mergeCell ref="B5441:B5447"/>
    <mergeCell ref="A5617:A5620"/>
    <mergeCell ref="B5617:B5620"/>
    <mergeCell ref="A5448:A5453"/>
    <mergeCell ref="B5448:B5453"/>
    <mergeCell ref="A5454:A5459"/>
    <mergeCell ref="B5454:B5459"/>
    <mergeCell ref="A5460:A5465"/>
    <mergeCell ref="B5460:B5465"/>
    <mergeCell ref="A5466:A5469"/>
    <mergeCell ref="B5466:B5469"/>
    <mergeCell ref="A5477:A5480"/>
    <mergeCell ref="B5477:B5480"/>
    <mergeCell ref="A5470:A5476"/>
    <mergeCell ref="B5470:B5476"/>
    <mergeCell ref="A5601:A5604"/>
    <mergeCell ref="B5601:B5604"/>
    <mergeCell ref="A5621:A5624"/>
    <mergeCell ref="B5621:B5624"/>
    <mergeCell ref="A5625:A5628"/>
    <mergeCell ref="B5625:B5628"/>
    <mergeCell ref="A5629:A5632"/>
    <mergeCell ref="B5629:B5632"/>
    <mergeCell ref="A5633:A5636"/>
    <mergeCell ref="B5633:B5636"/>
    <mergeCell ref="A5637:A5640"/>
    <mergeCell ref="B5637:B5640"/>
    <mergeCell ref="A5641:A5644"/>
    <mergeCell ref="B5641:B5644"/>
    <mergeCell ref="A5645:A5648"/>
    <mergeCell ref="B5645:B5648"/>
    <mergeCell ref="A5649:A5652"/>
    <mergeCell ref="B5649:B5652"/>
    <mergeCell ref="A5653:A5656"/>
    <mergeCell ref="B5653:B5656"/>
    <mergeCell ref="A5657:A5660"/>
    <mergeCell ref="B5657:B5660"/>
    <mergeCell ref="A5661:A5664"/>
    <mergeCell ref="B5661:B5664"/>
    <mergeCell ref="A5665:A5668"/>
    <mergeCell ref="B5665:B5668"/>
    <mergeCell ref="A5669:A5672"/>
    <mergeCell ref="B5669:B5672"/>
    <mergeCell ref="A5673:A5676"/>
    <mergeCell ref="B5673:B5676"/>
    <mergeCell ref="A5677:A5680"/>
    <mergeCell ref="B5677:B5680"/>
    <mergeCell ref="A5681:A5684"/>
    <mergeCell ref="B5681:B5684"/>
    <mergeCell ref="A5685:A5688"/>
    <mergeCell ref="B5685:B5688"/>
    <mergeCell ref="A5689:A5692"/>
    <mergeCell ref="B5689:B5692"/>
    <mergeCell ref="A5693:A5696"/>
    <mergeCell ref="B5693:B5696"/>
    <mergeCell ref="A5697:A5700"/>
    <mergeCell ref="B5697:B5700"/>
    <mergeCell ref="A5701:A5704"/>
    <mergeCell ref="B5701:B5704"/>
    <mergeCell ref="A5705:A5708"/>
    <mergeCell ref="B5705:B5708"/>
    <mergeCell ref="A5709:A5712"/>
    <mergeCell ref="B5709:B5712"/>
    <mergeCell ref="A5713:A5716"/>
    <mergeCell ref="B5713:B5716"/>
    <mergeCell ref="A5717:A5720"/>
    <mergeCell ref="B5717:B5720"/>
    <mergeCell ref="A5721:A5724"/>
    <mergeCell ref="B5721:B5724"/>
    <mergeCell ref="A5725:A5728"/>
    <mergeCell ref="B5725:B5728"/>
    <mergeCell ref="A5729:A5732"/>
    <mergeCell ref="B5729:B5732"/>
    <mergeCell ref="A5733:A5736"/>
    <mergeCell ref="B5733:B5736"/>
    <mergeCell ref="A5737:A5740"/>
    <mergeCell ref="B5737:B5740"/>
    <mergeCell ref="A5741:A5744"/>
    <mergeCell ref="B5741:B5744"/>
    <mergeCell ref="A5745:A5748"/>
    <mergeCell ref="B5745:B5748"/>
    <mergeCell ref="A5749:A5752"/>
    <mergeCell ref="B5749:B5752"/>
    <mergeCell ref="A5753:A5756"/>
    <mergeCell ref="B5753:B5756"/>
    <mergeCell ref="A5757:A5760"/>
    <mergeCell ref="B5757:B5760"/>
    <mergeCell ref="A5761:A5764"/>
    <mergeCell ref="B5761:B5764"/>
    <mergeCell ref="A5765:A5768"/>
    <mergeCell ref="B5765:B5768"/>
    <mergeCell ref="A5769:A5772"/>
    <mergeCell ref="B5769:B5772"/>
    <mergeCell ref="A5773:A5776"/>
    <mergeCell ref="B5773:B5776"/>
    <mergeCell ref="A5777:A5780"/>
    <mergeCell ref="B5777:B5780"/>
    <mergeCell ref="A5781:A5784"/>
    <mergeCell ref="B5781:B5784"/>
    <mergeCell ref="A5785:A5788"/>
    <mergeCell ref="B5785:B5788"/>
    <mergeCell ref="A5789:A5792"/>
    <mergeCell ref="B5789:B5792"/>
    <mergeCell ref="A5793:A5796"/>
    <mergeCell ref="B5793:B5796"/>
    <mergeCell ref="A5797:A5800"/>
    <mergeCell ref="B5797:B5800"/>
    <mergeCell ref="A5801:A5804"/>
    <mergeCell ref="B5801:B5804"/>
    <mergeCell ref="A5805:A5808"/>
    <mergeCell ref="B5805:B5808"/>
    <mergeCell ref="A5809:A5812"/>
    <mergeCell ref="B5809:B5812"/>
    <mergeCell ref="A5813:A5816"/>
    <mergeCell ref="B5813:B5816"/>
    <mergeCell ref="A5817:A5820"/>
    <mergeCell ref="B5817:B5820"/>
    <mergeCell ref="A5821:A5824"/>
    <mergeCell ref="B5821:B5824"/>
    <mergeCell ref="A5825:A5828"/>
    <mergeCell ref="B5825:B5828"/>
    <mergeCell ref="A5829:A5832"/>
    <mergeCell ref="B5829:B5832"/>
    <mergeCell ref="A5833:A5836"/>
    <mergeCell ref="B5833:B5836"/>
    <mergeCell ref="A5837:A5840"/>
    <mergeCell ref="B5837:B5840"/>
    <mergeCell ref="A5841:A5844"/>
    <mergeCell ref="B5841:B5844"/>
    <mergeCell ref="A5845:A5848"/>
    <mergeCell ref="B5845:B5848"/>
    <mergeCell ref="A5849:A5852"/>
    <mergeCell ref="B5849:B5852"/>
    <mergeCell ref="A5853:A5856"/>
    <mergeCell ref="B5853:B5856"/>
    <mergeCell ref="A5857:A5860"/>
    <mergeCell ref="B5857:B5860"/>
    <mergeCell ref="A5861:A5864"/>
    <mergeCell ref="B5861:B5864"/>
    <mergeCell ref="A5865:A5868"/>
    <mergeCell ref="B5865:B5868"/>
    <mergeCell ref="A5869:A5872"/>
    <mergeCell ref="B5869:B5872"/>
    <mergeCell ref="A5873:A5876"/>
    <mergeCell ref="B5873:B5876"/>
    <mergeCell ref="A5877:A5880"/>
    <mergeCell ref="B5877:B5880"/>
    <mergeCell ref="A5881:A5884"/>
    <mergeCell ref="B5881:B5884"/>
    <mergeCell ref="A5885:A5888"/>
    <mergeCell ref="B5885:B5888"/>
    <mergeCell ref="A5889:A5892"/>
    <mergeCell ref="B5889:B5892"/>
    <mergeCell ref="A5893:A5896"/>
    <mergeCell ref="B5893:B5896"/>
    <mergeCell ref="A5897:A5900"/>
    <mergeCell ref="B5897:B5900"/>
    <mergeCell ref="A5901:A5904"/>
    <mergeCell ref="B5901:B5904"/>
    <mergeCell ref="A5973:A5976"/>
    <mergeCell ref="B5973:B5976"/>
    <mergeCell ref="A5905:A5908"/>
    <mergeCell ref="B5905:B5908"/>
    <mergeCell ref="A5909:A5912"/>
    <mergeCell ref="B5909:B5912"/>
    <mergeCell ref="A5913:A5916"/>
    <mergeCell ref="B5913:B5916"/>
    <mergeCell ref="A5917:A5920"/>
    <mergeCell ref="B5917:B5920"/>
    <mergeCell ref="A5921:A5924"/>
    <mergeCell ref="B5921:B5924"/>
    <mergeCell ref="A5925:A5928"/>
    <mergeCell ref="B5925:B5928"/>
    <mergeCell ref="A5929:A5932"/>
    <mergeCell ref="B5929:B5932"/>
    <mergeCell ref="A5933:A5936"/>
    <mergeCell ref="B5933:B5936"/>
    <mergeCell ref="A5937:A5940"/>
    <mergeCell ref="B5937:B5940"/>
    <mergeCell ref="A5977:A5980"/>
    <mergeCell ref="A5981:A5984"/>
    <mergeCell ref="A5985:A5988"/>
    <mergeCell ref="B5985:B5988"/>
    <mergeCell ref="A5989:A5992"/>
    <mergeCell ref="B5989:B5992"/>
    <mergeCell ref="A5993:A5996"/>
    <mergeCell ref="B5993:B5996"/>
    <mergeCell ref="A5997:A6000"/>
    <mergeCell ref="B5997:B6000"/>
    <mergeCell ref="A6001:A6004"/>
    <mergeCell ref="B6001:B6004"/>
    <mergeCell ref="A6005:A6008"/>
    <mergeCell ref="B6005:B6008"/>
    <mergeCell ref="A6009:A6012"/>
    <mergeCell ref="B6009:B6012"/>
    <mergeCell ref="A5941:A5944"/>
    <mergeCell ref="B5941:B5944"/>
    <mergeCell ref="A5945:A5948"/>
    <mergeCell ref="B5945:B5948"/>
    <mergeCell ref="A5949:A5952"/>
    <mergeCell ref="B5949:B5952"/>
    <mergeCell ref="A5953:A5956"/>
    <mergeCell ref="B5953:B5956"/>
    <mergeCell ref="A5957:A5960"/>
    <mergeCell ref="B5957:B5960"/>
    <mergeCell ref="A5961:A5964"/>
    <mergeCell ref="B5961:B5964"/>
    <mergeCell ref="A5965:A5968"/>
    <mergeCell ref="B5965:B5968"/>
    <mergeCell ref="A5969:A5972"/>
    <mergeCell ref="B5969:B5972"/>
    <mergeCell ref="A6061:A6064"/>
    <mergeCell ref="B6061:B6064"/>
    <mergeCell ref="A6065:A6068"/>
    <mergeCell ref="B6065:B6068"/>
    <mergeCell ref="A6069:A6072"/>
    <mergeCell ref="B6069:B6072"/>
    <mergeCell ref="A6073:A6076"/>
    <mergeCell ref="B6073:B6076"/>
    <mergeCell ref="A6077:A6080"/>
    <mergeCell ref="B6077:B6080"/>
    <mergeCell ref="A6081:A6084"/>
    <mergeCell ref="B6081:B6084"/>
    <mergeCell ref="A6085:A6088"/>
    <mergeCell ref="B6085:B6088"/>
    <mergeCell ref="A6089:A6092"/>
    <mergeCell ref="B6089:B6092"/>
    <mergeCell ref="A6013:A6016"/>
    <mergeCell ref="B6013:B6016"/>
    <mergeCell ref="A6017:A6020"/>
    <mergeCell ref="B6017:B6020"/>
    <mergeCell ref="A6021:A6024"/>
    <mergeCell ref="B6021:B6024"/>
    <mergeCell ref="A6029:A6032"/>
    <mergeCell ref="B6029:B6032"/>
    <mergeCell ref="A6033:A6036"/>
    <mergeCell ref="B6033:B6036"/>
    <mergeCell ref="A6037:A6040"/>
    <mergeCell ref="B6037:B6040"/>
    <mergeCell ref="A6049:A6052"/>
    <mergeCell ref="B6049:B6052"/>
    <mergeCell ref="A6053:A6056"/>
    <mergeCell ref="B6053:B6056"/>
    <mergeCell ref="A6093:A6096"/>
    <mergeCell ref="B6093:B6096"/>
    <mergeCell ref="A6097:A6100"/>
    <mergeCell ref="B6097:B6100"/>
    <mergeCell ref="A6101:A6104"/>
    <mergeCell ref="B6101:B6104"/>
    <mergeCell ref="A6105:A6108"/>
    <mergeCell ref="B6105:B6108"/>
    <mergeCell ref="A6121:A6128"/>
    <mergeCell ref="B6121:B6128"/>
    <mergeCell ref="A6129:A6132"/>
    <mergeCell ref="B6129:B6132"/>
    <mergeCell ref="A6133:A6136"/>
    <mergeCell ref="B6133:B6136"/>
    <mergeCell ref="A2772:A2775"/>
    <mergeCell ref="B2772:B2775"/>
    <mergeCell ref="B5977:B5980"/>
    <mergeCell ref="B5981:B5984"/>
    <mergeCell ref="A5565:A5570"/>
    <mergeCell ref="B5565:B5570"/>
    <mergeCell ref="A5571:A5576"/>
    <mergeCell ref="B5571:B5576"/>
    <mergeCell ref="A5577:A5582"/>
    <mergeCell ref="B5577:B5582"/>
    <mergeCell ref="A5583:A5588"/>
    <mergeCell ref="B5583:B5588"/>
    <mergeCell ref="A5589:A5594"/>
    <mergeCell ref="B5589:B5594"/>
    <mergeCell ref="A5595:A5600"/>
    <mergeCell ref="B5595:B5600"/>
    <mergeCell ref="A6057:A6060"/>
    <mergeCell ref="B6057:B6060"/>
    <mergeCell ref="A6137:A6140"/>
    <mergeCell ref="B6137:B6140"/>
    <mergeCell ref="A2764:A2767"/>
    <mergeCell ref="B2764:B2767"/>
    <mergeCell ref="A5481:A5486"/>
    <mergeCell ref="B5481:B5486"/>
    <mergeCell ref="A5487:A5492"/>
    <mergeCell ref="B5487:B5492"/>
    <mergeCell ref="A5493:A5498"/>
    <mergeCell ref="B5493:B5498"/>
    <mergeCell ref="A5499:A5504"/>
    <mergeCell ref="B5499:B5504"/>
    <mergeCell ref="A5505:A5510"/>
    <mergeCell ref="B5505:B5510"/>
    <mergeCell ref="A5511:A5516"/>
    <mergeCell ref="B5511:B5516"/>
    <mergeCell ref="A5517:A5522"/>
    <mergeCell ref="B5517:B5522"/>
    <mergeCell ref="A5523:A5528"/>
    <mergeCell ref="B5523:B5528"/>
    <mergeCell ref="A5529:A5534"/>
    <mergeCell ref="B5529:B5534"/>
    <mergeCell ref="A5535:A5540"/>
    <mergeCell ref="B5535:B5540"/>
    <mergeCell ref="A5541:A5546"/>
    <mergeCell ref="B5541:B5546"/>
    <mergeCell ref="A5547:A5552"/>
    <mergeCell ref="B5547:B5552"/>
    <mergeCell ref="A5553:A5558"/>
    <mergeCell ref="B5553:B5558"/>
    <mergeCell ref="A5559:A5564"/>
    <mergeCell ref="B5559:B5564"/>
    <mergeCell ref="A6141:A6151"/>
    <mergeCell ref="B6141:B6151"/>
    <mergeCell ref="A6152:A6162"/>
    <mergeCell ref="B6152:B6162"/>
    <mergeCell ref="A6170:A6174"/>
    <mergeCell ref="B6170:B6174"/>
    <mergeCell ref="A6175:A6179"/>
    <mergeCell ref="B6175:B6179"/>
    <mergeCell ref="A6188:A6195"/>
    <mergeCell ref="B6188:B6195"/>
    <mergeCell ref="A6180:A6187"/>
    <mergeCell ref="B6180:B6187"/>
    <mergeCell ref="A6196:A6204"/>
    <mergeCell ref="B6196:B6204"/>
    <mergeCell ref="A6205:A6211"/>
    <mergeCell ref="B6205:B6211"/>
    <mergeCell ref="A6231:A6236"/>
    <mergeCell ref="B6231:B6236"/>
    <mergeCell ref="A6431:A6437"/>
    <mergeCell ref="B6431:B6437"/>
    <mergeCell ref="A6438:A6444"/>
    <mergeCell ref="B6438:B6444"/>
    <mergeCell ref="A6445:A6451"/>
    <mergeCell ref="B6445:B6451"/>
    <mergeCell ref="A6317:A6326"/>
    <mergeCell ref="B6317:B6326"/>
    <mergeCell ref="A6327:A6335"/>
    <mergeCell ref="B6327:B6335"/>
    <mergeCell ref="A6212:A6217"/>
    <mergeCell ref="B6212:B6217"/>
    <mergeCell ref="A6218:A6224"/>
    <mergeCell ref="B6218:B6224"/>
    <mergeCell ref="A6225:A6230"/>
    <mergeCell ref="B6225:B6230"/>
    <mergeCell ref="A6163:A6169"/>
    <mergeCell ref="B6163:B6169"/>
    <mergeCell ref="A6237:A6245"/>
    <mergeCell ref="B6237:B6245"/>
    <mergeCell ref="A6246:A6256"/>
    <mergeCell ref="B6246:B6256"/>
    <mergeCell ref="A6257:A6264"/>
    <mergeCell ref="B6257:B6264"/>
    <mergeCell ref="A6265:A6272"/>
    <mergeCell ref="B6265:B6272"/>
    <mergeCell ref="A6273:A6281"/>
    <mergeCell ref="B6273:B6281"/>
    <mergeCell ref="A6282:A6292"/>
    <mergeCell ref="B6282:B6292"/>
    <mergeCell ref="A6293:A6316"/>
    <mergeCell ref="B6293:B6316"/>
  </mergeCells>
  <conditionalFormatting sqref="D3388 D262 D2415 D2254:E2254 D4881:D4882 E4881 D4994 D5008 D5253 D5260 D861:E861 D878:E878 D888 D6166:D6168">
    <cfRule type="containsText" dxfId="2968" priority="5898" operator="containsText" text="Pesquisa de Preços">
      <formula>NOT(ISERROR(SEARCH("Pesquisa de Preços",D262)))</formula>
    </cfRule>
  </conditionalFormatting>
  <conditionalFormatting sqref="D9">
    <cfRule type="containsText" dxfId="2967" priority="5897" operator="containsText" text="Pesquisa de Preços">
      <formula>NOT(ISERROR(SEARCH("Pesquisa de Preços",D9)))</formula>
    </cfRule>
  </conditionalFormatting>
  <conditionalFormatting sqref="D7">
    <cfRule type="containsText" dxfId="2966" priority="5896" operator="containsText" text="Pesquisa de Preços">
      <formula>NOT(ISERROR(SEARCH("Pesquisa de Preços",D7)))</formula>
    </cfRule>
  </conditionalFormatting>
  <conditionalFormatting sqref="D6 D10 D14 D18 D23 D28 D33 D37 D42 D47 D52 D59 D64 D69 D77 D82 D87 D92 D97 D102 D106 D111 D116 D121 D126 D131 D135 D139 D144 D149 D154 D161 D166 D171 D175 D179 D183 D190 D197 D201 D205 D210 D214 D219 D224 D228 D232 D236 D240 D248 D263 D268 D276 D283 D290 D305 D320 D326 D341 D351 D365 D371 D380 D394 D401 D415 D422 D434 D440 D446 D454 D464 D471 D483 D489 D497 D504 D511 D517 D524 D531 D537 D545 D553 D561 D569 D579 D588 D596 D606 D615 D621 D629 D637 D644 D648 D652 D656 D660 D664 D668 D676 D686 D696 D704 D714 D723 D730 D736 D744 D748 D755 D766 D772 D783 D790 D804 D814 D818 D823 D827 D832 D839 D845 D850 D856 D862 D867 D875 D883 D891 D896 D903 D907 D913 D922 D929 D938 D947 D953 D959 D966 D973 D980 D991 D1002 D1007 D1012 D1021 D1026 D1036 D1045 D1052 D1059 D1066 D1073 D1082 D1090 D1098 D1108 D1116 D1121 D1126 D1132 D1137 D1144 D1151 D1158 D1165 D1172 D1179 D1186 D1193 D1200 D1207 D1214 D1221 D1227 D1233 D1245 D1252 D1259 D1266 D1272 D1279 D1286 D1293 D1300 D1308 D1317 D1323 D1329 D1335 D1341 D1348 D1354 D1361 D1367 D1373 D1380 D1386 D1392 D1398 D1405 D1420 D1435 D1450 D1465 D1480 D1495 D1510 D1518 D1526 D1534 D1542 D1550 D1557 D1564 D1571 D1578 D1593 D1599 D1605 D1611 D1618 D1623 D1629 D1635 D1640 D1646 D1652 D1658 D1664 D1669 D1674 D1679 D1685 D1692 D1699 D1705 D1713 D1724 D1735 D1746 D1757 D1764 D1771 D1778 D1785 D1792 D1799 D1806 D1813 D1818 D1823 D1829 D1835 D1842 D1848 D1854 D1860 D1866 D1872 D1878 D1884 D1890 D1896 D1902 D1908 D1914 D1919 D1924 D1929 D1935 D1940 D1945 D1952 D1958 D1964 D1971 D1978 D1986 D1994 D2001 D2008 D2015 D2022 D2028 D2036 D2044 D2052 D2060 D2068 D2076 D2084 D2092 D2100 D2108 D2116 D2122 D2128 D2134 D2140 D2146 D2154 D2162 D2170 D2178 D2186 D2194 D2202 D2210 D2215 D2222 D2229 D2235 D2241 D2255 D2261 D2271 D2281 D2291 D2301 D2311 D2318 D2325 D2331 D2337 D2343 D2349 D2354 D2359 D2364 D2370 D2378 D2385 D2391 D2398 D2412 D2440 D2560 D2564 D2568 D2572 D2576 D2580 D2588 D2596 D2604 D2608 D2612 D2616 D2620 D2624 D2628 D2632 D2636 D2640 D2644 D2652 D2660 D2666 D2672 D2678 D2684 D2690 D2696 D2702 D2708 D2714 D2776 D2781 D2791 D2807 D2817 D2822 D2827 D2832 D2839 D2844 D2849 D2854 D2859 D2864 D2869 D2874 D2879 D2886 D2891 D2896 D2901 D2909 D2917 D2925 D2933 D2941 D2946 D2951 D2956 D2961 D2966 D2971 D2976 D2981 D2986 D2991 D3001 D3006 D3011 D3016 D3021 D3026 D3031 D3036 D3041 D3046 D3054 D3059 D3067 D3071 D3079 D3084 D3092 D3097 D3102 D3107 D3112 D3117 D3122 D3127 D3132 D3137 D3143 D3149 D3155 D3161 D3166 D3172 D3177 D3186 D3194 D3202 D3207 D3211 D3218 D3231 D3237 D3243 D3249 D3259 D3264 D3271 D3278 D3285 D3292 D3299 D3306 D3313 D3320 D3327 D3334 D3340 D3346 D3355 D3360 D3367 D3374 D3381 D3385 D3389 D3394 D3398 D3402 D3409 D3416 D3423 D3428 D3433 D3438 D3442 D3446 D3456 D3478 D3486 D3503 D3511 D3528 D3547 D3554 D3570 D3576 D3582 D3590 D3597 D3602 D3610 D3616 D3623 D3629 D3639 D3644 D3649 D3657 D3661 D3667 D3682 D3690 D3702 D3715 D3726 D3730 D3740 D3745 D3754 D3761 D3765 D3769 D3827 D3833 D3838 D3849 D3859 D3868 D3876 D3888 D3903 D3910 D3928 D3934 D3940 D3946 D3953 D3962 D3970 D3980 D3987 D3995 D4008 D4021 D4026 D4030 D4034 D4043 D4052 D4061 D4070 D4079 D4088 D4094 D4100 D4107 D4113 D4117 D4124 D4132 D4140 D4148 D4152 D4159 D4170 D4181 D4185 D4192 D4199 D4205 D4211 D4217 D4227 D4233 D4241 D4249 D4258 D4265 D4270 D4278 D4287 D4303 D4330 D4337 D4348 D4357 D4366 D4375 D4384 D4394 D4402 D4410 D4420 D4430 D4440 D4448 D4460 D4472 D4478 D4498 D4506 D4514 D4520 D4525 D4530 D4538 D4546 D4551 D4557 D4569 D4581 D4600 D4608 D4617 D4625 D4631 D4643 D4651 D4657 D4665 D4673 D4683 D4689 D4697 D4706 D4718 D4724 D4752 D4763">
    <cfRule type="containsText" dxfId="2965" priority="5895" operator="containsText" text="Pesquisa de Preços">
      <formula>NOT(ISERROR(SEARCH("Pesquisa de Preços",D6)))</formula>
    </cfRule>
  </conditionalFormatting>
  <conditionalFormatting sqref="D8">
    <cfRule type="containsText" dxfId="2964" priority="5894" operator="containsText" text="Pesquisa de Preços">
      <formula>NOT(ISERROR(SEARCH("Pesquisa de Preços",D8)))</formula>
    </cfRule>
  </conditionalFormatting>
  <conditionalFormatting sqref="D15">
    <cfRule type="containsText" dxfId="2963" priority="5893" operator="containsText" text="Pesquisa de Preços">
      <formula>NOT(ISERROR(SEARCH("Pesquisa de Preços",D15)))</formula>
    </cfRule>
  </conditionalFormatting>
  <conditionalFormatting sqref="D16">
    <cfRule type="containsText" dxfId="2962" priority="5892" operator="containsText" text="Pesquisa de Preços">
      <formula>NOT(ISERROR(SEARCH("Pesquisa de Preços",D16)))</formula>
    </cfRule>
  </conditionalFormatting>
  <conditionalFormatting sqref="D12">
    <cfRule type="containsText" dxfId="2961" priority="5891" operator="containsText" text="Pesquisa de Preços">
      <formula>NOT(ISERROR(SEARCH("Pesquisa de Preços",D12)))</formula>
    </cfRule>
  </conditionalFormatting>
  <conditionalFormatting sqref="D94:D95">
    <cfRule type="containsText" dxfId="2960" priority="5389" operator="containsText" text="Pesquisa de Preços">
      <formula>NOT(ISERROR(SEARCH("Pesquisa de Preços",D94)))</formula>
    </cfRule>
  </conditionalFormatting>
  <conditionalFormatting sqref="D13">
    <cfRule type="containsText" dxfId="2959" priority="5890" operator="containsText" text="Pesquisa de Preços">
      <formula>NOT(ISERROR(SEARCH("Pesquisa de Preços",D13)))</formula>
    </cfRule>
  </conditionalFormatting>
  <conditionalFormatting sqref="D11">
    <cfRule type="containsText" dxfId="2958" priority="5889" operator="containsText" text="Pesquisa de Preços">
      <formula>NOT(ISERROR(SEARCH("Pesquisa de Preços",D11)))</formula>
    </cfRule>
  </conditionalFormatting>
  <conditionalFormatting sqref="D225">
    <cfRule type="containsText" dxfId="2957" priority="5887" operator="containsText" text="Pesquisa de Preços">
      <formula>NOT(ISERROR(SEARCH("Pesquisa de Preços",D225)))</formula>
    </cfRule>
  </conditionalFormatting>
  <conditionalFormatting sqref="D227">
    <cfRule type="containsText" dxfId="2956" priority="5888" operator="containsText" text="Pesquisa de Preços">
      <formula>NOT(ISERROR(SEARCH("Pesquisa de Preços",D227)))</formula>
    </cfRule>
  </conditionalFormatting>
  <conditionalFormatting sqref="D1383">
    <cfRule type="containsText" dxfId="2955" priority="5385" operator="containsText" text="Pesquisa de Preços">
      <formula>NOT(ISERROR(SEARCH("Pesquisa de Preços",D1383)))</formula>
    </cfRule>
  </conditionalFormatting>
  <conditionalFormatting sqref="D514">
    <cfRule type="containsText" dxfId="2954" priority="5793" operator="containsText" text="Pesquisa de Preços">
      <formula>NOT(ISERROR(SEARCH("Pesquisa de Preços",D514)))</formula>
    </cfRule>
  </conditionalFormatting>
  <conditionalFormatting sqref="D150">
    <cfRule type="containsText" dxfId="2953" priority="5883" operator="containsText" text="Pesquisa de Preços">
      <formula>NOT(ISERROR(SEARCH("Pesquisa de Preços",D150)))</formula>
    </cfRule>
  </conditionalFormatting>
  <conditionalFormatting sqref="D490:D491 D493:D496">
    <cfRule type="containsText" dxfId="2952" priority="5790" operator="containsText" text="Pesquisa de Preços">
      <formula>NOT(ISERROR(SEARCH("Pesquisa de Preços",D490)))</formula>
    </cfRule>
  </conditionalFormatting>
  <conditionalFormatting sqref="D78">
    <cfRule type="containsText" dxfId="2951" priority="5884" operator="containsText" text="Pesquisa de Preços">
      <formula>NOT(ISERROR(SEARCH("Pesquisa de Preços",D78)))</formula>
    </cfRule>
  </conditionalFormatting>
  <conditionalFormatting sqref="D162">
    <cfRule type="containsText" dxfId="2950" priority="5882" operator="containsText" text="Pesquisa de Preços">
      <formula>NOT(ISERROR(SEARCH("Pesquisa de Preços",D162)))</formula>
    </cfRule>
  </conditionalFormatting>
  <conditionalFormatting sqref="D79">
    <cfRule type="containsText" dxfId="2949" priority="5886" operator="containsText" text="Pesquisa de Preços">
      <formula>NOT(ISERROR(SEARCH("Pesquisa de Preços",D79)))</formula>
    </cfRule>
  </conditionalFormatting>
  <conditionalFormatting sqref="D81">
    <cfRule type="containsText" dxfId="2948" priority="5885" operator="containsText" text="Pesquisa de Preços">
      <formula>NOT(ISERROR(SEARCH("Pesquisa de Preços",D81)))</formula>
    </cfRule>
  </conditionalFormatting>
  <conditionalFormatting sqref="D88">
    <cfRule type="containsText" dxfId="2947" priority="5881" operator="containsText" text="Pesquisa de Preços">
      <formula>NOT(ISERROR(SEARCH("Pesquisa de Preços",D88)))</formula>
    </cfRule>
  </conditionalFormatting>
  <conditionalFormatting sqref="D60">
    <cfRule type="containsText" dxfId="2946" priority="5880" operator="containsText" text="Pesquisa de Preços">
      <formula>NOT(ISERROR(SEARCH("Pesquisa de Preços",D60)))</formula>
    </cfRule>
  </conditionalFormatting>
  <conditionalFormatting sqref="D53">
    <cfRule type="containsText" dxfId="2945" priority="5879" operator="containsText" text="Pesquisa de Preços">
      <formula>NOT(ISERROR(SEARCH("Pesquisa de Preços",D53)))</formula>
    </cfRule>
  </conditionalFormatting>
  <conditionalFormatting sqref="D34:D35">
    <cfRule type="containsText" dxfId="2944" priority="5878" operator="containsText" text="Pesquisa de Preços">
      <formula>NOT(ISERROR(SEARCH("Pesquisa de Preços",D34)))</formula>
    </cfRule>
  </conditionalFormatting>
  <conditionalFormatting sqref="D98:D99">
    <cfRule type="containsText" dxfId="2943" priority="5876" operator="containsText" text="Pesquisa de Preços">
      <formula>NOT(ISERROR(SEARCH("Pesquisa de Preços",D98)))</formula>
    </cfRule>
  </conditionalFormatting>
  <conditionalFormatting sqref="D29">
    <cfRule type="containsText" dxfId="2942" priority="5877" operator="containsText" text="Pesquisa de Preços">
      <formula>NOT(ISERROR(SEARCH("Pesquisa de Preços",D29)))</formula>
    </cfRule>
  </conditionalFormatting>
  <conditionalFormatting sqref="D145:D146">
    <cfRule type="containsText" dxfId="2941" priority="5874" operator="containsText" text="Pesquisa de Preços">
      <formula>NOT(ISERROR(SEARCH("Pesquisa de Preços",D145)))</formula>
    </cfRule>
  </conditionalFormatting>
  <conditionalFormatting sqref="D100">
    <cfRule type="containsText" dxfId="2940" priority="5875" operator="containsText" text="Pesquisa de Preços">
      <formula>NOT(ISERROR(SEARCH("Pesquisa de Preços",D100)))</formula>
    </cfRule>
  </conditionalFormatting>
  <conditionalFormatting sqref="D180">
    <cfRule type="containsText" dxfId="2939" priority="5869" operator="containsText" text="Pesquisa de Preços">
      <formula>NOT(ISERROR(SEARCH("Pesquisa de Preços",D180)))</formula>
    </cfRule>
  </conditionalFormatting>
  <conditionalFormatting sqref="D24">
    <cfRule type="containsText" dxfId="2938" priority="5871" operator="containsText" text="Pesquisa de Preços">
      <formula>NOT(ISERROR(SEARCH("Pesquisa de Preços",D24)))</formula>
    </cfRule>
  </conditionalFormatting>
  <conditionalFormatting sqref="D147">
    <cfRule type="containsText" dxfId="2937" priority="5873" operator="containsText" text="Pesquisa de Preços">
      <formula>NOT(ISERROR(SEARCH("Pesquisa de Preços",D147)))</formula>
    </cfRule>
  </conditionalFormatting>
  <conditionalFormatting sqref="D43:D45">
    <cfRule type="containsText" dxfId="2936" priority="5872" operator="containsText" text="Pesquisa de Preços">
      <formula>NOT(ISERROR(SEARCH("Pesquisa de Preços",D43)))</formula>
    </cfRule>
  </conditionalFormatting>
  <conditionalFormatting sqref="D117">
    <cfRule type="containsText" dxfId="2935" priority="5868" operator="containsText" text="Pesquisa de Preços">
      <formula>NOT(ISERROR(SEARCH("Pesquisa de Preços",D117)))</formula>
    </cfRule>
  </conditionalFormatting>
  <conditionalFormatting sqref="D38:D40">
    <cfRule type="containsText" dxfId="2934" priority="5870" operator="containsText" text="Pesquisa de Preços">
      <formula>NOT(ISERROR(SEARCH("Pesquisa de Preços",D38)))</formula>
    </cfRule>
  </conditionalFormatting>
  <conditionalFormatting sqref="D677">
    <cfRule type="containsText" dxfId="2933" priority="5774" operator="containsText" text="Pesquisa de Preços">
      <formula>NOT(ISERROR(SEARCH("Pesquisa de Preços",D677)))</formula>
    </cfRule>
  </conditionalFormatting>
  <conditionalFormatting sqref="D669">
    <cfRule type="containsText" dxfId="2932" priority="5773" operator="containsText" text="Pesquisa de Preços">
      <formula>NOT(ISERROR(SEARCH("Pesquisa de Preços",D669)))</formula>
    </cfRule>
  </conditionalFormatting>
  <conditionalFormatting sqref="D176:D177">
    <cfRule type="containsText" dxfId="2931" priority="5867" operator="containsText" text="Pesquisa de Preços">
      <formula>NOT(ISERROR(SEARCH("Pesquisa de Preços",D176)))</formula>
    </cfRule>
  </conditionalFormatting>
  <conditionalFormatting sqref="D220:D221">
    <cfRule type="containsText" dxfId="2930" priority="5866" operator="containsText" text="Pesquisa de Preços">
      <formula>NOT(ISERROR(SEARCH("Pesquisa de Preços",D220)))</formula>
    </cfRule>
  </conditionalFormatting>
  <conditionalFormatting sqref="D687:D688 D694:D695">
    <cfRule type="containsText" dxfId="2929" priority="5772" operator="containsText" text="Pesquisa de Preços">
      <formula>NOT(ISERROR(SEARCH("Pesquisa de Preços",D687)))</formula>
    </cfRule>
  </conditionalFormatting>
  <conditionalFormatting sqref="D222">
    <cfRule type="containsText" dxfId="2928" priority="5865" operator="containsText" text="Pesquisa de Preços">
      <formula>NOT(ISERROR(SEARCH("Pesquisa de Preços",D222)))</formula>
    </cfRule>
  </conditionalFormatting>
  <conditionalFormatting sqref="D127">
    <cfRule type="containsText" dxfId="2927" priority="5864" operator="containsText" text="Pesquisa de Preços">
      <formula>NOT(ISERROR(SEARCH("Pesquisa de Preços",D127)))</formula>
    </cfRule>
  </conditionalFormatting>
  <conditionalFormatting sqref="D715">
    <cfRule type="containsText" dxfId="2926" priority="5770" operator="containsText" text="Pesquisa de Preços">
      <formula>NOT(ISERROR(SEARCH("Pesquisa de Preços",D715)))</formula>
    </cfRule>
  </conditionalFormatting>
  <conditionalFormatting sqref="D167:D168">
    <cfRule type="containsText" dxfId="2925" priority="5863" operator="containsText" text="Pesquisa de Preços">
      <formula>NOT(ISERROR(SEARCH("Pesquisa de Preços",D167)))</formula>
    </cfRule>
  </conditionalFormatting>
  <conditionalFormatting sqref="D731">
    <cfRule type="containsText" dxfId="2924" priority="5769" operator="containsText" text="Pesquisa de Preços">
      <formula>NOT(ISERROR(SEARCH("Pesquisa de Preços",D731)))</formula>
    </cfRule>
  </conditionalFormatting>
  <conditionalFormatting sqref="D169">
    <cfRule type="containsText" dxfId="2923" priority="5862" operator="containsText" text="Pesquisa de Preços">
      <formula>NOT(ISERROR(SEARCH("Pesquisa de Preços",D169)))</formula>
    </cfRule>
  </conditionalFormatting>
  <conditionalFormatting sqref="D83">
    <cfRule type="containsText" dxfId="2922" priority="5861" operator="containsText" text="Pesquisa de Preços">
      <formula>NOT(ISERROR(SEARCH("Pesquisa de Preços",D83)))</formula>
    </cfRule>
  </conditionalFormatting>
  <conditionalFormatting sqref="D112">
    <cfRule type="containsText" dxfId="2921" priority="5860" operator="containsText" text="Pesquisa de Preços">
      <formula>NOT(ISERROR(SEARCH("Pesquisa de Preços",D112)))</formula>
    </cfRule>
  </conditionalFormatting>
  <conditionalFormatting sqref="D211:D212">
    <cfRule type="containsText" dxfId="2920" priority="5859" operator="containsText" text="Pesquisa de Preços">
      <formula>NOT(ISERROR(SEARCH("Pesquisa de Preços",D211)))</formula>
    </cfRule>
  </conditionalFormatting>
  <conditionalFormatting sqref="D202">
    <cfRule type="containsText" dxfId="2919" priority="5858" operator="containsText" text="Pesquisa de Preços">
      <formula>NOT(ISERROR(SEARCH("Pesquisa de Preços",D202)))</formula>
    </cfRule>
  </conditionalFormatting>
  <conditionalFormatting sqref="D198:D199">
    <cfRule type="containsText" dxfId="2918" priority="5856" operator="containsText" text="Pesquisa de Preços">
      <formula>NOT(ISERROR(SEARCH("Pesquisa de Preços",D198)))</formula>
    </cfRule>
  </conditionalFormatting>
  <conditionalFormatting sqref="D203:D204">
    <cfRule type="containsText" dxfId="2917" priority="5857" operator="containsText" text="Pesquisa de Preços">
      <formula>NOT(ISERROR(SEARCH("Pesquisa de Preços",D203)))</formula>
    </cfRule>
  </conditionalFormatting>
  <conditionalFormatting sqref="D70:D71 D75:D76">
    <cfRule type="containsText" dxfId="2916" priority="5855" operator="containsText" text="Pesquisa de Preços">
      <formula>NOT(ISERROR(SEARCH("Pesquisa de Preços",D70)))</formula>
    </cfRule>
  </conditionalFormatting>
  <conditionalFormatting sqref="D72:D74">
    <cfRule type="containsText" dxfId="2915" priority="5854" operator="containsText" text="Pesquisa de Preços">
      <formula>NOT(ISERROR(SEARCH("Pesquisa de Preços",D72)))</formula>
    </cfRule>
  </conditionalFormatting>
  <conditionalFormatting sqref="D136:D137">
    <cfRule type="containsText" dxfId="2914" priority="5853" operator="containsText" text="Pesquisa de Preços">
      <formula>NOT(ISERROR(SEARCH("Pesquisa de Preços",D136)))</formula>
    </cfRule>
  </conditionalFormatting>
  <conditionalFormatting sqref="D140:D141">
    <cfRule type="containsText" dxfId="2913" priority="5852" operator="containsText" text="Pesquisa de Preços">
      <formula>NOT(ISERROR(SEARCH("Pesquisa de Preços",D140)))</formula>
    </cfRule>
  </conditionalFormatting>
  <conditionalFormatting sqref="D791 D793:D802">
    <cfRule type="containsText" dxfId="2912" priority="5766" operator="containsText" text="Pesquisa de Preços">
      <formula>NOT(ISERROR(SEARCH("Pesquisa de Preços",D791)))</formula>
    </cfRule>
  </conditionalFormatting>
  <conditionalFormatting sqref="D155:D157">
    <cfRule type="containsText" dxfId="2911" priority="5851" operator="containsText" text="Pesquisa de Preços">
      <formula>NOT(ISERROR(SEARCH("Pesquisa de Preços",D155)))</formula>
    </cfRule>
  </conditionalFormatting>
  <conditionalFormatting sqref="D833">
    <cfRule type="containsText" dxfId="2910" priority="5765" operator="containsText" text="Pesquisa de Preços">
      <formula>NOT(ISERROR(SEARCH("Pesquisa de Preços",D833)))</formula>
    </cfRule>
  </conditionalFormatting>
  <conditionalFormatting sqref="D93">
    <cfRule type="containsText" dxfId="2909" priority="5850" operator="containsText" text="Pesquisa de Preços">
      <formula>NOT(ISERROR(SEARCH("Pesquisa de Preços",D93)))</formula>
    </cfRule>
  </conditionalFormatting>
  <conditionalFormatting sqref="D815:D816">
    <cfRule type="containsText" dxfId="2908" priority="5764" operator="containsText" text="Pesquisa de Preços">
      <formula>NOT(ISERROR(SEARCH("Pesquisa de Preços",D815)))</formula>
    </cfRule>
  </conditionalFormatting>
  <conditionalFormatting sqref="D48:D49">
    <cfRule type="containsText" dxfId="2907" priority="5849" operator="containsText" text="Pesquisa de Preços">
      <formula>NOT(ISERROR(SEARCH("Pesquisa de Preços",D48)))</formula>
    </cfRule>
  </conditionalFormatting>
  <conditionalFormatting sqref="D50">
    <cfRule type="containsText" dxfId="2906" priority="5848" operator="containsText" text="Pesquisa de Preços">
      <formula>NOT(ISERROR(SEARCH("Pesquisa de Preços",D50)))</formula>
    </cfRule>
  </conditionalFormatting>
  <conditionalFormatting sqref="D191:D192">
    <cfRule type="containsText" dxfId="2905" priority="5847" operator="containsText" text="Pesquisa de Preços">
      <formula>NOT(ISERROR(SEARCH("Pesquisa de Preços",D191)))</formula>
    </cfRule>
  </conditionalFormatting>
  <conditionalFormatting sqref="D749:D750 D753:D754">
    <cfRule type="containsText" dxfId="2904" priority="5763" operator="containsText" text="Pesquisa de Preços">
      <formula>NOT(ISERROR(SEARCH("Pesquisa de Preços",D749)))</formula>
    </cfRule>
  </conditionalFormatting>
  <conditionalFormatting sqref="D193">
    <cfRule type="containsText" dxfId="2903" priority="5846" operator="containsText" text="Pesquisa de Preços">
      <formula>NOT(ISERROR(SEARCH("Pesquisa de Preços",D193)))</formula>
    </cfRule>
  </conditionalFormatting>
  <conditionalFormatting sqref="D215">
    <cfRule type="containsText" dxfId="2902" priority="5845" operator="containsText" text="Pesquisa de Preços">
      <formula>NOT(ISERROR(SEARCH("Pesquisa de Preços",D215)))</formula>
    </cfRule>
  </conditionalFormatting>
  <conditionalFormatting sqref="D217">
    <cfRule type="containsText" dxfId="2901" priority="5844" operator="containsText" text="Pesquisa de Preços">
      <formula>NOT(ISERROR(SEARCH("Pesquisa de Preços",D217)))</formula>
    </cfRule>
  </conditionalFormatting>
  <conditionalFormatting sqref="D122">
    <cfRule type="containsText" dxfId="2900" priority="5843" operator="containsText" text="Pesquisa de Preços">
      <formula>NOT(ISERROR(SEARCH("Pesquisa de Preços",D122)))</formula>
    </cfRule>
  </conditionalFormatting>
  <conditionalFormatting sqref="D756:D757">
    <cfRule type="containsText" dxfId="2899" priority="5761" operator="containsText" text="Pesquisa de Preços">
      <formula>NOT(ISERROR(SEARCH("Pesquisa de Preços",D756)))</formula>
    </cfRule>
  </conditionalFormatting>
  <conditionalFormatting sqref="D124">
    <cfRule type="containsText" dxfId="2898" priority="5842" operator="containsText" text="Pesquisa de Preços">
      <formula>NOT(ISERROR(SEARCH("Pesquisa de Preços",D124)))</formula>
    </cfRule>
  </conditionalFormatting>
  <conditionalFormatting sqref="D107:D108">
    <cfRule type="containsText" dxfId="2897" priority="5841" operator="containsText" text="Pesquisa de Preços">
      <formula>NOT(ISERROR(SEARCH("Pesquisa de Preços",D107)))</formula>
    </cfRule>
  </conditionalFormatting>
  <conditionalFormatting sqref="D824 D826">
    <cfRule type="containsText" dxfId="2896" priority="5759" operator="containsText" text="Pesquisa de Preços">
      <formula>NOT(ISERROR(SEARCH("Pesquisa de Preços",D824)))</formula>
    </cfRule>
  </conditionalFormatting>
  <conditionalFormatting sqref="D109">
    <cfRule type="containsText" dxfId="2895" priority="5840" operator="containsText" text="Pesquisa de Preços">
      <formula>NOT(ISERROR(SEARCH("Pesquisa de Preços",D109)))</formula>
    </cfRule>
  </conditionalFormatting>
  <conditionalFormatting sqref="D132">
    <cfRule type="containsText" dxfId="2894" priority="5839" operator="containsText" text="Pesquisa de Preços">
      <formula>NOT(ISERROR(SEARCH("Pesquisa de Preços",D132)))</formula>
    </cfRule>
  </conditionalFormatting>
  <conditionalFormatting sqref="D828">
    <cfRule type="containsText" dxfId="2893" priority="5758" operator="containsText" text="Pesquisa de Preços">
      <formula>NOT(ISERROR(SEARCH("Pesquisa de Preços",D828)))</formula>
    </cfRule>
  </conditionalFormatting>
  <conditionalFormatting sqref="D65">
    <cfRule type="containsText" dxfId="2892" priority="5838" operator="containsText" text="Pesquisa de Preços">
      <formula>NOT(ISERROR(SEARCH("Pesquisa de Preços",D65)))</formula>
    </cfRule>
  </conditionalFormatting>
  <conditionalFormatting sqref="D805">
    <cfRule type="containsText" dxfId="2891" priority="5757" operator="containsText" text="Pesquisa de Preços">
      <formula>NOT(ISERROR(SEARCH("Pesquisa de Preços",D805)))</formula>
    </cfRule>
  </conditionalFormatting>
  <conditionalFormatting sqref="D67">
    <cfRule type="containsText" dxfId="2890" priority="5837" operator="containsText" text="Pesquisa de Preços">
      <formula>NOT(ISERROR(SEARCH("Pesquisa de Preços",D67)))</formula>
    </cfRule>
  </conditionalFormatting>
  <conditionalFormatting sqref="D321">
    <cfRule type="containsText" dxfId="2889" priority="5826" operator="containsText" text="Pesquisa de Preços">
      <formula>NOT(ISERROR(SEARCH("Pesquisa de Preços",D321)))</formula>
    </cfRule>
  </conditionalFormatting>
  <conditionalFormatting sqref="D342">
    <cfRule type="containsText" dxfId="2888" priority="5823" operator="containsText" text="Pesquisa de Preços">
      <formula>NOT(ISERROR(SEARCH("Pesquisa de Preços",D342)))</formula>
    </cfRule>
  </conditionalFormatting>
  <conditionalFormatting sqref="D327:D328">
    <cfRule type="containsText" dxfId="2887" priority="5818" operator="containsText" text="Pesquisa de Preços">
      <formula>NOT(ISERROR(SEARCH("Pesquisa de Preços",D327)))</formula>
    </cfRule>
  </conditionalFormatting>
  <conditionalFormatting sqref="D416 D421">
    <cfRule type="containsText" dxfId="2886" priority="5811" operator="containsText" text="Pesquisa de Preços">
      <formula>NOT(ISERROR(SEARCH("Pesquisa de Preços",D416)))</formula>
    </cfRule>
  </conditionalFormatting>
  <conditionalFormatting sqref="D247">
    <cfRule type="containsText" dxfId="2885" priority="5836" operator="containsText" text="Pesquisa de Preços">
      <formula>NOT(ISERROR(SEARCH("Pesquisa de Preços",D247)))</formula>
    </cfRule>
  </conditionalFormatting>
  <conditionalFormatting sqref="D249:D250">
    <cfRule type="containsText" dxfId="2884" priority="5835" operator="containsText" text="Pesquisa de Preços">
      <formula>NOT(ISERROR(SEARCH("Pesquisa de Preços",D249)))</formula>
    </cfRule>
  </conditionalFormatting>
  <conditionalFormatting sqref="D1093:D1094">
    <cfRule type="containsText" dxfId="2883" priority="5721" operator="containsText" text="Pesquisa de Preços">
      <formula>NOT(ISERROR(SEARCH("Pesquisa de Preços",D1093)))</formula>
    </cfRule>
  </conditionalFormatting>
  <conditionalFormatting sqref="D251:D256 D258:D261">
    <cfRule type="containsText" dxfId="2882" priority="5834" operator="containsText" text="Pesquisa de Preços">
      <formula>NOT(ISERROR(SEARCH("Pesquisa de Preços",D251)))</formula>
    </cfRule>
  </conditionalFormatting>
  <conditionalFormatting sqref="D264:D265">
    <cfRule type="containsText" dxfId="2881" priority="5833" operator="containsText" text="Pesquisa de Preços">
      <formula>NOT(ISERROR(SEARCH("Pesquisa de Preços",D264)))</formula>
    </cfRule>
  </conditionalFormatting>
  <conditionalFormatting sqref="D277:D278 D282">
    <cfRule type="containsText" dxfId="2880" priority="5832" operator="containsText" text="Pesquisa de Preços">
      <formula>NOT(ISERROR(SEARCH("Pesquisa de Preços",D277)))</formula>
    </cfRule>
  </conditionalFormatting>
  <conditionalFormatting sqref="D279:D280">
    <cfRule type="containsText" dxfId="2879" priority="5831" operator="containsText" text="Pesquisa de Preços">
      <formula>NOT(ISERROR(SEARCH("Pesquisa de Preços",D279)))</formula>
    </cfRule>
  </conditionalFormatting>
  <conditionalFormatting sqref="D284:D285 D289">
    <cfRule type="containsText" dxfId="2878" priority="5830" operator="containsText" text="Pesquisa de Preços">
      <formula>NOT(ISERROR(SEARCH("Pesquisa de Preços",D284)))</formula>
    </cfRule>
  </conditionalFormatting>
  <conditionalFormatting sqref="D286:D287">
    <cfRule type="containsText" dxfId="2877" priority="5829" operator="containsText" text="Pesquisa de Preços">
      <formula>NOT(ISERROR(SEARCH("Pesquisa de Preços",D286)))</formula>
    </cfRule>
  </conditionalFormatting>
  <conditionalFormatting sqref="D269:D270 D274:D275">
    <cfRule type="containsText" dxfId="2876" priority="5828" operator="containsText" text="Pesquisa de Preços">
      <formula>NOT(ISERROR(SEARCH("Pesquisa de Preços",D269)))</formula>
    </cfRule>
  </conditionalFormatting>
  <conditionalFormatting sqref="D271:D272">
    <cfRule type="containsText" dxfId="2875" priority="5827" operator="containsText" text="Pesquisa de Preços">
      <formula>NOT(ISERROR(SEARCH("Pesquisa de Preços",D271)))</formula>
    </cfRule>
  </conditionalFormatting>
  <conditionalFormatting sqref="D532 D536">
    <cfRule type="containsText" dxfId="2874" priority="5792" operator="containsText" text="Pesquisa de Preços">
      <formula>NOT(ISERROR(SEARCH("Pesquisa de Preços",D532)))</formula>
    </cfRule>
  </conditionalFormatting>
  <conditionalFormatting sqref="D306">
    <cfRule type="containsText" dxfId="2873" priority="5825" operator="containsText" text="Pesquisa de Preços">
      <formula>NOT(ISERROR(SEARCH("Pesquisa de Preços",D306)))</formula>
    </cfRule>
  </conditionalFormatting>
  <conditionalFormatting sqref="D312:D314">
    <cfRule type="containsText" dxfId="2872" priority="5824" operator="containsText" text="Pesquisa de Preços">
      <formula>NOT(ISERROR(SEARCH("Pesquisa de Preços",D312)))</formula>
    </cfRule>
  </conditionalFormatting>
  <conditionalFormatting sqref="D352">
    <cfRule type="containsText" dxfId="2871" priority="5822" operator="containsText" text="Pesquisa de Preços">
      <formula>NOT(ISERROR(SEARCH("Pesquisa de Preços",D352)))</formula>
    </cfRule>
  </conditionalFormatting>
  <conditionalFormatting sqref="D355:D358">
    <cfRule type="containsText" dxfId="2870" priority="5821" operator="containsText" text="Pesquisa de Preços">
      <formula>NOT(ISERROR(SEARCH("Pesquisa de Preços",D355)))</formula>
    </cfRule>
  </conditionalFormatting>
  <conditionalFormatting sqref="D291">
    <cfRule type="containsText" dxfId="2869" priority="5820" operator="containsText" text="Pesquisa de Preços">
      <formula>NOT(ISERROR(SEARCH("Pesquisa de Preços",D291)))</formula>
    </cfRule>
  </conditionalFormatting>
  <conditionalFormatting sqref="D298:D299">
    <cfRule type="containsText" dxfId="2868" priority="5819" operator="containsText" text="Pesquisa de Preços">
      <formula>NOT(ISERROR(SEARCH("Pesquisa de Preços",D298)))</formula>
    </cfRule>
  </conditionalFormatting>
  <conditionalFormatting sqref="D329:D339">
    <cfRule type="containsText" dxfId="2867" priority="5817" operator="containsText" text="Pesquisa de Preços">
      <formula>NOT(ISERROR(SEARCH("Pesquisa de Preços",D329)))</formula>
    </cfRule>
  </conditionalFormatting>
  <conditionalFormatting sqref="D366:D367 D369:D370">
    <cfRule type="containsText" dxfId="2866" priority="5816" operator="containsText" text="Pesquisa de Preços">
      <formula>NOT(ISERROR(SEARCH("Pesquisa de Preços",D366)))</formula>
    </cfRule>
  </conditionalFormatting>
  <conditionalFormatting sqref="D368">
    <cfRule type="containsText" dxfId="2865" priority="5815" operator="containsText" text="Pesquisa de Preços">
      <formula>NOT(ISERROR(SEARCH("Pesquisa de Preços",D368)))</formula>
    </cfRule>
  </conditionalFormatting>
  <conditionalFormatting sqref="D372 D378:D379">
    <cfRule type="containsText" dxfId="2864" priority="5814" operator="containsText" text="Pesquisa de Preços">
      <formula>NOT(ISERROR(SEARCH("Pesquisa de Preços",D372)))</formula>
    </cfRule>
  </conditionalFormatting>
  <conditionalFormatting sqref="D374:D377">
    <cfRule type="containsText" dxfId="2863" priority="5813" operator="containsText" text="Pesquisa de Preços">
      <formula>NOT(ISERROR(SEARCH("Pesquisa de Preços",D374)))</formula>
    </cfRule>
  </conditionalFormatting>
  <conditionalFormatting sqref="D402">
    <cfRule type="containsText" dxfId="2862" priority="5812" operator="containsText" text="Pesquisa de Preços">
      <formula>NOT(ISERROR(SEARCH("Pesquisa de Preços",D402)))</formula>
    </cfRule>
  </conditionalFormatting>
  <conditionalFormatting sqref="D441:D442 D444:D445">
    <cfRule type="containsText" dxfId="2861" priority="5810" operator="containsText" text="Pesquisa de Preços">
      <formula>NOT(ISERROR(SEARCH("Pesquisa de Preços",D441)))</formula>
    </cfRule>
  </conditionalFormatting>
  <conditionalFormatting sqref="D443">
    <cfRule type="containsText" dxfId="2860" priority="5809" operator="containsText" text="Pesquisa de Preços">
      <formula>NOT(ISERROR(SEARCH("Pesquisa de Preços",D443)))</formula>
    </cfRule>
  </conditionalFormatting>
  <conditionalFormatting sqref="D435:D436 D438:D439">
    <cfRule type="containsText" dxfId="2859" priority="5808" operator="containsText" text="Pesquisa de Preços">
      <formula>NOT(ISERROR(SEARCH("Pesquisa de Preços",D435)))</formula>
    </cfRule>
  </conditionalFormatting>
  <conditionalFormatting sqref="D437">
    <cfRule type="containsText" dxfId="2858" priority="5807" operator="containsText" text="Pesquisa de Preços">
      <formula>NOT(ISERROR(SEARCH("Pesquisa de Preços",D437)))</formula>
    </cfRule>
  </conditionalFormatting>
  <conditionalFormatting sqref="D455:D456 D459:D463">
    <cfRule type="containsText" dxfId="2857" priority="5806" operator="containsText" text="Pesquisa de Preços">
      <formula>NOT(ISERROR(SEARCH("Pesquisa de Preços",D455)))</formula>
    </cfRule>
  </conditionalFormatting>
  <conditionalFormatting sqref="D458">
    <cfRule type="containsText" dxfId="2856" priority="5805" operator="containsText" text="Pesquisa de Preços">
      <formula>NOT(ISERROR(SEARCH("Pesquisa de Preços",D458)))</formula>
    </cfRule>
  </conditionalFormatting>
  <conditionalFormatting sqref="D465:D466 D469:D470">
    <cfRule type="containsText" dxfId="2855" priority="5804" operator="containsText" text="Pesquisa de Preços">
      <formula>NOT(ISERROR(SEARCH("Pesquisa de Preços",D465)))</formula>
    </cfRule>
  </conditionalFormatting>
  <conditionalFormatting sqref="D468">
    <cfRule type="containsText" dxfId="2854" priority="5803" operator="containsText" text="Pesquisa de Preços">
      <formula>NOT(ISERROR(SEARCH("Pesquisa de Preços",D468)))</formula>
    </cfRule>
  </conditionalFormatting>
  <conditionalFormatting sqref="D472 D482">
    <cfRule type="containsText" dxfId="2853" priority="5802" operator="containsText" text="Pesquisa de Preços">
      <formula>NOT(ISERROR(SEARCH("Pesquisa de Preços",D472)))</formula>
    </cfRule>
  </conditionalFormatting>
  <conditionalFormatting sqref="D447 D451 D453">
    <cfRule type="containsText" dxfId="2852" priority="5801" operator="containsText" text="Pesquisa de Preços">
      <formula>NOT(ISERROR(SEARCH("Pesquisa de Preços",D447)))</formula>
    </cfRule>
  </conditionalFormatting>
  <conditionalFormatting sqref="D484:D485 D488">
    <cfRule type="containsText" dxfId="2851" priority="5800" operator="containsText" text="Pesquisa de Preços">
      <formula>NOT(ISERROR(SEARCH("Pesquisa de Preços",D484)))</formula>
    </cfRule>
  </conditionalFormatting>
  <conditionalFormatting sqref="D486">
    <cfRule type="containsText" dxfId="2850" priority="5799" operator="containsText" text="Pesquisa de Preços">
      <formula>NOT(ISERROR(SEARCH("Pesquisa de Preços",D486)))</formula>
    </cfRule>
  </conditionalFormatting>
  <conditionalFormatting sqref="D505:D506 D509:D510">
    <cfRule type="containsText" dxfId="2849" priority="5798" operator="containsText" text="Pesquisa de Preços">
      <formula>NOT(ISERROR(SEARCH("Pesquisa de Preços",D505)))</formula>
    </cfRule>
  </conditionalFormatting>
  <conditionalFormatting sqref="D507:D508">
    <cfRule type="containsText" dxfId="2848" priority="5797" operator="containsText" text="Pesquisa de Preços">
      <formula>NOT(ISERROR(SEARCH("Pesquisa de Preços",D507)))</formula>
    </cfRule>
  </conditionalFormatting>
  <conditionalFormatting sqref="D502:D503 D498:D499">
    <cfRule type="containsText" dxfId="2847" priority="5796" operator="containsText" text="Pesquisa de Preços">
      <formula>NOT(ISERROR(SEARCH("Pesquisa de Preços",D498)))</formula>
    </cfRule>
  </conditionalFormatting>
  <conditionalFormatting sqref="D500:D501">
    <cfRule type="containsText" dxfId="2846" priority="5795" operator="containsText" text="Pesquisa de Preços">
      <formula>NOT(ISERROR(SEARCH("Pesquisa de Preços",D500)))</formula>
    </cfRule>
  </conditionalFormatting>
  <conditionalFormatting sqref="D512:D513 D516">
    <cfRule type="containsText" dxfId="2845" priority="5794" operator="containsText" text="Pesquisa de Preços">
      <formula>NOT(ISERROR(SEARCH("Pesquisa de Preços",D512)))</formula>
    </cfRule>
  </conditionalFormatting>
  <conditionalFormatting sqref="D525 D530">
    <cfRule type="containsText" dxfId="2844" priority="5789" operator="containsText" text="Pesquisa de Preços">
      <formula>NOT(ISERROR(SEARCH("Pesquisa de Preços",D525)))</formula>
    </cfRule>
  </conditionalFormatting>
  <conditionalFormatting sqref="D518 D523">
    <cfRule type="containsText" dxfId="2843" priority="5787" operator="containsText" text="Pesquisa de Preços">
      <formula>NOT(ISERROR(SEARCH("Pesquisa de Preços",D518)))</formula>
    </cfRule>
  </conditionalFormatting>
  <conditionalFormatting sqref="D546:D547 D552">
    <cfRule type="containsText" dxfId="2842" priority="5786" operator="containsText" text="Pesquisa de Preços">
      <formula>NOT(ISERROR(SEARCH("Pesquisa de Preços",D546)))</formula>
    </cfRule>
  </conditionalFormatting>
  <conditionalFormatting sqref="D548:D550">
    <cfRule type="containsText" dxfId="2841" priority="5785" operator="containsText" text="Pesquisa de Preços">
      <formula>NOT(ISERROR(SEARCH("Pesquisa de Preços",D548)))</formula>
    </cfRule>
  </conditionalFormatting>
  <conditionalFormatting sqref="D554:D555 D559:D560">
    <cfRule type="containsText" dxfId="2840" priority="5784" operator="containsText" text="Pesquisa de Preços">
      <formula>NOT(ISERROR(SEARCH("Pesquisa de Preços",D554)))</formula>
    </cfRule>
  </conditionalFormatting>
  <conditionalFormatting sqref="D557:D558">
    <cfRule type="containsText" dxfId="2839" priority="5783" operator="containsText" text="Pesquisa de Preços">
      <formula>NOT(ISERROR(SEARCH("Pesquisa de Preços",D557)))</formula>
    </cfRule>
  </conditionalFormatting>
  <conditionalFormatting sqref="D538:D539 D543:D544">
    <cfRule type="containsText" dxfId="2838" priority="5782" operator="containsText" text="Pesquisa de Preços">
      <formula>NOT(ISERROR(SEARCH("Pesquisa de Preços",D538)))</formula>
    </cfRule>
  </conditionalFormatting>
  <conditionalFormatting sqref="D540:D542">
    <cfRule type="containsText" dxfId="2837" priority="5781" operator="containsText" text="Pesquisa de Preços">
      <formula>NOT(ISERROR(SEARCH("Pesquisa de Preços",D540)))</formula>
    </cfRule>
  </conditionalFormatting>
  <conditionalFormatting sqref="D562:D563 D567:D568">
    <cfRule type="containsText" dxfId="2836" priority="5780" operator="containsText" text="Pesquisa de Preços">
      <formula>NOT(ISERROR(SEARCH("Pesquisa de Preços",D562)))</formula>
    </cfRule>
  </conditionalFormatting>
  <conditionalFormatting sqref="D564:D566">
    <cfRule type="containsText" dxfId="2835" priority="5779" operator="containsText" text="Pesquisa de Preços">
      <formula>NOT(ISERROR(SEARCH("Pesquisa de Preços",D564)))</formula>
    </cfRule>
  </conditionalFormatting>
  <conditionalFormatting sqref="D570:D571">
    <cfRule type="containsText" dxfId="2834" priority="5778" operator="containsText" text="Pesquisa de Preços">
      <formula>NOT(ISERROR(SEARCH("Pesquisa de Preços",D570)))</formula>
    </cfRule>
  </conditionalFormatting>
  <conditionalFormatting sqref="D580:D581 D584:D587">
    <cfRule type="containsText" dxfId="2833" priority="5777" operator="containsText" text="Pesquisa de Preços">
      <formula>NOT(ISERROR(SEARCH("Pesquisa de Preços",D580)))</formula>
    </cfRule>
  </conditionalFormatting>
  <conditionalFormatting sqref="D582:D583">
    <cfRule type="containsText" dxfId="2832" priority="5776" operator="containsText" text="Pesquisa de Preços">
      <formula>NOT(ISERROR(SEARCH("Pesquisa de Preços",D582)))</formula>
    </cfRule>
  </conditionalFormatting>
  <conditionalFormatting sqref="D622 D627:D628">
    <cfRule type="containsText" dxfId="2831" priority="5775" operator="containsText" text="Pesquisa de Preços">
      <formula>NOT(ISERROR(SEARCH("Pesquisa de Preços",D622)))</formula>
    </cfRule>
  </conditionalFormatting>
  <conditionalFormatting sqref="D758:D764">
    <cfRule type="containsText" dxfId="2830" priority="5760" operator="containsText" text="Pesquisa de Preços">
      <formula>NOT(ISERROR(SEARCH("Pesquisa de Preços",D758)))</formula>
    </cfRule>
  </conditionalFormatting>
  <conditionalFormatting sqref="D689:D691">
    <cfRule type="containsText" dxfId="2829" priority="5771" operator="containsText" text="Pesquisa de Preços">
      <formula>NOT(ISERROR(SEARCH("Pesquisa de Preços",D689)))</formula>
    </cfRule>
  </conditionalFormatting>
  <conditionalFormatting sqref="D724">
    <cfRule type="containsText" dxfId="2828" priority="5768" operator="containsText" text="Pesquisa de Preços">
      <formula>NOT(ISERROR(SEARCH("Pesquisa de Preços",D724)))</formula>
    </cfRule>
  </conditionalFormatting>
  <conditionalFormatting sqref="D767">
    <cfRule type="containsText" dxfId="2827" priority="5755" operator="containsText" text="Pesquisa de Preços">
      <formula>NOT(ISERROR(SEARCH("Pesquisa de Preços",D767)))</formula>
    </cfRule>
  </conditionalFormatting>
  <conditionalFormatting sqref="D745:D746">
    <cfRule type="containsText" dxfId="2826" priority="5767" operator="containsText" text="Pesquisa de Preços">
      <formula>NOT(ISERROR(SEARCH("Pesquisa de Preços",D745)))</formula>
    </cfRule>
  </conditionalFormatting>
  <conditionalFormatting sqref="D751:D752">
    <cfRule type="containsText" dxfId="2825" priority="5762" operator="containsText" text="Pesquisa de Preços">
      <formula>NOT(ISERROR(SEARCH("Pesquisa de Preços",D751)))</formula>
    </cfRule>
  </conditionalFormatting>
  <conditionalFormatting sqref="D948">
    <cfRule type="containsText" dxfId="2824" priority="5742" operator="containsText" text="Pesquisa de Preços">
      <formula>NOT(ISERROR(SEARCH("Pesquisa de Preços",D948)))</formula>
    </cfRule>
  </conditionalFormatting>
  <conditionalFormatting sqref="D819 D822">
    <cfRule type="containsText" dxfId="2823" priority="5756" operator="containsText" text="Pesquisa de Preços">
      <formula>NOT(ISERROR(SEARCH("Pesquisa de Preços",D819)))</formula>
    </cfRule>
  </conditionalFormatting>
  <conditionalFormatting sqref="D984:D988">
    <cfRule type="containsText" dxfId="2822" priority="5738" operator="containsText" text="Pesquisa de Preços">
      <formula>NOT(ISERROR(SEARCH("Pesquisa de Preços",D984)))</formula>
    </cfRule>
  </conditionalFormatting>
  <conditionalFormatting sqref="D184:D185">
    <cfRule type="containsText" dxfId="2821" priority="5754" operator="containsText" text="Pesquisa de Preços">
      <formula>NOT(ISERROR(SEARCH("Pesquisa de Preços",D184)))</formula>
    </cfRule>
  </conditionalFormatting>
  <conditionalFormatting sqref="D1016:D1018">
    <cfRule type="containsText" dxfId="2820" priority="5734" operator="containsText" text="Pesquisa de Preços">
      <formula>NOT(ISERROR(SEARCH("Pesquisa de Preços",D1016)))</formula>
    </cfRule>
  </conditionalFormatting>
  <conditionalFormatting sqref="D186:D188">
    <cfRule type="containsText" dxfId="2819" priority="5753" operator="containsText" text="Pesquisa de Preços">
      <formula>NOT(ISERROR(SEARCH("Pesquisa de Preços",D186)))</formula>
    </cfRule>
  </conditionalFormatting>
  <conditionalFormatting sqref="D840 D843:D844">
    <cfRule type="containsText" dxfId="2818" priority="5752" operator="containsText" text="Pesquisa de Preços">
      <formula>NOT(ISERROR(SEARCH("Pesquisa de Preços",D840)))</formula>
    </cfRule>
  </conditionalFormatting>
  <conditionalFormatting sqref="D842">
    <cfRule type="containsText" dxfId="2817" priority="5751" operator="containsText" text="Pesquisa de Preços">
      <formula>NOT(ISERROR(SEARCH("Pesquisa de Preços",D842)))</formula>
    </cfRule>
  </conditionalFormatting>
  <conditionalFormatting sqref="D914:D919">
    <cfRule type="containsText" dxfId="2816" priority="5750" operator="containsText" text="Pesquisa de Preços">
      <formula>NOT(ISERROR(SEARCH("Pesquisa de Preços",D914)))</formula>
    </cfRule>
  </conditionalFormatting>
  <conditionalFormatting sqref="D939:D944">
    <cfRule type="containsText" dxfId="2815" priority="5749" operator="containsText" text="Pesquisa de Preços">
      <formula>NOT(ISERROR(SEARCH("Pesquisa de Preços",D939)))</formula>
    </cfRule>
  </conditionalFormatting>
  <conditionalFormatting sqref="D930">
    <cfRule type="containsText" dxfId="2814" priority="5748" operator="containsText" text="Pesquisa de Preços">
      <formula>NOT(ISERROR(SEARCH("Pesquisa de Preços",D930)))</formula>
    </cfRule>
  </conditionalFormatting>
  <conditionalFormatting sqref="D923 D928">
    <cfRule type="containsText" dxfId="2813" priority="5747" operator="containsText" text="Pesquisa de Preços">
      <formula>NOT(ISERROR(SEARCH("Pesquisa de Preços",D923)))</formula>
    </cfRule>
  </conditionalFormatting>
  <conditionalFormatting sqref="D969:D970">
    <cfRule type="containsText" dxfId="2812" priority="5745" operator="containsText" text="Pesquisa de Preços">
      <formula>NOT(ISERROR(SEARCH("Pesquisa de Preços",D969)))</formula>
    </cfRule>
  </conditionalFormatting>
  <conditionalFormatting sqref="D967:D968">
    <cfRule type="containsText" dxfId="2811" priority="5746" operator="containsText" text="Pesquisa de Preços">
      <formula>NOT(ISERROR(SEARCH("Pesquisa de Preços",D967)))</formula>
    </cfRule>
  </conditionalFormatting>
  <conditionalFormatting sqref="D960">
    <cfRule type="containsText" dxfId="2810" priority="5744" operator="containsText" text="Pesquisa de Preços">
      <formula>NOT(ISERROR(SEARCH("Pesquisa de Preços",D960)))</formula>
    </cfRule>
  </conditionalFormatting>
  <conditionalFormatting sqref="D954 D958">
    <cfRule type="containsText" dxfId="2809" priority="5743" operator="containsText" text="Pesquisa de Preços">
      <formula>NOT(ISERROR(SEARCH("Pesquisa de Preços",D954)))</formula>
    </cfRule>
  </conditionalFormatting>
  <conditionalFormatting sqref="D974:D975 D978:D979">
    <cfRule type="containsText" dxfId="2808" priority="5741" operator="containsText" text="Pesquisa de Preços">
      <formula>NOT(ISERROR(SEARCH("Pesquisa de Preços",D974)))</formula>
    </cfRule>
  </conditionalFormatting>
  <conditionalFormatting sqref="D976">
    <cfRule type="containsText" dxfId="2807" priority="5740" operator="containsText" text="Pesquisa de Preços">
      <formula>NOT(ISERROR(SEARCH("Pesquisa de Preços",D976)))</formula>
    </cfRule>
  </conditionalFormatting>
  <conditionalFormatting sqref="D981:D982 D989:D990">
    <cfRule type="containsText" dxfId="2806" priority="5739" operator="containsText" text="Pesquisa de Preços">
      <formula>NOT(ISERROR(SEARCH("Pesquisa de Preços",D981)))</formula>
    </cfRule>
  </conditionalFormatting>
  <conditionalFormatting sqref="D992:D993 D1000:D1001">
    <cfRule type="containsText" dxfId="2805" priority="5737" operator="containsText" text="Pesquisa de Preços">
      <formula>NOT(ISERROR(SEARCH("Pesquisa de Preços",D992)))</formula>
    </cfRule>
  </conditionalFormatting>
  <conditionalFormatting sqref="D995:D996 D998:D999">
    <cfRule type="containsText" dxfId="2804" priority="5736" operator="containsText" text="Pesquisa de Preços">
      <formula>NOT(ISERROR(SEARCH("Pesquisa de Preços",D995)))</formula>
    </cfRule>
  </conditionalFormatting>
  <conditionalFormatting sqref="D1013:D1014 D1019:D1020">
    <cfRule type="containsText" dxfId="2803" priority="5735" operator="containsText" text="Pesquisa de Preços">
      <formula>NOT(ISERROR(SEARCH("Pesquisa de Preços",D1013)))</formula>
    </cfRule>
  </conditionalFormatting>
  <conditionalFormatting sqref="D1003:D1004">
    <cfRule type="containsText" dxfId="2802" priority="5733" operator="containsText" text="Pesquisa de Preços">
      <formula>NOT(ISERROR(SEARCH("Pesquisa de Preços",D1003)))</formula>
    </cfRule>
  </conditionalFormatting>
  <conditionalFormatting sqref="D1008:D1009">
    <cfRule type="containsText" dxfId="2801" priority="5732" operator="containsText" text="Pesquisa de Preços">
      <formula>NOT(ISERROR(SEARCH("Pesquisa de Preços",D1008)))</formula>
    </cfRule>
  </conditionalFormatting>
  <conditionalFormatting sqref="D1027:D1028 D1035">
    <cfRule type="containsText" dxfId="2800" priority="5731" operator="containsText" text="Pesquisa de Preços">
      <formula>NOT(ISERROR(SEARCH("Pesquisa de Preços",D1027)))</formula>
    </cfRule>
  </conditionalFormatting>
  <conditionalFormatting sqref="D1030:D1032">
    <cfRule type="containsText" dxfId="2799" priority="5730" operator="containsText" text="Pesquisa de Preços">
      <formula>NOT(ISERROR(SEARCH("Pesquisa de Preços",D1030)))</formula>
    </cfRule>
  </conditionalFormatting>
  <conditionalFormatting sqref="D1037:D1038 D1043:D1044">
    <cfRule type="containsText" dxfId="2798" priority="5729" operator="containsText" text="Pesquisa de Preços">
      <formula>NOT(ISERROR(SEARCH("Pesquisa de Preços",D1037)))</formula>
    </cfRule>
  </conditionalFormatting>
  <conditionalFormatting sqref="D1022:D1023">
    <cfRule type="containsText" dxfId="2797" priority="5728" operator="containsText" text="Pesquisa de Preços">
      <formula>NOT(ISERROR(SEARCH("Pesquisa de Preços",D1022)))</formula>
    </cfRule>
  </conditionalFormatting>
  <conditionalFormatting sqref="D1024">
    <cfRule type="containsText" dxfId="2796" priority="5727" operator="containsText" text="Pesquisa de Preços">
      <formula>NOT(ISERROR(SEARCH("Pesquisa de Preços",D1024)))</formula>
    </cfRule>
  </conditionalFormatting>
  <conditionalFormatting sqref="D1099:D1100 D1107">
    <cfRule type="containsText" dxfId="2795" priority="5726" operator="containsText" text="Pesquisa de Preços">
      <formula>NOT(ISERROR(SEARCH("Pesquisa de Preços",D1099)))</formula>
    </cfRule>
  </conditionalFormatting>
  <conditionalFormatting sqref="D1046:D1047 D1050:D1051">
    <cfRule type="containsText" dxfId="2794" priority="5725" operator="containsText" text="Pesquisa de Preços">
      <formula>NOT(ISERROR(SEARCH("Pesquisa de Preços",D1046)))</formula>
    </cfRule>
  </conditionalFormatting>
  <conditionalFormatting sqref="D1048:D1049">
    <cfRule type="containsText" dxfId="2793" priority="5724" operator="containsText" text="Pesquisa de Preços">
      <formula>NOT(ISERROR(SEARCH("Pesquisa de Preços",D1048)))</formula>
    </cfRule>
  </conditionalFormatting>
  <conditionalFormatting sqref="D1060:D1061 D1065">
    <cfRule type="containsText" dxfId="2792" priority="5723" operator="containsText" text="Pesquisa de Preços">
      <formula>NOT(ISERROR(SEARCH("Pesquisa de Preços",D1060)))</formula>
    </cfRule>
  </conditionalFormatting>
  <conditionalFormatting sqref="D1091:D1092 D1097">
    <cfRule type="containsText" dxfId="2791" priority="5722" operator="containsText" text="Pesquisa de Preços">
      <formula>NOT(ISERROR(SEARCH("Pesquisa de Preços",D1091)))</formula>
    </cfRule>
  </conditionalFormatting>
  <conditionalFormatting sqref="D1053:D1054">
    <cfRule type="containsText" dxfId="2790" priority="5720" operator="containsText" text="Pesquisa de Preços">
      <formula>NOT(ISERROR(SEARCH("Pesquisa de Preços",D1053)))</formula>
    </cfRule>
  </conditionalFormatting>
  <conditionalFormatting sqref="D1055:D1057">
    <cfRule type="containsText" dxfId="2789" priority="5719" operator="containsText" text="Pesquisa de Preços">
      <formula>NOT(ISERROR(SEARCH("Pesquisa de Preços",D1055)))</formula>
    </cfRule>
  </conditionalFormatting>
  <conditionalFormatting sqref="D1067">
    <cfRule type="containsText" dxfId="2788" priority="5718" operator="containsText" text="Pesquisa de Preços">
      <formula>NOT(ISERROR(SEARCH("Pesquisa de Preços",D1067)))</formula>
    </cfRule>
  </conditionalFormatting>
  <conditionalFormatting sqref="D1083 D1089">
    <cfRule type="containsText" dxfId="2787" priority="5717" operator="containsText" text="Pesquisa de Preços">
      <formula>NOT(ISERROR(SEARCH("Pesquisa de Preços",D1083)))</formula>
    </cfRule>
  </conditionalFormatting>
  <conditionalFormatting sqref="D1074 D1081">
    <cfRule type="containsText" dxfId="2786" priority="5716" operator="containsText" text="Pesquisa de Preços">
      <formula>NOT(ISERROR(SEARCH("Pesquisa de Preços",D1074)))</formula>
    </cfRule>
  </conditionalFormatting>
  <conditionalFormatting sqref="D1122:D1123">
    <cfRule type="containsText" dxfId="2785" priority="5715" operator="containsText" text="Pesquisa de Preços">
      <formula>NOT(ISERROR(SEARCH("Pesquisa de Preços",D1122)))</formula>
    </cfRule>
  </conditionalFormatting>
  <conditionalFormatting sqref="D1117:D1118">
    <cfRule type="containsText" dxfId="2784" priority="5714" operator="containsText" text="Pesquisa de Preços">
      <formula>NOT(ISERROR(SEARCH("Pesquisa de Preços",D1117)))</formula>
    </cfRule>
  </conditionalFormatting>
  <conditionalFormatting sqref="D1244">
    <cfRule type="containsText" dxfId="2783" priority="5713" operator="containsText" text="Pesquisa de Preços">
      <formula>NOT(ISERROR(SEARCH("Pesquisa de Preços",D1244)))</formula>
    </cfRule>
  </conditionalFormatting>
  <conditionalFormatting sqref="D1234:D1235 D1238">
    <cfRule type="containsText" dxfId="2782" priority="5712" operator="containsText" text="Pesquisa de Preços">
      <formula>NOT(ISERROR(SEARCH("Pesquisa de Preços",D1234)))</formula>
    </cfRule>
  </conditionalFormatting>
  <conditionalFormatting sqref="D1228:D1229 D1232">
    <cfRule type="containsText" dxfId="2781" priority="5711" operator="containsText" text="Pesquisa de Preços">
      <formula>NOT(ISERROR(SEARCH("Pesquisa de Preços",D1228)))</formula>
    </cfRule>
  </conditionalFormatting>
  <conditionalFormatting sqref="D1222:D1223 D1226">
    <cfRule type="containsText" dxfId="2780" priority="5710" operator="containsText" text="Pesquisa de Preços">
      <formula>NOT(ISERROR(SEARCH("Pesquisa de Preços",D1222)))</formula>
    </cfRule>
  </conditionalFormatting>
  <conditionalFormatting sqref="D1138:D1139 D1142:D1143">
    <cfRule type="containsText" dxfId="2779" priority="5709" operator="containsText" text="Pesquisa de Preços">
      <formula>NOT(ISERROR(SEARCH("Pesquisa de Preços",D1138)))</formula>
    </cfRule>
  </conditionalFormatting>
  <conditionalFormatting sqref="D1127:D1128 D1130:D1131">
    <cfRule type="containsText" dxfId="2778" priority="5708" operator="containsText" text="Pesquisa de Preços">
      <formula>NOT(ISERROR(SEARCH("Pesquisa de Preços",D1127)))</formula>
    </cfRule>
  </conditionalFormatting>
  <conditionalFormatting sqref="D1260 D1265">
    <cfRule type="containsText" dxfId="2777" priority="5707" operator="containsText" text="Pesquisa de Preços">
      <formula>NOT(ISERROR(SEARCH("Pesquisa de Preços",D1260)))</formula>
    </cfRule>
  </conditionalFormatting>
  <conditionalFormatting sqref="D1246:D1247 D1250:D1251">
    <cfRule type="containsText" dxfId="2776" priority="5706" operator="containsText" text="Pesquisa de Preços">
      <formula>NOT(ISERROR(SEARCH("Pesquisa de Preços",D1246)))</formula>
    </cfRule>
  </conditionalFormatting>
  <conditionalFormatting sqref="D1152:D1153 D1156:D1157">
    <cfRule type="containsText" dxfId="2775" priority="5705" operator="containsText" text="Pesquisa de Preços">
      <formula>NOT(ISERROR(SEARCH("Pesquisa de Preços",D1152)))</formula>
    </cfRule>
  </conditionalFormatting>
  <conditionalFormatting sqref="D1187:D1188 D1191:D1192">
    <cfRule type="containsText" dxfId="2774" priority="5704" operator="containsText" text="Pesquisa de Preços">
      <formula>NOT(ISERROR(SEARCH("Pesquisa de Preços",D1187)))</formula>
    </cfRule>
  </conditionalFormatting>
  <conditionalFormatting sqref="D1194:D1195 D1198:D1199">
    <cfRule type="containsText" dxfId="2773" priority="5703" operator="containsText" text="Pesquisa de Preços">
      <formula>NOT(ISERROR(SEARCH("Pesquisa de Preços",D1194)))</formula>
    </cfRule>
  </conditionalFormatting>
  <conditionalFormatting sqref="D1201:D1202 D1205:D1206">
    <cfRule type="containsText" dxfId="2772" priority="5702" operator="containsText" text="Pesquisa de Preços">
      <formula>NOT(ISERROR(SEARCH("Pesquisa de Preços",D1201)))</formula>
    </cfRule>
  </conditionalFormatting>
  <conditionalFormatting sqref="D1180:D1181 D1184:D1185">
    <cfRule type="containsText" dxfId="2771" priority="5701" operator="containsText" text="Pesquisa de Preços">
      <formula>NOT(ISERROR(SEARCH("Pesquisa de Preços",D1180)))</formula>
    </cfRule>
  </conditionalFormatting>
  <conditionalFormatting sqref="D1145:D1146 D1150">
    <cfRule type="containsText" dxfId="2770" priority="5700" operator="containsText" text="Pesquisa de Preços">
      <formula>NOT(ISERROR(SEARCH("Pesquisa de Preços",D1145)))</formula>
    </cfRule>
  </conditionalFormatting>
  <conditionalFormatting sqref="D1148">
    <cfRule type="containsText" dxfId="2769" priority="5699" operator="containsText" text="Pesquisa de Preços">
      <formula>NOT(ISERROR(SEARCH("Pesquisa de Preços",D1148)))</formula>
    </cfRule>
  </conditionalFormatting>
  <conditionalFormatting sqref="D1166:D1167 D1170:D1171">
    <cfRule type="containsText" dxfId="2768" priority="5698" operator="containsText" text="Pesquisa de Preços">
      <formula>NOT(ISERROR(SEARCH("Pesquisa de Preços",D1166)))</formula>
    </cfRule>
  </conditionalFormatting>
  <conditionalFormatting sqref="D1173 D1178">
    <cfRule type="containsText" dxfId="2767" priority="5697" operator="containsText" text="Pesquisa de Preços">
      <formula>NOT(ISERROR(SEARCH("Pesquisa de Preços",D1173)))</formula>
    </cfRule>
  </conditionalFormatting>
  <conditionalFormatting sqref="D1208:D1209 D1213">
    <cfRule type="containsText" dxfId="2766" priority="5696" operator="containsText" text="Pesquisa de Preços">
      <formula>NOT(ISERROR(SEARCH("Pesquisa de Preços",D1208)))</formula>
    </cfRule>
  </conditionalFormatting>
  <conditionalFormatting sqref="D1133">
    <cfRule type="containsText" dxfId="2765" priority="5695" operator="containsText" text="Pesquisa de Preços">
      <formula>NOT(ISERROR(SEARCH("Pesquisa de Preços",D1133)))</formula>
    </cfRule>
  </conditionalFormatting>
  <conditionalFormatting sqref="D1267:D1268 D1270:D1271">
    <cfRule type="containsText" dxfId="2764" priority="5694" operator="containsText" text="Pesquisa de Preços">
      <formula>NOT(ISERROR(SEARCH("Pesquisa de Preços",D1267)))</formula>
    </cfRule>
  </conditionalFormatting>
  <conditionalFormatting sqref="D1269">
    <cfRule type="containsText" dxfId="2763" priority="5693" operator="containsText" text="Pesquisa de Preços">
      <formula>NOT(ISERROR(SEARCH("Pesquisa de Preços",D1269)))</formula>
    </cfRule>
  </conditionalFormatting>
  <conditionalFormatting sqref="D1301:D1302 D1306:D1307">
    <cfRule type="containsText" dxfId="2762" priority="5692" operator="containsText" text="Pesquisa de Preços">
      <formula>NOT(ISERROR(SEARCH("Pesquisa de Preços",D1301)))</formula>
    </cfRule>
  </conditionalFormatting>
  <conditionalFormatting sqref="D1303:D1304">
    <cfRule type="containsText" dxfId="2761" priority="5691" operator="containsText" text="Pesquisa de Preços">
      <formula>NOT(ISERROR(SEARCH("Pesquisa de Preços",D1303)))</formula>
    </cfRule>
  </conditionalFormatting>
  <conditionalFormatting sqref="D1309 D1315:D1316">
    <cfRule type="containsText" dxfId="2760" priority="5690" operator="containsText" text="Pesquisa de Preços">
      <formula>NOT(ISERROR(SEARCH("Pesquisa de Preços",D1309)))</formula>
    </cfRule>
  </conditionalFormatting>
  <conditionalFormatting sqref="D1399:D1400 D1403:D1404">
    <cfRule type="containsText" dxfId="2759" priority="5674" operator="containsText" text="Pesquisa de Preços">
      <formula>NOT(ISERROR(SEARCH("Pesquisa de Preços",D1399)))</formula>
    </cfRule>
  </conditionalFormatting>
  <conditionalFormatting sqref="D1273:D1274">
    <cfRule type="containsText" dxfId="2758" priority="5689" operator="containsText" text="Pesquisa de Preços">
      <formula>NOT(ISERROR(SEARCH("Pesquisa de Preços",D1273)))</formula>
    </cfRule>
  </conditionalFormatting>
  <conditionalFormatting sqref="D1275:D1277">
    <cfRule type="containsText" dxfId="2757" priority="5688" operator="containsText" text="Pesquisa de Preços">
      <formula>NOT(ISERROR(SEARCH("Pesquisa de Preços",D1275)))</formula>
    </cfRule>
  </conditionalFormatting>
  <conditionalFormatting sqref="D1280:D1281 D1285">
    <cfRule type="containsText" dxfId="2756" priority="5687" operator="containsText" text="Pesquisa de Preços">
      <formula>NOT(ISERROR(SEARCH("Pesquisa de Preços",D1280)))</formula>
    </cfRule>
  </conditionalFormatting>
  <conditionalFormatting sqref="D1287:D1288 D1292">
    <cfRule type="containsText" dxfId="2755" priority="5686" operator="containsText" text="Pesquisa de Preços">
      <formula>NOT(ISERROR(SEARCH("Pesquisa de Preços",D1287)))</formula>
    </cfRule>
  </conditionalFormatting>
  <conditionalFormatting sqref="D1294 D1297 D1299">
    <cfRule type="containsText" dxfId="2754" priority="5685" operator="containsText" text="Pesquisa de Preços">
      <formula>NOT(ISERROR(SEARCH("Pesquisa de Preços",D1294)))</formula>
    </cfRule>
  </conditionalFormatting>
  <conditionalFormatting sqref="D1376">
    <cfRule type="containsText" dxfId="2753" priority="5667" operator="containsText" text="Pesquisa de Preços">
      <formula>NOT(ISERROR(SEARCH("Pesquisa de Preços",D1376)))</formula>
    </cfRule>
  </conditionalFormatting>
  <conditionalFormatting sqref="D1330:D1331">
    <cfRule type="containsText" dxfId="2752" priority="5683" operator="containsText" text="Pesquisa de Preços">
      <formula>NOT(ISERROR(SEARCH("Pesquisa de Preços",D1330)))</formula>
    </cfRule>
  </conditionalFormatting>
  <conditionalFormatting sqref="D1336:D1337">
    <cfRule type="containsText" dxfId="2751" priority="5684" operator="containsText" text="Pesquisa de Preços">
      <formula>NOT(ISERROR(SEARCH("Pesquisa de Preços",D1336)))</formula>
    </cfRule>
  </conditionalFormatting>
  <conditionalFormatting sqref="D1318:D1319">
    <cfRule type="containsText" dxfId="2750" priority="5681" operator="containsText" text="Pesquisa de Preços">
      <formula>NOT(ISERROR(SEARCH("Pesquisa de Preços",D1318)))</formula>
    </cfRule>
  </conditionalFormatting>
  <conditionalFormatting sqref="D1324:D1325">
    <cfRule type="containsText" dxfId="2749" priority="5682" operator="containsText" text="Pesquisa de Preços">
      <formula>NOT(ISERROR(SEARCH("Pesquisa de Preços",D1324)))</formula>
    </cfRule>
  </conditionalFormatting>
  <conditionalFormatting sqref="D1342:D1343 D1346:D1347">
    <cfRule type="containsText" dxfId="2748" priority="5680" operator="containsText" text="Pesquisa de Preços">
      <formula>NOT(ISERROR(SEARCH("Pesquisa de Preços",D1342)))</formula>
    </cfRule>
  </conditionalFormatting>
  <conditionalFormatting sqref="D1517">
    <cfRule type="containsText" dxfId="2747" priority="5659" operator="containsText" text="Pesquisa de Preços">
      <formula>NOT(ISERROR(SEARCH("Pesquisa de Preços",D1517)))</formula>
    </cfRule>
  </conditionalFormatting>
  <conditionalFormatting sqref="D1344:D1345">
    <cfRule type="containsText" dxfId="2746" priority="5679" operator="containsText" text="Pesquisa de Preços">
      <formula>NOT(ISERROR(SEARCH("Pesquisa de Preços",D1344)))</formula>
    </cfRule>
  </conditionalFormatting>
  <conditionalFormatting sqref="D1355:D1356 D1359:D1360">
    <cfRule type="containsText" dxfId="2745" priority="5678" operator="containsText" text="Pesquisa de Preços">
      <formula>NOT(ISERROR(SEARCH("Pesquisa de Preços",D1355)))</formula>
    </cfRule>
  </conditionalFormatting>
  <conditionalFormatting sqref="D1525">
    <cfRule type="containsText" dxfId="2744" priority="5660" operator="containsText" text="Pesquisa de Preços">
      <formula>NOT(ISERROR(SEARCH("Pesquisa de Preços",D1525)))</formula>
    </cfRule>
  </conditionalFormatting>
  <conditionalFormatting sqref="D1357:D1358">
    <cfRule type="containsText" dxfId="2743" priority="5677" operator="containsText" text="Pesquisa de Preços">
      <formula>NOT(ISERROR(SEARCH("Pesquisa de Preços",D1357)))</formula>
    </cfRule>
  </conditionalFormatting>
  <conditionalFormatting sqref="D1349 D1352:D1353">
    <cfRule type="containsText" dxfId="2742" priority="5676" operator="containsText" text="Pesquisa de Preços">
      <formula>NOT(ISERROR(SEARCH("Pesquisa de Preços",D1349)))</formula>
    </cfRule>
  </conditionalFormatting>
  <conditionalFormatting sqref="D1362 D1365:D1366">
    <cfRule type="containsText" dxfId="2741" priority="5675" operator="containsText" text="Pesquisa de Preços">
      <formula>NOT(ISERROR(SEARCH("Pesquisa de Preços",D1362)))</formula>
    </cfRule>
  </conditionalFormatting>
  <conditionalFormatting sqref="D1401:D1402">
    <cfRule type="containsText" dxfId="2740" priority="5673" operator="containsText" text="Pesquisa de Preços">
      <formula>NOT(ISERROR(SEARCH("Pesquisa de Preços",D1401)))</formula>
    </cfRule>
  </conditionalFormatting>
  <conditionalFormatting sqref="D1390:D1391 D1387:D1388">
    <cfRule type="containsText" dxfId="2739" priority="5672" operator="containsText" text="Pesquisa de Preços">
      <formula>NOT(ISERROR(SEARCH("Pesquisa de Preços",D1387)))</formula>
    </cfRule>
  </conditionalFormatting>
  <conditionalFormatting sqref="D1389">
    <cfRule type="containsText" dxfId="2738" priority="5671" operator="containsText" text="Pesquisa de Preços">
      <formula>NOT(ISERROR(SEARCH("Pesquisa de Preços",D1389)))</formula>
    </cfRule>
  </conditionalFormatting>
  <conditionalFormatting sqref="D1368:D1369 D1371:D1372">
    <cfRule type="containsText" dxfId="2737" priority="5670" operator="containsText" text="Pesquisa de Preços">
      <formula>NOT(ISERROR(SEARCH("Pesquisa de Preços",D1368)))</formula>
    </cfRule>
  </conditionalFormatting>
  <conditionalFormatting sqref="D1370">
    <cfRule type="containsText" dxfId="2736" priority="5669" operator="containsText" text="Pesquisa de Preços">
      <formula>NOT(ISERROR(SEARCH("Pesquisa de Preços",D1370)))</formula>
    </cfRule>
  </conditionalFormatting>
  <conditionalFormatting sqref="D1374:D1375 D1379">
    <cfRule type="containsText" dxfId="2735" priority="5668" operator="containsText" text="Pesquisa de Preços">
      <formula>NOT(ISERROR(SEARCH("Pesquisa de Preços",D1374)))</formula>
    </cfRule>
  </conditionalFormatting>
  <conditionalFormatting sqref="D1381 D1384:D1385">
    <cfRule type="containsText" dxfId="2734" priority="5666" operator="containsText" text="Pesquisa de Preços">
      <formula>NOT(ISERROR(SEARCH("Pesquisa de Preços",D1381)))</formula>
    </cfRule>
  </conditionalFormatting>
  <conditionalFormatting sqref="D1406 D1419">
    <cfRule type="containsText" dxfId="2733" priority="5652" operator="containsText" text="Pesquisa de Preços">
      <formula>NOT(ISERROR(SEARCH("Pesquisa de Preços",D1406)))</formula>
    </cfRule>
  </conditionalFormatting>
  <conditionalFormatting sqref="D1558:D1559">
    <cfRule type="containsText" dxfId="2732" priority="5665" operator="containsText" text="Pesquisa de Preços">
      <formula>NOT(ISERROR(SEARCH("Pesquisa de Preços",D1558)))</formula>
    </cfRule>
  </conditionalFormatting>
  <conditionalFormatting sqref="D1560 D1562">
    <cfRule type="containsText" dxfId="2731" priority="5664" operator="containsText" text="Pesquisa de Preços">
      <formula>NOT(ISERROR(SEARCH("Pesquisa de Preços",D1560)))</formula>
    </cfRule>
  </conditionalFormatting>
  <conditionalFormatting sqref="D1551:D1552">
    <cfRule type="containsText" dxfId="2730" priority="5663" operator="containsText" text="Pesquisa de Preços">
      <formula>NOT(ISERROR(SEARCH("Pesquisa de Preços",D1551)))</formula>
    </cfRule>
  </conditionalFormatting>
  <conditionalFormatting sqref="D1543 D1549">
    <cfRule type="containsText" dxfId="2729" priority="5662" operator="containsText" text="Pesquisa de Preços">
      <formula>NOT(ISERROR(SEARCH("Pesquisa de Preços",D1543)))</formula>
    </cfRule>
  </conditionalFormatting>
  <conditionalFormatting sqref="D1527">
    <cfRule type="containsText" dxfId="2728" priority="5661" operator="containsText" text="Pesquisa de Preços">
      <formula>NOT(ISERROR(SEARCH("Pesquisa de Preços",D1527)))</formula>
    </cfRule>
  </conditionalFormatting>
  <conditionalFormatting sqref="D1565:D1566 D1569:D1570">
    <cfRule type="containsText" dxfId="2727" priority="5655" operator="containsText" text="Pesquisa de Preços">
      <formula>NOT(ISERROR(SEARCH("Pesquisa de Preços",D1565)))</formula>
    </cfRule>
  </conditionalFormatting>
  <conditionalFormatting sqref="D1494">
    <cfRule type="containsText" dxfId="2726" priority="5647" operator="containsText" text="Pesquisa de Preços">
      <formula>NOT(ISERROR(SEARCH("Pesquisa de Preços",D1494)))</formula>
    </cfRule>
  </conditionalFormatting>
  <conditionalFormatting sqref="D1496 D1509">
    <cfRule type="containsText" dxfId="2725" priority="5653" operator="containsText" text="Pesquisa de Preços">
      <formula>NOT(ISERROR(SEARCH("Pesquisa de Preços",D1496)))</formula>
    </cfRule>
  </conditionalFormatting>
  <conditionalFormatting sqref="D1541">
    <cfRule type="containsText" dxfId="2724" priority="5658" operator="containsText" text="Pesquisa de Preços">
      <formula>NOT(ISERROR(SEARCH("Pesquisa de Preços",D1541)))</formula>
    </cfRule>
  </conditionalFormatting>
  <conditionalFormatting sqref="D1572:D1573 D1576:D1577">
    <cfRule type="containsText" dxfId="2723" priority="5657" operator="containsText" text="Pesquisa de Preços">
      <formula>NOT(ISERROR(SEARCH("Pesquisa de Preços",D1572)))</formula>
    </cfRule>
  </conditionalFormatting>
  <conditionalFormatting sqref="D1575">
    <cfRule type="containsText" dxfId="2722" priority="5656" operator="containsText" text="Pesquisa de Preços">
      <formula>NOT(ISERROR(SEARCH("Pesquisa de Preços",D1575)))</formula>
    </cfRule>
  </conditionalFormatting>
  <conditionalFormatting sqref="D1567:D1568">
    <cfRule type="containsText" dxfId="2721" priority="5654" operator="containsText" text="Pesquisa de Preços">
      <formula>NOT(ISERROR(SEARCH("Pesquisa de Preços",D1567)))</formula>
    </cfRule>
  </conditionalFormatting>
  <conditionalFormatting sqref="D1612 D1616:D1617">
    <cfRule type="containsText" dxfId="2720" priority="5630" operator="containsText" text="Pesquisa de Preços">
      <formula>NOT(ISERROR(SEARCH("Pesquisa de Preços",D1612)))</formula>
    </cfRule>
  </conditionalFormatting>
  <conditionalFormatting sqref="D1436 D1449">
    <cfRule type="containsText" dxfId="2719" priority="5651" operator="containsText" text="Pesquisa de Preços">
      <formula>NOT(ISERROR(SEARCH("Pesquisa de Preços",D1436)))</formula>
    </cfRule>
  </conditionalFormatting>
  <conditionalFormatting sqref="D1630 D1634">
    <cfRule type="containsText" dxfId="2718" priority="5636" operator="containsText" text="Pesquisa de Preços">
      <formula>NOT(ISERROR(SEARCH("Pesquisa de Preços",D1630)))</formula>
    </cfRule>
  </conditionalFormatting>
  <conditionalFormatting sqref="D1421 D1434">
    <cfRule type="containsText" dxfId="2717" priority="5650" operator="containsText" text="Pesquisa de Preços">
      <formula>NOT(ISERROR(SEARCH("Pesquisa de Preços",D1421)))</formula>
    </cfRule>
  </conditionalFormatting>
  <conditionalFormatting sqref="D1466 D1479">
    <cfRule type="containsText" dxfId="2716" priority="5649" operator="containsText" text="Pesquisa de Preços">
      <formula>NOT(ISERROR(SEARCH("Pesquisa de Preços",D1466)))</formula>
    </cfRule>
  </conditionalFormatting>
  <conditionalFormatting sqref="D1693 D1696:D1698">
    <cfRule type="containsText" dxfId="2715" priority="5637" operator="containsText" text="Pesquisa de Preços">
      <formula>NOT(ISERROR(SEARCH("Pesquisa de Preços",D1693)))</formula>
    </cfRule>
  </conditionalFormatting>
  <conditionalFormatting sqref="D1464">
    <cfRule type="containsText" dxfId="2714" priority="5648" operator="containsText" text="Pesquisa de Preços">
      <formula>NOT(ISERROR(SEARCH("Pesquisa de Preços",D1464)))</formula>
    </cfRule>
  </conditionalFormatting>
  <conditionalFormatting sqref="D1594 D1598">
    <cfRule type="containsText" dxfId="2713" priority="5642" operator="containsText" text="Pesquisa de Preços">
      <formula>NOT(ISERROR(SEARCH("Pesquisa de Preços",D1594)))</formula>
    </cfRule>
  </conditionalFormatting>
  <conditionalFormatting sqref="D1579:D1580 D1591:D1592">
    <cfRule type="containsText" dxfId="2712" priority="5646" operator="containsText" text="Pesquisa de Preços">
      <formula>NOT(ISERROR(SEARCH("Pesquisa de Preços",D1579)))</formula>
    </cfRule>
  </conditionalFormatting>
  <conditionalFormatting sqref="D1581:D1588 D1590">
    <cfRule type="containsText" dxfId="2711" priority="5645" operator="containsText" text="Pesquisa de Preços">
      <formula>NOT(ISERROR(SEARCH("Pesquisa de Preços",D1581)))</formula>
    </cfRule>
  </conditionalFormatting>
  <conditionalFormatting sqref="D1393:D1394 D1396:D1397">
    <cfRule type="containsText" dxfId="2710" priority="5644" operator="containsText" text="Pesquisa de Preços">
      <formula>NOT(ISERROR(SEARCH("Pesquisa de Preços",D1393)))</formula>
    </cfRule>
  </conditionalFormatting>
  <conditionalFormatting sqref="D1395">
    <cfRule type="containsText" dxfId="2709" priority="5643" operator="containsText" text="Pesquisa de Preços">
      <formula>NOT(ISERROR(SEARCH("Pesquisa de Preços",D1395)))</formula>
    </cfRule>
  </conditionalFormatting>
  <conditionalFormatting sqref="D1636 D1638:D1639">
    <cfRule type="containsText" dxfId="2708" priority="5633" operator="containsText" text="Pesquisa de Preços">
      <formula>NOT(ISERROR(SEARCH("Pesquisa de Preços",D1636)))</formula>
    </cfRule>
  </conditionalFormatting>
  <conditionalFormatting sqref="D1600 D1604">
    <cfRule type="containsText" dxfId="2707" priority="5641" operator="containsText" text="Pesquisa de Preços">
      <formula>NOT(ISERROR(SEARCH("Pesquisa de Preços",D1600)))</formula>
    </cfRule>
  </conditionalFormatting>
  <conditionalFormatting sqref="D1610">
    <cfRule type="containsText" dxfId="2706" priority="5640" operator="containsText" text="Pesquisa de Preços">
      <formula>NOT(ISERROR(SEARCH("Pesquisa de Preços",D1610)))</formula>
    </cfRule>
  </conditionalFormatting>
  <conditionalFormatting sqref="D1647:D1648">
    <cfRule type="containsText" dxfId="2705" priority="5639" operator="containsText" text="Pesquisa de Preços">
      <formula>NOT(ISERROR(SEARCH("Pesquisa de Preços",D1647)))</formula>
    </cfRule>
  </conditionalFormatting>
  <conditionalFormatting sqref="D1649:D1650">
    <cfRule type="containsText" dxfId="2704" priority="5638" operator="containsText" text="Pesquisa de Preços">
      <formula>NOT(ISERROR(SEARCH("Pesquisa de Preços",D1649)))</formula>
    </cfRule>
  </conditionalFormatting>
  <conditionalFormatting sqref="D1624 D1628">
    <cfRule type="containsText" dxfId="2703" priority="5635" operator="containsText" text="Pesquisa de Preços">
      <formula>NOT(ISERROR(SEARCH("Pesquisa de Preços",D1624)))</formula>
    </cfRule>
  </conditionalFormatting>
  <conditionalFormatting sqref="D1619 D1621:D1622">
    <cfRule type="containsText" dxfId="2702" priority="5634" operator="containsText" text="Pesquisa de Preços">
      <formula>NOT(ISERROR(SEARCH("Pesquisa de Preços",D1619)))</formula>
    </cfRule>
  </conditionalFormatting>
  <conditionalFormatting sqref="D1641 D1644:D1645">
    <cfRule type="containsText" dxfId="2701" priority="5632" operator="containsText" text="Pesquisa de Preços">
      <formula>NOT(ISERROR(SEARCH("Pesquisa de Preços",D1641)))</formula>
    </cfRule>
  </conditionalFormatting>
  <conditionalFormatting sqref="D1744:D1745 D1736:D1738">
    <cfRule type="containsText" dxfId="2700" priority="5624" operator="containsText" text="Pesquisa de Preços">
      <formula>NOT(ISERROR(SEARCH("Pesquisa de Preços",D1736)))</formula>
    </cfRule>
  </conditionalFormatting>
  <conditionalFormatting sqref="D1686 D1690:D1691">
    <cfRule type="containsText" dxfId="2699" priority="5631" operator="containsText" text="Pesquisa de Preços">
      <formula>NOT(ISERROR(SEARCH("Pesquisa de Preços",D1686)))</formula>
    </cfRule>
  </conditionalFormatting>
  <conditionalFormatting sqref="D1680 D1683:D1684">
    <cfRule type="containsText" dxfId="2698" priority="5629" operator="containsText" text="Pesquisa de Preços">
      <formula>NOT(ISERROR(SEARCH("Pesquisa de Preços",D1680)))</formula>
    </cfRule>
  </conditionalFormatting>
  <conditionalFormatting sqref="D1675 D1677:D1678">
    <cfRule type="containsText" dxfId="2697" priority="5628" operator="containsText" text="Pesquisa de Preços">
      <formula>NOT(ISERROR(SEARCH("Pesquisa de Preços",D1675)))</formula>
    </cfRule>
  </conditionalFormatting>
  <conditionalFormatting sqref="D1725:D1726 D1733:D1734">
    <cfRule type="containsText" dxfId="2696" priority="5621" operator="containsText" text="Pesquisa de Preços">
      <formula>NOT(ISERROR(SEARCH("Pesquisa de Preços",D1725)))</formula>
    </cfRule>
  </conditionalFormatting>
  <conditionalFormatting sqref="D1670">
    <cfRule type="containsText" dxfId="2695" priority="5626" operator="containsText" text="Pesquisa de Preços">
      <formula>NOT(ISERROR(SEARCH("Pesquisa de Preços",D1670)))</formula>
    </cfRule>
  </conditionalFormatting>
  <conditionalFormatting sqref="D1665">
    <cfRule type="containsText" dxfId="2694" priority="5627" operator="containsText" text="Pesquisa de Preços">
      <formula>NOT(ISERROR(SEARCH("Pesquisa de Preços",D1665)))</formula>
    </cfRule>
  </conditionalFormatting>
  <conditionalFormatting sqref="D1659 D1662:D1663">
    <cfRule type="containsText" dxfId="2693" priority="5625" operator="containsText" text="Pesquisa de Preços">
      <formula>NOT(ISERROR(SEARCH("Pesquisa de Preços",D1659)))</formula>
    </cfRule>
  </conditionalFormatting>
  <conditionalFormatting sqref="D1755:D1756 D1747:D1748">
    <cfRule type="containsText" dxfId="2692" priority="5623" operator="containsText" text="Pesquisa de Preços">
      <formula>NOT(ISERROR(SEARCH("Pesquisa de Preços",D1747)))</formula>
    </cfRule>
  </conditionalFormatting>
  <conditionalFormatting sqref="D1714:D1715 D1723">
    <cfRule type="containsText" dxfId="2691" priority="5622" operator="containsText" text="Pesquisa de Preços">
      <formula>NOT(ISERROR(SEARCH("Pesquisa de Preços",D1714)))</formula>
    </cfRule>
  </conditionalFormatting>
  <conditionalFormatting sqref="D1700:D1701 D1703:D1704">
    <cfRule type="containsText" dxfId="2690" priority="5620" operator="containsText" text="Pesquisa de Preços">
      <formula>NOT(ISERROR(SEARCH("Pesquisa de Preços",D1700)))</formula>
    </cfRule>
  </conditionalFormatting>
  <conditionalFormatting sqref="D1706">
    <cfRule type="containsText" dxfId="2689" priority="5619" operator="containsText" text="Pesquisa de Preços">
      <formula>NOT(ISERROR(SEARCH("Pesquisa de Preços",D1706)))</formula>
    </cfRule>
  </conditionalFormatting>
  <conditionalFormatting sqref="D1709:D1710">
    <cfRule type="containsText" dxfId="2688" priority="5618" operator="containsText" text="Pesquisa de Preços">
      <formula>NOT(ISERROR(SEARCH("Pesquisa de Preços",D1709)))</formula>
    </cfRule>
  </conditionalFormatting>
  <conditionalFormatting sqref="D1819">
    <cfRule type="containsText" dxfId="2687" priority="5617" operator="containsText" text="Pesquisa de Preços">
      <formula>NOT(ISERROR(SEARCH("Pesquisa de Preços",D1819)))</formula>
    </cfRule>
  </conditionalFormatting>
  <conditionalFormatting sqref="D1845">
    <cfRule type="containsText" dxfId="2686" priority="5611" operator="containsText" text="Pesquisa de Preços">
      <formula>NOT(ISERROR(SEARCH("Pesquisa de Preços",D1845)))</formula>
    </cfRule>
  </conditionalFormatting>
  <conditionalFormatting sqref="D1814">
    <cfRule type="containsText" dxfId="2685" priority="5616" operator="containsText" text="Pesquisa de Preços">
      <formula>NOT(ISERROR(SEARCH("Pesquisa de Preços",D1814)))</formula>
    </cfRule>
  </conditionalFormatting>
  <conditionalFormatting sqref="D1824 D1827:D1828">
    <cfRule type="containsText" dxfId="2684" priority="5615" operator="containsText" text="Pesquisa de Preços">
      <formula>NOT(ISERROR(SEARCH("Pesquisa de Preços",D1824)))</formula>
    </cfRule>
  </conditionalFormatting>
  <conditionalFormatting sqref="D1826">
    <cfRule type="containsText" dxfId="2683" priority="5614" operator="containsText" text="Pesquisa de Preços">
      <formula>NOT(ISERROR(SEARCH("Pesquisa de Preços",D1826)))</formula>
    </cfRule>
  </conditionalFormatting>
  <conditionalFormatting sqref="D1830 D1833:D1834">
    <cfRule type="containsText" dxfId="2682" priority="5613" operator="containsText" text="Pesquisa de Preços">
      <formula>NOT(ISERROR(SEARCH("Pesquisa de Preços",D1830)))</formula>
    </cfRule>
  </conditionalFormatting>
  <conditionalFormatting sqref="D1843:D1844 D1846:D1847">
    <cfRule type="containsText" dxfId="2681" priority="5612" operator="containsText" text="Pesquisa de Preços">
      <formula>NOT(ISERROR(SEARCH("Pesquisa de Preços",D1843)))</formula>
    </cfRule>
  </conditionalFormatting>
  <conditionalFormatting sqref="D1849:D1850 D1852:D1853">
    <cfRule type="containsText" dxfId="2680" priority="5610" operator="containsText" text="Pesquisa de Preços">
      <formula>NOT(ISERROR(SEARCH("Pesquisa de Preços",D1849)))</formula>
    </cfRule>
  </conditionalFormatting>
  <conditionalFormatting sqref="D1857">
    <cfRule type="containsText" dxfId="2679" priority="5606" operator="containsText" text="Pesquisa de Preços">
      <formula>NOT(ISERROR(SEARCH("Pesquisa de Preços",D1857)))</formula>
    </cfRule>
  </conditionalFormatting>
  <conditionalFormatting sqref="D1851">
    <cfRule type="containsText" dxfId="2678" priority="5609" operator="containsText" text="Pesquisa de Preços">
      <formula>NOT(ISERROR(SEARCH("Pesquisa de Preços",D1851)))</formula>
    </cfRule>
  </conditionalFormatting>
  <conditionalFormatting sqref="D1836:D1837 D1841">
    <cfRule type="containsText" dxfId="2677" priority="5608" operator="containsText" text="Pesquisa de Preços">
      <formula>NOT(ISERROR(SEARCH("Pesquisa de Preços",D1836)))</formula>
    </cfRule>
  </conditionalFormatting>
  <conditionalFormatting sqref="D1899">
    <cfRule type="containsText" dxfId="2676" priority="5603" operator="containsText" text="Pesquisa de Preços">
      <formula>NOT(ISERROR(SEARCH("Pesquisa de Preços",D1899)))</formula>
    </cfRule>
  </conditionalFormatting>
  <conditionalFormatting sqref="D1855:D1856 D1858:D1859">
    <cfRule type="containsText" dxfId="2675" priority="5607" operator="containsText" text="Pesquisa de Preços">
      <formula>NOT(ISERROR(SEARCH("Pesquisa de Preços",D1855)))</formula>
    </cfRule>
  </conditionalFormatting>
  <conditionalFormatting sqref="D1861 D1865">
    <cfRule type="containsText" dxfId="2674" priority="5605" operator="containsText" text="Pesquisa de Preços">
      <formula>NOT(ISERROR(SEARCH("Pesquisa de Preços",D1861)))</formula>
    </cfRule>
  </conditionalFormatting>
  <conditionalFormatting sqref="D1897:D1898 D1900:D1901">
    <cfRule type="containsText" dxfId="2673" priority="5604" operator="containsText" text="Pesquisa de Preços">
      <formula>NOT(ISERROR(SEARCH("Pesquisa de Preços",D1897)))</formula>
    </cfRule>
  </conditionalFormatting>
  <conditionalFormatting sqref="D1873:D1874 D1876:D1877">
    <cfRule type="containsText" dxfId="2672" priority="5602" operator="containsText" text="Pesquisa de Preços">
      <formula>NOT(ISERROR(SEARCH("Pesquisa de Preços",D1873)))</formula>
    </cfRule>
  </conditionalFormatting>
  <conditionalFormatting sqref="D1875">
    <cfRule type="containsText" dxfId="2671" priority="5601" operator="containsText" text="Pesquisa de Preços">
      <formula>NOT(ISERROR(SEARCH("Pesquisa de Preços",D1875)))</formula>
    </cfRule>
  </conditionalFormatting>
  <conditionalFormatting sqref="D1891 D1895">
    <cfRule type="containsText" dxfId="2670" priority="5600" operator="containsText" text="Pesquisa de Preços">
      <formula>NOT(ISERROR(SEARCH("Pesquisa de Preços",D1891)))</formula>
    </cfRule>
  </conditionalFormatting>
  <conditionalFormatting sqref="D1867:D1868 D1870:D1871">
    <cfRule type="containsText" dxfId="2669" priority="5599" operator="containsText" text="Pesquisa de Preços">
      <formula>NOT(ISERROR(SEARCH("Pesquisa de Preços",D1867)))</formula>
    </cfRule>
  </conditionalFormatting>
  <conditionalFormatting sqref="D1869">
    <cfRule type="containsText" dxfId="2668" priority="5598" operator="containsText" text="Pesquisa de Preços">
      <formula>NOT(ISERROR(SEARCH("Pesquisa de Preços",D1869)))</formula>
    </cfRule>
  </conditionalFormatting>
  <conditionalFormatting sqref="D1879:D1880 D1882:D1883">
    <cfRule type="containsText" dxfId="2667" priority="5597" operator="containsText" text="Pesquisa de Preços">
      <formula>NOT(ISERROR(SEARCH("Pesquisa de Preços",D1879)))</formula>
    </cfRule>
  </conditionalFormatting>
  <conditionalFormatting sqref="D1905">
    <cfRule type="containsText" dxfId="2666" priority="5593" operator="containsText" text="Pesquisa de Preços">
      <formula>NOT(ISERROR(SEARCH("Pesquisa de Preços",D1905)))</formula>
    </cfRule>
  </conditionalFormatting>
  <conditionalFormatting sqref="D1881">
    <cfRule type="containsText" dxfId="2665" priority="5596" operator="containsText" text="Pesquisa de Preços">
      <formula>NOT(ISERROR(SEARCH("Pesquisa de Preços",D1881)))</formula>
    </cfRule>
  </conditionalFormatting>
  <conditionalFormatting sqref="D1885 D1889">
    <cfRule type="containsText" dxfId="2664" priority="5595" operator="containsText" text="Pesquisa de Preços">
      <formula>NOT(ISERROR(SEARCH("Pesquisa de Preços",D1885)))</formula>
    </cfRule>
  </conditionalFormatting>
  <conditionalFormatting sqref="D1930 D1933:D1934">
    <cfRule type="containsText" dxfId="2663" priority="5587" operator="containsText" text="Pesquisa de Preços">
      <formula>NOT(ISERROR(SEARCH("Pesquisa de Preços",D1930)))</formula>
    </cfRule>
  </conditionalFormatting>
  <conditionalFormatting sqref="D1903:D1904 D1906:D1907">
    <cfRule type="containsText" dxfId="2662" priority="5594" operator="containsText" text="Pesquisa de Preços">
      <formula>NOT(ISERROR(SEARCH("Pesquisa de Preços",D1903)))</formula>
    </cfRule>
  </conditionalFormatting>
  <conditionalFormatting sqref="D1911">
    <cfRule type="containsText" dxfId="2661" priority="5591" operator="containsText" text="Pesquisa de Preços">
      <formula>NOT(ISERROR(SEARCH("Pesquisa de Preços",D1911)))</formula>
    </cfRule>
  </conditionalFormatting>
  <conditionalFormatting sqref="D1909:D1910 D1912:D1913">
    <cfRule type="containsText" dxfId="2660" priority="5592" operator="containsText" text="Pesquisa de Preços">
      <formula>NOT(ISERROR(SEARCH("Pesquisa de Preços",D1909)))</formula>
    </cfRule>
  </conditionalFormatting>
  <conditionalFormatting sqref="D1915">
    <cfRule type="containsText" dxfId="2659" priority="5590" operator="containsText" text="Pesquisa de Preços">
      <formula>NOT(ISERROR(SEARCH("Pesquisa de Preços",D1915)))</formula>
    </cfRule>
  </conditionalFormatting>
  <conditionalFormatting sqref="D1925:D1926 D1928">
    <cfRule type="containsText" dxfId="2658" priority="5589" operator="containsText" text="Pesquisa de Preços">
      <formula>NOT(ISERROR(SEARCH("Pesquisa de Preços",D1925)))</formula>
    </cfRule>
  </conditionalFormatting>
  <conditionalFormatting sqref="D1920">
    <cfRule type="containsText" dxfId="2657" priority="5588" operator="containsText" text="Pesquisa de Preços">
      <formula>NOT(ISERROR(SEARCH("Pesquisa de Preços",D1920)))</formula>
    </cfRule>
  </conditionalFormatting>
  <conditionalFormatting sqref="D1953:D1954 D1956:D1957">
    <cfRule type="containsText" dxfId="2656" priority="5586" operator="containsText" text="Pesquisa de Preços">
      <formula>NOT(ISERROR(SEARCH("Pesquisa de Preços",D1953)))</formula>
    </cfRule>
  </conditionalFormatting>
  <conditionalFormatting sqref="D1955">
    <cfRule type="containsText" dxfId="2655" priority="5585" operator="containsText" text="Pesquisa de Preços">
      <formula>NOT(ISERROR(SEARCH("Pesquisa de Preços",D1955)))</formula>
    </cfRule>
  </conditionalFormatting>
  <conditionalFormatting sqref="D1962:D1963">
    <cfRule type="containsText" dxfId="2654" priority="5584" operator="containsText" text="Pesquisa de Preços">
      <formula>NOT(ISERROR(SEARCH("Pesquisa de Preços",D1962)))</formula>
    </cfRule>
  </conditionalFormatting>
  <conditionalFormatting sqref="D1972:D1973 D1977">
    <cfRule type="containsText" dxfId="2653" priority="5581" operator="containsText" text="Pesquisa de Preços">
      <formula>NOT(ISERROR(SEARCH("Pesquisa de Preços",D1972)))</formula>
    </cfRule>
  </conditionalFormatting>
  <conditionalFormatting sqref="D1975">
    <cfRule type="containsText" dxfId="2652" priority="5580" operator="containsText" text="Pesquisa de Preços">
      <formula>NOT(ISERROR(SEARCH("Pesquisa de Preços",D1975)))</formula>
    </cfRule>
  </conditionalFormatting>
  <conditionalFormatting sqref="D1987:D1988 D1992:D1993">
    <cfRule type="containsText" dxfId="2651" priority="5583" operator="containsText" text="Pesquisa de Preços">
      <formula>NOT(ISERROR(SEARCH("Pesquisa de Preços",D1987)))</formula>
    </cfRule>
  </conditionalFormatting>
  <conditionalFormatting sqref="D1979 D1985">
    <cfRule type="containsText" dxfId="2650" priority="5582" operator="containsText" text="Pesquisa de Preços">
      <formula>NOT(ISERROR(SEARCH("Pesquisa de Preços",D1979)))</formula>
    </cfRule>
  </conditionalFormatting>
  <conditionalFormatting sqref="D1965:D1966 D1970">
    <cfRule type="containsText" dxfId="2649" priority="5579" operator="containsText" text="Pesquisa de Preços">
      <formula>NOT(ISERROR(SEARCH("Pesquisa de Preços",D1965)))</formula>
    </cfRule>
  </conditionalFormatting>
  <conditionalFormatting sqref="D1968">
    <cfRule type="containsText" dxfId="2648" priority="5578" operator="containsText" text="Pesquisa de Preços">
      <formula>NOT(ISERROR(SEARCH("Pesquisa de Preços",D1968)))</formula>
    </cfRule>
  </conditionalFormatting>
  <conditionalFormatting sqref="D2016 D2021">
    <cfRule type="containsText" dxfId="2647" priority="5577" operator="containsText" text="Pesquisa de Preços">
      <formula>NOT(ISERROR(SEARCH("Pesquisa de Preços",D2016)))</formula>
    </cfRule>
  </conditionalFormatting>
  <conditionalFormatting sqref="D2011:D2012">
    <cfRule type="containsText" dxfId="2646" priority="5575" operator="containsText" text="Pesquisa de Preços">
      <formula>NOT(ISERROR(SEARCH("Pesquisa de Preços",D2011)))</formula>
    </cfRule>
  </conditionalFormatting>
  <conditionalFormatting sqref="D2009 D2014">
    <cfRule type="containsText" dxfId="2645" priority="5576" operator="containsText" text="Pesquisa de Preços">
      <formula>NOT(ISERROR(SEARCH("Pesquisa de Preços",D2009)))</formula>
    </cfRule>
  </conditionalFormatting>
  <conditionalFormatting sqref="D2004:D2005">
    <cfRule type="containsText" dxfId="2644" priority="5573" operator="containsText" text="Pesquisa de Preços">
      <formula>NOT(ISERROR(SEARCH("Pesquisa de Preços",D2004)))</formula>
    </cfRule>
  </conditionalFormatting>
  <conditionalFormatting sqref="D2002 D2007">
    <cfRule type="containsText" dxfId="2643" priority="5574" operator="containsText" text="Pesquisa de Preços">
      <formula>NOT(ISERROR(SEARCH("Pesquisa de Preços",D2002)))</formula>
    </cfRule>
  </conditionalFormatting>
  <conditionalFormatting sqref="D1995 D2000">
    <cfRule type="containsText" dxfId="2642" priority="5572" operator="containsText" text="Pesquisa de Preços">
      <formula>NOT(ISERROR(SEARCH("Pesquisa de Preços",D1995)))</formula>
    </cfRule>
  </conditionalFormatting>
  <conditionalFormatting sqref="D2141">
    <cfRule type="containsText" dxfId="2641" priority="5571" operator="containsText" text="Pesquisa de Preços">
      <formula>NOT(ISERROR(SEARCH("Pesquisa de Preços",D2141)))</formula>
    </cfRule>
  </conditionalFormatting>
  <conditionalFormatting sqref="D2143:D2144">
    <cfRule type="containsText" dxfId="2640" priority="5570" operator="containsText" text="Pesquisa de Preços">
      <formula>NOT(ISERROR(SEARCH("Pesquisa de Preços",D2143)))</formula>
    </cfRule>
  </conditionalFormatting>
  <conditionalFormatting sqref="D2135">
    <cfRule type="containsText" dxfId="2639" priority="5569" operator="containsText" text="Pesquisa de Preços">
      <formula>NOT(ISERROR(SEARCH("Pesquisa de Preços",D2135)))</formula>
    </cfRule>
  </conditionalFormatting>
  <conditionalFormatting sqref="D2137">
    <cfRule type="containsText" dxfId="2638" priority="5568" operator="containsText" text="Pesquisa de Preços">
      <formula>NOT(ISERROR(SEARCH("Pesquisa de Preços",D2137)))</formula>
    </cfRule>
  </conditionalFormatting>
  <conditionalFormatting sqref="D2129">
    <cfRule type="containsText" dxfId="2637" priority="5567" operator="containsText" text="Pesquisa de Preços">
      <formula>NOT(ISERROR(SEARCH("Pesquisa de Preços",D2129)))</formula>
    </cfRule>
  </conditionalFormatting>
  <conditionalFormatting sqref="D2131">
    <cfRule type="containsText" dxfId="2636" priority="5566" operator="containsText" text="Pesquisa de Preços">
      <formula>NOT(ISERROR(SEARCH("Pesquisa de Preços",D2131)))</formula>
    </cfRule>
  </conditionalFormatting>
  <conditionalFormatting sqref="D2123">
    <cfRule type="containsText" dxfId="2635" priority="5565" operator="containsText" text="Pesquisa de Preços">
      <formula>NOT(ISERROR(SEARCH("Pesquisa de Preços",D2123)))</formula>
    </cfRule>
  </conditionalFormatting>
  <conditionalFormatting sqref="D2125:D2126">
    <cfRule type="containsText" dxfId="2634" priority="5564" operator="containsText" text="Pesquisa de Preços">
      <formula>NOT(ISERROR(SEARCH("Pesquisa de Preços",D2125)))</formula>
    </cfRule>
  </conditionalFormatting>
  <conditionalFormatting sqref="D2155 D2159:D2161">
    <cfRule type="containsText" dxfId="2633" priority="5563" operator="containsText" text="Pesquisa de Preços">
      <formula>NOT(ISERROR(SEARCH("Pesquisa de Preços",D2155)))</formula>
    </cfRule>
  </conditionalFormatting>
  <conditionalFormatting sqref="D2171 D2175:D2177">
    <cfRule type="containsText" dxfId="2632" priority="5562" operator="containsText" text="Pesquisa de Preços">
      <formula>NOT(ISERROR(SEARCH("Pesquisa de Preços",D2171)))</formula>
    </cfRule>
  </conditionalFormatting>
  <conditionalFormatting sqref="D2151:D2153">
    <cfRule type="containsText" dxfId="2631" priority="5561" operator="containsText" text="Pesquisa de Preços">
      <formula>NOT(ISERROR(SEARCH("Pesquisa de Preços",D2151)))</formula>
    </cfRule>
  </conditionalFormatting>
  <conditionalFormatting sqref="D2183:D2185">
    <cfRule type="containsText" dxfId="2630" priority="5560" operator="containsText" text="Pesquisa de Preços">
      <formula>NOT(ISERROR(SEARCH("Pesquisa de Preços",D2183)))</formula>
    </cfRule>
  </conditionalFormatting>
  <conditionalFormatting sqref="D2061 D2065:D2067">
    <cfRule type="containsText" dxfId="2629" priority="5556" operator="containsText" text="Pesquisa de Preços">
      <formula>NOT(ISERROR(SEARCH("Pesquisa de Preços",D2061)))</formula>
    </cfRule>
  </conditionalFormatting>
  <conditionalFormatting sqref="D2167:D2169">
    <cfRule type="containsText" dxfId="2628" priority="5559" operator="containsText" text="Pesquisa de Preços">
      <formula>NOT(ISERROR(SEARCH("Pesquisa de Preços",D2167)))</formula>
    </cfRule>
  </conditionalFormatting>
  <conditionalFormatting sqref="D2191:D2193">
    <cfRule type="containsText" dxfId="2627" priority="5558" operator="containsText" text="Pesquisa de Preços">
      <formula>NOT(ISERROR(SEARCH("Pesquisa de Preços",D2191)))</formula>
    </cfRule>
  </conditionalFormatting>
  <conditionalFormatting sqref="D2245:D2247 D2249">
    <cfRule type="containsText" dxfId="2626" priority="5533" operator="containsText" text="Pesquisa de Preços">
      <formula>NOT(ISERROR(SEARCH("Pesquisa de Preços",D2245)))</formula>
    </cfRule>
  </conditionalFormatting>
  <conditionalFormatting sqref="D2045 D2049:D2051">
    <cfRule type="containsText" dxfId="2625" priority="5557" operator="containsText" text="Pesquisa de Preços">
      <formula>NOT(ISERROR(SEARCH("Pesquisa de Preços",D2045)))</formula>
    </cfRule>
  </conditionalFormatting>
  <conditionalFormatting sqref="D2053 D2057:D2059">
    <cfRule type="containsText" dxfId="2624" priority="5553" operator="containsText" text="Pesquisa de Preços">
      <formula>NOT(ISERROR(SEARCH("Pesquisa de Preços",D2053)))</formula>
    </cfRule>
  </conditionalFormatting>
  <conditionalFormatting sqref="D2338:D2339 D2341:D2342">
    <cfRule type="containsText" dxfId="2623" priority="5528" operator="containsText" text="Pesquisa de Preços">
      <formula>NOT(ISERROR(SEARCH("Pesquisa de Preços",D2338)))</formula>
    </cfRule>
  </conditionalFormatting>
  <conditionalFormatting sqref="D2037 D2041:D2043">
    <cfRule type="containsText" dxfId="2622" priority="5555" operator="containsText" text="Pesquisa de Preços">
      <formula>NOT(ISERROR(SEARCH("Pesquisa de Preços",D2037)))</formula>
    </cfRule>
  </conditionalFormatting>
  <conditionalFormatting sqref="D2069 D2073:D2075">
    <cfRule type="containsText" dxfId="2621" priority="5554" operator="containsText" text="Pesquisa de Preços">
      <formula>NOT(ISERROR(SEARCH("Pesquisa de Preços",D2069)))</formula>
    </cfRule>
  </conditionalFormatting>
  <conditionalFormatting sqref="D2317">
    <cfRule type="containsText" dxfId="2620" priority="5530" operator="containsText" text="Pesquisa de Preços">
      <formula>NOT(ISERROR(SEARCH("Pesquisa de Preços",D2317)))</formula>
    </cfRule>
  </conditionalFormatting>
  <conditionalFormatting sqref="D2334">
    <cfRule type="containsText" dxfId="2619" priority="5525" operator="containsText" text="Pesquisa de Preços">
      <formula>NOT(ISERROR(SEARCH("Pesquisa de Preços",D2334)))</formula>
    </cfRule>
  </conditionalFormatting>
  <conditionalFormatting sqref="D2077 D2081:D2083">
    <cfRule type="containsText" dxfId="2618" priority="5552" operator="containsText" text="Pesquisa de Preços">
      <formula>NOT(ISERROR(SEARCH("Pesquisa de Preços",D2077)))</formula>
    </cfRule>
  </conditionalFormatting>
  <conditionalFormatting sqref="D2256">
    <cfRule type="containsText" dxfId="2617" priority="5540" operator="containsText" text="Pesquisa de Preços">
      <formula>NOT(ISERROR(SEARCH("Pesquisa de Preços",D2256)))</formula>
    </cfRule>
  </conditionalFormatting>
  <conditionalFormatting sqref="D2035">
    <cfRule type="containsText" dxfId="2616" priority="5551" operator="containsText" text="Pesquisa de Preços">
      <formula>NOT(ISERROR(SEARCH("Pesquisa de Preços",D2035)))</formula>
    </cfRule>
  </conditionalFormatting>
  <conditionalFormatting sqref="D2113:D2115">
    <cfRule type="containsText" dxfId="2615" priority="5550" operator="containsText" text="Pesquisa de Preços">
      <formula>NOT(ISERROR(SEARCH("Pesquisa de Preços",D2113)))</formula>
    </cfRule>
  </conditionalFormatting>
  <conditionalFormatting sqref="D2105:D2107">
    <cfRule type="containsText" dxfId="2614" priority="5549" operator="containsText" text="Pesquisa de Preços">
      <formula>NOT(ISERROR(SEARCH("Pesquisa de Preços",D2105)))</formula>
    </cfRule>
  </conditionalFormatting>
  <conditionalFormatting sqref="D2220">
    <cfRule type="containsText" dxfId="2613" priority="5543" operator="containsText" text="Pesquisa de Preços">
      <formula>NOT(ISERROR(SEARCH("Pesquisa de Preços",D2220)))</formula>
    </cfRule>
  </conditionalFormatting>
  <conditionalFormatting sqref="D2099">
    <cfRule type="containsText" dxfId="2612" priority="5548" operator="containsText" text="Pesquisa de Preços">
      <formula>NOT(ISERROR(SEARCH("Pesquisa de Preços",D2099)))</formula>
    </cfRule>
  </conditionalFormatting>
  <conditionalFormatting sqref="D2023:D2024 D2026:D2027">
    <cfRule type="containsText" dxfId="2611" priority="5547" operator="containsText" text="Pesquisa de Preços">
      <formula>NOT(ISERROR(SEARCH("Pesquisa de Preços",D2023)))</formula>
    </cfRule>
  </conditionalFormatting>
  <conditionalFormatting sqref="D2117">
    <cfRule type="containsText" dxfId="2610" priority="5546" operator="containsText" text="Pesquisa de Preços">
      <formula>NOT(ISERROR(SEARCH("Pesquisa de Preços",D2117)))</formula>
    </cfRule>
  </conditionalFormatting>
  <conditionalFormatting sqref="D2211:D2212">
    <cfRule type="containsText" dxfId="2609" priority="5545" operator="containsText" text="Pesquisa de Preços">
      <formula>NOT(ISERROR(SEARCH("Pesquisa de Preços",D2211)))</formula>
    </cfRule>
  </conditionalFormatting>
  <conditionalFormatting sqref="D2216:D2217">
    <cfRule type="containsText" dxfId="2608" priority="5544" operator="containsText" text="Pesquisa de Preços">
      <formula>NOT(ISERROR(SEARCH("Pesquisa de Preços",D2216)))</formula>
    </cfRule>
  </conditionalFormatting>
  <conditionalFormatting sqref="D2236 D2239:D2240">
    <cfRule type="containsText" dxfId="2607" priority="5542" operator="containsText" text="Pesquisa de Preços">
      <formula>NOT(ISERROR(SEARCH("Pesquisa de Preços",D2236)))</formula>
    </cfRule>
  </conditionalFormatting>
  <conditionalFormatting sqref="D2230 D2234">
    <cfRule type="containsText" dxfId="2606" priority="5541" operator="containsText" text="Pesquisa de Preços">
      <formula>NOT(ISERROR(SEARCH("Pesquisa de Preços",D2230)))</formula>
    </cfRule>
  </conditionalFormatting>
  <conditionalFormatting sqref="D2302">
    <cfRule type="containsText" dxfId="2605" priority="5538" operator="containsText" text="Pesquisa de Preços">
      <formula>NOT(ISERROR(SEARCH("Pesquisa de Preços",D2302)))</formula>
    </cfRule>
  </conditionalFormatting>
  <conditionalFormatting sqref="D2259">
    <cfRule type="containsText" dxfId="2604" priority="5539" operator="containsText" text="Pesquisa de Preços">
      <formula>NOT(ISERROR(SEARCH("Pesquisa de Preços",D2259)))</formula>
    </cfRule>
  </conditionalFormatting>
  <conditionalFormatting sqref="D2292">
    <cfRule type="containsText" dxfId="2603" priority="5537" operator="containsText" text="Pesquisa de Preços">
      <formula>NOT(ISERROR(SEARCH("Pesquisa de Preços",D2292)))</formula>
    </cfRule>
  </conditionalFormatting>
  <conditionalFormatting sqref="D2282 D2290">
    <cfRule type="containsText" dxfId="2602" priority="5535" operator="containsText" text="Pesquisa de Preços">
      <formula>NOT(ISERROR(SEARCH("Pesquisa de Preços",D2282)))</formula>
    </cfRule>
  </conditionalFormatting>
  <conditionalFormatting sqref="D2242:D2243">
    <cfRule type="containsText" dxfId="2601" priority="5534" operator="containsText" text="Pesquisa de Preços">
      <formula>NOT(ISERROR(SEARCH("Pesquisa de Preços",D2242)))</formula>
    </cfRule>
  </conditionalFormatting>
  <conditionalFormatting sqref="D2319:D2320">
    <cfRule type="containsText" dxfId="2600" priority="5532" operator="containsText" text="Pesquisa de Preços">
      <formula>NOT(ISERROR(SEARCH("Pesquisa de Preços",D2319)))</formula>
    </cfRule>
  </conditionalFormatting>
  <conditionalFormatting sqref="D2323">
    <cfRule type="containsText" dxfId="2599" priority="5531" operator="containsText" text="Pesquisa de Preços">
      <formula>NOT(ISERROR(SEARCH("Pesquisa de Preços",D2323)))</formula>
    </cfRule>
  </conditionalFormatting>
  <conditionalFormatting sqref="D2350">
    <cfRule type="containsText" dxfId="2598" priority="5529" operator="containsText" text="Pesquisa de Preços">
      <formula>NOT(ISERROR(SEARCH("Pesquisa de Preços",D2350)))</formula>
    </cfRule>
  </conditionalFormatting>
  <conditionalFormatting sqref="D2340">
    <cfRule type="containsText" dxfId="2597" priority="5527" operator="containsText" text="Pesquisa de Preços">
      <formula>NOT(ISERROR(SEARCH("Pesquisa de Preços",D2340)))</formula>
    </cfRule>
  </conditionalFormatting>
  <conditionalFormatting sqref="D2332:D2333 D2335:D2336">
    <cfRule type="containsText" dxfId="2596" priority="5526" operator="containsText" text="Pesquisa de Preços">
      <formula>NOT(ISERROR(SEARCH("Pesquisa de Preços",D2332)))</formula>
    </cfRule>
  </conditionalFormatting>
  <conditionalFormatting sqref="D2344:D2345 D2347:D2348">
    <cfRule type="containsText" dxfId="2595" priority="5524" operator="containsText" text="Pesquisa de Preços">
      <formula>NOT(ISERROR(SEARCH("Pesquisa de Preços",D2344)))</formula>
    </cfRule>
  </conditionalFormatting>
  <conditionalFormatting sqref="D2346">
    <cfRule type="containsText" dxfId="2594" priority="5523" operator="containsText" text="Pesquisa de Preços">
      <formula>NOT(ISERROR(SEARCH("Pesquisa de Preços",D2346)))</formula>
    </cfRule>
  </conditionalFormatting>
  <conditionalFormatting sqref="D2326 D2329:D2330">
    <cfRule type="containsText" dxfId="2593" priority="5522" operator="containsText" text="Pesquisa de Preços">
      <formula>NOT(ISERROR(SEARCH("Pesquisa de Preços",D2326)))</formula>
    </cfRule>
  </conditionalFormatting>
  <conditionalFormatting sqref="D2328">
    <cfRule type="containsText" dxfId="2592" priority="5521" operator="containsText" text="Pesquisa de Preços">
      <formula>NOT(ISERROR(SEARCH("Pesquisa de Preços",D2328)))</formula>
    </cfRule>
  </conditionalFormatting>
  <conditionalFormatting sqref="D2355:D2358">
    <cfRule type="containsText" dxfId="2591" priority="5520" operator="containsText" text="Pesquisa de Preços">
      <formula>NOT(ISERROR(SEARCH("Pesquisa de Preços",D2355)))</formula>
    </cfRule>
  </conditionalFormatting>
  <conditionalFormatting sqref="D2360 D2362:D2363">
    <cfRule type="containsText" dxfId="2590" priority="5519" operator="containsText" text="Pesquisa de Preços">
      <formula>NOT(ISERROR(SEARCH("Pesquisa de Preços",D2360)))</formula>
    </cfRule>
  </conditionalFormatting>
  <conditionalFormatting sqref="D897:D898 D900:D902">
    <cfRule type="containsText" dxfId="2589" priority="5518" operator="containsText" text="Pesquisa de Preços">
      <formula>NOT(ISERROR(SEARCH("Pesquisa de Preços",D897)))</formula>
    </cfRule>
  </conditionalFormatting>
  <conditionalFormatting sqref="D857:D858">
    <cfRule type="containsText" dxfId="2588" priority="5513" operator="containsText" text="Pesquisa de Preços">
      <formula>NOT(ISERROR(SEARCH("Pesquisa de Preços",D857)))</formula>
    </cfRule>
  </conditionalFormatting>
  <conditionalFormatting sqref="D876 D881:D882">
    <cfRule type="containsText" dxfId="2587" priority="5517" operator="containsText" text="Pesquisa de Preços">
      <formula>NOT(ISERROR(SEARCH("Pesquisa de Preços",D876)))</formula>
    </cfRule>
  </conditionalFormatting>
  <conditionalFormatting sqref="D884 D889:D890">
    <cfRule type="containsText" dxfId="2586" priority="5515" operator="containsText" text="Pesquisa de Preços">
      <formula>NOT(ISERROR(SEARCH("Pesquisa de Preços",D884)))</formula>
    </cfRule>
  </conditionalFormatting>
  <conditionalFormatting sqref="D858:D860">
    <cfRule type="containsText" dxfId="2585" priority="5512" operator="containsText" text="Pesquisa de Preços">
      <formula>NOT(ISERROR(SEARCH("Pesquisa de Preços",D858)))</formula>
    </cfRule>
  </conditionalFormatting>
  <conditionalFormatting sqref="D846 D848:D849">
    <cfRule type="containsText" dxfId="2584" priority="5511" operator="containsText" text="Pesquisa de Preços">
      <formula>NOT(ISERROR(SEARCH("Pesquisa de Preços",D846)))</formula>
    </cfRule>
  </conditionalFormatting>
  <conditionalFormatting sqref="D851 D854:D855">
    <cfRule type="containsText" dxfId="2583" priority="5510" operator="containsText" text="Pesquisa de Preços">
      <formula>NOT(ISERROR(SEARCH("Pesquisa de Preços",D851)))</formula>
    </cfRule>
  </conditionalFormatting>
  <conditionalFormatting sqref="D868">
    <cfRule type="containsText" dxfId="2582" priority="5509" operator="containsText" text="Pesquisa de Preços">
      <formula>NOT(ISERROR(SEARCH("Pesquisa de Preços",D868)))</formula>
    </cfRule>
  </conditionalFormatting>
  <conditionalFormatting sqref="D863">
    <cfRule type="containsText" dxfId="2581" priority="5508" operator="containsText" text="Pesquisa de Preços">
      <formula>NOT(ISERROR(SEARCH("Pesquisa de Preços",D863)))</formula>
    </cfRule>
  </conditionalFormatting>
  <conditionalFormatting sqref="D894">
    <cfRule type="containsText" dxfId="2580" priority="5506" operator="containsText" text="Pesquisa de Preços">
      <formula>NOT(ISERROR(SEARCH("Pesquisa de Preços",D894)))</formula>
    </cfRule>
  </conditionalFormatting>
  <conditionalFormatting sqref="D892:D893">
    <cfRule type="containsText" dxfId="2579" priority="5507" operator="containsText" text="Pesquisa de Preços">
      <formula>NOT(ISERROR(SEARCH("Pesquisa de Preços",D892)))</formula>
    </cfRule>
  </conditionalFormatting>
  <conditionalFormatting sqref="D904:D905">
    <cfRule type="containsText" dxfId="2578" priority="5505" operator="containsText" text="Pesquisa de Preços">
      <formula>NOT(ISERROR(SEARCH("Pesquisa de Preços",D904)))</formula>
    </cfRule>
  </conditionalFormatting>
  <conditionalFormatting sqref="D2371:D2372">
    <cfRule type="containsText" dxfId="2577" priority="5504" operator="containsText" text="Pesquisa de Preços">
      <formula>NOT(ISERROR(SEARCH("Pesquisa de Preços",D2371)))</formula>
    </cfRule>
  </conditionalFormatting>
  <conditionalFormatting sqref="D2379 D2382 D2384">
    <cfRule type="containsText" dxfId="2576" priority="5503" operator="containsText" text="Pesquisa de Preços">
      <formula>NOT(ISERROR(SEARCH("Pesquisa de Preços",D2379)))</formula>
    </cfRule>
  </conditionalFormatting>
  <conditionalFormatting sqref="D2365:D2366 D2368:D2369">
    <cfRule type="containsText" dxfId="2575" priority="5502" operator="containsText" text="Pesquisa de Preços">
      <formula>NOT(ISERROR(SEARCH("Pesquisa de Preços",D2365)))</formula>
    </cfRule>
  </conditionalFormatting>
  <conditionalFormatting sqref="D2392 D2396:D2397">
    <cfRule type="containsText" dxfId="2574" priority="5500" operator="containsText" text="Pesquisa de Preços">
      <formula>NOT(ISERROR(SEARCH("Pesquisa de Preços",D2392)))</formula>
    </cfRule>
  </conditionalFormatting>
  <conditionalFormatting sqref="D2367">
    <cfRule type="containsText" dxfId="2573" priority="5501" operator="containsText" text="Pesquisa de Preços">
      <formula>NOT(ISERROR(SEARCH("Pesquisa de Preços",D2367)))</formula>
    </cfRule>
  </conditionalFormatting>
  <conditionalFormatting sqref="D2386">
    <cfRule type="containsText" dxfId="2572" priority="5499" operator="containsText" text="Pesquisa de Preços">
      <formula>NOT(ISERROR(SEARCH("Pesquisa de Preços",D2386)))</formula>
    </cfRule>
  </conditionalFormatting>
  <conditionalFormatting sqref="D1772:D1773 D1776:D1777">
    <cfRule type="containsText" dxfId="2571" priority="5497" operator="containsText" text="Pesquisa de Preços">
      <formula>NOT(ISERROR(SEARCH("Pesquisa de Preços",D1772)))</formula>
    </cfRule>
  </conditionalFormatting>
  <conditionalFormatting sqref="D1774:D1775">
    <cfRule type="containsText" dxfId="2570" priority="5496" operator="containsText" text="Pesquisa de Preços">
      <formula>NOT(ISERROR(SEARCH("Pesquisa de Preços",D1774)))</formula>
    </cfRule>
  </conditionalFormatting>
  <conditionalFormatting sqref="D1786:D1787 D1790:D1791">
    <cfRule type="containsText" dxfId="2569" priority="5494" operator="containsText" text="Pesquisa de Preços">
      <formula>NOT(ISERROR(SEARCH("Pesquisa de Preços",D1786)))</formula>
    </cfRule>
  </conditionalFormatting>
  <conditionalFormatting sqref="D1788:D1789">
    <cfRule type="containsText" dxfId="2568" priority="5493" operator="containsText" text="Pesquisa de Preços">
      <formula>NOT(ISERROR(SEARCH("Pesquisa de Preços",D1788)))</formula>
    </cfRule>
  </conditionalFormatting>
  <conditionalFormatting sqref="D1800:D1801 D1804:D1805">
    <cfRule type="containsText" dxfId="2567" priority="5491" operator="containsText" text="Pesquisa de Preços">
      <formula>NOT(ISERROR(SEARCH("Pesquisa de Preços",D1800)))</formula>
    </cfRule>
  </conditionalFormatting>
  <conditionalFormatting sqref="D1802:D1803">
    <cfRule type="containsText" dxfId="2566" priority="5490" operator="containsText" text="Pesquisa de Preços">
      <formula>NOT(ISERROR(SEARCH("Pesquisa de Preços",D1802)))</formula>
    </cfRule>
  </conditionalFormatting>
  <conditionalFormatting sqref="D1758:D1759 D1762:D1763">
    <cfRule type="containsText" dxfId="2565" priority="5488" operator="containsText" text="Pesquisa de Preços">
      <formula>NOT(ISERROR(SEARCH("Pesquisa de Preços",D1758)))</formula>
    </cfRule>
  </conditionalFormatting>
  <conditionalFormatting sqref="D1760:D1761">
    <cfRule type="containsText" dxfId="2564" priority="5487" operator="containsText" text="Pesquisa de Preços">
      <formula>NOT(ISERROR(SEARCH("Pesquisa de Preços",D1760)))</formula>
    </cfRule>
  </conditionalFormatting>
  <conditionalFormatting sqref="D1765:D1766 D1769:D1770">
    <cfRule type="containsText" dxfId="2563" priority="5485" operator="containsText" text="Pesquisa de Preços">
      <formula>NOT(ISERROR(SEARCH("Pesquisa de Preços",D1765)))</formula>
    </cfRule>
  </conditionalFormatting>
  <conditionalFormatting sqref="D590 D594">
    <cfRule type="containsText" dxfId="2562" priority="5423" operator="containsText" text="Pesquisa de Preços">
      <formula>NOT(ISERROR(SEARCH("Pesquisa de Preços",D590)))</formula>
    </cfRule>
  </conditionalFormatting>
  <conditionalFormatting sqref="D1767:D1768">
    <cfRule type="containsText" dxfId="2561" priority="5484" operator="containsText" text="Pesquisa de Preços">
      <formula>NOT(ISERROR(SEARCH("Pesquisa de Preços",D1767)))</formula>
    </cfRule>
  </conditionalFormatting>
  <conditionalFormatting sqref="D1783:D1784 D1779:D1780">
    <cfRule type="containsText" dxfId="2560" priority="5482" operator="containsText" text="Pesquisa de Preços">
      <formula>NOT(ISERROR(SEARCH("Pesquisa de Preços",D1779)))</formula>
    </cfRule>
  </conditionalFormatting>
  <conditionalFormatting sqref="D1781:D1782">
    <cfRule type="containsText" dxfId="2559" priority="5481" operator="containsText" text="Pesquisa de Preços">
      <formula>NOT(ISERROR(SEARCH("Pesquisa de Preços",D1781)))</formula>
    </cfRule>
  </conditionalFormatting>
  <conditionalFormatting sqref="D1793:D1794 D1797:D1798">
    <cfRule type="containsText" dxfId="2558" priority="5480" operator="containsText" text="Pesquisa de Preços">
      <formula>NOT(ISERROR(SEARCH("Pesquisa de Preços",D1793)))</formula>
    </cfRule>
  </conditionalFormatting>
  <conditionalFormatting sqref="D1795:D1796">
    <cfRule type="containsText" dxfId="2557" priority="5479" operator="containsText" text="Pesquisa de Preços">
      <formula>NOT(ISERROR(SEARCH("Pesquisa de Preços",D1795)))</formula>
    </cfRule>
  </conditionalFormatting>
  <conditionalFormatting sqref="D1174">
    <cfRule type="containsText" dxfId="2556" priority="5478" operator="containsText" text="Pesquisa de Preços">
      <formula>NOT(ISERROR(SEARCH("Pesquisa de Preços",D1174)))</formula>
    </cfRule>
  </conditionalFormatting>
  <conditionalFormatting sqref="D1862 D1864">
    <cfRule type="containsText" dxfId="2555" priority="5477" operator="containsText" text="Pesquisa de Preços">
      <formula>NOT(ISERROR(SEARCH("Pesquisa de Preços",D1862)))</formula>
    </cfRule>
  </conditionalFormatting>
  <conditionalFormatting sqref="D1863">
    <cfRule type="containsText" dxfId="2554" priority="5476" operator="containsText" text="Pesquisa de Preços">
      <formula>NOT(ISERROR(SEARCH("Pesquisa de Preços",D1863)))</formula>
    </cfRule>
  </conditionalFormatting>
  <conditionalFormatting sqref="D1984">
    <cfRule type="containsText" dxfId="2553" priority="5475" operator="containsText" text="Pesquisa de Preços">
      <formula>NOT(ISERROR(SEARCH("Pesquisa de Preços",D1984)))</formula>
    </cfRule>
  </conditionalFormatting>
  <conditionalFormatting sqref="D2018:D2019">
    <cfRule type="containsText" dxfId="2552" priority="5474" operator="containsText" text="Pesquisa de Preços">
      <formula>NOT(ISERROR(SEARCH("Pesquisa de Preços",D2018)))</formula>
    </cfRule>
  </conditionalFormatting>
  <conditionalFormatting sqref="D1997:D1998">
    <cfRule type="containsText" dxfId="2551" priority="5473" operator="containsText" text="Pesquisa de Preços">
      <formula>NOT(ISERROR(SEARCH("Pesquisa de Preços",D1997)))</formula>
    </cfRule>
  </conditionalFormatting>
  <conditionalFormatting sqref="D2097:D2098">
    <cfRule type="containsText" dxfId="2550" priority="5472" operator="containsText" text="Pesquisa de Preços">
      <formula>NOT(ISERROR(SEARCH("Pesquisa de Preços",D2097)))</formula>
    </cfRule>
  </conditionalFormatting>
  <conditionalFormatting sqref="D2033:D2034">
    <cfRule type="containsText" dxfId="2549" priority="5471" operator="containsText" text="Pesquisa de Preços">
      <formula>NOT(ISERROR(SEARCH("Pesquisa de Preços",D2033)))</formula>
    </cfRule>
  </conditionalFormatting>
  <conditionalFormatting sqref="D829">
    <cfRule type="containsText" dxfId="2548" priority="5398" operator="containsText" text="Pesquisa de Preços">
      <formula>NOT(ISERROR(SEARCH("Pesquisa de Preços",D829)))</formula>
    </cfRule>
  </conditionalFormatting>
  <conditionalFormatting sqref="D830">
    <cfRule type="containsText" dxfId="2547" priority="5397" operator="containsText" text="Pesquisa de Preços">
      <formula>NOT(ISERROR(SEARCH("Pesquisa de Preços",D830)))</formula>
    </cfRule>
  </conditionalFormatting>
  <conditionalFormatting sqref="D1295">
    <cfRule type="containsText" dxfId="2546" priority="5393" operator="containsText" text="Pesquisa de Preços">
      <formula>NOT(ISERROR(SEARCH("Pesquisa de Preços",D1295)))</formula>
    </cfRule>
  </conditionalFormatting>
  <conditionalFormatting sqref="D1161">
    <cfRule type="containsText" dxfId="2545" priority="5390" operator="containsText" text="Pesquisa de Preços">
      <formula>NOT(ISERROR(SEARCH("Pesquisa de Preços",D1161)))</formula>
    </cfRule>
  </conditionalFormatting>
  <conditionalFormatting sqref="D1350">
    <cfRule type="containsText" dxfId="2544" priority="5392" operator="containsText" text="Pesquisa de Preços">
      <formula>NOT(ISERROR(SEARCH("Pesquisa de Preços",D1350)))</formula>
    </cfRule>
  </conditionalFormatting>
  <conditionalFormatting sqref="D1382">
    <cfRule type="containsText" dxfId="2543" priority="5386" operator="containsText" text="Pesquisa de Preços">
      <formula>NOT(ISERROR(SEARCH("Pesquisa de Preços",D1382)))</formula>
    </cfRule>
  </conditionalFormatting>
  <conditionalFormatting sqref="D207">
    <cfRule type="containsText" dxfId="2542" priority="5387" operator="containsText" text="Pesquisa de Preços">
      <formula>NOT(ISERROR(SEARCH("Pesquisa de Preços",D207)))</formula>
    </cfRule>
  </conditionalFormatting>
  <conditionalFormatting sqref="D1637">
    <cfRule type="containsText" dxfId="2541" priority="5383" operator="containsText" text="Pesquisa de Preços">
      <formula>NOT(ISERROR(SEARCH("Pesquisa de Preços",D1637)))</formula>
    </cfRule>
  </conditionalFormatting>
  <conditionalFormatting sqref="D1687">
    <cfRule type="containsText" dxfId="2540" priority="5382" operator="containsText" text="Pesquisa de Preços">
      <formula>NOT(ISERROR(SEARCH("Pesquisa de Preços",D1687)))</formula>
    </cfRule>
  </conditionalFormatting>
  <conditionalFormatting sqref="D1688">
    <cfRule type="containsText" dxfId="2539" priority="5381" operator="containsText" text="Pesquisa de Preços">
      <formula>NOT(ISERROR(SEARCH("Pesquisa de Preços",D1688)))</formula>
    </cfRule>
  </conditionalFormatting>
  <conditionalFormatting sqref="D1614">
    <cfRule type="containsText" dxfId="2538" priority="5379" operator="containsText" text="Pesquisa de Preços">
      <formula>NOT(ISERROR(SEARCH("Pesquisa de Preços",D1614)))</formula>
    </cfRule>
  </conditionalFormatting>
  <conditionalFormatting sqref="D1689">
    <cfRule type="containsText" dxfId="2537" priority="5377" operator="containsText" text="Pesquisa de Preços">
      <formula>NOT(ISERROR(SEARCH("Pesquisa de Preços",D1689)))</formula>
    </cfRule>
  </conditionalFormatting>
  <conditionalFormatting sqref="D820">
    <cfRule type="containsText" dxfId="2536" priority="5470" operator="containsText" text="Pesquisa de Preços">
      <formula>NOT(ISERROR(SEARCH("Pesquisa de Preços",D820)))</formula>
    </cfRule>
  </conditionalFormatting>
  <conditionalFormatting sqref="D821">
    <cfRule type="containsText" dxfId="2535" priority="5469" operator="containsText" text="Pesquisa de Preços">
      <formula>NOT(ISERROR(SEARCH("Pesquisa de Preços",D821)))</formula>
    </cfRule>
  </conditionalFormatting>
  <conditionalFormatting sqref="D54">
    <cfRule type="containsText" dxfId="2534" priority="5452" operator="containsText" text="Pesquisa de Preços">
      <formula>NOT(ISERROR(SEARCH("Pesquisa de Preços",D54)))</formula>
    </cfRule>
  </conditionalFormatting>
  <conditionalFormatting sqref="D450">
    <cfRule type="containsText" dxfId="2533" priority="5468" operator="containsText" text="Pesquisa de Preços">
      <formula>NOT(ISERROR(SEARCH("Pesquisa de Preços",D450)))</formula>
    </cfRule>
  </conditionalFormatting>
  <conditionalFormatting sqref="D449">
    <cfRule type="containsText" dxfId="2532" priority="5467" operator="containsText" text="Pesquisa de Preços">
      <formula>NOT(ISERROR(SEARCH("Pesquisa de Preços",D449)))</formula>
    </cfRule>
  </conditionalFormatting>
  <conditionalFormatting sqref="D448">
    <cfRule type="containsText" dxfId="2531" priority="5466" operator="containsText" text="Pesquisa de Preços">
      <formula>NOT(ISERROR(SEARCH("Pesquisa de Preços",D448)))</formula>
    </cfRule>
  </conditionalFormatting>
  <conditionalFormatting sqref="D206">
    <cfRule type="containsText" dxfId="2530" priority="5465" operator="containsText" text="Pesquisa de Preços">
      <formula>NOT(ISERROR(SEARCH("Pesquisa de Preços",D206)))</formula>
    </cfRule>
  </conditionalFormatting>
  <conditionalFormatting sqref="D103:D104">
    <cfRule type="containsText" dxfId="2529" priority="5464" operator="containsText" text="Pesquisa de Preços">
      <formula>NOT(ISERROR(SEARCH("Pesquisa de Preços",D103)))</formula>
    </cfRule>
  </conditionalFormatting>
  <conditionalFormatting sqref="D423:D424">
    <cfRule type="containsText" dxfId="2528" priority="5463" operator="containsText" text="Pesquisa de Preços">
      <formula>NOT(ISERROR(SEARCH("Pesquisa de Preços",D423)))</formula>
    </cfRule>
  </conditionalFormatting>
  <conditionalFormatting sqref="D425:D427">
    <cfRule type="containsText" dxfId="2527" priority="5462" operator="containsText" text="Pesquisa de Preços">
      <formula>NOT(ISERROR(SEARCH("Pesquisa de Preços",D425)))</formula>
    </cfRule>
  </conditionalFormatting>
  <conditionalFormatting sqref="D616 D620">
    <cfRule type="containsText" dxfId="2526" priority="5461" operator="containsText" text="Pesquisa de Preços">
      <formula>NOT(ISERROR(SEARCH("Pesquisa de Preços",D616)))</formula>
    </cfRule>
  </conditionalFormatting>
  <conditionalFormatting sqref="D589 D595">
    <cfRule type="containsText" dxfId="2525" priority="5459" operator="containsText" text="Pesquisa de Preços">
      <formula>NOT(ISERROR(SEARCH("Pesquisa de Preços",D589)))</formula>
    </cfRule>
  </conditionalFormatting>
  <conditionalFormatting sqref="D638:D639 D642:D643">
    <cfRule type="containsText" dxfId="2524" priority="5457" operator="containsText" text="Pesquisa de Preços">
      <formula>NOT(ISERROR(SEARCH("Pesquisa de Preços",D638)))</formula>
    </cfRule>
  </conditionalFormatting>
  <conditionalFormatting sqref="D641">
    <cfRule type="containsText" dxfId="2523" priority="5456" operator="containsText" text="Pesquisa de Preços">
      <formula>NOT(ISERROR(SEARCH("Pesquisa de Preços",D641)))</formula>
    </cfRule>
  </conditionalFormatting>
  <conditionalFormatting sqref="D1721">
    <cfRule type="containsText" dxfId="2522" priority="5363" operator="containsText" text="Pesquisa de Preços">
      <formula>NOT(ISERROR(SEARCH("Pesquisa de Preços",D1721)))</formula>
    </cfRule>
  </conditionalFormatting>
  <conditionalFormatting sqref="D226">
    <cfRule type="containsText" dxfId="2521" priority="5455" operator="containsText" text="Pesquisa de Preços">
      <formula>NOT(ISERROR(SEARCH("Pesquisa de Preços",D226)))</formula>
    </cfRule>
  </conditionalFormatting>
  <conditionalFormatting sqref="D152">
    <cfRule type="containsText" dxfId="2520" priority="5454" operator="containsText" text="Pesquisa de Preços">
      <formula>NOT(ISERROR(SEARCH("Pesquisa de Preços",D152)))</formula>
    </cfRule>
  </conditionalFormatting>
  <conditionalFormatting sqref="D164">
    <cfRule type="containsText" dxfId="2519" priority="5453" operator="containsText" text="Pesquisa de Preços">
      <formula>NOT(ISERROR(SEARCH("Pesquisa de Preços",D164)))</formula>
    </cfRule>
  </conditionalFormatting>
  <conditionalFormatting sqref="D55:D57">
    <cfRule type="containsText" dxfId="2518" priority="5451" operator="containsText" text="Pesquisa de Preços">
      <formula>NOT(ISERROR(SEARCH("Pesquisa de Preços",D55)))</formula>
    </cfRule>
  </conditionalFormatting>
  <conditionalFormatting sqref="D30:D31">
    <cfRule type="containsText" dxfId="2517" priority="5450" operator="containsText" text="Pesquisa de Preços">
      <formula>NOT(ISERROR(SEARCH("Pesquisa de Preços",D30)))</formula>
    </cfRule>
  </conditionalFormatting>
  <conditionalFormatting sqref="D25:D26">
    <cfRule type="containsText" dxfId="2516" priority="5449" operator="containsText" text="Pesquisa de Preços">
      <formula>NOT(ISERROR(SEARCH("Pesquisa de Preços",D25)))</formula>
    </cfRule>
  </conditionalFormatting>
  <conditionalFormatting sqref="D181">
    <cfRule type="containsText" dxfId="2515" priority="5448" operator="containsText" text="Pesquisa de Preços">
      <formula>NOT(ISERROR(SEARCH("Pesquisa de Preços",D181)))</formula>
    </cfRule>
  </conditionalFormatting>
  <conditionalFormatting sqref="D128:D129">
    <cfRule type="containsText" dxfId="2514" priority="5447" operator="containsText" text="Pesquisa de Preços">
      <formula>NOT(ISERROR(SEARCH("Pesquisa de Preços",D128)))</formula>
    </cfRule>
  </conditionalFormatting>
  <conditionalFormatting sqref="D1922">
    <cfRule type="containsText" dxfId="2513" priority="5355" operator="containsText" text="Pesquisa de Preços">
      <formula>NOT(ISERROR(SEARCH("Pesquisa de Preços",D1922)))</formula>
    </cfRule>
  </conditionalFormatting>
  <conditionalFormatting sqref="D84">
    <cfRule type="containsText" dxfId="2512" priority="5446" operator="containsText" text="Pesquisa de Preços">
      <formula>NOT(ISERROR(SEARCH("Pesquisa de Preços",D84)))</formula>
    </cfRule>
  </conditionalFormatting>
  <conditionalFormatting sqref="D85">
    <cfRule type="containsText" dxfId="2511" priority="5445" operator="containsText" text="Pesquisa de Preços">
      <formula>NOT(ISERROR(SEARCH("Pesquisa de Preços",D85)))</formula>
    </cfRule>
  </conditionalFormatting>
  <conditionalFormatting sqref="D61">
    <cfRule type="containsText" dxfId="2510" priority="5444" operator="containsText" text="Pesquisa de Preços">
      <formula>NOT(ISERROR(SEARCH("Pesquisa de Preços",D61)))</formula>
    </cfRule>
  </conditionalFormatting>
  <conditionalFormatting sqref="D62">
    <cfRule type="containsText" dxfId="2509" priority="5443" operator="containsText" text="Pesquisa de Preços">
      <formula>NOT(ISERROR(SEARCH("Pesquisa de Preços",D62)))</formula>
    </cfRule>
  </conditionalFormatting>
  <conditionalFormatting sqref="D2351">
    <cfRule type="containsText" dxfId="2508" priority="5352" operator="containsText" text="Pesquisa de Preços">
      <formula>NOT(ISERROR(SEARCH("Pesquisa de Preços",D2351)))</formula>
    </cfRule>
  </conditionalFormatting>
  <conditionalFormatting sqref="D311">
    <cfRule type="containsText" dxfId="2507" priority="5442" operator="containsText" text="Pesquisa de Preços">
      <formula>NOT(ISERROR(SEARCH("Pesquisa de Preços",D311)))</formula>
    </cfRule>
  </conditionalFormatting>
  <conditionalFormatting sqref="D297">
    <cfRule type="containsText" dxfId="2506" priority="5440" operator="containsText" text="Pesquisa de Preços">
      <formula>NOT(ISERROR(SEARCH("Pesquisa de Preços",D297)))</formula>
    </cfRule>
  </conditionalFormatting>
  <conditionalFormatting sqref="D457">
    <cfRule type="containsText" dxfId="2505" priority="5439" operator="containsText" text="Pesquisa de Preços">
      <formula>NOT(ISERROR(SEARCH("Pesquisa de Preços",D457)))</formula>
    </cfRule>
  </conditionalFormatting>
  <conditionalFormatting sqref="D467">
    <cfRule type="containsText" dxfId="2504" priority="5438" operator="containsText" text="Pesquisa de Preços">
      <formula>NOT(ISERROR(SEARCH("Pesquisa de Preços",D467)))</formula>
    </cfRule>
  </conditionalFormatting>
  <conditionalFormatting sqref="D623">
    <cfRule type="containsText" dxfId="2503" priority="5437" operator="containsText" text="Pesquisa de Preços">
      <formula>NOT(ISERROR(SEARCH("Pesquisa de Preços",D623)))</formula>
    </cfRule>
  </conditionalFormatting>
  <conditionalFormatting sqref="D624:D626">
    <cfRule type="containsText" dxfId="2502" priority="5436" operator="containsText" text="Pesquisa de Preços">
      <formula>NOT(ISERROR(SEARCH("Pesquisa de Preços",D624)))</formula>
    </cfRule>
  </conditionalFormatting>
  <conditionalFormatting sqref="D733:D734">
    <cfRule type="containsText" dxfId="2501" priority="5435" operator="containsText" text="Pesquisa de Preços">
      <formula>NOT(ISERROR(SEARCH("Pesquisa de Preços",D733)))</formula>
    </cfRule>
  </conditionalFormatting>
  <conditionalFormatting sqref="D732">
    <cfRule type="containsText" dxfId="2500" priority="5434" operator="containsText" text="Pesquisa de Preços">
      <formula>NOT(ISERROR(SEARCH("Pesquisa de Preços",D732)))</formula>
    </cfRule>
  </conditionalFormatting>
  <conditionalFormatting sqref="D997">
    <cfRule type="containsText" dxfId="2499" priority="5433" operator="containsText" text="Pesquisa de Preços">
      <formula>NOT(ISERROR(SEARCH("Pesquisa de Preços",D997)))</formula>
    </cfRule>
  </conditionalFormatting>
  <conditionalFormatting sqref="D607 D614">
    <cfRule type="containsText" dxfId="2498" priority="5417" operator="containsText" text="Pesquisa de Preços">
      <formula>NOT(ISERROR(SEARCH("Pesquisa de Preços",D607)))</formula>
    </cfRule>
  </conditionalFormatting>
  <conditionalFormatting sqref="D737">
    <cfRule type="containsText" dxfId="2497" priority="5413" operator="containsText" text="Pesquisa de Preços">
      <formula>NOT(ISERROR(SEARCH("Pesquisa de Preços",D737)))</formula>
    </cfRule>
  </conditionalFormatting>
  <conditionalFormatting sqref="D591:D593">
    <cfRule type="containsText" dxfId="2496" priority="5422" operator="containsText" text="Pesquisa de Preços">
      <formula>NOT(ISERROR(SEARCH("Pesquisa de Preços",D591)))</formula>
    </cfRule>
  </conditionalFormatting>
  <conditionalFormatting sqref="D1626:D1627">
    <cfRule type="containsText" dxfId="2495" priority="5428" operator="containsText" text="Pesquisa de Preços">
      <formula>NOT(ISERROR(SEARCH("Pesquisa de Preços",D1626)))</formula>
    </cfRule>
  </conditionalFormatting>
  <conditionalFormatting sqref="D1602">
    <cfRule type="containsText" dxfId="2494" priority="5432" operator="containsText" text="Pesquisa de Preços">
      <formula>NOT(ISERROR(SEARCH("Pesquisa de Preços",D1602)))</formula>
    </cfRule>
  </conditionalFormatting>
  <conditionalFormatting sqref="D1631">
    <cfRule type="containsText" dxfId="2493" priority="5431" operator="containsText" text="Pesquisa de Preços">
      <formula>NOT(ISERROR(SEARCH("Pesquisa de Preços",D1631)))</formula>
    </cfRule>
  </conditionalFormatting>
  <conditionalFormatting sqref="D1632:D1633">
    <cfRule type="containsText" dxfId="2492" priority="5430" operator="containsText" text="Pesquisa de Preços">
      <formula>NOT(ISERROR(SEARCH("Pesquisa de Preços",D1632)))</formula>
    </cfRule>
  </conditionalFormatting>
  <conditionalFormatting sqref="D1625">
    <cfRule type="containsText" dxfId="2491" priority="5429" operator="containsText" text="Pesquisa de Preços">
      <formula>NOT(ISERROR(SEARCH("Pesquisa de Preços",D1625)))</formula>
    </cfRule>
  </conditionalFormatting>
  <conditionalFormatting sqref="D1892 D1894">
    <cfRule type="containsText" dxfId="2490" priority="5427" operator="containsText" text="Pesquisa de Preços">
      <formula>NOT(ISERROR(SEARCH("Pesquisa de Preços",D1892)))</formula>
    </cfRule>
  </conditionalFormatting>
  <conditionalFormatting sqref="D1893">
    <cfRule type="containsText" dxfId="2489" priority="5426" operator="containsText" text="Pesquisa de Preços">
      <formula>NOT(ISERROR(SEARCH("Pesquisa de Preços",D1893)))</formula>
    </cfRule>
  </conditionalFormatting>
  <conditionalFormatting sqref="D1886 D1888">
    <cfRule type="containsText" dxfId="2488" priority="5425" operator="containsText" text="Pesquisa de Preços">
      <formula>NOT(ISERROR(SEARCH("Pesquisa de Preços",D1886)))</formula>
    </cfRule>
  </conditionalFormatting>
  <conditionalFormatting sqref="D1887">
    <cfRule type="containsText" dxfId="2487" priority="5424" operator="containsText" text="Pesquisa de Preços">
      <formula>NOT(ISERROR(SEARCH("Pesquisa de Preços",D1887)))</formula>
    </cfRule>
  </conditionalFormatting>
  <conditionalFormatting sqref="D382:D392">
    <cfRule type="containsText" dxfId="2486" priority="5420" operator="containsText" text="Pesquisa de Preços">
      <formula>NOT(ISERROR(SEARCH("Pesquisa de Preços",D382)))</formula>
    </cfRule>
  </conditionalFormatting>
  <conditionalFormatting sqref="D381">
    <cfRule type="containsText" dxfId="2485" priority="5421" operator="containsText" text="Pesquisa de Preços">
      <formula>NOT(ISERROR(SEARCH("Pesquisa de Preços",D381)))</formula>
    </cfRule>
  </conditionalFormatting>
  <conditionalFormatting sqref="D1071:D1072">
    <cfRule type="containsText" dxfId="2484" priority="5321" operator="containsText" text="Pesquisa de Preços">
      <formula>NOT(ISERROR(SEARCH("Pesquisa de Preços",D1071)))</formula>
    </cfRule>
  </conditionalFormatting>
  <conditionalFormatting sqref="D605">
    <cfRule type="containsText" dxfId="2483" priority="5419" operator="containsText" text="Pesquisa de Preços">
      <formula>NOT(ISERROR(SEARCH("Pesquisa de Preços",D605)))</formula>
    </cfRule>
  </conditionalFormatting>
  <conditionalFormatting sqref="D597">
    <cfRule type="containsText" dxfId="2482" priority="5418" operator="containsText" text="Pesquisa de Preços">
      <formula>NOT(ISERROR(SEARCH("Pesquisa de Preços",D597)))</formula>
    </cfRule>
  </conditionalFormatting>
  <conditionalFormatting sqref="D1084:D1086 D1088">
    <cfRule type="containsText" dxfId="2481" priority="5320" operator="containsText" text="Pesquisa de Preços">
      <formula>NOT(ISERROR(SEARCH("Pesquisa de Preços",D1084)))</formula>
    </cfRule>
  </conditionalFormatting>
  <conditionalFormatting sqref="D598">
    <cfRule type="containsText" dxfId="2480" priority="5416" operator="containsText" text="Pesquisa de Preços">
      <formula>NOT(ISERROR(SEARCH("Pesquisa de Preços",D598)))</formula>
    </cfRule>
  </conditionalFormatting>
  <conditionalFormatting sqref="D608">
    <cfRule type="containsText" dxfId="2479" priority="5415" operator="containsText" text="Pesquisa de Preços">
      <formula>NOT(ISERROR(SEARCH("Pesquisa de Preços",D608)))</formula>
    </cfRule>
  </conditionalFormatting>
  <conditionalFormatting sqref="D631">
    <cfRule type="containsText" dxfId="2478" priority="5410" operator="containsText" text="Pesquisa de Preços">
      <formula>NOT(ISERROR(SEARCH("Pesquisa de Preços",D631)))</formula>
    </cfRule>
  </conditionalFormatting>
  <conditionalFormatting sqref="D630 D635:D636">
    <cfRule type="containsText" dxfId="2477" priority="5411" operator="containsText" text="Pesquisa de Preços">
      <formula>NOT(ISERROR(SEARCH("Pesquisa de Preços",D630)))</formula>
    </cfRule>
  </conditionalFormatting>
  <conditionalFormatting sqref="D1253 D1257:D1258">
    <cfRule type="containsText" dxfId="2476" priority="5407" operator="containsText" text="Pesquisa de Preços">
      <formula>NOT(ISERROR(SEARCH("Pesquisa de Preços",D1253)))</formula>
    </cfRule>
  </conditionalFormatting>
  <conditionalFormatting sqref="D632:D634">
    <cfRule type="containsText" dxfId="2475" priority="5409" operator="containsText" text="Pesquisa de Preços">
      <formula>NOT(ISERROR(SEARCH("Pesquisa de Preços",D632)))</formula>
    </cfRule>
  </conditionalFormatting>
  <conditionalFormatting sqref="D1255">
    <cfRule type="containsText" dxfId="2474" priority="5406" operator="containsText" text="Pesquisa de Preços">
      <formula>NOT(ISERROR(SEARCH("Pesquisa de Preços",D1255)))</formula>
    </cfRule>
  </conditionalFormatting>
  <conditionalFormatting sqref="D1159 D1163:D1164">
    <cfRule type="containsText" dxfId="2473" priority="5404" operator="containsText" text="Pesquisa de Preços">
      <formula>NOT(ISERROR(SEARCH("Pesquisa de Preços",D1159)))</formula>
    </cfRule>
  </conditionalFormatting>
  <conditionalFormatting sqref="D1215 D1219:D1220">
    <cfRule type="containsText" dxfId="2472" priority="5402" operator="containsText" text="Pesquisa de Preços">
      <formula>NOT(ISERROR(SEARCH("Pesquisa de Preços",D1215)))</formula>
    </cfRule>
  </conditionalFormatting>
  <conditionalFormatting sqref="D1218">
    <cfRule type="containsText" dxfId="2471" priority="5401" operator="containsText" text="Pesquisa de Preços">
      <formula>NOT(ISERROR(SEARCH("Pesquisa de Preços",D1218)))</formula>
    </cfRule>
  </conditionalFormatting>
  <conditionalFormatting sqref="D670">
    <cfRule type="containsText" dxfId="2470" priority="5400" operator="containsText" text="Pesquisa de Preços">
      <formula>NOT(ISERROR(SEARCH("Pesquisa de Preços",D670)))</formula>
    </cfRule>
  </conditionalFormatting>
  <conditionalFormatting sqref="D738">
    <cfRule type="containsText" dxfId="2469" priority="5399" operator="containsText" text="Pesquisa de Preços">
      <formula>NOT(ISERROR(SEARCH("Pesquisa de Preços",D738)))</formula>
    </cfRule>
  </conditionalFormatting>
  <conditionalFormatting sqref="D865:D866">
    <cfRule type="containsText" dxfId="2468" priority="5396" operator="containsText" text="Pesquisa de Preços">
      <formula>NOT(ISERROR(SEARCH("Pesquisa de Preços",D865)))</formula>
    </cfRule>
  </conditionalFormatting>
  <conditionalFormatting sqref="D1296">
    <cfRule type="containsText" dxfId="2467" priority="5394" operator="containsText" text="Pesquisa de Preços">
      <formula>NOT(ISERROR(SEARCH("Pesquisa de Preços",D1296)))</formula>
    </cfRule>
  </conditionalFormatting>
  <conditionalFormatting sqref="D1351">
    <cfRule type="containsText" dxfId="2466" priority="5391" operator="containsText" text="Pesquisa de Preços">
      <formula>NOT(ISERROR(SEARCH("Pesquisa de Preços",D1351)))</formula>
    </cfRule>
  </conditionalFormatting>
  <conditionalFormatting sqref="D1511">
    <cfRule type="containsText" dxfId="2465" priority="5319" operator="containsText" text="Pesquisa de Preços">
      <formula>NOT(ISERROR(SEARCH("Pesquisa de Preços",D1511)))</formula>
    </cfRule>
  </conditionalFormatting>
  <conditionalFormatting sqref="D208">
    <cfRule type="containsText" dxfId="2464" priority="5388" operator="containsText" text="Pesquisa de Preços">
      <formula>NOT(ISERROR(SEARCH("Pesquisa de Preços",D208)))</formula>
    </cfRule>
  </conditionalFormatting>
  <conditionalFormatting sqref="D1620">
    <cfRule type="containsText" dxfId="2463" priority="5384" operator="containsText" text="Pesquisa de Preços">
      <formula>NOT(ISERROR(SEARCH("Pesquisa de Preços",D1620)))</formula>
    </cfRule>
  </conditionalFormatting>
  <conditionalFormatting sqref="D1613">
    <cfRule type="containsText" dxfId="2462" priority="5380" operator="containsText" text="Pesquisa de Preços">
      <formula>NOT(ISERROR(SEARCH("Pesquisa de Preços",D1613)))</formula>
    </cfRule>
  </conditionalFormatting>
  <conditionalFormatting sqref="D1676">
    <cfRule type="containsText" dxfId="2461" priority="5378" operator="containsText" text="Pesquisa de Preços">
      <formula>NOT(ISERROR(SEARCH("Pesquisa de Preços",D1676)))</formula>
    </cfRule>
  </conditionalFormatting>
  <conditionalFormatting sqref="D1615">
    <cfRule type="containsText" dxfId="2460" priority="5376" operator="containsText" text="Pesquisa de Preços">
      <formula>NOT(ISERROR(SEARCH("Pesquisa de Preços",D1615)))</formula>
    </cfRule>
  </conditionalFormatting>
  <conditionalFormatting sqref="D142">
    <cfRule type="containsText" dxfId="2459" priority="5375" operator="containsText" text="Pesquisa de Preços">
      <formula>NOT(ISERROR(SEARCH("Pesquisa de Preços",D142)))</formula>
    </cfRule>
  </conditionalFormatting>
  <conditionalFormatting sqref="D802">
    <cfRule type="containsText" dxfId="2458" priority="5374" operator="containsText" text="Pesquisa de Preços">
      <formula>NOT(ISERROR(SEARCH("Pesquisa de Preços",D802)))</formula>
    </cfRule>
  </conditionalFormatting>
  <conditionalFormatting sqref="D1005">
    <cfRule type="containsText" dxfId="2457" priority="5373" operator="containsText" text="Pesquisa de Preços">
      <formula>NOT(ISERROR(SEARCH("Pesquisa de Preços",D1005)))</formula>
    </cfRule>
  </conditionalFormatting>
  <conditionalFormatting sqref="D1010">
    <cfRule type="containsText" dxfId="2456" priority="5372" operator="containsText" text="Pesquisa de Preços">
      <formula>NOT(ISERROR(SEARCH("Pesquisa de Preços",D1010)))</formula>
    </cfRule>
  </conditionalFormatting>
  <conditionalFormatting sqref="D89">
    <cfRule type="containsText" dxfId="2455" priority="5371" operator="containsText" text="Pesquisa de Preços">
      <formula>NOT(ISERROR(SEARCH("Pesquisa de Preços",D89)))</formula>
    </cfRule>
  </conditionalFormatting>
  <conditionalFormatting sqref="D90">
    <cfRule type="containsText" dxfId="2454" priority="5370" operator="containsText" text="Pesquisa de Preços">
      <formula>NOT(ISERROR(SEARCH("Pesquisa de Preços",D90)))</formula>
    </cfRule>
  </conditionalFormatting>
  <conditionalFormatting sqref="D1459">
    <cfRule type="containsText" dxfId="2453" priority="5318" operator="containsText" text="Pesquisa de Preços">
      <formula>NOT(ISERROR(SEARCH("Pesquisa de Preços",D1459)))</formula>
    </cfRule>
  </conditionalFormatting>
  <conditionalFormatting sqref="D113">
    <cfRule type="containsText" dxfId="2452" priority="5369" operator="containsText" text="Pesquisa de Preços">
      <formula>NOT(ISERROR(SEARCH("Pesquisa de Preços",D113)))</formula>
    </cfRule>
  </conditionalFormatting>
  <conditionalFormatting sqref="D114">
    <cfRule type="containsText" dxfId="2451" priority="5368" operator="containsText" text="Pesquisa de Preços">
      <formula>NOT(ISERROR(SEARCH("Pesquisa de Preços",D114)))</formula>
    </cfRule>
  </conditionalFormatting>
  <conditionalFormatting sqref="D1482">
    <cfRule type="containsText" dxfId="2450" priority="5317" operator="containsText" text="Pesquisa de Preços">
      <formula>NOT(ISERROR(SEARCH("Pesquisa de Preços",D1482)))</formula>
    </cfRule>
  </conditionalFormatting>
  <conditionalFormatting sqref="D1694:D1695">
    <cfRule type="containsText" dxfId="2449" priority="5367" operator="containsText" text="Pesquisa de Preços">
      <formula>NOT(ISERROR(SEARCH("Pesquisa de Preços",D1694)))</formula>
    </cfRule>
  </conditionalFormatting>
  <conditionalFormatting sqref="D1660">
    <cfRule type="containsText" dxfId="2448" priority="5366" operator="containsText" text="Pesquisa de Preços">
      <formula>NOT(ISERROR(SEARCH("Pesquisa de Preços",D1660)))</formula>
    </cfRule>
  </conditionalFormatting>
  <conditionalFormatting sqref="D1743">
    <cfRule type="containsText" dxfId="2447" priority="5365" operator="containsText" text="Pesquisa de Preços">
      <formula>NOT(ISERROR(SEARCH("Pesquisa de Preços",D1743)))</formula>
    </cfRule>
  </conditionalFormatting>
  <conditionalFormatting sqref="D1722">
    <cfRule type="containsText" dxfId="2446" priority="5364" operator="containsText" text="Pesquisa de Preços">
      <formula>NOT(ISERROR(SEARCH("Pesquisa de Preços",D1722)))</formula>
    </cfRule>
  </conditionalFormatting>
  <conditionalFormatting sqref="D1707">
    <cfRule type="containsText" dxfId="2445" priority="5362" operator="containsText" text="Pesquisa de Preços">
      <formula>NOT(ISERROR(SEARCH("Pesquisa de Preços",D1707)))</formula>
    </cfRule>
  </conditionalFormatting>
  <conditionalFormatting sqref="D1708">
    <cfRule type="containsText" dxfId="2444" priority="5361" operator="containsText" text="Pesquisa de Preços">
      <formula>NOT(ISERROR(SEARCH("Pesquisa de Preços",D1708)))</formula>
    </cfRule>
  </conditionalFormatting>
  <conditionalFormatting sqref="D1825">
    <cfRule type="containsText" dxfId="2443" priority="5360" operator="containsText" text="Pesquisa de Preços">
      <formula>NOT(ISERROR(SEARCH("Pesquisa de Preços",D1825)))</formula>
    </cfRule>
  </conditionalFormatting>
  <conditionalFormatting sqref="D1832">
    <cfRule type="containsText" dxfId="2442" priority="5359" operator="containsText" text="Pesquisa de Preços">
      <formula>NOT(ISERROR(SEARCH("Pesquisa de Preços",D1832)))</formula>
    </cfRule>
  </conditionalFormatting>
  <conditionalFormatting sqref="D1831">
    <cfRule type="containsText" dxfId="2441" priority="5358" operator="containsText" text="Pesquisa de Preços">
      <formula>NOT(ISERROR(SEARCH("Pesquisa de Preços",D1831)))</formula>
    </cfRule>
  </conditionalFormatting>
  <conditionalFormatting sqref="D1839">
    <cfRule type="containsText" dxfId="2440" priority="5357" operator="containsText" text="Pesquisa de Preços">
      <formula>NOT(ISERROR(SEARCH("Pesquisa de Preços",D1839)))</formula>
    </cfRule>
  </conditionalFormatting>
  <conditionalFormatting sqref="D1838">
    <cfRule type="containsText" dxfId="2439" priority="5356" operator="containsText" text="Pesquisa de Preços">
      <formula>NOT(ISERROR(SEARCH("Pesquisa de Preços",D1838)))</formula>
    </cfRule>
  </conditionalFormatting>
  <conditionalFormatting sqref="D1921">
    <cfRule type="containsText" dxfId="2438" priority="5354" operator="containsText" text="Pesquisa de Preços">
      <formula>NOT(ISERROR(SEARCH("Pesquisa de Preços",D1921)))</formula>
    </cfRule>
  </conditionalFormatting>
  <conditionalFormatting sqref="D841">
    <cfRule type="containsText" dxfId="2437" priority="5353" operator="containsText" text="Pesquisa de Preços">
      <formula>NOT(ISERROR(SEARCH("Pesquisa de Preços",D841)))</formula>
    </cfRule>
  </conditionalFormatting>
  <conditionalFormatting sqref="D2388">
    <cfRule type="containsText" dxfId="2436" priority="5351" operator="containsText" text="Pesquisa de Preços">
      <formula>NOT(ISERROR(SEARCH("Pesquisa de Preços",D2388)))</formula>
    </cfRule>
  </conditionalFormatting>
  <conditionalFormatting sqref="D2387">
    <cfRule type="containsText" dxfId="2435" priority="5350" operator="containsText" text="Pesquisa de Preços">
      <formula>NOT(ISERROR(SEARCH("Pesquisa de Preços",D2387)))</formula>
    </cfRule>
  </conditionalFormatting>
  <conditionalFormatting sqref="D2258">
    <cfRule type="containsText" dxfId="2434" priority="5349" operator="containsText" text="Pesquisa de Preços">
      <formula>NOT(ISERROR(SEARCH("Pesquisa de Preços",D2258)))</formula>
    </cfRule>
  </conditionalFormatting>
  <conditionalFormatting sqref="D2257">
    <cfRule type="containsText" dxfId="2433" priority="5348" operator="containsText" text="Pesquisa de Preços">
      <formula>NOT(ISERROR(SEARCH("Pesquisa de Preços",D2257)))</formula>
    </cfRule>
  </conditionalFormatting>
  <conditionalFormatting sqref="D2380">
    <cfRule type="containsText" dxfId="2432" priority="5347" operator="containsText" text="Pesquisa de Preços">
      <formula>NOT(ISERROR(SEARCH("Pesquisa de Preços",D2380)))</formula>
    </cfRule>
  </conditionalFormatting>
  <conditionalFormatting sqref="D2381">
    <cfRule type="containsText" dxfId="2431" priority="5346" operator="containsText" text="Pesquisa de Preços">
      <formula>NOT(ISERROR(SEARCH("Pesquisa de Preços",D2381)))</formula>
    </cfRule>
  </conditionalFormatting>
  <conditionalFormatting sqref="D133">
    <cfRule type="containsText" dxfId="2430" priority="5345" operator="containsText" text="Pesquisa de Preços">
      <formula>NOT(ISERROR(SEARCH("Pesquisa de Preços",D133)))</formula>
    </cfRule>
  </conditionalFormatting>
  <conditionalFormatting sqref="D1642">
    <cfRule type="containsText" dxfId="2429" priority="5344" operator="containsText" text="Pesquisa de Preços">
      <formula>NOT(ISERROR(SEARCH("Pesquisa de Preços",D1642)))</formula>
    </cfRule>
  </conditionalFormatting>
  <conditionalFormatting sqref="D1643">
    <cfRule type="containsText" dxfId="2428" priority="5343" operator="containsText" text="Pesquisa de Preços">
      <formula>NOT(ISERROR(SEARCH("Pesquisa de Preços",D1643)))</formula>
    </cfRule>
  </conditionalFormatting>
  <conditionalFormatting sqref="D1961">
    <cfRule type="containsText" dxfId="2427" priority="5316" operator="containsText" text="Pesquisa de Preços">
      <formula>NOT(ISERROR(SEARCH("Pesquisa de Preços",D1961)))</formula>
    </cfRule>
  </conditionalFormatting>
  <conditionalFormatting sqref="D80">
    <cfRule type="containsText" dxfId="2426" priority="5342" operator="containsText" text="Pesquisa de Preços">
      <formula>NOT(ISERROR(SEARCH("Pesquisa de Preços",D80)))</formula>
    </cfRule>
  </conditionalFormatting>
  <conditionalFormatting sqref="D1135">
    <cfRule type="containsText" dxfId="2425" priority="5341" operator="containsText" text="Pesquisa de Preços">
      <formula>NOT(ISERROR(SEARCH("Pesquisa de Preços",D1135)))</formula>
    </cfRule>
  </conditionalFormatting>
  <conditionalFormatting sqref="D403:D413">
    <cfRule type="containsText" dxfId="2424" priority="5340" operator="containsText" text="Pesquisa de Preços">
      <formula>NOT(ISERROR(SEARCH("Pesquisa de Preços",D403)))</formula>
    </cfRule>
  </conditionalFormatting>
  <conditionalFormatting sqref="D417">
    <cfRule type="containsText" dxfId="2423" priority="5339" operator="containsText" text="Pesquisa de Preços">
      <formula>NOT(ISERROR(SEARCH("Pesquisa de Preços",D417)))</formula>
    </cfRule>
  </conditionalFormatting>
  <conditionalFormatting sqref="D418">
    <cfRule type="containsText" dxfId="2422" priority="5338" operator="containsText" text="Pesquisa de Preços">
      <formula>NOT(ISERROR(SEARCH("Pesquisa de Preços",D418)))</formula>
    </cfRule>
  </conditionalFormatting>
  <conditionalFormatting sqref="D417">
    <cfRule type="containsText" dxfId="2421" priority="5337" operator="containsText" text="Pesquisa de Preços">
      <formula>NOT(ISERROR(SEARCH("Pesquisa de Preços",D417)))</formula>
    </cfRule>
  </conditionalFormatting>
  <conditionalFormatting sqref="D418">
    <cfRule type="containsText" dxfId="2420" priority="5336" operator="containsText" text="Pesquisa de Preços">
      <formula>NOT(ISERROR(SEARCH("Pesquisa de Preços",D418)))</formula>
    </cfRule>
  </conditionalFormatting>
  <conditionalFormatting sqref="D419:D420">
    <cfRule type="containsText" dxfId="2419" priority="5335" operator="containsText" text="Pesquisa de Preços">
      <formula>NOT(ISERROR(SEARCH("Pesquisa de Preços",D419)))</formula>
    </cfRule>
  </conditionalFormatting>
  <conditionalFormatting sqref="D195">
    <cfRule type="containsText" dxfId="2418" priority="5334" operator="containsText" text="Pesquisa de Preços">
      <formula>NOT(ISERROR(SEARCH("Pesquisa de Preços",D195)))</formula>
    </cfRule>
  </conditionalFormatting>
  <conditionalFormatting sqref="D834:D838">
    <cfRule type="containsText" dxfId="2417" priority="5333" operator="containsText" text="Pesquisa de Preços">
      <formula>NOT(ISERROR(SEARCH("Pesquisa de Preços",D834)))</formula>
    </cfRule>
  </conditionalFormatting>
  <conditionalFormatting sqref="D834:D838">
    <cfRule type="containsText" dxfId="2416" priority="5332" operator="containsText" text="Pesquisa de Preços">
      <formula>NOT(ISERROR(SEARCH("Pesquisa de Preços",D834)))</formula>
    </cfRule>
  </conditionalFormatting>
  <conditionalFormatting sqref="D1931">
    <cfRule type="containsText" dxfId="2415" priority="5331" operator="containsText" text="Pesquisa de Preços">
      <formula>NOT(ISERROR(SEARCH("Pesquisa de Preços",D1931)))</formula>
    </cfRule>
  </conditionalFormatting>
  <conditionalFormatting sqref="D1932">
    <cfRule type="containsText" dxfId="2414" priority="5330" operator="containsText" text="Pesquisa de Preços">
      <formula>NOT(ISERROR(SEARCH("Pesquisa de Preços",D1932)))</formula>
    </cfRule>
  </conditionalFormatting>
  <conditionalFormatting sqref="D812">
    <cfRule type="containsText" dxfId="2413" priority="5329" operator="containsText" text="Pesquisa de Preços">
      <formula>NOT(ISERROR(SEARCH("Pesquisa de Preços",D812)))</formula>
    </cfRule>
  </conditionalFormatting>
  <conditionalFormatting sqref="D769">
    <cfRule type="containsText" dxfId="2412" priority="5328" operator="containsText" text="Pesquisa de Preços">
      <formula>NOT(ISERROR(SEARCH("Pesquisa de Preços",D769)))</formula>
    </cfRule>
  </conditionalFormatting>
  <conditionalFormatting sqref="D768">
    <cfRule type="containsText" dxfId="2411" priority="5327" operator="containsText" text="Pesquisa de Preços">
      <formula>NOT(ISERROR(SEARCH("Pesquisa de Preços",D768)))</formula>
    </cfRule>
  </conditionalFormatting>
  <conditionalFormatting sqref="D852">
    <cfRule type="containsText" dxfId="2410" priority="5326" operator="containsText" text="Pesquisa de Preços">
      <formula>NOT(ISERROR(SEARCH("Pesquisa de Preços",D852)))</formula>
    </cfRule>
  </conditionalFormatting>
  <conditionalFormatting sqref="D869">
    <cfRule type="containsText" dxfId="2409" priority="5325" operator="containsText" text="Pesquisa de Preços">
      <formula>NOT(ISERROR(SEARCH("Pesquisa de Preços",D869)))</formula>
    </cfRule>
  </conditionalFormatting>
  <conditionalFormatting sqref="D871:D872">
    <cfRule type="containsText" dxfId="2408" priority="5324" operator="containsText" text="Pesquisa de Preços">
      <formula>NOT(ISERROR(SEARCH("Pesquisa de Preços",D871)))</formula>
    </cfRule>
  </conditionalFormatting>
  <conditionalFormatting sqref="D847">
    <cfRule type="containsText" dxfId="2407" priority="5323" operator="containsText" text="Pesquisa de Preços">
      <formula>NOT(ISERROR(SEARCH("Pesquisa de Preços",D847)))</formula>
    </cfRule>
  </conditionalFormatting>
  <conditionalFormatting sqref="G2951">
    <cfRule type="notContainsText" dxfId="2406" priority="5315" operator="notContains" text="Sinapi">
      <formula>ISERROR(SEARCH("Sinapi",G2951))</formula>
    </cfRule>
  </conditionalFormatting>
  <conditionalFormatting sqref="G2956">
    <cfRule type="notContainsText" dxfId="2405" priority="5314" operator="notContains" text="Sinapi">
      <formula>ISERROR(SEARCH("Sinapi",G2956))</formula>
    </cfRule>
  </conditionalFormatting>
  <conditionalFormatting sqref="G2961">
    <cfRule type="notContainsText" dxfId="2404" priority="5313" operator="notContains" text="Sinapi">
      <formula>ISERROR(SEARCH("Sinapi",G2961))</formula>
    </cfRule>
  </conditionalFormatting>
  <conditionalFormatting sqref="G2966">
    <cfRule type="notContainsText" dxfId="2403" priority="5312" operator="notContains" text="Sinapi">
      <formula>ISERROR(SEARCH("Sinapi",G2966))</formula>
    </cfRule>
  </conditionalFormatting>
  <conditionalFormatting sqref="G2971">
    <cfRule type="notContainsText" dxfId="2402" priority="5311" operator="notContains" text="Sinapi">
      <formula>ISERROR(SEARCH("Sinapi",G2971))</formula>
    </cfRule>
  </conditionalFormatting>
  <conditionalFormatting sqref="G2976">
    <cfRule type="notContainsText" dxfId="2401" priority="5310" operator="notContains" text="Sinapi">
      <formula>ISERROR(SEARCH("Sinapi",G2976))</formula>
    </cfRule>
  </conditionalFormatting>
  <conditionalFormatting sqref="G2981">
    <cfRule type="notContainsText" dxfId="2400" priority="5309" operator="notContains" text="Sinapi">
      <formula>ISERROR(SEARCH("Sinapi",G2981))</formula>
    </cfRule>
  </conditionalFormatting>
  <conditionalFormatting sqref="G2986">
    <cfRule type="notContainsText" dxfId="2399" priority="5308" operator="notContains" text="Sinapi">
      <formula>ISERROR(SEARCH("Sinapi",G2986))</formula>
    </cfRule>
  </conditionalFormatting>
  <conditionalFormatting sqref="G3006">
    <cfRule type="notContainsText" dxfId="2398" priority="5306" operator="notContains" text="Sinapi">
      <formula>ISERROR(SEARCH("Sinapi",G3006))</formula>
    </cfRule>
  </conditionalFormatting>
  <conditionalFormatting sqref="G3001">
    <cfRule type="notContainsText" dxfId="2397" priority="5307" operator="notContains" text="Sinapi">
      <formula>ISERROR(SEARCH("Sinapi",G3001))</formula>
    </cfRule>
  </conditionalFormatting>
  <conditionalFormatting sqref="G3011">
    <cfRule type="notContainsText" dxfId="2396" priority="5305" operator="notContains" text="Sinapi">
      <formula>ISERROR(SEARCH("Sinapi",G3011))</formula>
    </cfRule>
  </conditionalFormatting>
  <conditionalFormatting sqref="G3016">
    <cfRule type="notContainsText" dxfId="2395" priority="5304" operator="notContains" text="Sinapi">
      <formula>ISERROR(SEARCH("Sinapi",G3016))</formula>
    </cfRule>
  </conditionalFormatting>
  <conditionalFormatting sqref="G3021">
    <cfRule type="notContainsText" dxfId="2394" priority="5303" operator="notContains" text="Sinapi">
      <formula>ISERROR(SEARCH("Sinapi",G3021))</formula>
    </cfRule>
  </conditionalFormatting>
  <conditionalFormatting sqref="G3026">
    <cfRule type="notContainsText" dxfId="2393" priority="5302" operator="notContains" text="Sinapi">
      <formula>ISERROR(SEARCH("Sinapi",G3026))</formula>
    </cfRule>
  </conditionalFormatting>
  <conditionalFormatting sqref="G3031">
    <cfRule type="notContainsText" dxfId="2392" priority="5301" operator="notContains" text="Sinapi">
      <formula>ISERROR(SEARCH("Sinapi",G3031))</formula>
    </cfRule>
  </conditionalFormatting>
  <conditionalFormatting sqref="G3036">
    <cfRule type="notContainsText" dxfId="2391" priority="5300" operator="notContains" text="Sinapi">
      <formula>ISERROR(SEARCH("Sinapi",G3036))</formula>
    </cfRule>
  </conditionalFormatting>
  <conditionalFormatting sqref="G3041">
    <cfRule type="notContainsText" dxfId="2390" priority="5299" operator="notContains" text="Sinapi">
      <formula>ISERROR(SEARCH("Sinapi",G3041))</formula>
    </cfRule>
  </conditionalFormatting>
  <conditionalFormatting sqref="G3054">
    <cfRule type="notContainsText" dxfId="2389" priority="5298" operator="notContains" text="Sinapi">
      <formula>ISERROR(SEARCH("Sinapi",G3054))</formula>
    </cfRule>
  </conditionalFormatting>
  <conditionalFormatting sqref="G3079">
    <cfRule type="notContainsText" dxfId="2388" priority="5297" operator="notContains" text="Sinapi">
      <formula>ISERROR(SEARCH("Sinapi",G3079))</formula>
    </cfRule>
  </conditionalFormatting>
  <conditionalFormatting sqref="G3092">
    <cfRule type="notContainsText" dxfId="2387" priority="5296" operator="notContains" text="Sinapi">
      <formula>ISERROR(SEARCH("Sinapi",G3092))</formula>
    </cfRule>
  </conditionalFormatting>
  <conditionalFormatting sqref="G3097">
    <cfRule type="notContainsText" dxfId="2386" priority="5295" operator="notContains" text="Sinapi">
      <formula>ISERROR(SEARCH("Sinapi",G3097))</formula>
    </cfRule>
  </conditionalFormatting>
  <conditionalFormatting sqref="G3102">
    <cfRule type="notContainsText" dxfId="2385" priority="5294" operator="notContains" text="Sinapi">
      <formula>ISERROR(SEARCH("Sinapi",G3102))</formula>
    </cfRule>
  </conditionalFormatting>
  <conditionalFormatting sqref="G3107">
    <cfRule type="notContainsText" dxfId="2384" priority="5293" operator="notContains" text="Sinapi">
      <formula>ISERROR(SEARCH("Sinapi",G3107))</formula>
    </cfRule>
  </conditionalFormatting>
  <conditionalFormatting sqref="G3112">
    <cfRule type="notContainsText" dxfId="2383" priority="5292" operator="notContains" text="Sinapi">
      <formula>ISERROR(SEARCH("Sinapi",G3112))</formula>
    </cfRule>
  </conditionalFormatting>
  <conditionalFormatting sqref="G3117">
    <cfRule type="notContainsText" dxfId="2382" priority="5291" operator="notContains" text="Sinapi">
      <formula>ISERROR(SEARCH("Sinapi",G3117))</formula>
    </cfRule>
  </conditionalFormatting>
  <conditionalFormatting sqref="G3122">
    <cfRule type="notContainsText" dxfId="2381" priority="5290" operator="notContains" text="Sinapi">
      <formula>ISERROR(SEARCH("Sinapi",G3122))</formula>
    </cfRule>
  </conditionalFormatting>
  <conditionalFormatting sqref="G3127">
    <cfRule type="notContainsText" dxfId="2380" priority="5289" operator="notContains" text="Sinapi">
      <formula>ISERROR(SEARCH("Sinapi",G3127))</formula>
    </cfRule>
  </conditionalFormatting>
  <conditionalFormatting sqref="G3132">
    <cfRule type="notContainsText" dxfId="2379" priority="5288" operator="notContains" text="Sinapi">
      <formula>ISERROR(SEARCH("Sinapi",G3132))</formula>
    </cfRule>
  </conditionalFormatting>
  <conditionalFormatting sqref="G3172">
    <cfRule type="notContainsText" dxfId="2378" priority="5287" operator="notContains" text="Sinapi">
      <formula>ISERROR(SEARCH("Sinapi",G3172))</formula>
    </cfRule>
  </conditionalFormatting>
  <conditionalFormatting sqref="G3355">
    <cfRule type="notContainsText" dxfId="2377" priority="5286" operator="notContains" text="Sinapi">
      <formula>ISERROR(SEARCH("Sinapi",G3355))</formula>
    </cfRule>
  </conditionalFormatting>
  <conditionalFormatting sqref="G3374">
    <cfRule type="notContainsText" dxfId="2376" priority="5285" operator="notContains" text="Sinapi">
      <formula>ISERROR(SEARCH("Sinapi",G3374))</formula>
    </cfRule>
  </conditionalFormatting>
  <conditionalFormatting sqref="G3385">
    <cfRule type="notContainsText" dxfId="2375" priority="5284" operator="notContains" text="Sinapi">
      <formula>ISERROR(SEARCH("Sinapi",G3385))</formula>
    </cfRule>
  </conditionalFormatting>
  <conditionalFormatting sqref="G3389">
    <cfRule type="notContainsText" dxfId="2374" priority="5283" operator="notContains" text="Sinapi">
      <formula>ISERROR(SEARCH("Sinapi",G3389))</formula>
    </cfRule>
  </conditionalFormatting>
  <conditionalFormatting sqref="D172:D173">
    <cfRule type="containsText" dxfId="2373" priority="5262" operator="containsText" text="Pesquisa de Preços">
      <formula>NOT(ISERROR(SEARCH("Pesquisa de Preços",D172)))</formula>
    </cfRule>
  </conditionalFormatting>
  <conditionalFormatting sqref="G3067">
    <cfRule type="notContainsText" dxfId="2372" priority="5261" operator="notContains" text="Sinapi">
      <formula>ISERROR(SEARCH("Sinapi",G3067))</formula>
    </cfRule>
  </conditionalFormatting>
  <conditionalFormatting sqref="E18 E3388 E262 E2415">
    <cfRule type="containsText" dxfId="2371" priority="5252" operator="containsText" text="Pesquisa de Preços">
      <formula>NOT(ISERROR(SEARCH("Pesquisa de Preços",E18)))</formula>
    </cfRule>
  </conditionalFormatting>
  <conditionalFormatting sqref="E9">
    <cfRule type="containsText" dxfId="2370" priority="5251" operator="containsText" text="Pesquisa de Preços">
      <formula>NOT(ISERROR(SEARCH("Pesquisa de Preços",E9)))</formula>
    </cfRule>
  </conditionalFormatting>
  <conditionalFormatting sqref="E7">
    <cfRule type="containsText" dxfId="2369" priority="5250" operator="containsText" text="Pesquisa de Preços">
      <formula>NOT(ISERROR(SEARCH("Pesquisa de Preços",E7)))</formula>
    </cfRule>
  </conditionalFormatting>
  <conditionalFormatting sqref="E6">
    <cfRule type="containsText" dxfId="2368" priority="5249" operator="containsText" text="Pesquisa de Preços">
      <formula>NOT(ISERROR(SEARCH("Pesquisa de Preços",E6)))</formula>
    </cfRule>
  </conditionalFormatting>
  <conditionalFormatting sqref="E8">
    <cfRule type="containsText" dxfId="2367" priority="5248" operator="containsText" text="Pesquisa de Preços">
      <formula>NOT(ISERROR(SEARCH("Pesquisa de Preços",E8)))</formula>
    </cfRule>
  </conditionalFormatting>
  <conditionalFormatting sqref="E15">
    <cfRule type="containsText" dxfId="2366" priority="5247" operator="containsText" text="Pesquisa de Preços">
      <formula>NOT(ISERROR(SEARCH("Pesquisa de Preços",E15)))</formula>
    </cfRule>
  </conditionalFormatting>
  <conditionalFormatting sqref="E14">
    <cfRule type="containsText" dxfId="2365" priority="5246" operator="containsText" text="Pesquisa de Preços">
      <formula>NOT(ISERROR(SEARCH("Pesquisa de Preços",E14)))</formula>
    </cfRule>
  </conditionalFormatting>
  <conditionalFormatting sqref="E16">
    <cfRule type="containsText" dxfId="2364" priority="5245" operator="containsText" text="Pesquisa de Preços">
      <formula>NOT(ISERROR(SEARCH("Pesquisa de Preços",E16)))</formula>
    </cfRule>
  </conditionalFormatting>
  <conditionalFormatting sqref="E12">
    <cfRule type="containsText" dxfId="2363" priority="5244" operator="containsText" text="Pesquisa de Preços">
      <formula>NOT(ISERROR(SEARCH("Pesquisa de Preços",E12)))</formula>
    </cfRule>
  </conditionalFormatting>
  <conditionalFormatting sqref="E10">
    <cfRule type="containsText" dxfId="2362" priority="5241" operator="containsText" text="Pesquisa de Preços">
      <formula>NOT(ISERROR(SEARCH("Pesquisa de Preços",E10)))</formula>
    </cfRule>
  </conditionalFormatting>
  <conditionalFormatting sqref="E13">
    <cfRule type="containsText" dxfId="2361" priority="5243" operator="containsText" text="Pesquisa de Preços">
      <formula>NOT(ISERROR(SEARCH("Pesquisa de Preços",E13)))</formula>
    </cfRule>
  </conditionalFormatting>
  <conditionalFormatting sqref="E11">
    <cfRule type="containsText" dxfId="2360" priority="5242" operator="containsText" text="Pesquisa de Preços">
      <formula>NOT(ISERROR(SEARCH("Pesquisa de Preços",E11)))</formula>
    </cfRule>
  </conditionalFormatting>
  <conditionalFormatting sqref="E225">
    <cfRule type="containsText" dxfId="2359" priority="5239" operator="containsText" text="Pesquisa de Preços">
      <formula>NOT(ISERROR(SEARCH("Pesquisa de Preços",E225)))</formula>
    </cfRule>
  </conditionalFormatting>
  <conditionalFormatting sqref="E227">
    <cfRule type="containsText" dxfId="2358" priority="5240" operator="containsText" text="Pesquisa de Preços">
      <formula>NOT(ISERROR(SEARCH("Pesquisa de Preços",E227)))</formula>
    </cfRule>
  </conditionalFormatting>
  <conditionalFormatting sqref="E224">
    <cfRule type="containsText" dxfId="2357" priority="5238" operator="containsText" text="Pesquisa de Preços">
      <formula>NOT(ISERROR(SEARCH("Pesquisa de Preços",E224)))</formula>
    </cfRule>
  </conditionalFormatting>
  <conditionalFormatting sqref="E514">
    <cfRule type="containsText" dxfId="2356" priority="5084" operator="containsText" text="Pesquisa de Preços">
      <formula>NOT(ISERROR(SEARCH("Pesquisa de Preços",E514)))</formula>
    </cfRule>
  </conditionalFormatting>
  <conditionalFormatting sqref="E150">
    <cfRule type="containsText" dxfId="2355" priority="5233" operator="containsText" text="Pesquisa de Preços">
      <formula>NOT(ISERROR(SEARCH("Pesquisa de Preços",E150)))</formula>
    </cfRule>
  </conditionalFormatting>
  <conditionalFormatting sqref="E490:E496">
    <cfRule type="containsText" dxfId="2354" priority="5080" operator="containsText" text="Pesquisa de Preços">
      <formula>NOT(ISERROR(SEARCH("Pesquisa de Preços",E490)))</formula>
    </cfRule>
  </conditionalFormatting>
  <conditionalFormatting sqref="E149">
    <cfRule type="containsText" dxfId="2353" priority="5232" operator="containsText" text="Pesquisa de Preços">
      <formula>NOT(ISERROR(SEARCH("Pesquisa de Preços",E149)))</formula>
    </cfRule>
  </conditionalFormatting>
  <conditionalFormatting sqref="E78">
    <cfRule type="containsText" dxfId="2352" priority="5235" operator="containsText" text="Pesquisa de Preços">
      <formula>NOT(ISERROR(SEARCH("Pesquisa de Preços",E78)))</formula>
    </cfRule>
  </conditionalFormatting>
  <conditionalFormatting sqref="E162">
    <cfRule type="containsText" dxfId="2351" priority="5231" operator="containsText" text="Pesquisa de Preços">
      <formula>NOT(ISERROR(SEARCH("Pesquisa de Preços",E162)))</formula>
    </cfRule>
  </conditionalFormatting>
  <conditionalFormatting sqref="E79">
    <cfRule type="containsText" dxfId="2350" priority="5237" operator="containsText" text="Pesquisa de Preços">
      <formula>NOT(ISERROR(SEARCH("Pesquisa de Preços",E79)))</formula>
    </cfRule>
  </conditionalFormatting>
  <conditionalFormatting sqref="E77">
    <cfRule type="containsText" dxfId="2349" priority="5234" operator="containsText" text="Pesquisa de Preços">
      <formula>NOT(ISERROR(SEARCH("Pesquisa de Preços",E77)))</formula>
    </cfRule>
  </conditionalFormatting>
  <conditionalFormatting sqref="E81">
    <cfRule type="containsText" dxfId="2348" priority="5236" operator="containsText" text="Pesquisa de Preços">
      <formula>NOT(ISERROR(SEARCH("Pesquisa de Preços",E81)))</formula>
    </cfRule>
  </conditionalFormatting>
  <conditionalFormatting sqref="E545">
    <cfRule type="containsText" dxfId="2347" priority="5072" operator="containsText" text="Pesquisa de Preços">
      <formula>NOT(ISERROR(SEARCH("Pesquisa de Preços",E545)))</formula>
    </cfRule>
  </conditionalFormatting>
  <conditionalFormatting sqref="E87">
    <cfRule type="containsText" dxfId="2346" priority="5228" operator="containsText" text="Pesquisa de Preços">
      <formula>NOT(ISERROR(SEARCH("Pesquisa de Preços",E87)))</formula>
    </cfRule>
  </conditionalFormatting>
  <conditionalFormatting sqref="E161">
    <cfRule type="containsText" dxfId="2345" priority="5230" operator="containsText" text="Pesquisa de Preços">
      <formula>NOT(ISERROR(SEARCH("Pesquisa de Preços",E161)))</formula>
    </cfRule>
  </conditionalFormatting>
  <conditionalFormatting sqref="E553">
    <cfRule type="containsText" dxfId="2344" priority="5069" operator="containsText" text="Pesquisa de Preços">
      <formula>NOT(ISERROR(SEARCH("Pesquisa de Preços",E553)))</formula>
    </cfRule>
  </conditionalFormatting>
  <conditionalFormatting sqref="E88">
    <cfRule type="containsText" dxfId="2343" priority="5229" operator="containsText" text="Pesquisa de Preços">
      <formula>NOT(ISERROR(SEARCH("Pesquisa de Preços",E88)))</formula>
    </cfRule>
  </conditionalFormatting>
  <conditionalFormatting sqref="E60">
    <cfRule type="containsText" dxfId="2342" priority="5227" operator="containsText" text="Pesquisa de Preços">
      <formula>NOT(ISERROR(SEARCH("Pesquisa de Preços",E60)))</formula>
    </cfRule>
  </conditionalFormatting>
  <conditionalFormatting sqref="E569">
    <cfRule type="containsText" dxfId="2341" priority="5060" operator="containsText" text="Pesquisa de Preços">
      <formula>NOT(ISERROR(SEARCH("Pesquisa de Preços",E569)))</formula>
    </cfRule>
  </conditionalFormatting>
  <conditionalFormatting sqref="E59">
    <cfRule type="containsText" dxfId="2340" priority="5226" operator="containsText" text="Pesquisa de Preços">
      <formula>NOT(ISERROR(SEARCH("Pesquisa de Preços",E59)))</formula>
    </cfRule>
  </conditionalFormatting>
  <conditionalFormatting sqref="E53">
    <cfRule type="containsText" dxfId="2339" priority="5225" operator="containsText" text="Pesquisa de Preços">
      <formula>NOT(ISERROR(SEARCH("Pesquisa de Preços",E53)))</formula>
    </cfRule>
  </conditionalFormatting>
  <conditionalFormatting sqref="E33">
    <cfRule type="containsText" dxfId="2338" priority="5222" operator="containsText" text="Pesquisa de Preços">
      <formula>NOT(ISERROR(SEARCH("Pesquisa de Preços",E33)))</formula>
    </cfRule>
  </conditionalFormatting>
  <conditionalFormatting sqref="E52">
    <cfRule type="containsText" dxfId="2337" priority="5224" operator="containsText" text="Pesquisa de Preços">
      <formula>NOT(ISERROR(SEARCH("Pesquisa de Preços",E52)))</formula>
    </cfRule>
  </conditionalFormatting>
  <conditionalFormatting sqref="E579">
    <cfRule type="containsText" dxfId="2336" priority="5058" operator="containsText" text="Pesquisa de Preços">
      <formula>NOT(ISERROR(SEARCH("Pesquisa de Preços",E579)))</formula>
    </cfRule>
  </conditionalFormatting>
  <conditionalFormatting sqref="E34:E35">
    <cfRule type="containsText" dxfId="2335" priority="5223" operator="containsText" text="Pesquisa de Preços">
      <formula>NOT(ISERROR(SEARCH("Pesquisa de Preços",E34)))</formula>
    </cfRule>
  </conditionalFormatting>
  <conditionalFormatting sqref="E98:E99">
    <cfRule type="containsText" dxfId="2334" priority="5219" operator="containsText" text="Pesquisa de Preços">
      <formula>NOT(ISERROR(SEARCH("Pesquisa de Preços",E98)))</formula>
    </cfRule>
  </conditionalFormatting>
  <conditionalFormatting sqref="E29">
    <cfRule type="containsText" dxfId="2333" priority="5221" operator="containsText" text="Pesquisa de Preços">
      <formula>NOT(ISERROR(SEARCH("Pesquisa de Preços",E29)))</formula>
    </cfRule>
  </conditionalFormatting>
  <conditionalFormatting sqref="E28">
    <cfRule type="containsText" dxfId="2332" priority="5220" operator="containsText" text="Pesquisa de Preços">
      <formula>NOT(ISERROR(SEARCH("Pesquisa de Preços",E28)))</formula>
    </cfRule>
  </conditionalFormatting>
  <conditionalFormatting sqref="E145:E146">
    <cfRule type="containsText" dxfId="2331" priority="5216" operator="containsText" text="Pesquisa de Preços">
      <formula>NOT(ISERROR(SEARCH("Pesquisa de Preços",E145)))</formula>
    </cfRule>
  </conditionalFormatting>
  <conditionalFormatting sqref="E42">
    <cfRule type="containsText" dxfId="2330" priority="5212" operator="containsText" text="Pesquisa de Preços">
      <formula>NOT(ISERROR(SEARCH("Pesquisa de Preços",E42)))</formula>
    </cfRule>
  </conditionalFormatting>
  <conditionalFormatting sqref="E97">
    <cfRule type="containsText" dxfId="2329" priority="5218" operator="containsText" text="Pesquisa de Preços">
      <formula>NOT(ISERROR(SEARCH("Pesquisa de Preços",E97)))</formula>
    </cfRule>
  </conditionalFormatting>
  <conditionalFormatting sqref="E100">
    <cfRule type="containsText" dxfId="2328" priority="5217" operator="containsText" text="Pesquisa de Preços">
      <formula>NOT(ISERROR(SEARCH("Pesquisa de Preços",E100)))</formula>
    </cfRule>
  </conditionalFormatting>
  <conditionalFormatting sqref="E180">
    <cfRule type="containsText" dxfId="2327" priority="5207" operator="containsText" text="Pesquisa de Preços">
      <formula>NOT(ISERROR(SEARCH("Pesquisa de Preços",E180)))</formula>
    </cfRule>
  </conditionalFormatting>
  <conditionalFormatting sqref="E144">
    <cfRule type="containsText" dxfId="2326" priority="5215" operator="containsText" text="Pesquisa de Preços">
      <formula>NOT(ISERROR(SEARCH("Pesquisa de Preços",E144)))</formula>
    </cfRule>
  </conditionalFormatting>
  <conditionalFormatting sqref="E24">
    <cfRule type="containsText" dxfId="2325" priority="5211" operator="containsText" text="Pesquisa de Preços">
      <formula>NOT(ISERROR(SEARCH("Pesquisa de Preços",E24)))</formula>
    </cfRule>
  </conditionalFormatting>
  <conditionalFormatting sqref="E147">
    <cfRule type="containsText" dxfId="2324" priority="5214" operator="containsText" text="Pesquisa de Preços">
      <formula>NOT(ISERROR(SEARCH("Pesquisa de Preços",E147)))</formula>
    </cfRule>
  </conditionalFormatting>
  <conditionalFormatting sqref="E43">
    <cfRule type="containsText" dxfId="2323" priority="5213" operator="containsText" text="Pesquisa de Preços">
      <formula>NOT(ISERROR(SEARCH("Pesquisa de Preços",E43)))</formula>
    </cfRule>
  </conditionalFormatting>
  <conditionalFormatting sqref="E23">
    <cfRule type="containsText" dxfId="2322" priority="5210" operator="containsText" text="Pesquisa de Preços">
      <formula>NOT(ISERROR(SEARCH("Pesquisa de Preços",E23)))</formula>
    </cfRule>
  </conditionalFormatting>
  <conditionalFormatting sqref="E117">
    <cfRule type="containsText" dxfId="2321" priority="5205" operator="containsText" text="Pesquisa de Preços">
      <formula>NOT(ISERROR(SEARCH("Pesquisa de Preços",E117)))</formula>
    </cfRule>
  </conditionalFormatting>
  <conditionalFormatting sqref="E179">
    <cfRule type="containsText" dxfId="2320" priority="5206" operator="containsText" text="Pesquisa de Preços">
      <formula>NOT(ISERROR(SEARCH("Pesquisa de Preços",E179)))</formula>
    </cfRule>
  </conditionalFormatting>
  <conditionalFormatting sqref="E38:E40">
    <cfRule type="containsText" dxfId="2319" priority="5209" operator="containsText" text="Pesquisa de Preços">
      <formula>NOT(ISERROR(SEARCH("Pesquisa de Preços",E38)))</formula>
    </cfRule>
  </conditionalFormatting>
  <conditionalFormatting sqref="E37">
    <cfRule type="containsText" dxfId="2318" priority="5208" operator="containsText" text="Pesquisa de Preços">
      <formula>NOT(ISERROR(SEARCH("Pesquisa de Preços",E37)))</formula>
    </cfRule>
  </conditionalFormatting>
  <conditionalFormatting sqref="E116">
    <cfRule type="containsText" dxfId="2317" priority="5204" operator="containsText" text="Pesquisa de Preços">
      <formula>NOT(ISERROR(SEARCH("Pesquisa de Preços",E116)))</formula>
    </cfRule>
  </conditionalFormatting>
  <conditionalFormatting sqref="E677">
    <cfRule type="containsText" dxfId="2316" priority="5054" operator="containsText" text="Pesquisa de Preços">
      <formula>NOT(ISERROR(SEARCH("Pesquisa de Preços",E677)))</formula>
    </cfRule>
  </conditionalFormatting>
  <conditionalFormatting sqref="E669">
    <cfRule type="containsText" dxfId="2315" priority="5052" operator="containsText" text="Pesquisa de Preços">
      <formula>NOT(ISERROR(SEARCH("Pesquisa de Preços",E669)))</formula>
    </cfRule>
  </conditionalFormatting>
  <conditionalFormatting sqref="E175">
    <cfRule type="containsText" dxfId="2314" priority="5202" operator="containsText" text="Pesquisa de Preços">
      <formula>NOT(ISERROR(SEARCH("Pesquisa de Preços",E175)))</formula>
    </cfRule>
  </conditionalFormatting>
  <conditionalFormatting sqref="E176:E177">
    <cfRule type="containsText" dxfId="2313" priority="5203" operator="containsText" text="Pesquisa de Preços">
      <formula>NOT(ISERROR(SEARCH("Pesquisa de Preços",E176)))</formula>
    </cfRule>
  </conditionalFormatting>
  <conditionalFormatting sqref="E219">
    <cfRule type="containsText" dxfId="2312" priority="5200" operator="containsText" text="Pesquisa de Preços">
      <formula>NOT(ISERROR(SEARCH("Pesquisa de Preços",E219)))</formula>
    </cfRule>
  </conditionalFormatting>
  <conditionalFormatting sqref="E220:E221">
    <cfRule type="containsText" dxfId="2311" priority="5201" operator="containsText" text="Pesquisa de Preços">
      <formula>NOT(ISERROR(SEARCH("Pesquisa de Preços",E220)))</formula>
    </cfRule>
  </conditionalFormatting>
  <conditionalFormatting sqref="E126">
    <cfRule type="containsText" dxfId="2310" priority="5197" operator="containsText" text="Pesquisa de Preços">
      <formula>NOT(ISERROR(SEARCH("Pesquisa de Preços",E126)))</formula>
    </cfRule>
  </conditionalFormatting>
  <conditionalFormatting sqref="E687:E688 E694:E695">
    <cfRule type="containsText" dxfId="2309" priority="5050" operator="containsText" text="Pesquisa de Preços">
      <formula>NOT(ISERROR(SEARCH("Pesquisa de Preços",E687)))</formula>
    </cfRule>
  </conditionalFormatting>
  <conditionalFormatting sqref="E222">
    <cfRule type="containsText" dxfId="2308" priority="5199" operator="containsText" text="Pesquisa de Preços">
      <formula>NOT(ISERROR(SEARCH("Pesquisa de Preços",E222)))</formula>
    </cfRule>
  </conditionalFormatting>
  <conditionalFormatting sqref="E127">
    <cfRule type="containsText" dxfId="2307" priority="5198" operator="containsText" text="Pesquisa de Preços">
      <formula>NOT(ISERROR(SEARCH("Pesquisa de Preços",E127)))</formula>
    </cfRule>
  </conditionalFormatting>
  <conditionalFormatting sqref="E715">
    <cfRule type="containsText" dxfId="2306" priority="5047" operator="containsText" text="Pesquisa de Preços">
      <formula>NOT(ISERROR(SEARCH("Pesquisa de Preços",E715)))</formula>
    </cfRule>
  </conditionalFormatting>
  <conditionalFormatting sqref="E167:E168">
    <cfRule type="containsText" dxfId="2305" priority="5196" operator="containsText" text="Pesquisa de Preços">
      <formula>NOT(ISERROR(SEARCH("Pesquisa de Preços",E167)))</formula>
    </cfRule>
  </conditionalFormatting>
  <conditionalFormatting sqref="E166">
    <cfRule type="containsText" dxfId="2304" priority="5195" operator="containsText" text="Pesquisa de Preços">
      <formula>NOT(ISERROR(SEARCH("Pesquisa de Preços",E166)))</formula>
    </cfRule>
  </conditionalFormatting>
  <conditionalFormatting sqref="E731">
    <cfRule type="containsText" dxfId="2303" priority="5045" operator="containsText" text="Pesquisa de Preços">
      <formula>NOT(ISERROR(SEARCH("Pesquisa de Preços",E731)))</formula>
    </cfRule>
  </conditionalFormatting>
  <conditionalFormatting sqref="E169">
    <cfRule type="containsText" dxfId="2302" priority="5194" operator="containsText" text="Pesquisa de Preços">
      <formula>NOT(ISERROR(SEARCH("Pesquisa de Preços",E169)))</formula>
    </cfRule>
  </conditionalFormatting>
  <conditionalFormatting sqref="E83">
    <cfRule type="containsText" dxfId="2301" priority="5193" operator="containsText" text="Pesquisa de Preços">
      <formula>NOT(ISERROR(SEARCH("Pesquisa de Preços",E83)))</formula>
    </cfRule>
  </conditionalFormatting>
  <conditionalFormatting sqref="E82">
    <cfRule type="containsText" dxfId="2300" priority="5192" operator="containsText" text="Pesquisa de Preços">
      <formula>NOT(ISERROR(SEARCH("Pesquisa de Preços",E82)))</formula>
    </cfRule>
  </conditionalFormatting>
  <conditionalFormatting sqref="E112">
    <cfRule type="containsText" dxfId="2299" priority="5191" operator="containsText" text="Pesquisa de Preços">
      <formula>NOT(ISERROR(SEARCH("Pesquisa de Preços",E112)))</formula>
    </cfRule>
  </conditionalFormatting>
  <conditionalFormatting sqref="E211:E212">
    <cfRule type="containsText" dxfId="2298" priority="5189" operator="containsText" text="Pesquisa de Preços">
      <formula>NOT(ISERROR(SEARCH("Pesquisa de Preços",E211)))</formula>
    </cfRule>
  </conditionalFormatting>
  <conditionalFormatting sqref="E111">
    <cfRule type="containsText" dxfId="2297" priority="5190" operator="containsText" text="Pesquisa de Preços">
      <formula>NOT(ISERROR(SEARCH("Pesquisa de Preços",E111)))</formula>
    </cfRule>
  </conditionalFormatting>
  <conditionalFormatting sqref="E201">
    <cfRule type="containsText" dxfId="2296" priority="5186" operator="containsText" text="Pesquisa de Preços">
      <formula>NOT(ISERROR(SEARCH("Pesquisa de Preços",E201)))</formula>
    </cfRule>
  </conditionalFormatting>
  <conditionalFormatting sqref="E210">
    <cfRule type="containsText" dxfId="2295" priority="5188" operator="containsText" text="Pesquisa de Preços">
      <formula>NOT(ISERROR(SEARCH("Pesquisa de Preços",E210)))</formula>
    </cfRule>
  </conditionalFormatting>
  <conditionalFormatting sqref="E202">
    <cfRule type="containsText" dxfId="2294" priority="5187" operator="containsText" text="Pesquisa de Preços">
      <formula>NOT(ISERROR(SEARCH("Pesquisa de Preços",E202)))</formula>
    </cfRule>
  </conditionalFormatting>
  <conditionalFormatting sqref="E198:E199">
    <cfRule type="containsText" dxfId="2293" priority="5184" operator="containsText" text="Pesquisa de Preços">
      <formula>NOT(ISERROR(SEARCH("Pesquisa de Preços",E198)))</formula>
    </cfRule>
  </conditionalFormatting>
  <conditionalFormatting sqref="E203:E204">
    <cfRule type="containsText" dxfId="2292" priority="5185" operator="containsText" text="Pesquisa de Preços">
      <formula>NOT(ISERROR(SEARCH("Pesquisa de Preços",E203)))</formula>
    </cfRule>
  </conditionalFormatting>
  <conditionalFormatting sqref="E197">
    <cfRule type="containsText" dxfId="2291" priority="5183" operator="containsText" text="Pesquisa de Preços">
      <formula>NOT(ISERROR(SEARCH("Pesquisa de Preços",E197)))</formula>
    </cfRule>
  </conditionalFormatting>
  <conditionalFormatting sqref="E70:E71 E75:E76">
    <cfRule type="containsText" dxfId="2290" priority="5182" operator="containsText" text="Pesquisa de Preços">
      <formula>NOT(ISERROR(SEARCH("Pesquisa de Preços",E70)))</formula>
    </cfRule>
  </conditionalFormatting>
  <conditionalFormatting sqref="E69">
    <cfRule type="containsText" dxfId="2289" priority="5181" operator="containsText" text="Pesquisa de Preços">
      <formula>NOT(ISERROR(SEARCH("Pesquisa de Preços",E69)))</formula>
    </cfRule>
  </conditionalFormatting>
  <conditionalFormatting sqref="E72:E74">
    <cfRule type="containsText" dxfId="2288" priority="5180" operator="containsText" text="Pesquisa de Preços">
      <formula>NOT(ISERROR(SEARCH("Pesquisa de Preços",E72)))</formula>
    </cfRule>
  </conditionalFormatting>
  <conditionalFormatting sqref="E136:E137">
    <cfRule type="containsText" dxfId="2287" priority="5179" operator="containsText" text="Pesquisa de Preços">
      <formula>NOT(ISERROR(SEARCH("Pesquisa de Preços",E136)))</formula>
    </cfRule>
  </conditionalFormatting>
  <conditionalFormatting sqref="E135">
    <cfRule type="containsText" dxfId="2286" priority="5178" operator="containsText" text="Pesquisa de Preços">
      <formula>NOT(ISERROR(SEARCH("Pesquisa de Preços",E135)))</formula>
    </cfRule>
  </conditionalFormatting>
  <conditionalFormatting sqref="E140:E141">
    <cfRule type="containsText" dxfId="2285" priority="5177" operator="containsText" text="Pesquisa de Preços">
      <formula>NOT(ISERROR(SEARCH("Pesquisa de Preços",E140)))</formula>
    </cfRule>
  </conditionalFormatting>
  <conditionalFormatting sqref="E139">
    <cfRule type="containsText" dxfId="2284" priority="5176" operator="containsText" text="Pesquisa de Preços">
      <formula>NOT(ISERROR(SEARCH("Pesquisa de Preços",E139)))</formula>
    </cfRule>
  </conditionalFormatting>
  <conditionalFormatting sqref="E791 E793:E802">
    <cfRule type="containsText" dxfId="2283" priority="5039" operator="containsText" text="Pesquisa de Preços">
      <formula>NOT(ISERROR(SEARCH("Pesquisa de Preços",E791)))</formula>
    </cfRule>
  </conditionalFormatting>
  <conditionalFormatting sqref="E155:E157">
    <cfRule type="containsText" dxfId="2282" priority="5175" operator="containsText" text="Pesquisa de Preços">
      <formula>NOT(ISERROR(SEARCH("Pesquisa de Preços",E155)))</formula>
    </cfRule>
  </conditionalFormatting>
  <conditionalFormatting sqref="E154">
    <cfRule type="containsText" dxfId="2281" priority="5174" operator="containsText" text="Pesquisa de Preços">
      <formula>NOT(ISERROR(SEARCH("Pesquisa de Preços",E154)))</formula>
    </cfRule>
  </conditionalFormatting>
  <conditionalFormatting sqref="E833">
    <cfRule type="containsText" dxfId="2280" priority="5037" operator="containsText" text="Pesquisa de Preços">
      <formula>NOT(ISERROR(SEARCH("Pesquisa de Preços",E833)))</formula>
    </cfRule>
  </conditionalFormatting>
  <conditionalFormatting sqref="E93">
    <cfRule type="containsText" dxfId="2279" priority="5173" operator="containsText" text="Pesquisa de Preços">
      <formula>NOT(ISERROR(SEARCH("Pesquisa de Preços",E93)))</formula>
    </cfRule>
  </conditionalFormatting>
  <conditionalFormatting sqref="E92">
    <cfRule type="containsText" dxfId="2278" priority="5172" operator="containsText" text="Pesquisa de Preços">
      <formula>NOT(ISERROR(SEARCH("Pesquisa de Preços",E92)))</formula>
    </cfRule>
  </conditionalFormatting>
  <conditionalFormatting sqref="E815:E816">
    <cfRule type="containsText" dxfId="2277" priority="5035" operator="containsText" text="Pesquisa de Preços">
      <formula>NOT(ISERROR(SEARCH("Pesquisa de Preços",E815)))</formula>
    </cfRule>
  </conditionalFormatting>
  <conditionalFormatting sqref="E48:E49">
    <cfRule type="containsText" dxfId="2276" priority="5171" operator="containsText" text="Pesquisa de Preços">
      <formula>NOT(ISERROR(SEARCH("Pesquisa de Preços",E48)))</formula>
    </cfRule>
  </conditionalFormatting>
  <conditionalFormatting sqref="E47">
    <cfRule type="containsText" dxfId="2275" priority="5170" operator="containsText" text="Pesquisa de Preços">
      <formula>NOT(ISERROR(SEARCH("Pesquisa de Preços",E47)))</formula>
    </cfRule>
  </conditionalFormatting>
  <conditionalFormatting sqref="E50">
    <cfRule type="containsText" dxfId="2274" priority="5169" operator="containsText" text="Pesquisa de Preços">
      <formula>NOT(ISERROR(SEARCH("Pesquisa de Preços",E50)))</formula>
    </cfRule>
  </conditionalFormatting>
  <conditionalFormatting sqref="E191:E192">
    <cfRule type="containsText" dxfId="2273" priority="5168" operator="containsText" text="Pesquisa de Preços">
      <formula>NOT(ISERROR(SEARCH("Pesquisa de Preços",E191)))</formula>
    </cfRule>
  </conditionalFormatting>
  <conditionalFormatting sqref="E190">
    <cfRule type="containsText" dxfId="2272" priority="5167" operator="containsText" text="Pesquisa de Preços">
      <formula>NOT(ISERROR(SEARCH("Pesquisa de Preços",E190)))</formula>
    </cfRule>
  </conditionalFormatting>
  <conditionalFormatting sqref="E749:E750 E753:E754">
    <cfRule type="containsText" dxfId="2271" priority="5033" operator="containsText" text="Pesquisa de Preços">
      <formula>NOT(ISERROR(SEARCH("Pesquisa de Preços",E749)))</formula>
    </cfRule>
  </conditionalFormatting>
  <conditionalFormatting sqref="E193">
    <cfRule type="containsText" dxfId="2270" priority="5166" operator="containsText" text="Pesquisa de Preços">
      <formula>NOT(ISERROR(SEARCH("Pesquisa de Preços",E193)))</formula>
    </cfRule>
  </conditionalFormatting>
  <conditionalFormatting sqref="E215:E216">
    <cfRule type="containsText" dxfId="2269" priority="5165" operator="containsText" text="Pesquisa de Preços">
      <formula>NOT(ISERROR(SEARCH("Pesquisa de Preços",E215)))</formula>
    </cfRule>
  </conditionalFormatting>
  <conditionalFormatting sqref="E214">
    <cfRule type="containsText" dxfId="2268" priority="5164" operator="containsText" text="Pesquisa de Preços">
      <formula>NOT(ISERROR(SEARCH("Pesquisa de Preços",E214)))</formula>
    </cfRule>
  </conditionalFormatting>
  <conditionalFormatting sqref="E217">
    <cfRule type="containsText" dxfId="2267" priority="5163" operator="containsText" text="Pesquisa de Preços">
      <formula>NOT(ISERROR(SEARCH("Pesquisa de Preços",E217)))</formula>
    </cfRule>
  </conditionalFormatting>
  <conditionalFormatting sqref="E122:E123">
    <cfRule type="containsText" dxfId="2266" priority="5162" operator="containsText" text="Pesquisa de Preços">
      <formula>NOT(ISERROR(SEARCH("Pesquisa de Preços",E122)))</formula>
    </cfRule>
  </conditionalFormatting>
  <conditionalFormatting sqref="E121">
    <cfRule type="containsText" dxfId="2265" priority="5161" operator="containsText" text="Pesquisa de Preços">
      <formula>NOT(ISERROR(SEARCH("Pesquisa de Preços",E121)))</formula>
    </cfRule>
  </conditionalFormatting>
  <conditionalFormatting sqref="E756:E757">
    <cfRule type="containsText" dxfId="2264" priority="5030" operator="containsText" text="Pesquisa de Preços">
      <formula>NOT(ISERROR(SEARCH("Pesquisa de Preços",E756)))</formula>
    </cfRule>
  </conditionalFormatting>
  <conditionalFormatting sqref="E124">
    <cfRule type="containsText" dxfId="2263" priority="5160" operator="containsText" text="Pesquisa de Preços">
      <formula>NOT(ISERROR(SEARCH("Pesquisa de Preços",E124)))</formula>
    </cfRule>
  </conditionalFormatting>
  <conditionalFormatting sqref="E107:E108">
    <cfRule type="containsText" dxfId="2262" priority="5159" operator="containsText" text="Pesquisa de Preços">
      <formula>NOT(ISERROR(SEARCH("Pesquisa de Preços",E107)))</formula>
    </cfRule>
  </conditionalFormatting>
  <conditionalFormatting sqref="E106">
    <cfRule type="containsText" dxfId="2261" priority="5158" operator="containsText" text="Pesquisa de Preços">
      <formula>NOT(ISERROR(SEARCH("Pesquisa de Preços",E106)))</formula>
    </cfRule>
  </conditionalFormatting>
  <conditionalFormatting sqref="E824 E826">
    <cfRule type="containsText" dxfId="2260" priority="5027" operator="containsText" text="Pesquisa de Preços">
      <formula>NOT(ISERROR(SEARCH("Pesquisa de Preços",E824)))</formula>
    </cfRule>
  </conditionalFormatting>
  <conditionalFormatting sqref="E109">
    <cfRule type="containsText" dxfId="2259" priority="5157" operator="containsText" text="Pesquisa de Preços">
      <formula>NOT(ISERROR(SEARCH("Pesquisa de Preços",E109)))</formula>
    </cfRule>
  </conditionalFormatting>
  <conditionalFormatting sqref="E132">
    <cfRule type="containsText" dxfId="2258" priority="5156" operator="containsText" text="Pesquisa de Preços">
      <formula>NOT(ISERROR(SEARCH("Pesquisa de Preços",E132)))</formula>
    </cfRule>
  </conditionalFormatting>
  <conditionalFormatting sqref="E131">
    <cfRule type="containsText" dxfId="2257" priority="5155" operator="containsText" text="Pesquisa de Preços">
      <formula>NOT(ISERROR(SEARCH("Pesquisa de Preços",E131)))</formula>
    </cfRule>
  </conditionalFormatting>
  <conditionalFormatting sqref="E828">
    <cfRule type="containsText" dxfId="2256" priority="5025" operator="containsText" text="Pesquisa de Preços">
      <formula>NOT(ISERROR(SEARCH("Pesquisa de Preços",E828)))</formula>
    </cfRule>
  </conditionalFormatting>
  <conditionalFormatting sqref="E65:E66">
    <cfRule type="containsText" dxfId="2255" priority="5154" operator="containsText" text="Pesquisa de Preços">
      <formula>NOT(ISERROR(SEARCH("Pesquisa de Preços",E65)))</formula>
    </cfRule>
  </conditionalFormatting>
  <conditionalFormatting sqref="E64">
    <cfRule type="containsText" dxfId="2254" priority="5153" operator="containsText" text="Pesquisa de Preços">
      <formula>NOT(ISERROR(SEARCH("Pesquisa de Preços",E64)))</formula>
    </cfRule>
  </conditionalFormatting>
  <conditionalFormatting sqref="E805">
    <cfRule type="containsText" dxfId="2253" priority="5023" operator="containsText" text="Pesquisa de Preços">
      <formula>NOT(ISERROR(SEARCH("Pesquisa de Preços",E805)))</formula>
    </cfRule>
  </conditionalFormatting>
  <conditionalFormatting sqref="E67">
    <cfRule type="containsText" dxfId="2252" priority="5152" operator="containsText" text="Pesquisa de Preços">
      <formula>NOT(ISERROR(SEARCH("Pesquisa de Preços",E67)))</formula>
    </cfRule>
  </conditionalFormatting>
  <conditionalFormatting sqref="E283">
    <cfRule type="containsText" dxfId="2251" priority="5141" operator="containsText" text="Pesquisa de Preços">
      <formula>NOT(ISERROR(SEARCH("Pesquisa de Preços",E283)))</formula>
    </cfRule>
  </conditionalFormatting>
  <conditionalFormatting sqref="E268">
    <cfRule type="containsText" dxfId="2250" priority="5138" operator="containsText" text="Pesquisa de Preços">
      <formula>NOT(ISERROR(SEARCH("Pesquisa de Preços",E268)))</formula>
    </cfRule>
  </conditionalFormatting>
  <conditionalFormatting sqref="E321">
    <cfRule type="containsText" dxfId="2249" priority="5136" operator="containsText" text="Pesquisa de Preços">
      <formula>NOT(ISERROR(SEARCH("Pesquisa de Preços",E321)))</formula>
    </cfRule>
  </conditionalFormatting>
  <conditionalFormatting sqref="E305">
    <cfRule type="containsText" dxfId="2248" priority="5133" operator="containsText" text="Pesquisa de Preços">
      <formula>NOT(ISERROR(SEARCH("Pesquisa de Preços",E305)))</formula>
    </cfRule>
  </conditionalFormatting>
  <conditionalFormatting sqref="E342:E343">
    <cfRule type="containsText" dxfId="2247" priority="5131" operator="containsText" text="Pesquisa de Preços">
      <formula>NOT(ISERROR(SEARCH("Pesquisa de Preços",E342)))</formula>
    </cfRule>
  </conditionalFormatting>
  <conditionalFormatting sqref="E290">
    <cfRule type="containsText" dxfId="2246" priority="5125" operator="containsText" text="Pesquisa de Preços">
      <formula>NOT(ISERROR(SEARCH("Pesquisa de Preços",E290)))</formula>
    </cfRule>
  </conditionalFormatting>
  <conditionalFormatting sqref="E327:E328">
    <cfRule type="containsText" dxfId="2245" priority="5123" operator="containsText" text="Pesquisa de Preços">
      <formula>NOT(ISERROR(SEARCH("Pesquisa de Preços",E327)))</formula>
    </cfRule>
  </conditionalFormatting>
  <conditionalFormatting sqref="E401">
    <cfRule type="containsText" dxfId="2244" priority="5113" operator="containsText" text="Pesquisa de Preços">
      <formula>NOT(ISERROR(SEARCH("Pesquisa de Preços",E401)))</formula>
    </cfRule>
  </conditionalFormatting>
  <conditionalFormatting sqref="E416 E421">
    <cfRule type="containsText" dxfId="2243" priority="5112" operator="containsText" text="Pesquisa de Preços">
      <formula>NOT(ISERROR(SEARCH("Pesquisa de Preços",E416)))</formula>
    </cfRule>
  </conditionalFormatting>
  <conditionalFormatting sqref="E434">
    <cfRule type="containsText" dxfId="2242" priority="5106" operator="containsText" text="Pesquisa de Preços">
      <formula>NOT(ISERROR(SEARCH("Pesquisa de Preços",E434)))</formula>
    </cfRule>
  </conditionalFormatting>
  <conditionalFormatting sqref="E247">
    <cfRule type="containsText" dxfId="2241" priority="5151" operator="containsText" text="Pesquisa de Preços">
      <formula>NOT(ISERROR(SEARCH("Pesquisa de Preços",E247)))</formula>
    </cfRule>
  </conditionalFormatting>
  <conditionalFormatting sqref="E249:E250">
    <cfRule type="containsText" dxfId="2240" priority="5150" operator="containsText" text="Pesquisa de Preços">
      <formula>NOT(ISERROR(SEARCH("Pesquisa de Preços",E249)))</formula>
    </cfRule>
  </conditionalFormatting>
  <conditionalFormatting sqref="E248">
    <cfRule type="containsText" dxfId="2239" priority="5149" operator="containsText" text="Pesquisa de Preços">
      <formula>NOT(ISERROR(SEARCH("Pesquisa de Preços",E248)))</formula>
    </cfRule>
  </conditionalFormatting>
  <conditionalFormatting sqref="E1093:E1095">
    <cfRule type="containsText" dxfId="2238" priority="4961" operator="containsText" text="Pesquisa de Preços">
      <formula>NOT(ISERROR(SEARCH("Pesquisa de Preços",E1093)))</formula>
    </cfRule>
  </conditionalFormatting>
  <conditionalFormatting sqref="E251:E261">
    <cfRule type="containsText" dxfId="2237" priority="5148" operator="containsText" text="Pesquisa de Preços">
      <formula>NOT(ISERROR(SEARCH("Pesquisa de Preços",E251)))</formula>
    </cfRule>
  </conditionalFormatting>
  <conditionalFormatting sqref="E264:E265">
    <cfRule type="containsText" dxfId="2236" priority="5147" operator="containsText" text="Pesquisa de Preços">
      <formula>NOT(ISERROR(SEARCH("Pesquisa de Preços",E264)))</formula>
    </cfRule>
  </conditionalFormatting>
  <conditionalFormatting sqref="E263">
    <cfRule type="containsText" dxfId="2235" priority="5146" operator="containsText" text="Pesquisa de Preços">
      <formula>NOT(ISERROR(SEARCH("Pesquisa de Preços",E263)))</formula>
    </cfRule>
  </conditionalFormatting>
  <conditionalFormatting sqref="E277:E278 E281:E282">
    <cfRule type="containsText" dxfId="2234" priority="5145" operator="containsText" text="Pesquisa de Preços">
      <formula>NOT(ISERROR(SEARCH("Pesquisa de Preços",E277)))</formula>
    </cfRule>
  </conditionalFormatting>
  <conditionalFormatting sqref="E276">
    <cfRule type="containsText" dxfId="2233" priority="5144" operator="containsText" text="Pesquisa de Preços">
      <formula>NOT(ISERROR(SEARCH("Pesquisa de Preços",E276)))</formula>
    </cfRule>
  </conditionalFormatting>
  <conditionalFormatting sqref="E279:E280">
    <cfRule type="containsText" dxfId="2232" priority="5143" operator="containsText" text="Pesquisa de Preços">
      <formula>NOT(ISERROR(SEARCH("Pesquisa de Preços",E279)))</formula>
    </cfRule>
  </conditionalFormatting>
  <conditionalFormatting sqref="E284:E285 E288:E289">
    <cfRule type="containsText" dxfId="2231" priority="5142" operator="containsText" text="Pesquisa de Preços">
      <formula>NOT(ISERROR(SEARCH("Pesquisa de Preços",E284)))</formula>
    </cfRule>
  </conditionalFormatting>
  <conditionalFormatting sqref="E286:E287">
    <cfRule type="containsText" dxfId="2230" priority="5140" operator="containsText" text="Pesquisa de Preços">
      <formula>NOT(ISERROR(SEARCH("Pesquisa de Preços",E286)))</formula>
    </cfRule>
  </conditionalFormatting>
  <conditionalFormatting sqref="E269:E270 E274:E275">
    <cfRule type="containsText" dxfId="2229" priority="5139" operator="containsText" text="Pesquisa de Preços">
      <formula>NOT(ISERROR(SEARCH("Pesquisa de Preços",E269)))</formula>
    </cfRule>
  </conditionalFormatting>
  <conditionalFormatting sqref="E271:E273">
    <cfRule type="containsText" dxfId="2228" priority="5137" operator="containsText" text="Pesquisa de Preços">
      <formula>NOT(ISERROR(SEARCH("Pesquisa de Preços",E271)))</formula>
    </cfRule>
  </conditionalFormatting>
  <conditionalFormatting sqref="E320">
    <cfRule type="containsText" dxfId="2227" priority="5135" operator="containsText" text="Pesquisa de Preços">
      <formula>NOT(ISERROR(SEARCH("Pesquisa de Preços",E320)))</formula>
    </cfRule>
  </conditionalFormatting>
  <conditionalFormatting sqref="E532:E533 E535:E536">
    <cfRule type="containsText" dxfId="2226" priority="5083" operator="containsText" text="Pesquisa de Preços">
      <formula>NOT(ISERROR(SEARCH("Pesquisa de Preços",E532)))</formula>
    </cfRule>
  </conditionalFormatting>
  <conditionalFormatting sqref="E306">
    <cfRule type="containsText" dxfId="2225" priority="5134" operator="containsText" text="Pesquisa de Preços">
      <formula>NOT(ISERROR(SEARCH("Pesquisa de Preços",E306)))</formula>
    </cfRule>
  </conditionalFormatting>
  <conditionalFormatting sqref="E312:E314">
    <cfRule type="containsText" dxfId="2224" priority="5132" operator="containsText" text="Pesquisa de Preços">
      <formula>NOT(ISERROR(SEARCH("Pesquisa de Preços",E312)))</formula>
    </cfRule>
  </conditionalFormatting>
  <conditionalFormatting sqref="E341">
    <cfRule type="containsText" dxfId="2223" priority="5130" operator="containsText" text="Pesquisa de Preços">
      <formula>NOT(ISERROR(SEARCH("Pesquisa de Preços",E341)))</formula>
    </cfRule>
  </conditionalFormatting>
  <conditionalFormatting sqref="E1286">
    <cfRule type="containsText" dxfId="2222" priority="4885" operator="containsText" text="Pesquisa de Preços">
      <formula>NOT(ISERROR(SEARCH("Pesquisa de Preços",E1286)))</formula>
    </cfRule>
  </conditionalFormatting>
  <conditionalFormatting sqref="E352">
    <cfRule type="containsText" dxfId="2221" priority="5129" operator="containsText" text="Pesquisa de Preços">
      <formula>NOT(ISERROR(SEARCH("Pesquisa de Preços",E352)))</formula>
    </cfRule>
  </conditionalFormatting>
  <conditionalFormatting sqref="E351">
    <cfRule type="containsText" dxfId="2220" priority="5128" operator="containsText" text="Pesquisa de Preços">
      <formula>NOT(ISERROR(SEARCH("Pesquisa de Preços",E351)))</formula>
    </cfRule>
  </conditionalFormatting>
  <conditionalFormatting sqref="E355:E358">
    <cfRule type="containsText" dxfId="2219" priority="5127" operator="containsText" text="Pesquisa de Preços">
      <formula>NOT(ISERROR(SEARCH("Pesquisa de Preços",E355)))</formula>
    </cfRule>
  </conditionalFormatting>
  <conditionalFormatting sqref="E291:E292">
    <cfRule type="containsText" dxfId="2218" priority="5126" operator="containsText" text="Pesquisa de Preços">
      <formula>NOT(ISERROR(SEARCH("Pesquisa de Preços",E291)))</formula>
    </cfRule>
  </conditionalFormatting>
  <conditionalFormatting sqref="E298:E299">
    <cfRule type="containsText" dxfId="2217" priority="5124" operator="containsText" text="Pesquisa de Preços">
      <formula>NOT(ISERROR(SEARCH("Pesquisa de Preços",E298)))</formula>
    </cfRule>
  </conditionalFormatting>
  <conditionalFormatting sqref="E326">
    <cfRule type="containsText" dxfId="2216" priority="5122" operator="containsText" text="Pesquisa de Preços">
      <formula>NOT(ISERROR(SEARCH("Pesquisa de Preços",E326)))</formula>
    </cfRule>
  </conditionalFormatting>
  <conditionalFormatting sqref="E329:E339">
    <cfRule type="containsText" dxfId="2215" priority="5121" operator="containsText" text="Pesquisa de Preços">
      <formula>NOT(ISERROR(SEARCH("Pesquisa de Preços",E329)))</formula>
    </cfRule>
  </conditionalFormatting>
  <conditionalFormatting sqref="E366:E367 E369:E370">
    <cfRule type="containsText" dxfId="2214" priority="5120" operator="containsText" text="Pesquisa de Preços">
      <formula>NOT(ISERROR(SEARCH("Pesquisa de Preços",E366)))</formula>
    </cfRule>
  </conditionalFormatting>
  <conditionalFormatting sqref="E365">
    <cfRule type="containsText" dxfId="2213" priority="5119" operator="containsText" text="Pesquisa de Preços">
      <formula>NOT(ISERROR(SEARCH("Pesquisa de Preços",E365)))</formula>
    </cfRule>
  </conditionalFormatting>
  <conditionalFormatting sqref="E368">
    <cfRule type="containsText" dxfId="2212" priority="5118" operator="containsText" text="Pesquisa de Preços">
      <formula>NOT(ISERROR(SEARCH("Pesquisa de Preços",E368)))</formula>
    </cfRule>
  </conditionalFormatting>
  <conditionalFormatting sqref="E372:E373 E378:E379">
    <cfRule type="containsText" dxfId="2211" priority="5117" operator="containsText" text="Pesquisa de Preços">
      <formula>NOT(ISERROR(SEARCH("Pesquisa de Preços",E372)))</formula>
    </cfRule>
  </conditionalFormatting>
  <conditionalFormatting sqref="E371">
    <cfRule type="containsText" dxfId="2210" priority="5116" operator="containsText" text="Pesquisa de Preços">
      <formula>NOT(ISERROR(SEARCH("Pesquisa de Preços",E371)))</formula>
    </cfRule>
  </conditionalFormatting>
  <conditionalFormatting sqref="E374:E377">
    <cfRule type="containsText" dxfId="2209" priority="5115" operator="containsText" text="Pesquisa de Preços">
      <formula>NOT(ISERROR(SEARCH("Pesquisa de Preços",E374)))</formula>
    </cfRule>
  </conditionalFormatting>
  <conditionalFormatting sqref="E402">
    <cfRule type="containsText" dxfId="2208" priority="5114" operator="containsText" text="Pesquisa de Preços">
      <formula>NOT(ISERROR(SEARCH("Pesquisa de Preços",E402)))</formula>
    </cfRule>
  </conditionalFormatting>
  <conditionalFormatting sqref="E415">
    <cfRule type="containsText" dxfId="2207" priority="5111" operator="containsText" text="Pesquisa de Preços">
      <formula>NOT(ISERROR(SEARCH("Pesquisa de Preços",E415)))</formula>
    </cfRule>
  </conditionalFormatting>
  <conditionalFormatting sqref="E441:E442 E444:E445">
    <cfRule type="containsText" dxfId="2206" priority="5110" operator="containsText" text="Pesquisa de Preços">
      <formula>NOT(ISERROR(SEARCH("Pesquisa de Preços",E441)))</formula>
    </cfRule>
  </conditionalFormatting>
  <conditionalFormatting sqref="E440">
    <cfRule type="containsText" dxfId="2205" priority="5109" operator="containsText" text="Pesquisa de Preços">
      <formula>NOT(ISERROR(SEARCH("Pesquisa de Preços",E440)))</formula>
    </cfRule>
  </conditionalFormatting>
  <conditionalFormatting sqref="E443">
    <cfRule type="containsText" dxfId="2204" priority="5108" operator="containsText" text="Pesquisa de Preços">
      <formula>NOT(ISERROR(SEARCH("Pesquisa de Preços",E443)))</formula>
    </cfRule>
  </conditionalFormatting>
  <conditionalFormatting sqref="E435:E436 E438:E439">
    <cfRule type="containsText" dxfId="2203" priority="5107" operator="containsText" text="Pesquisa de Preços">
      <formula>NOT(ISERROR(SEARCH("Pesquisa de Preços",E435)))</formula>
    </cfRule>
  </conditionalFormatting>
  <conditionalFormatting sqref="E437">
    <cfRule type="containsText" dxfId="2202" priority="5105" operator="containsText" text="Pesquisa de Preços">
      <formula>NOT(ISERROR(SEARCH("Pesquisa de Preços",E437)))</formula>
    </cfRule>
  </conditionalFormatting>
  <conditionalFormatting sqref="E455:E456 E459:E463">
    <cfRule type="containsText" dxfId="2201" priority="5104" operator="containsText" text="Pesquisa de Preços">
      <formula>NOT(ISERROR(SEARCH("Pesquisa de Preços",E455)))</formula>
    </cfRule>
  </conditionalFormatting>
  <conditionalFormatting sqref="E454">
    <cfRule type="containsText" dxfId="2200" priority="5103" operator="containsText" text="Pesquisa de Preços">
      <formula>NOT(ISERROR(SEARCH("Pesquisa de Preços",E454)))</formula>
    </cfRule>
  </conditionalFormatting>
  <conditionalFormatting sqref="E458">
    <cfRule type="containsText" dxfId="2199" priority="5102" operator="containsText" text="Pesquisa de Preços">
      <formula>NOT(ISERROR(SEARCH("Pesquisa de Preços",E458)))</formula>
    </cfRule>
  </conditionalFormatting>
  <conditionalFormatting sqref="E465:E466 E469:E470">
    <cfRule type="containsText" dxfId="2198" priority="5101" operator="containsText" text="Pesquisa de Preços">
      <formula>NOT(ISERROR(SEARCH("Pesquisa de Preços",E465)))</formula>
    </cfRule>
  </conditionalFormatting>
  <conditionalFormatting sqref="E464">
    <cfRule type="containsText" dxfId="2197" priority="5100" operator="containsText" text="Pesquisa de Preços">
      <formula>NOT(ISERROR(SEARCH("Pesquisa de Preços",E464)))</formula>
    </cfRule>
  </conditionalFormatting>
  <conditionalFormatting sqref="E468">
    <cfRule type="containsText" dxfId="2196" priority="5099" operator="containsText" text="Pesquisa de Preços">
      <formula>NOT(ISERROR(SEARCH("Pesquisa de Preços",E468)))</formula>
    </cfRule>
  </conditionalFormatting>
  <conditionalFormatting sqref="E472 E482">
    <cfRule type="containsText" dxfId="2195" priority="5098" operator="containsText" text="Pesquisa de Preços">
      <formula>NOT(ISERROR(SEARCH("Pesquisa de Preços",E472)))</formula>
    </cfRule>
  </conditionalFormatting>
  <conditionalFormatting sqref="E471">
    <cfRule type="containsText" dxfId="2194" priority="5097" operator="containsText" text="Pesquisa de Preços">
      <formula>NOT(ISERROR(SEARCH("Pesquisa de Preços",E471)))</formula>
    </cfRule>
  </conditionalFormatting>
  <conditionalFormatting sqref="E447 E451 E453">
    <cfRule type="containsText" dxfId="2193" priority="5096" operator="containsText" text="Pesquisa de Preços">
      <formula>NOT(ISERROR(SEARCH("Pesquisa de Preços",E447)))</formula>
    </cfRule>
  </conditionalFormatting>
  <conditionalFormatting sqref="E446">
    <cfRule type="containsText" dxfId="2192" priority="5095" operator="containsText" text="Pesquisa de Preços">
      <formula>NOT(ISERROR(SEARCH("Pesquisa de Preços",E446)))</formula>
    </cfRule>
  </conditionalFormatting>
  <conditionalFormatting sqref="E484:E485 E487:E488">
    <cfRule type="containsText" dxfId="2191" priority="5094" operator="containsText" text="Pesquisa de Preços">
      <formula>NOT(ISERROR(SEARCH("Pesquisa de Preços",E484)))</formula>
    </cfRule>
  </conditionalFormatting>
  <conditionalFormatting sqref="E483">
    <cfRule type="containsText" dxfId="2190" priority="5093" operator="containsText" text="Pesquisa de Preços">
      <formula>NOT(ISERROR(SEARCH("Pesquisa de Preços",E483)))</formula>
    </cfRule>
  </conditionalFormatting>
  <conditionalFormatting sqref="E486">
    <cfRule type="containsText" dxfId="2189" priority="5092" operator="containsText" text="Pesquisa de Preços">
      <formula>NOT(ISERROR(SEARCH("Pesquisa de Preços",E486)))</formula>
    </cfRule>
  </conditionalFormatting>
  <conditionalFormatting sqref="E505:E506 E509:E510">
    <cfRule type="containsText" dxfId="2188" priority="5091" operator="containsText" text="Pesquisa de Preços">
      <formula>NOT(ISERROR(SEARCH("Pesquisa de Preços",E505)))</formula>
    </cfRule>
  </conditionalFormatting>
  <conditionalFormatting sqref="E504">
    <cfRule type="containsText" dxfId="2187" priority="5090" operator="containsText" text="Pesquisa de Preços">
      <formula>NOT(ISERROR(SEARCH("Pesquisa de Preços",E504)))</formula>
    </cfRule>
  </conditionalFormatting>
  <conditionalFormatting sqref="E1266">
    <cfRule type="containsText" dxfId="2186" priority="4898" operator="containsText" text="Pesquisa de Preços">
      <formula>NOT(ISERROR(SEARCH("Pesquisa de Preços",E1266)))</formula>
    </cfRule>
  </conditionalFormatting>
  <conditionalFormatting sqref="E507:E508">
    <cfRule type="containsText" dxfId="2185" priority="5089" operator="containsText" text="Pesquisa de Preços">
      <formula>NOT(ISERROR(SEARCH("Pesquisa de Preços",E507)))</formula>
    </cfRule>
  </conditionalFormatting>
  <conditionalFormatting sqref="E498 E503">
    <cfRule type="containsText" dxfId="2184" priority="5088" operator="containsText" text="Pesquisa de Preços">
      <formula>NOT(ISERROR(SEARCH("Pesquisa de Preços",E498)))</formula>
    </cfRule>
  </conditionalFormatting>
  <conditionalFormatting sqref="E497">
    <cfRule type="containsText" dxfId="2183" priority="5087" operator="containsText" text="Pesquisa de Preços">
      <formula>NOT(ISERROR(SEARCH("Pesquisa de Preços",E497)))</formula>
    </cfRule>
  </conditionalFormatting>
  <conditionalFormatting sqref="E1300">
    <cfRule type="containsText" dxfId="2182" priority="4895" operator="containsText" text="Pesquisa de Preços">
      <formula>NOT(ISERROR(SEARCH("Pesquisa de Preços",E1300)))</formula>
    </cfRule>
  </conditionalFormatting>
  <conditionalFormatting sqref="E512:E513 E515:E516">
    <cfRule type="containsText" dxfId="2181" priority="5086" operator="containsText" text="Pesquisa de Preços">
      <formula>NOT(ISERROR(SEARCH("Pesquisa de Preços",E512)))</formula>
    </cfRule>
  </conditionalFormatting>
  <conditionalFormatting sqref="E511">
    <cfRule type="containsText" dxfId="2180" priority="5085" operator="containsText" text="Pesquisa de Preços">
      <formula>NOT(ISERROR(SEARCH("Pesquisa de Preços",E511)))</formula>
    </cfRule>
  </conditionalFormatting>
  <conditionalFormatting sqref="E1308">
    <cfRule type="containsText" dxfId="2179" priority="4892" operator="containsText" text="Pesquisa de Preços">
      <formula>NOT(ISERROR(SEARCH("Pesquisa de Preços",E1308)))</formula>
    </cfRule>
  </conditionalFormatting>
  <conditionalFormatting sqref="E531">
    <cfRule type="containsText" dxfId="2178" priority="5082" operator="containsText" text="Pesquisa de Preços">
      <formula>NOT(ISERROR(SEARCH("Pesquisa de Preços",E531)))</formula>
    </cfRule>
  </conditionalFormatting>
  <conditionalFormatting sqref="E1272">
    <cfRule type="containsText" dxfId="2177" priority="4890" operator="containsText" text="Pesquisa de Preços">
      <formula>NOT(ISERROR(SEARCH("Pesquisa de Preços",E1272)))</formula>
    </cfRule>
  </conditionalFormatting>
  <conditionalFormatting sqref="E534">
    <cfRule type="containsText" dxfId="2176" priority="5081" operator="containsText" text="Pesquisa de Preços">
      <formula>NOT(ISERROR(SEARCH("Pesquisa de Preços",E534)))</formula>
    </cfRule>
  </conditionalFormatting>
  <conditionalFormatting sqref="E489">
    <cfRule type="containsText" dxfId="2175" priority="5079" operator="containsText" text="Pesquisa de Preços">
      <formula>NOT(ISERROR(SEARCH("Pesquisa de Preços",E489)))</formula>
    </cfRule>
  </conditionalFormatting>
  <conditionalFormatting sqref="E1279">
    <cfRule type="containsText" dxfId="2174" priority="4887" operator="containsText" text="Pesquisa de Preços">
      <formula>NOT(ISERROR(SEARCH("Pesquisa de Preços",E1279)))</formula>
    </cfRule>
  </conditionalFormatting>
  <conditionalFormatting sqref="E525:E530">
    <cfRule type="containsText" dxfId="2173" priority="5078" operator="containsText" text="Pesquisa de Preços">
      <formula>NOT(ISERROR(SEARCH("Pesquisa de Preços",E525)))</formula>
    </cfRule>
  </conditionalFormatting>
  <conditionalFormatting sqref="E524">
    <cfRule type="containsText" dxfId="2172" priority="5077" operator="containsText" text="Pesquisa de Preços">
      <formula>NOT(ISERROR(SEARCH("Pesquisa de Preços",E524)))</formula>
    </cfRule>
  </conditionalFormatting>
  <conditionalFormatting sqref="E518 E523">
    <cfRule type="containsText" dxfId="2171" priority="5075" operator="containsText" text="Pesquisa de Preços">
      <formula>NOT(ISERROR(SEARCH("Pesquisa de Preços",E518)))</formula>
    </cfRule>
  </conditionalFormatting>
  <conditionalFormatting sqref="E517">
    <cfRule type="containsText" dxfId="2170" priority="5074" operator="containsText" text="Pesquisa de Preços">
      <formula>NOT(ISERROR(SEARCH("Pesquisa de Preços",E517)))</formula>
    </cfRule>
  </conditionalFormatting>
  <conditionalFormatting sqref="E1293">
    <cfRule type="containsText" dxfId="2169" priority="4883" operator="containsText" text="Pesquisa de Preços">
      <formula>NOT(ISERROR(SEARCH("Pesquisa de Preços",E1293)))</formula>
    </cfRule>
  </conditionalFormatting>
  <conditionalFormatting sqref="E546:E547 E551:E552">
    <cfRule type="containsText" dxfId="2168" priority="5073" operator="containsText" text="Pesquisa de Preços">
      <formula>NOT(ISERROR(SEARCH("Pesquisa de Preços",E546)))</formula>
    </cfRule>
  </conditionalFormatting>
  <conditionalFormatting sqref="E1335">
    <cfRule type="containsText" dxfId="2167" priority="4881" operator="containsText" text="Pesquisa de Preços">
      <formula>NOT(ISERROR(SEARCH("Pesquisa de Preços",E1335)))</formula>
    </cfRule>
  </conditionalFormatting>
  <conditionalFormatting sqref="E548:E550">
    <cfRule type="containsText" dxfId="2166" priority="5071" operator="containsText" text="Pesquisa de Preços">
      <formula>NOT(ISERROR(SEARCH("Pesquisa de Preços",E548)))</formula>
    </cfRule>
  </conditionalFormatting>
  <conditionalFormatting sqref="E554:E555 E559:E560">
    <cfRule type="containsText" dxfId="2165" priority="5070" operator="containsText" text="Pesquisa de Preços">
      <formula>NOT(ISERROR(SEARCH("Pesquisa de Preços",E554)))</formula>
    </cfRule>
  </conditionalFormatting>
  <conditionalFormatting sqref="E1329">
    <cfRule type="containsText" dxfId="2164" priority="4879" operator="containsText" text="Pesquisa de Preços">
      <formula>NOT(ISERROR(SEARCH("Pesquisa de Preços",E1329)))</formula>
    </cfRule>
  </conditionalFormatting>
  <conditionalFormatting sqref="E556:E558">
    <cfRule type="containsText" dxfId="2163" priority="5068" operator="containsText" text="Pesquisa de Preços">
      <formula>NOT(ISERROR(SEARCH("Pesquisa de Preços",E556)))</formula>
    </cfRule>
  </conditionalFormatting>
  <conditionalFormatting sqref="E538:E539 E543:E544">
    <cfRule type="containsText" dxfId="2162" priority="5067" operator="containsText" text="Pesquisa de Preços">
      <formula>NOT(ISERROR(SEARCH("Pesquisa de Preços",E538)))</formula>
    </cfRule>
  </conditionalFormatting>
  <conditionalFormatting sqref="E537">
    <cfRule type="containsText" dxfId="2161" priority="5066" operator="containsText" text="Pesquisa de Preços">
      <formula>NOT(ISERROR(SEARCH("Pesquisa de Preços",E537)))</formula>
    </cfRule>
  </conditionalFormatting>
  <conditionalFormatting sqref="E1323">
    <cfRule type="containsText" dxfId="2160" priority="4877" operator="containsText" text="Pesquisa de Preços">
      <formula>NOT(ISERROR(SEARCH("Pesquisa de Preços",E1323)))</formula>
    </cfRule>
  </conditionalFormatting>
  <conditionalFormatting sqref="E540:E542">
    <cfRule type="containsText" dxfId="2159" priority="5065" operator="containsText" text="Pesquisa de Preços">
      <formula>NOT(ISERROR(SEARCH("Pesquisa de Preços",E540)))</formula>
    </cfRule>
  </conditionalFormatting>
  <conditionalFormatting sqref="E562:E563 E567:E568">
    <cfRule type="containsText" dxfId="2158" priority="5064" operator="containsText" text="Pesquisa de Preços">
      <formula>NOT(ISERROR(SEARCH("Pesquisa de Preços",E562)))</formula>
    </cfRule>
  </conditionalFormatting>
  <conditionalFormatting sqref="E561">
    <cfRule type="containsText" dxfId="2157" priority="5063" operator="containsText" text="Pesquisa de Preços">
      <formula>NOT(ISERROR(SEARCH("Pesquisa de Preços",E561)))</formula>
    </cfRule>
  </conditionalFormatting>
  <conditionalFormatting sqref="E1317">
    <cfRule type="containsText" dxfId="2156" priority="4875" operator="containsText" text="Pesquisa de Preços">
      <formula>NOT(ISERROR(SEARCH("Pesquisa de Preços",E1317)))</formula>
    </cfRule>
  </conditionalFormatting>
  <conditionalFormatting sqref="E564:E566">
    <cfRule type="containsText" dxfId="2155" priority="5062" operator="containsText" text="Pesquisa de Preços">
      <formula>NOT(ISERROR(SEARCH("Pesquisa de Preços",E564)))</formula>
    </cfRule>
  </conditionalFormatting>
  <conditionalFormatting sqref="E570:E571">
    <cfRule type="containsText" dxfId="2154" priority="5061" operator="containsText" text="Pesquisa de Preços">
      <formula>NOT(ISERROR(SEARCH("Pesquisa de Preços",E570)))</formula>
    </cfRule>
  </conditionalFormatting>
  <conditionalFormatting sqref="E1341">
    <cfRule type="containsText" dxfId="2153" priority="4873" operator="containsText" text="Pesquisa de Preços">
      <formula>NOT(ISERROR(SEARCH("Pesquisa de Preços",E1341)))</formula>
    </cfRule>
  </conditionalFormatting>
  <conditionalFormatting sqref="E580:E581 E584:E587">
    <cfRule type="containsText" dxfId="2152" priority="5059" operator="containsText" text="Pesquisa de Preços">
      <formula>NOT(ISERROR(SEARCH("Pesquisa de Preços",E580)))</formula>
    </cfRule>
  </conditionalFormatting>
  <conditionalFormatting sqref="E1354">
    <cfRule type="containsText" dxfId="2151" priority="4870" operator="containsText" text="Pesquisa de Preços">
      <formula>NOT(ISERROR(SEARCH("Pesquisa de Preços",E1354)))</formula>
    </cfRule>
  </conditionalFormatting>
  <conditionalFormatting sqref="E582:E583">
    <cfRule type="containsText" dxfId="2150" priority="5057" operator="containsText" text="Pesquisa de Preços">
      <formula>NOT(ISERROR(SEARCH("Pesquisa de Preços",E582)))</formula>
    </cfRule>
  </conditionalFormatting>
  <conditionalFormatting sqref="E622 E627:E628">
    <cfRule type="containsText" dxfId="2149" priority="5056" operator="containsText" text="Pesquisa de Preços">
      <formula>NOT(ISERROR(SEARCH("Pesquisa de Preços",E622)))</formula>
    </cfRule>
  </conditionalFormatting>
  <conditionalFormatting sqref="E621">
    <cfRule type="containsText" dxfId="2148" priority="5055" operator="containsText" text="Pesquisa de Preços">
      <formula>NOT(ISERROR(SEARCH("Pesquisa de Preços",E621)))</formula>
    </cfRule>
  </conditionalFormatting>
  <conditionalFormatting sqref="E1348">
    <cfRule type="containsText" dxfId="2147" priority="4867" operator="containsText" text="Pesquisa de Preços">
      <formula>NOT(ISERROR(SEARCH("Pesquisa de Preços",E1348)))</formula>
    </cfRule>
  </conditionalFormatting>
  <conditionalFormatting sqref="E1465">
    <cfRule type="containsText" dxfId="2146" priority="4830" operator="containsText" text="Pesquisa de Preços">
      <formula>NOT(ISERROR(SEARCH("Pesquisa de Preços",E1465)))</formula>
    </cfRule>
  </conditionalFormatting>
  <conditionalFormatting sqref="E832">
    <cfRule type="containsText" dxfId="2145" priority="5036" operator="containsText" text="Pesquisa de Preços">
      <formula>NOT(ISERROR(SEARCH("Pesquisa de Preços",E832)))</formula>
    </cfRule>
  </conditionalFormatting>
  <conditionalFormatting sqref="E1578">
    <cfRule type="containsText" dxfId="2144" priority="4826" operator="containsText" text="Pesquisa de Preços">
      <formula>NOT(ISERROR(SEARCH("Pesquisa de Preços",E1578)))</formula>
    </cfRule>
  </conditionalFormatting>
  <conditionalFormatting sqref="E748">
    <cfRule type="containsText" dxfId="2143" priority="5032" operator="containsText" text="Pesquisa de Preços">
      <formula>NOT(ISERROR(SEARCH("Pesquisa de Preços",E748)))</formula>
    </cfRule>
  </conditionalFormatting>
  <conditionalFormatting sqref="E676">
    <cfRule type="containsText" dxfId="2142" priority="5053" operator="containsText" text="Pesquisa de Preços">
      <formula>NOT(ISERROR(SEARCH("Pesquisa de Preços",E676)))</formula>
    </cfRule>
  </conditionalFormatting>
  <conditionalFormatting sqref="E668">
    <cfRule type="containsText" dxfId="2141" priority="5051" operator="containsText" text="Pesquisa de Preços">
      <formula>NOT(ISERROR(SEARCH("Pesquisa de Preços",E668)))</formula>
    </cfRule>
  </conditionalFormatting>
  <conditionalFormatting sqref="E714">
    <cfRule type="containsText" dxfId="2140" priority="5046" operator="containsText" text="Pesquisa de Preços">
      <formula>NOT(ISERROR(SEARCH("Pesquisa de Preços",E714)))</formula>
    </cfRule>
  </conditionalFormatting>
  <conditionalFormatting sqref="E686">
    <cfRule type="containsText" dxfId="2139" priority="5049" operator="containsText" text="Pesquisa de Preços">
      <formula>NOT(ISERROR(SEARCH("Pesquisa de Preços",E686)))</formula>
    </cfRule>
  </conditionalFormatting>
  <conditionalFormatting sqref="E758:E764">
    <cfRule type="containsText" dxfId="2138" priority="5028" operator="containsText" text="Pesquisa de Preços">
      <formula>NOT(ISERROR(SEARCH("Pesquisa de Preços",E758)))</formula>
    </cfRule>
  </conditionalFormatting>
  <conditionalFormatting sqref="E689:E691">
    <cfRule type="containsText" dxfId="2137" priority="5048" operator="containsText" text="Pesquisa de Preços">
      <formula>NOT(ISERROR(SEARCH("Pesquisa de Preços",E689)))</formula>
    </cfRule>
  </conditionalFormatting>
  <conditionalFormatting sqref="E724">
    <cfRule type="containsText" dxfId="2136" priority="5043" operator="containsText" text="Pesquisa de Preços">
      <formula>NOT(ISERROR(SEARCH("Pesquisa de Preços",E724)))</formula>
    </cfRule>
  </conditionalFormatting>
  <conditionalFormatting sqref="E730">
    <cfRule type="containsText" dxfId="2135" priority="5044" operator="containsText" text="Pesquisa de Preços">
      <formula>NOT(ISERROR(SEARCH("Pesquisa de Preços",E730)))</formula>
    </cfRule>
  </conditionalFormatting>
  <conditionalFormatting sqref="E827">
    <cfRule type="containsText" dxfId="2134" priority="5024" operator="containsText" text="Pesquisa de Preços">
      <formula>NOT(ISERROR(SEARCH("Pesquisa de Preços",E827)))</formula>
    </cfRule>
  </conditionalFormatting>
  <conditionalFormatting sqref="E723">
    <cfRule type="containsText" dxfId="2133" priority="5042" operator="containsText" text="Pesquisa de Preços">
      <formula>NOT(ISERROR(SEARCH("Pesquisa de Preços",E723)))</formula>
    </cfRule>
  </conditionalFormatting>
  <conditionalFormatting sqref="E767">
    <cfRule type="containsText" dxfId="2132" priority="5019" operator="containsText" text="Pesquisa de Preços">
      <formula>NOT(ISERROR(SEARCH("Pesquisa de Preços",E767)))</formula>
    </cfRule>
  </conditionalFormatting>
  <conditionalFormatting sqref="E839">
    <cfRule type="containsText" dxfId="2131" priority="5013" operator="containsText" text="Pesquisa de Preços">
      <formula>NOT(ISERROR(SEARCH("Pesquisa de Preços",E839)))</formula>
    </cfRule>
  </conditionalFormatting>
  <conditionalFormatting sqref="E745:E746">
    <cfRule type="containsText" dxfId="2130" priority="5041" operator="containsText" text="Pesquisa de Preços">
      <formula>NOT(ISERROR(SEARCH("Pesquisa de Preços",E745)))</formula>
    </cfRule>
  </conditionalFormatting>
  <conditionalFormatting sqref="E744">
    <cfRule type="containsText" dxfId="2129" priority="5040" operator="containsText" text="Pesquisa de Preços">
      <formula>NOT(ISERROR(SEARCH("Pesquisa de Preços",E744)))</formula>
    </cfRule>
  </conditionalFormatting>
  <conditionalFormatting sqref="E1420">
    <cfRule type="containsText" dxfId="2128" priority="4832" operator="containsText" text="Pesquisa de Preços">
      <formula>NOT(ISERROR(SEARCH("Pesquisa de Preços",E1420)))</formula>
    </cfRule>
  </conditionalFormatting>
  <conditionalFormatting sqref="E790">
    <cfRule type="containsText" dxfId="2127" priority="5038" operator="containsText" text="Pesquisa de Preços">
      <formula>NOT(ISERROR(SEARCH("Pesquisa de Preços",E790)))</formula>
    </cfRule>
  </conditionalFormatting>
  <conditionalFormatting sqref="E814">
    <cfRule type="containsText" dxfId="2126" priority="5034" operator="containsText" text="Pesquisa de Preços">
      <formula>NOT(ISERROR(SEARCH("Pesquisa de Preços",E814)))</formula>
    </cfRule>
  </conditionalFormatting>
  <conditionalFormatting sqref="E751:E752">
    <cfRule type="containsText" dxfId="2125" priority="5031" operator="containsText" text="Pesquisa de Preços">
      <formula>NOT(ISERROR(SEARCH("Pesquisa de Preços",E751)))</formula>
    </cfRule>
  </conditionalFormatting>
  <conditionalFormatting sqref="E755">
    <cfRule type="containsText" dxfId="2124" priority="5029" operator="containsText" text="Pesquisa de Preços">
      <formula>NOT(ISERROR(SEARCH("Pesquisa de Preços",E755)))</formula>
    </cfRule>
  </conditionalFormatting>
  <conditionalFormatting sqref="E948">
    <cfRule type="containsText" dxfId="2123" priority="4996" operator="containsText" text="Pesquisa de Preços">
      <formula>NOT(ISERROR(SEARCH("Pesquisa de Preços",E948)))</formula>
    </cfRule>
  </conditionalFormatting>
  <conditionalFormatting sqref="E823">
    <cfRule type="containsText" dxfId="2122" priority="5026" operator="containsText" text="Pesquisa de Preços">
      <formula>NOT(ISERROR(SEARCH("Pesquisa de Preços",E823)))</formula>
    </cfRule>
  </conditionalFormatting>
  <conditionalFormatting sqref="E1669">
    <cfRule type="containsText" dxfId="2121" priority="4790" operator="containsText" text="Pesquisa de Preços">
      <formula>NOT(ISERROR(SEARCH("Pesquisa de Preços",E1669)))</formula>
    </cfRule>
  </conditionalFormatting>
  <conditionalFormatting sqref="E804">
    <cfRule type="containsText" dxfId="2120" priority="5022" operator="containsText" text="Pesquisa de Preços">
      <formula>NOT(ISERROR(SEARCH("Pesquisa de Preços",E804)))</formula>
    </cfRule>
  </conditionalFormatting>
  <conditionalFormatting sqref="E980">
    <cfRule type="containsText" dxfId="2119" priority="4990" operator="containsText" text="Pesquisa de Preços">
      <formula>NOT(ISERROR(SEARCH("Pesquisa de Preços",E980)))</formula>
    </cfRule>
  </conditionalFormatting>
  <conditionalFormatting sqref="E819 E822">
    <cfRule type="containsText" dxfId="2118" priority="5021" operator="containsText" text="Pesquisa de Preços">
      <formula>NOT(ISERROR(SEARCH("Pesquisa de Preços",E819)))</formula>
    </cfRule>
  </conditionalFormatting>
  <conditionalFormatting sqref="E818">
    <cfRule type="containsText" dxfId="2117" priority="5020" operator="containsText" text="Pesquisa de Preços">
      <formula>NOT(ISERROR(SEARCH("Pesquisa de Preços",E818)))</formula>
    </cfRule>
  </conditionalFormatting>
  <conditionalFormatting sqref="E983:E988">
    <cfRule type="containsText" dxfId="2116" priority="4989" operator="containsText" text="Pesquisa de Preços">
      <formula>NOT(ISERROR(SEARCH("Pesquisa de Preços",E983)))</formula>
    </cfRule>
  </conditionalFormatting>
  <conditionalFormatting sqref="E766">
    <cfRule type="containsText" dxfId="2115" priority="5018" operator="containsText" text="Pesquisa de Preços">
      <formula>NOT(ISERROR(SEARCH("Pesquisa de Preços",E766)))</formula>
    </cfRule>
  </conditionalFormatting>
  <conditionalFormatting sqref="E1012">
    <cfRule type="containsText" dxfId="2114" priority="4984" operator="containsText" text="Pesquisa de Preços">
      <formula>NOT(ISERROR(SEARCH("Pesquisa de Preços",E1012)))</formula>
    </cfRule>
  </conditionalFormatting>
  <conditionalFormatting sqref="E184:E185">
    <cfRule type="containsText" dxfId="2113" priority="5017" operator="containsText" text="Pesquisa de Preços">
      <formula>NOT(ISERROR(SEARCH("Pesquisa de Preços",E184)))</formula>
    </cfRule>
  </conditionalFormatting>
  <conditionalFormatting sqref="E183">
    <cfRule type="containsText" dxfId="2112" priority="5016" operator="containsText" text="Pesquisa de Preços">
      <formula>NOT(ISERROR(SEARCH("Pesquisa de Preços",E183)))</formula>
    </cfRule>
  </conditionalFormatting>
  <conditionalFormatting sqref="E1015:E1018">
    <cfRule type="containsText" dxfId="2111" priority="4983" operator="containsText" text="Pesquisa de Preços">
      <formula>NOT(ISERROR(SEARCH("Pesquisa de Preços",E1015)))</formula>
    </cfRule>
  </conditionalFormatting>
  <conditionalFormatting sqref="E186:E188">
    <cfRule type="containsText" dxfId="2110" priority="5015" operator="containsText" text="Pesquisa de Preços">
      <formula>NOT(ISERROR(SEARCH("Pesquisa de Preços",E186)))</formula>
    </cfRule>
  </conditionalFormatting>
  <conditionalFormatting sqref="E840 E843:E844">
    <cfRule type="containsText" dxfId="2109" priority="5014" operator="containsText" text="Pesquisa de Preços">
      <formula>NOT(ISERROR(SEARCH("Pesquisa de Preços",E840)))</formula>
    </cfRule>
  </conditionalFormatting>
  <conditionalFormatting sqref="E1713">
    <cfRule type="containsText" dxfId="2108" priority="4782" operator="containsText" text="Pesquisa de Preços">
      <formula>NOT(ISERROR(SEARCH("Pesquisa de Preços",E1713)))</formula>
    </cfRule>
  </conditionalFormatting>
  <conditionalFormatting sqref="E842">
    <cfRule type="containsText" dxfId="2107" priority="5012" operator="containsText" text="Pesquisa de Preços">
      <formula>NOT(ISERROR(SEARCH("Pesquisa de Preços",E842)))</formula>
    </cfRule>
  </conditionalFormatting>
  <conditionalFormatting sqref="E914:E920">
    <cfRule type="containsText" dxfId="2106" priority="5011" operator="containsText" text="Pesquisa de Preços">
      <formula>NOT(ISERROR(SEARCH("Pesquisa de Preços",E914)))</formula>
    </cfRule>
  </conditionalFormatting>
  <conditionalFormatting sqref="E913">
    <cfRule type="containsText" dxfId="2105" priority="5010" operator="containsText" text="Pesquisa de Preços">
      <formula>NOT(ISERROR(SEARCH("Pesquisa de Preços",E913)))</formula>
    </cfRule>
  </conditionalFormatting>
  <conditionalFormatting sqref="E939:E945">
    <cfRule type="containsText" dxfId="2104" priority="5009" operator="containsText" text="Pesquisa de Preços">
      <formula>NOT(ISERROR(SEARCH("Pesquisa de Preços",E939)))</formula>
    </cfRule>
  </conditionalFormatting>
  <conditionalFormatting sqref="E938">
    <cfRule type="containsText" dxfId="2103" priority="5008" operator="containsText" text="Pesquisa de Preços">
      <formula>NOT(ISERROR(SEARCH("Pesquisa de Preços",E938)))</formula>
    </cfRule>
  </conditionalFormatting>
  <conditionalFormatting sqref="E1635">
    <cfRule type="containsText" dxfId="2102" priority="4804" operator="containsText" text="Pesquisa de Preços">
      <formula>NOT(ISERROR(SEARCH("Pesquisa de Preços",E1635)))</formula>
    </cfRule>
  </conditionalFormatting>
  <conditionalFormatting sqref="E930">
    <cfRule type="containsText" dxfId="2101" priority="5007" operator="containsText" text="Pesquisa de Preços">
      <formula>NOT(ISERROR(SEARCH("Pesquisa de Preços",E930)))</formula>
    </cfRule>
  </conditionalFormatting>
  <conditionalFormatting sqref="E929">
    <cfRule type="containsText" dxfId="2100" priority="5006" operator="containsText" text="Pesquisa de Preços">
      <formula>NOT(ISERROR(SEARCH("Pesquisa de Preços",E929)))</formula>
    </cfRule>
  </conditionalFormatting>
  <conditionalFormatting sqref="E1640">
    <cfRule type="containsText" dxfId="2099" priority="4802" operator="containsText" text="Pesquisa de Preços">
      <formula>NOT(ISERROR(SEARCH("Pesquisa de Preços",E1640)))</formula>
    </cfRule>
  </conditionalFormatting>
  <conditionalFormatting sqref="E922">
    <cfRule type="containsText" dxfId="2098" priority="5004" operator="containsText" text="Pesquisa de Preços">
      <formula>NOT(ISERROR(SEARCH("Pesquisa de Preços",E922)))</formula>
    </cfRule>
  </conditionalFormatting>
  <conditionalFormatting sqref="E923 E928">
    <cfRule type="containsText" dxfId="2097" priority="5005" operator="containsText" text="Pesquisa de Preços">
      <formula>NOT(ISERROR(SEARCH("Pesquisa de Preços",E923)))</formula>
    </cfRule>
  </conditionalFormatting>
  <conditionalFormatting sqref="E1611">
    <cfRule type="containsText" dxfId="2096" priority="4798" operator="containsText" text="Pesquisa de Preços">
      <formula>NOT(ISERROR(SEARCH("Pesquisa de Preços",E1611)))</formula>
    </cfRule>
  </conditionalFormatting>
  <conditionalFormatting sqref="E969:E971">
    <cfRule type="containsText" dxfId="2095" priority="5001" operator="containsText" text="Pesquisa de Preços">
      <formula>NOT(ISERROR(SEARCH("Pesquisa de Preços",E969)))</formula>
    </cfRule>
  </conditionalFormatting>
  <conditionalFormatting sqref="E967:E968">
    <cfRule type="containsText" dxfId="2094" priority="5003" operator="containsText" text="Pesquisa de Preços">
      <formula>NOT(ISERROR(SEARCH("Pesquisa de Preços",E967)))</formula>
    </cfRule>
  </conditionalFormatting>
  <conditionalFormatting sqref="E966">
    <cfRule type="containsText" dxfId="2093" priority="5002" operator="containsText" text="Pesquisa de Preços">
      <formula>NOT(ISERROR(SEARCH("Pesquisa de Preços",E966)))</formula>
    </cfRule>
  </conditionalFormatting>
  <conditionalFormatting sqref="E960">
    <cfRule type="containsText" dxfId="2092" priority="5000" operator="containsText" text="Pesquisa de Preços">
      <formula>NOT(ISERROR(SEARCH("Pesquisa de Preços",E960)))</formula>
    </cfRule>
  </conditionalFormatting>
  <conditionalFormatting sqref="E959">
    <cfRule type="containsText" dxfId="2091" priority="4999" operator="containsText" text="Pesquisa de Preços">
      <formula>NOT(ISERROR(SEARCH("Pesquisa de Preços",E959)))</formula>
    </cfRule>
  </conditionalFormatting>
  <conditionalFormatting sqref="E954 E958">
    <cfRule type="containsText" dxfId="2090" priority="4998" operator="containsText" text="Pesquisa de Preços">
      <formula>NOT(ISERROR(SEARCH("Pesquisa de Preços",E954)))</formula>
    </cfRule>
  </conditionalFormatting>
  <conditionalFormatting sqref="E953">
    <cfRule type="containsText" dxfId="2089" priority="4997" operator="containsText" text="Pesquisa de Preços">
      <formula>NOT(ISERROR(SEARCH("Pesquisa de Preços",E953)))</formula>
    </cfRule>
  </conditionalFormatting>
  <conditionalFormatting sqref="E1059">
    <cfRule type="containsText" dxfId="2088" priority="4964" operator="containsText" text="Pesquisa de Preços">
      <formula>NOT(ISERROR(SEARCH("Pesquisa de Preços",E1059)))</formula>
    </cfRule>
  </conditionalFormatting>
  <conditionalFormatting sqref="E973">
    <cfRule type="containsText" dxfId="2087" priority="4993" operator="containsText" text="Pesquisa de Preços">
      <formula>NOT(ISERROR(SEARCH("Pesquisa de Preços",E973)))</formula>
    </cfRule>
  </conditionalFormatting>
  <conditionalFormatting sqref="E947">
    <cfRule type="containsText" dxfId="2086" priority="4995" operator="containsText" text="Pesquisa de Preços">
      <formula>NOT(ISERROR(SEARCH("Pesquisa de Preços",E947)))</formula>
    </cfRule>
  </conditionalFormatting>
  <conditionalFormatting sqref="E974:E975 E978:E979">
    <cfRule type="containsText" dxfId="2085" priority="4994" operator="containsText" text="Pesquisa de Preços">
      <formula>NOT(ISERROR(SEARCH("Pesquisa de Preços",E974)))</formula>
    </cfRule>
  </conditionalFormatting>
  <conditionalFormatting sqref="E976:E977">
    <cfRule type="containsText" dxfId="2084" priority="4992" operator="containsText" text="Pesquisa de Preços">
      <formula>NOT(ISERROR(SEARCH("Pesquisa de Preços",E976)))</formula>
    </cfRule>
  </conditionalFormatting>
  <conditionalFormatting sqref="E981:E982 E989:E990">
    <cfRule type="containsText" dxfId="2083" priority="4991" operator="containsText" text="Pesquisa de Preços">
      <formula>NOT(ISERROR(SEARCH("Pesquisa de Preços",E981)))</formula>
    </cfRule>
  </conditionalFormatting>
  <conditionalFormatting sqref="E1658">
    <cfRule type="containsText" dxfId="2082" priority="4788" operator="containsText" text="Pesquisa de Preços">
      <formula>NOT(ISERROR(SEARCH("Pesquisa de Preços",E1658)))</formula>
    </cfRule>
  </conditionalFormatting>
  <conditionalFormatting sqref="E992:E993 E1000:E1001">
    <cfRule type="containsText" dxfId="2081" priority="4988" operator="containsText" text="Pesquisa de Preços">
      <formula>NOT(ISERROR(SEARCH("Pesquisa de Preços",E992)))</formula>
    </cfRule>
  </conditionalFormatting>
  <conditionalFormatting sqref="E991">
    <cfRule type="containsText" dxfId="2080" priority="4987" operator="containsText" text="Pesquisa de Preços">
      <formula>NOT(ISERROR(SEARCH("Pesquisa de Preços",E991)))</formula>
    </cfRule>
  </conditionalFormatting>
  <conditionalFormatting sqref="E1735">
    <cfRule type="containsText" dxfId="2079" priority="4786" operator="containsText" text="Pesquisa de Preços">
      <formula>NOT(ISERROR(SEARCH("Pesquisa de Preços",E1735)))</formula>
    </cfRule>
  </conditionalFormatting>
  <conditionalFormatting sqref="E998:E999 E994:E996">
    <cfRule type="containsText" dxfId="2078" priority="4986" operator="containsText" text="Pesquisa de Preços">
      <formula>NOT(ISERROR(SEARCH("Pesquisa de Preços",E994)))</formula>
    </cfRule>
  </conditionalFormatting>
  <conditionalFormatting sqref="E1013:E1014 E1019:E1020">
    <cfRule type="containsText" dxfId="2077" priority="4985" operator="containsText" text="Pesquisa de Preços">
      <formula>NOT(ISERROR(SEARCH("Pesquisa de Preços",E1013)))</formula>
    </cfRule>
  </conditionalFormatting>
  <conditionalFormatting sqref="E1746">
    <cfRule type="containsText" dxfId="2076" priority="4784" operator="containsText" text="Pesquisa de Preços">
      <formula>NOT(ISERROR(SEARCH("Pesquisa de Preços",E1746)))</formula>
    </cfRule>
  </conditionalFormatting>
  <conditionalFormatting sqref="E1003:E1004">
    <cfRule type="containsText" dxfId="2075" priority="4982" operator="containsText" text="Pesquisa de Preços">
      <formula>NOT(ISERROR(SEARCH("Pesquisa de Preços",E1003)))</formula>
    </cfRule>
  </conditionalFormatting>
  <conditionalFormatting sqref="E1002">
    <cfRule type="containsText" dxfId="2074" priority="4981" operator="containsText" text="Pesquisa de Preços">
      <formula>NOT(ISERROR(SEARCH("Pesquisa de Preços",E1002)))</formula>
    </cfRule>
  </conditionalFormatting>
  <conditionalFormatting sqref="E1007">
    <cfRule type="containsText" dxfId="2073" priority="4979" operator="containsText" text="Pesquisa de Preços">
      <formula>NOT(ISERROR(SEARCH("Pesquisa de Preços",E1007)))</formula>
    </cfRule>
  </conditionalFormatting>
  <conditionalFormatting sqref="E1008:E1009">
    <cfRule type="containsText" dxfId="2072" priority="4980" operator="containsText" text="Pesquisa de Preços">
      <formula>NOT(ISERROR(SEARCH("Pesquisa de Preços",E1008)))</formula>
    </cfRule>
  </conditionalFormatting>
  <conditionalFormatting sqref="E1724">
    <cfRule type="containsText" dxfId="2071" priority="4780" operator="containsText" text="Pesquisa de Preços">
      <formula>NOT(ISERROR(SEARCH("Pesquisa de Preços",E1724)))</formula>
    </cfRule>
  </conditionalFormatting>
  <conditionalFormatting sqref="E1026">
    <cfRule type="containsText" dxfId="2070" priority="4977" operator="containsText" text="Pesquisa de Preços">
      <formula>NOT(ISERROR(SEARCH("Pesquisa de Preços",E1026)))</formula>
    </cfRule>
  </conditionalFormatting>
  <conditionalFormatting sqref="E1027:E1028 E1035">
    <cfRule type="containsText" dxfId="2069" priority="4978" operator="containsText" text="Pesquisa de Preços">
      <formula>NOT(ISERROR(SEARCH("Pesquisa de Preços",E1027)))</formula>
    </cfRule>
  </conditionalFormatting>
  <conditionalFormatting sqref="E1699">
    <cfRule type="containsText" dxfId="2068" priority="4778" operator="containsText" text="Pesquisa de Preços">
      <formula>NOT(ISERROR(SEARCH("Pesquisa de Preços",E1699)))</formula>
    </cfRule>
  </conditionalFormatting>
  <conditionalFormatting sqref="E1030:E1033">
    <cfRule type="containsText" dxfId="2067" priority="4976" operator="containsText" text="Pesquisa de Preços">
      <formula>NOT(ISERROR(SEARCH("Pesquisa de Preços",E1030)))</formula>
    </cfRule>
  </conditionalFormatting>
  <conditionalFormatting sqref="E1037:E1038 E1044">
    <cfRule type="containsText" dxfId="2066" priority="4975" operator="containsText" text="Pesquisa de Preços">
      <formula>NOT(ISERROR(SEARCH("Pesquisa de Preços",E1037)))</formula>
    </cfRule>
  </conditionalFormatting>
  <conditionalFormatting sqref="E1036">
    <cfRule type="containsText" dxfId="2065" priority="4974" operator="containsText" text="Pesquisa de Preços">
      <formula>NOT(ISERROR(SEARCH("Pesquisa de Preços",E1036)))</formula>
    </cfRule>
  </conditionalFormatting>
  <conditionalFormatting sqref="E1705">
    <cfRule type="containsText" dxfId="2064" priority="4776" operator="containsText" text="Pesquisa de Preços">
      <formula>NOT(ISERROR(SEARCH("Pesquisa de Preços",E1705)))</formula>
    </cfRule>
  </conditionalFormatting>
  <conditionalFormatting sqref="E1022:E1023">
    <cfRule type="containsText" dxfId="2063" priority="4973" operator="containsText" text="Pesquisa de Preços">
      <formula>NOT(ISERROR(SEARCH("Pesquisa de Preços",E1022)))</formula>
    </cfRule>
  </conditionalFormatting>
  <conditionalFormatting sqref="E1021">
    <cfRule type="containsText" dxfId="2062" priority="4972" operator="containsText" text="Pesquisa de Preços">
      <formula>NOT(ISERROR(SEARCH("Pesquisa de Preços",E1021)))</formula>
    </cfRule>
  </conditionalFormatting>
  <conditionalFormatting sqref="E1024">
    <cfRule type="containsText" dxfId="2061" priority="4971" operator="containsText" text="Pesquisa de Preços">
      <formula>NOT(ISERROR(SEARCH("Pesquisa de Preços",E1024)))</formula>
    </cfRule>
  </conditionalFormatting>
  <conditionalFormatting sqref="E1099:E1100">
    <cfRule type="containsText" dxfId="2060" priority="4970" operator="containsText" text="Pesquisa de Preços">
      <formula>NOT(ISERROR(SEARCH("Pesquisa de Preços",E1099)))</formula>
    </cfRule>
  </conditionalFormatting>
  <conditionalFormatting sqref="E1098">
    <cfRule type="containsText" dxfId="2059" priority="4969" operator="containsText" text="Pesquisa de Preços">
      <formula>NOT(ISERROR(SEARCH("Pesquisa de Preços",E1098)))</formula>
    </cfRule>
  </conditionalFormatting>
  <conditionalFormatting sqref="E1046:E1047 E1050:E1051">
    <cfRule type="containsText" dxfId="2058" priority="4968" operator="containsText" text="Pesquisa de Preços">
      <formula>NOT(ISERROR(SEARCH("Pesquisa de Preços",E1046)))</formula>
    </cfRule>
  </conditionalFormatting>
  <conditionalFormatting sqref="E1045">
    <cfRule type="containsText" dxfId="2057" priority="4967" operator="containsText" text="Pesquisa de Preços">
      <formula>NOT(ISERROR(SEARCH("Pesquisa de Preços",E1045)))</formula>
    </cfRule>
  </conditionalFormatting>
  <conditionalFormatting sqref="E1048:E1049">
    <cfRule type="containsText" dxfId="2056" priority="4966" operator="containsText" text="Pesquisa de Preços">
      <formula>NOT(ISERROR(SEARCH("Pesquisa de Preços",E1048)))</formula>
    </cfRule>
  </conditionalFormatting>
  <conditionalFormatting sqref="E1060:E1061 E1065">
    <cfRule type="containsText" dxfId="2055" priority="4965" operator="containsText" text="Pesquisa de Preços">
      <formula>NOT(ISERROR(SEARCH("Pesquisa de Preços",E1060)))</formula>
    </cfRule>
  </conditionalFormatting>
  <conditionalFormatting sqref="E1091:E1092 E1097">
    <cfRule type="containsText" dxfId="2054" priority="4963" operator="containsText" text="Pesquisa de Preços">
      <formula>NOT(ISERROR(SEARCH("Pesquisa de Preços",E1091)))</formula>
    </cfRule>
  </conditionalFormatting>
  <conditionalFormatting sqref="E1090">
    <cfRule type="containsText" dxfId="2053" priority="4962" operator="containsText" text="Pesquisa de Preços">
      <formula>NOT(ISERROR(SEARCH("Pesquisa de Preços",E1090)))</formula>
    </cfRule>
  </conditionalFormatting>
  <conditionalFormatting sqref="E1053:E1054">
    <cfRule type="containsText" dxfId="2052" priority="4960" operator="containsText" text="Pesquisa de Preços">
      <formula>NOT(ISERROR(SEARCH("Pesquisa de Preços",E1053)))</formula>
    </cfRule>
  </conditionalFormatting>
  <conditionalFormatting sqref="E1052">
    <cfRule type="containsText" dxfId="2051" priority="4959" operator="containsText" text="Pesquisa de Preços">
      <formula>NOT(ISERROR(SEARCH("Pesquisa de Preços",E1052)))</formula>
    </cfRule>
  </conditionalFormatting>
  <conditionalFormatting sqref="E1055:E1057">
    <cfRule type="containsText" dxfId="2050" priority="4958" operator="containsText" text="Pesquisa de Preços">
      <formula>NOT(ISERROR(SEARCH("Pesquisa de Preços",E1055)))</formula>
    </cfRule>
  </conditionalFormatting>
  <conditionalFormatting sqref="E1067">
    <cfRule type="containsText" dxfId="2049" priority="4957" operator="containsText" text="Pesquisa de Preços">
      <formula>NOT(ISERROR(SEARCH("Pesquisa de Preços",E1067)))</formula>
    </cfRule>
  </conditionalFormatting>
  <conditionalFormatting sqref="E1066">
    <cfRule type="containsText" dxfId="2048" priority="4956" operator="containsText" text="Pesquisa de Preços">
      <formula>NOT(ISERROR(SEARCH("Pesquisa de Preços",E1066)))</formula>
    </cfRule>
  </conditionalFormatting>
  <conditionalFormatting sqref="E1083 E1089">
    <cfRule type="containsText" dxfId="2047" priority="4955" operator="containsText" text="Pesquisa de Preços">
      <formula>NOT(ISERROR(SEARCH("Pesquisa de Preços",E1083)))</formula>
    </cfRule>
  </conditionalFormatting>
  <conditionalFormatting sqref="E1082">
    <cfRule type="containsText" dxfId="2046" priority="4954" operator="containsText" text="Pesquisa de Preços">
      <formula>NOT(ISERROR(SEARCH("Pesquisa de Preços",E1082)))</formula>
    </cfRule>
  </conditionalFormatting>
  <conditionalFormatting sqref="E1074 E1081">
    <cfRule type="containsText" dxfId="2045" priority="4953" operator="containsText" text="Pesquisa de Preços">
      <formula>NOT(ISERROR(SEARCH("Pesquisa de Preços",E1074)))</formula>
    </cfRule>
  </conditionalFormatting>
  <conditionalFormatting sqref="E1073">
    <cfRule type="containsText" dxfId="2044" priority="4952" operator="containsText" text="Pesquisa de Preços">
      <formula>NOT(ISERROR(SEARCH("Pesquisa de Preços",E1073)))</formula>
    </cfRule>
  </conditionalFormatting>
  <conditionalFormatting sqref="E1122:E1123">
    <cfRule type="containsText" dxfId="2043" priority="4951" operator="containsText" text="Pesquisa de Preços">
      <formula>NOT(ISERROR(SEARCH("Pesquisa de Preços",E1122)))</formula>
    </cfRule>
  </conditionalFormatting>
  <conditionalFormatting sqref="E1121">
    <cfRule type="containsText" dxfId="2042" priority="4950" operator="containsText" text="Pesquisa de Preços">
      <formula>NOT(ISERROR(SEARCH("Pesquisa de Preços",E1121)))</formula>
    </cfRule>
  </conditionalFormatting>
  <conditionalFormatting sqref="E1124">
    <cfRule type="containsText" dxfId="2041" priority="4949" operator="containsText" text="Pesquisa de Preços">
      <formula>NOT(ISERROR(SEARCH("Pesquisa de Preços",E1124)))</formula>
    </cfRule>
  </conditionalFormatting>
  <conditionalFormatting sqref="E1117:E1118">
    <cfRule type="containsText" dxfId="2040" priority="4948" operator="containsText" text="Pesquisa de Preços">
      <formula>NOT(ISERROR(SEARCH("Pesquisa de Preços",E1117)))</formula>
    </cfRule>
  </conditionalFormatting>
  <conditionalFormatting sqref="E1116">
    <cfRule type="containsText" dxfId="2039" priority="4947" operator="containsText" text="Pesquisa de Preços">
      <formula>NOT(ISERROR(SEARCH("Pesquisa de Preços",E1116)))</formula>
    </cfRule>
  </conditionalFormatting>
  <conditionalFormatting sqref="E1842">
    <cfRule type="containsText" dxfId="2038" priority="4765" operator="containsText" text="Pesquisa de Preços">
      <formula>NOT(ISERROR(SEARCH("Pesquisa de Preços",E1842)))</formula>
    </cfRule>
  </conditionalFormatting>
  <conditionalFormatting sqref="E1244">
    <cfRule type="containsText" dxfId="2037" priority="4946" operator="containsText" text="Pesquisa de Preços">
      <formula>NOT(ISERROR(SEARCH("Pesquisa de Preços",E1244)))</formula>
    </cfRule>
  </conditionalFormatting>
  <conditionalFormatting sqref="E1227">
    <cfRule type="containsText" dxfId="2036" priority="4941" operator="containsText" text="Pesquisa de Preços">
      <formula>NOT(ISERROR(SEARCH("Pesquisa de Preços",E1227)))</formula>
    </cfRule>
  </conditionalFormatting>
  <conditionalFormatting sqref="E1848">
    <cfRule type="containsText" dxfId="2035" priority="4762" operator="containsText" text="Pesquisa de Preços">
      <formula>NOT(ISERROR(SEARCH("Pesquisa de Preços",E1848)))</formula>
    </cfRule>
  </conditionalFormatting>
  <conditionalFormatting sqref="E1238">
    <cfRule type="containsText" dxfId="2034" priority="4944" operator="containsText" text="Pesquisa de Preços">
      <formula>NOT(ISERROR(SEARCH("Pesquisa de Preços",E1238)))</formula>
    </cfRule>
  </conditionalFormatting>
  <conditionalFormatting sqref="E1137">
    <cfRule type="containsText" dxfId="2033" priority="4937" operator="containsText" text="Pesquisa de Preços">
      <formula>NOT(ISERROR(SEARCH("Pesquisa de Preços",E1137)))</formula>
    </cfRule>
  </conditionalFormatting>
  <conditionalFormatting sqref="E1835">
    <cfRule type="containsText" dxfId="2032" priority="4759" operator="containsText" text="Pesquisa de Preços">
      <formula>NOT(ISERROR(SEARCH("Pesquisa de Preços",E1835)))</formula>
    </cfRule>
  </conditionalFormatting>
  <conditionalFormatting sqref="E1228:E1229 E1232">
    <cfRule type="containsText" dxfId="2031" priority="4942" operator="containsText" text="Pesquisa de Preços">
      <formula>NOT(ISERROR(SEARCH("Pesquisa de Preços",E1228)))</formula>
    </cfRule>
  </conditionalFormatting>
  <conditionalFormatting sqref="E1854">
    <cfRule type="containsText" dxfId="2030" priority="4757" operator="containsText" text="Pesquisa de Preços">
      <formula>NOT(ISERROR(SEARCH("Pesquisa de Preços",E1854)))</formula>
    </cfRule>
  </conditionalFormatting>
  <conditionalFormatting sqref="E1222:E1223 E1226">
    <cfRule type="containsText" dxfId="2029" priority="4940" operator="containsText" text="Pesquisa de Preços">
      <formula>NOT(ISERROR(SEARCH("Pesquisa de Preços",E1222)))</formula>
    </cfRule>
  </conditionalFormatting>
  <conditionalFormatting sqref="E1221">
    <cfRule type="containsText" dxfId="2028" priority="4939" operator="containsText" text="Pesquisa de Preços">
      <formula>NOT(ISERROR(SEARCH("Pesquisa de Preços",E1221)))</formula>
    </cfRule>
  </conditionalFormatting>
  <conditionalFormatting sqref="E1138:E1139 E1142:E1143">
    <cfRule type="containsText" dxfId="2027" priority="4938" operator="containsText" text="Pesquisa de Preços">
      <formula>NOT(ISERROR(SEARCH("Pesquisa de Preços",E1138)))</formula>
    </cfRule>
  </conditionalFormatting>
  <conditionalFormatting sqref="E1140:E1141">
    <cfRule type="containsText" dxfId="2026" priority="4936" operator="containsText" text="Pesquisa de Preços">
      <formula>NOT(ISERROR(SEARCH("Pesquisa de Preços",E1140)))</formula>
    </cfRule>
  </conditionalFormatting>
  <conditionalFormatting sqref="E1127:E1128 E1130:E1131">
    <cfRule type="containsText" dxfId="2025" priority="4935" operator="containsText" text="Pesquisa de Preços">
      <formula>NOT(ISERROR(SEARCH("Pesquisa de Preços",E1127)))</formula>
    </cfRule>
  </conditionalFormatting>
  <conditionalFormatting sqref="E1126">
    <cfRule type="containsText" dxfId="2024" priority="4934" operator="containsText" text="Pesquisa de Preços">
      <formula>NOT(ISERROR(SEARCH("Pesquisa de Preços",E1126)))</formula>
    </cfRule>
  </conditionalFormatting>
  <conditionalFormatting sqref="E1129">
    <cfRule type="containsText" dxfId="2023" priority="4933" operator="containsText" text="Pesquisa de Preços">
      <formula>NOT(ISERROR(SEARCH("Pesquisa de Preços",E1129)))</formula>
    </cfRule>
  </conditionalFormatting>
  <conditionalFormatting sqref="E1260 E1265">
    <cfRule type="containsText" dxfId="2022" priority="4932" operator="containsText" text="Pesquisa de Preços">
      <formula>NOT(ISERROR(SEARCH("Pesquisa de Preços",E1260)))</formula>
    </cfRule>
  </conditionalFormatting>
  <conditionalFormatting sqref="E1259">
    <cfRule type="containsText" dxfId="2021" priority="4931" operator="containsText" text="Pesquisa de Preços">
      <formula>NOT(ISERROR(SEARCH("Pesquisa de Preços",E1259)))</formula>
    </cfRule>
  </conditionalFormatting>
  <conditionalFormatting sqref="E1248:E1249">
    <cfRule type="containsText" dxfId="2020" priority="4928" operator="containsText" text="Pesquisa de Preços">
      <formula>NOT(ISERROR(SEARCH("Pesquisa de Preços",E1248)))</formula>
    </cfRule>
  </conditionalFormatting>
  <conditionalFormatting sqref="E1246:E1247 E1250:E1251">
    <cfRule type="containsText" dxfId="2019" priority="4930" operator="containsText" text="Pesquisa de Preços">
      <formula>NOT(ISERROR(SEARCH("Pesquisa de Preços",E1246)))</formula>
    </cfRule>
  </conditionalFormatting>
  <conditionalFormatting sqref="E1245">
    <cfRule type="containsText" dxfId="2018" priority="4929" operator="containsText" text="Pesquisa de Preços">
      <formula>NOT(ISERROR(SEARCH("Pesquisa de Preços",E1245)))</formula>
    </cfRule>
  </conditionalFormatting>
  <conditionalFormatting sqref="E1152:E1153 E1156:E1157">
    <cfRule type="containsText" dxfId="2017" priority="4927" operator="containsText" text="Pesquisa de Preços">
      <formula>NOT(ISERROR(SEARCH("Pesquisa de Preços",E1152)))</formula>
    </cfRule>
  </conditionalFormatting>
  <conditionalFormatting sqref="E1151">
    <cfRule type="containsText" dxfId="2016" priority="4926" operator="containsText" text="Pesquisa de Preços">
      <formula>NOT(ISERROR(SEARCH("Pesquisa de Preços",E1151)))</formula>
    </cfRule>
  </conditionalFormatting>
  <conditionalFormatting sqref="E1154:E1155">
    <cfRule type="containsText" dxfId="2015" priority="4925" operator="containsText" text="Pesquisa de Preços">
      <formula>NOT(ISERROR(SEARCH("Pesquisa de Preços",E1154)))</formula>
    </cfRule>
  </conditionalFormatting>
  <conditionalFormatting sqref="E1187:E1188 E1192">
    <cfRule type="containsText" dxfId="2014" priority="4924" operator="containsText" text="Pesquisa de Preços">
      <formula>NOT(ISERROR(SEARCH("Pesquisa de Preços",E1187)))</formula>
    </cfRule>
  </conditionalFormatting>
  <conditionalFormatting sqref="E1186">
    <cfRule type="containsText" dxfId="2013" priority="4923" operator="containsText" text="Pesquisa de Preços">
      <formula>NOT(ISERROR(SEARCH("Pesquisa de Preços",E1186)))</formula>
    </cfRule>
  </conditionalFormatting>
  <conditionalFormatting sqref="E1194:E1195 E1199">
    <cfRule type="containsText" dxfId="2012" priority="4921" operator="containsText" text="Pesquisa de Preços">
      <formula>NOT(ISERROR(SEARCH("Pesquisa de Preços",E1194)))</formula>
    </cfRule>
  </conditionalFormatting>
  <conditionalFormatting sqref="E1193">
    <cfRule type="containsText" dxfId="2011" priority="4920" operator="containsText" text="Pesquisa de Preços">
      <formula>NOT(ISERROR(SEARCH("Pesquisa de Preços",E1193)))</formula>
    </cfRule>
  </conditionalFormatting>
  <conditionalFormatting sqref="E1902">
    <cfRule type="containsText" dxfId="2010" priority="4747" operator="containsText" text="Pesquisa de Preços">
      <formula>NOT(ISERROR(SEARCH("Pesquisa de Preços",E1902)))</formula>
    </cfRule>
  </conditionalFormatting>
  <conditionalFormatting sqref="E1201:E1202 E1206">
    <cfRule type="containsText" dxfId="2009" priority="4918" operator="containsText" text="Pesquisa de Preços">
      <formula>NOT(ISERROR(SEARCH("Pesquisa de Preços",E1201)))</formula>
    </cfRule>
  </conditionalFormatting>
  <conditionalFormatting sqref="E1200">
    <cfRule type="containsText" dxfId="2008" priority="4917" operator="containsText" text="Pesquisa de Preços">
      <formula>NOT(ISERROR(SEARCH("Pesquisa de Preços",E1200)))</formula>
    </cfRule>
  </conditionalFormatting>
  <conditionalFormatting sqref="E1908">
    <cfRule type="containsText" dxfId="2007" priority="4744" operator="containsText" text="Pesquisa de Preços">
      <formula>NOT(ISERROR(SEARCH("Pesquisa de Preços",E1908)))</formula>
    </cfRule>
  </conditionalFormatting>
  <conditionalFormatting sqref="E1180:E1181 E1184:E1185">
    <cfRule type="containsText" dxfId="2006" priority="4915" operator="containsText" text="Pesquisa de Preços">
      <formula>NOT(ISERROR(SEARCH("Pesquisa de Preços",E1180)))</formula>
    </cfRule>
  </conditionalFormatting>
  <conditionalFormatting sqref="E1179">
    <cfRule type="containsText" dxfId="2005" priority="4914" operator="containsText" text="Pesquisa de Preços">
      <formula>NOT(ISERROR(SEARCH("Pesquisa de Preços",E1179)))</formula>
    </cfRule>
  </conditionalFormatting>
  <conditionalFormatting sqref="E1182:E1183">
    <cfRule type="containsText" dxfId="2004" priority="4913" operator="containsText" text="Pesquisa de Preços">
      <formula>NOT(ISERROR(SEARCH("Pesquisa de Preços",E1182)))</formula>
    </cfRule>
  </conditionalFormatting>
  <conditionalFormatting sqref="E1145:E1146 E1149:E1150">
    <cfRule type="containsText" dxfId="2003" priority="4912" operator="containsText" text="Pesquisa de Preços">
      <formula>NOT(ISERROR(SEARCH("Pesquisa de Preços",E1145)))</formula>
    </cfRule>
  </conditionalFormatting>
  <conditionalFormatting sqref="E1144">
    <cfRule type="containsText" dxfId="2002" priority="4911" operator="containsText" text="Pesquisa de Preços">
      <formula>NOT(ISERROR(SEARCH("Pesquisa de Preços",E1144)))</formula>
    </cfRule>
  </conditionalFormatting>
  <conditionalFormatting sqref="E1924">
    <cfRule type="containsText" dxfId="2001" priority="4741" operator="containsText" text="Pesquisa de Preços">
      <formula>NOT(ISERROR(SEARCH("Pesquisa de Preços",E1924)))</formula>
    </cfRule>
  </conditionalFormatting>
  <conditionalFormatting sqref="E1147:E1148">
    <cfRule type="containsText" dxfId="2000" priority="4910" operator="containsText" text="Pesquisa de Preços">
      <formula>NOT(ISERROR(SEARCH("Pesquisa de Preços",E1147)))</formula>
    </cfRule>
  </conditionalFormatting>
  <conditionalFormatting sqref="E1166:E1167 E1170:E1171">
    <cfRule type="containsText" dxfId="1999" priority="4909" operator="containsText" text="Pesquisa de Preços">
      <formula>NOT(ISERROR(SEARCH("Pesquisa de Preços",E1166)))</formula>
    </cfRule>
  </conditionalFormatting>
  <conditionalFormatting sqref="E1165">
    <cfRule type="containsText" dxfId="1998" priority="4908" operator="containsText" text="Pesquisa de Preços">
      <formula>NOT(ISERROR(SEARCH("Pesquisa de Preços",E1165)))</formula>
    </cfRule>
  </conditionalFormatting>
  <conditionalFormatting sqref="E1919">
    <cfRule type="containsText" dxfId="1997" priority="4739" operator="containsText" text="Pesquisa de Preços">
      <formula>NOT(ISERROR(SEARCH("Pesquisa de Preços",E1919)))</formula>
    </cfRule>
  </conditionalFormatting>
  <conditionalFormatting sqref="E1168:E1169">
    <cfRule type="containsText" dxfId="1996" priority="4907" operator="containsText" text="Pesquisa de Preços">
      <formula>NOT(ISERROR(SEARCH("Pesquisa de Preços",E1168)))</formula>
    </cfRule>
  </conditionalFormatting>
  <conditionalFormatting sqref="E1173 E1178">
    <cfRule type="containsText" dxfId="1995" priority="4906" operator="containsText" text="Pesquisa de Preços">
      <formula>NOT(ISERROR(SEARCH("Pesquisa de Preços",E1173)))</formula>
    </cfRule>
  </conditionalFormatting>
  <conditionalFormatting sqref="E1172">
    <cfRule type="containsText" dxfId="1994" priority="4905" operator="containsText" text="Pesquisa de Preços">
      <formula>NOT(ISERROR(SEARCH("Pesquisa de Preços",E1172)))</formula>
    </cfRule>
  </conditionalFormatting>
  <conditionalFormatting sqref="E1929">
    <cfRule type="containsText" dxfId="1993" priority="4737" operator="containsText" text="Pesquisa de Preços">
      <formula>NOT(ISERROR(SEARCH("Pesquisa de Preços",E1929)))</formula>
    </cfRule>
  </conditionalFormatting>
  <conditionalFormatting sqref="E1207">
    <cfRule type="containsText" dxfId="1992" priority="4903" operator="containsText" text="Pesquisa de Preços">
      <formula>NOT(ISERROR(SEARCH("Pesquisa de Preços",E1207)))</formula>
    </cfRule>
  </conditionalFormatting>
  <conditionalFormatting sqref="E1208:E1209 E1213">
    <cfRule type="containsText" dxfId="1991" priority="4904" operator="containsText" text="Pesquisa de Preços">
      <formula>NOT(ISERROR(SEARCH("Pesquisa de Preços",E1208)))</formula>
    </cfRule>
  </conditionalFormatting>
  <conditionalFormatting sqref="E1952">
    <cfRule type="containsText" dxfId="1990" priority="4735" operator="containsText" text="Pesquisa de Preços">
      <formula>NOT(ISERROR(SEARCH("Pesquisa de Preços",E1952)))</formula>
    </cfRule>
  </conditionalFormatting>
  <conditionalFormatting sqref="E1210:E1211">
    <cfRule type="containsText" dxfId="1989" priority="4902" operator="containsText" text="Pesquisa de Preços">
      <formula>NOT(ISERROR(SEARCH("Pesquisa de Preços",E1210)))</formula>
    </cfRule>
  </conditionalFormatting>
  <conditionalFormatting sqref="E1133">
    <cfRule type="containsText" dxfId="1988" priority="4901" operator="containsText" text="Pesquisa de Preços">
      <formula>NOT(ISERROR(SEARCH("Pesquisa de Preços",E1133)))</formula>
    </cfRule>
  </conditionalFormatting>
  <conditionalFormatting sqref="E1132">
    <cfRule type="containsText" dxfId="1987" priority="4900" operator="containsText" text="Pesquisa de Preços">
      <formula>NOT(ISERROR(SEARCH("Pesquisa de Preços",E1132)))</formula>
    </cfRule>
  </conditionalFormatting>
  <conditionalFormatting sqref="E1267:E1268 E1270:E1271">
    <cfRule type="containsText" dxfId="1986" priority="4899" operator="containsText" text="Pesquisa de Preços">
      <formula>NOT(ISERROR(SEARCH("Pesquisa de Preços",E1267)))</formula>
    </cfRule>
  </conditionalFormatting>
  <conditionalFormatting sqref="E1269">
    <cfRule type="containsText" dxfId="1985" priority="4897" operator="containsText" text="Pesquisa de Preços">
      <formula>NOT(ISERROR(SEARCH("Pesquisa de Preços",E1269)))</formula>
    </cfRule>
  </conditionalFormatting>
  <conditionalFormatting sqref="E1301:E1302 E1306:E1307">
    <cfRule type="containsText" dxfId="1984" priority="4896" operator="containsText" text="Pesquisa de Preços">
      <formula>NOT(ISERROR(SEARCH("Pesquisa de Preços",E1301)))</formula>
    </cfRule>
  </conditionalFormatting>
  <conditionalFormatting sqref="E1303:E1305">
    <cfRule type="containsText" dxfId="1983" priority="4894" operator="containsText" text="Pesquisa de Preços">
      <formula>NOT(ISERROR(SEARCH("Pesquisa de Preços",E1303)))</formula>
    </cfRule>
  </conditionalFormatting>
  <conditionalFormatting sqref="E1309 E1315:E1316">
    <cfRule type="containsText" dxfId="1982" priority="4893" operator="containsText" text="Pesquisa de Preços">
      <formula>NOT(ISERROR(SEARCH("Pesquisa de Preços",E1309)))</formula>
    </cfRule>
  </conditionalFormatting>
  <conditionalFormatting sqref="E1399:E1400 E1403:E1404">
    <cfRule type="containsText" dxfId="1981" priority="4864" operator="containsText" text="Pesquisa de Preços">
      <formula>NOT(ISERROR(SEARCH("Pesquisa de Preços",E1399)))</formula>
    </cfRule>
  </conditionalFormatting>
  <conditionalFormatting sqref="E1273:E1274">
    <cfRule type="containsText" dxfId="1980" priority="4891" operator="containsText" text="Pesquisa de Preços">
      <formula>NOT(ISERROR(SEARCH("Pesquisa de Preços",E1273)))</formula>
    </cfRule>
  </conditionalFormatting>
  <conditionalFormatting sqref="E1275:E1277">
    <cfRule type="containsText" dxfId="1979" priority="4889" operator="containsText" text="Pesquisa de Preços">
      <formula>NOT(ISERROR(SEARCH("Pesquisa de Preços",E1275)))</formula>
    </cfRule>
  </conditionalFormatting>
  <conditionalFormatting sqref="E1280:E1281 E1285">
    <cfRule type="containsText" dxfId="1978" priority="4888" operator="containsText" text="Pesquisa de Preços">
      <formula>NOT(ISERROR(SEARCH("Pesquisa de Preços",E1280)))</formula>
    </cfRule>
  </conditionalFormatting>
  <conditionalFormatting sqref="E1978">
    <cfRule type="containsText" dxfId="1977" priority="4728" operator="containsText" text="Pesquisa de Preços">
      <formula>NOT(ISERROR(SEARCH("Pesquisa de Preços",E1978)))</formula>
    </cfRule>
  </conditionalFormatting>
  <conditionalFormatting sqref="E1287:E1288 E1292">
    <cfRule type="containsText" dxfId="1976" priority="4886" operator="containsText" text="Pesquisa de Preços">
      <formula>NOT(ISERROR(SEARCH("Pesquisa de Preços",E1287)))</formula>
    </cfRule>
  </conditionalFormatting>
  <conditionalFormatting sqref="E1971">
    <cfRule type="containsText" dxfId="1975" priority="4726" operator="containsText" text="Pesquisa de Preços">
      <formula>NOT(ISERROR(SEARCH("Pesquisa de Preços",E1971)))</formula>
    </cfRule>
  </conditionalFormatting>
  <conditionalFormatting sqref="E1294 E1297 E1299">
    <cfRule type="containsText" dxfId="1974" priority="4884" operator="containsText" text="Pesquisa de Preços">
      <formula>NOT(ISERROR(SEARCH("Pesquisa de Preços",E1294)))</formula>
    </cfRule>
  </conditionalFormatting>
  <conditionalFormatting sqref="E1330:E1331">
    <cfRule type="containsText" dxfId="1973" priority="4880" operator="containsText" text="Pesquisa de Preços">
      <formula>NOT(ISERROR(SEARCH("Pesquisa de Preços",E1330)))</formula>
    </cfRule>
  </conditionalFormatting>
  <conditionalFormatting sqref="E1336:E1337">
    <cfRule type="containsText" dxfId="1972" priority="4882" operator="containsText" text="Pesquisa de Preços">
      <formula>NOT(ISERROR(SEARCH("Pesquisa de Preços",E1336)))</formula>
    </cfRule>
  </conditionalFormatting>
  <conditionalFormatting sqref="E2015">
    <cfRule type="containsText" dxfId="1971" priority="4720" operator="containsText" text="Pesquisa de Preços">
      <formula>NOT(ISERROR(SEARCH("Pesquisa de Preços",E2015)))</formula>
    </cfRule>
  </conditionalFormatting>
  <conditionalFormatting sqref="E1318:E1319">
    <cfRule type="containsText" dxfId="1970" priority="4876" operator="containsText" text="Pesquisa de Preços">
      <formula>NOT(ISERROR(SEARCH("Pesquisa de Preços",E1318)))</formula>
    </cfRule>
  </conditionalFormatting>
  <conditionalFormatting sqref="E2008">
    <cfRule type="containsText" dxfId="1969" priority="4718" operator="containsText" text="Pesquisa de Preços">
      <formula>NOT(ISERROR(SEARCH("Pesquisa de Preços",E2008)))</formula>
    </cfRule>
  </conditionalFormatting>
  <conditionalFormatting sqref="E1324:E1325">
    <cfRule type="containsText" dxfId="1968" priority="4878" operator="containsText" text="Pesquisa de Preços">
      <formula>NOT(ISERROR(SEARCH("Pesquisa de Preços",E1324)))</formula>
    </cfRule>
  </conditionalFormatting>
  <conditionalFormatting sqref="E2001">
    <cfRule type="containsText" dxfId="1967" priority="4715" operator="containsText" text="Pesquisa de Preços">
      <formula>NOT(ISERROR(SEARCH("Pesquisa de Preços",E2001)))</formula>
    </cfRule>
  </conditionalFormatting>
  <conditionalFormatting sqref="E1994">
    <cfRule type="containsText" dxfId="1966" priority="4712" operator="containsText" text="Pesquisa de Preços">
      <formula>NOT(ISERROR(SEARCH("Pesquisa de Preços",E1994)))</formula>
    </cfRule>
  </conditionalFormatting>
  <conditionalFormatting sqref="E1342:E1343 E1346:E1347">
    <cfRule type="containsText" dxfId="1965" priority="4874" operator="containsText" text="Pesquisa de Preços">
      <formula>NOT(ISERROR(SEARCH("Pesquisa de Preços",E1342)))</formula>
    </cfRule>
  </conditionalFormatting>
  <conditionalFormatting sqref="E1517">
    <cfRule type="containsText" dxfId="1964" priority="4847" operator="containsText" text="Pesquisa de Preços">
      <formula>NOT(ISERROR(SEARCH("Pesquisa de Preços",E1517)))</formula>
    </cfRule>
  </conditionalFormatting>
  <conditionalFormatting sqref="E1344:E1345">
    <cfRule type="containsText" dxfId="1963" priority="4872" operator="containsText" text="Pesquisa de Preços">
      <formula>NOT(ISERROR(SEARCH("Pesquisa de Preços",E1344)))</formula>
    </cfRule>
  </conditionalFormatting>
  <conditionalFormatting sqref="E1355:E1356 E1359:E1360">
    <cfRule type="containsText" dxfId="1962" priority="4871" operator="containsText" text="Pesquisa de Preços">
      <formula>NOT(ISERROR(SEARCH("Pesquisa de Preços",E1355)))</formula>
    </cfRule>
  </conditionalFormatting>
  <conditionalFormatting sqref="E1525">
    <cfRule type="containsText" dxfId="1961" priority="4848" operator="containsText" text="Pesquisa de Preços">
      <formula>NOT(ISERROR(SEARCH("Pesquisa de Preços",E1525)))</formula>
    </cfRule>
  </conditionalFormatting>
  <conditionalFormatting sqref="E1357:E1358">
    <cfRule type="containsText" dxfId="1960" priority="4869" operator="containsText" text="Pesquisa de Preços">
      <formula>NOT(ISERROR(SEARCH("Pesquisa de Preços",E1357)))</formula>
    </cfRule>
  </conditionalFormatting>
  <conditionalFormatting sqref="E1349 E1352:E1353">
    <cfRule type="containsText" dxfId="1959" priority="4868" operator="containsText" text="Pesquisa de Preços">
      <formula>NOT(ISERROR(SEARCH("Pesquisa de Preços",E1349)))</formula>
    </cfRule>
  </conditionalFormatting>
  <conditionalFormatting sqref="E1398">
    <cfRule type="containsText" dxfId="1958" priority="4863" operator="containsText" text="Pesquisa de Preços">
      <formula>NOT(ISERROR(SEARCH("Pesquisa de Preços",E1398)))</formula>
    </cfRule>
  </conditionalFormatting>
  <conditionalFormatting sqref="E1362 E1365:E1366">
    <cfRule type="containsText" dxfId="1957" priority="4866" operator="containsText" text="Pesquisa de Preços">
      <formula>NOT(ISERROR(SEARCH("Pesquisa de Preços",E1362)))</formula>
    </cfRule>
  </conditionalFormatting>
  <conditionalFormatting sqref="E1361">
    <cfRule type="containsText" dxfId="1956" priority="4865" operator="containsText" text="Pesquisa de Preços">
      <formula>NOT(ISERROR(SEARCH("Pesquisa de Preços",E1361)))</formula>
    </cfRule>
  </conditionalFormatting>
  <conditionalFormatting sqref="E1401:E1402">
    <cfRule type="containsText" dxfId="1955" priority="4862" operator="containsText" text="Pesquisa de Preços">
      <formula>NOT(ISERROR(SEARCH("Pesquisa de Preços",E1401)))</formula>
    </cfRule>
  </conditionalFormatting>
  <conditionalFormatting sqref="E2170">
    <cfRule type="containsText" dxfId="1954" priority="4701" operator="containsText" text="Pesquisa de Preços">
      <formula>NOT(ISERROR(SEARCH("Pesquisa de Preços",E2170)))</formula>
    </cfRule>
  </conditionalFormatting>
  <conditionalFormatting sqref="E1368:E1369 E1371:E1372">
    <cfRule type="containsText" dxfId="1953" priority="4861" operator="containsText" text="Pesquisa de Preços">
      <formula>NOT(ISERROR(SEARCH("Pesquisa de Preços",E1368)))</formula>
    </cfRule>
  </conditionalFormatting>
  <conditionalFormatting sqref="E1367">
    <cfRule type="containsText" dxfId="1952" priority="4860" operator="containsText" text="Pesquisa de Preços">
      <formula>NOT(ISERROR(SEARCH("Pesquisa de Preços",E1367)))</formula>
    </cfRule>
  </conditionalFormatting>
  <conditionalFormatting sqref="E1379">
    <cfRule type="containsText" dxfId="1951" priority="4859" operator="containsText" text="Pesquisa de Preços">
      <formula>NOT(ISERROR(SEARCH("Pesquisa de Preços",E1379)))</formula>
    </cfRule>
  </conditionalFormatting>
  <conditionalFormatting sqref="E1385">
    <cfRule type="containsText" dxfId="1950" priority="4858" operator="containsText" text="Pesquisa de Preços">
      <formula>NOT(ISERROR(SEARCH("Pesquisa de Preços",E1385)))</formula>
    </cfRule>
  </conditionalFormatting>
  <conditionalFormatting sqref="E1406 E1419">
    <cfRule type="containsText" dxfId="1949" priority="4837" operator="containsText" text="Pesquisa de Preços">
      <formula>NOT(ISERROR(SEARCH("Pesquisa de Preços",E1406)))</formula>
    </cfRule>
  </conditionalFormatting>
  <conditionalFormatting sqref="E1557">
    <cfRule type="containsText" dxfId="1948" priority="4856" operator="containsText" text="Pesquisa de Preços">
      <formula>NOT(ISERROR(SEARCH("Pesquisa de Preços",E1557)))</formula>
    </cfRule>
  </conditionalFormatting>
  <conditionalFormatting sqref="E1558:E1559">
    <cfRule type="containsText" dxfId="1947" priority="4857" operator="containsText" text="Pesquisa de Preços">
      <formula>NOT(ISERROR(SEARCH("Pesquisa de Preços",E1558)))</formula>
    </cfRule>
  </conditionalFormatting>
  <conditionalFormatting sqref="E1560 E1562">
    <cfRule type="containsText" dxfId="1946" priority="4855" operator="containsText" text="Pesquisa de Preços">
      <formula>NOT(ISERROR(SEARCH("Pesquisa de Preços",E1560)))</formula>
    </cfRule>
  </conditionalFormatting>
  <conditionalFormatting sqref="E1551:E1552">
    <cfRule type="containsText" dxfId="1945" priority="4854" operator="containsText" text="Pesquisa de Preços">
      <formula>NOT(ISERROR(SEARCH("Pesquisa de Preços",E1551)))</formula>
    </cfRule>
  </conditionalFormatting>
  <conditionalFormatting sqref="E1550">
    <cfRule type="containsText" dxfId="1944" priority="4853" operator="containsText" text="Pesquisa de Preços">
      <formula>NOT(ISERROR(SEARCH("Pesquisa de Preços",E1550)))</formula>
    </cfRule>
  </conditionalFormatting>
  <conditionalFormatting sqref="E2044">
    <cfRule type="containsText" dxfId="1943" priority="4695" operator="containsText" text="Pesquisa de Preços">
      <formula>NOT(ISERROR(SEARCH("Pesquisa de Preços",E2044)))</formula>
    </cfRule>
  </conditionalFormatting>
  <conditionalFormatting sqref="E1543 E1549">
    <cfRule type="containsText" dxfId="1942" priority="4852" operator="containsText" text="Pesquisa de Preços">
      <formula>NOT(ISERROR(SEARCH("Pesquisa de Preços",E1543)))</formula>
    </cfRule>
  </conditionalFormatting>
  <conditionalFormatting sqref="E1542">
    <cfRule type="containsText" dxfId="1941" priority="4851" operator="containsText" text="Pesquisa de Preços">
      <formula>NOT(ISERROR(SEARCH("Pesquisa de Preços",E1542)))</formula>
    </cfRule>
  </conditionalFormatting>
  <conditionalFormatting sqref="E1527">
    <cfRule type="containsText" dxfId="1940" priority="4850" operator="containsText" text="Pesquisa de Preços">
      <formula>NOT(ISERROR(SEARCH("Pesquisa de Preços",E1527)))</formula>
    </cfRule>
  </conditionalFormatting>
  <conditionalFormatting sqref="E1526">
    <cfRule type="containsText" dxfId="1939" priority="4849" operator="containsText" text="Pesquisa de Preços">
      <formula>NOT(ISERROR(SEARCH("Pesquisa de Preços",E1526)))</formula>
    </cfRule>
  </conditionalFormatting>
  <conditionalFormatting sqref="E1565:E1566 E1569:E1570">
    <cfRule type="containsText" dxfId="1938" priority="4842" operator="containsText" text="Pesquisa de Preços">
      <formula>NOT(ISERROR(SEARCH("Pesquisa de Preços",E1565)))</formula>
    </cfRule>
  </conditionalFormatting>
  <conditionalFormatting sqref="E1494">
    <cfRule type="containsText" dxfId="1937" priority="4828" operator="containsText" text="Pesquisa de Preços">
      <formula>NOT(ISERROR(SEARCH("Pesquisa de Preços",E1494)))</formula>
    </cfRule>
  </conditionalFormatting>
  <conditionalFormatting sqref="E1496 E1509">
    <cfRule type="containsText" dxfId="1936" priority="4839" operator="containsText" text="Pesquisa de Preços">
      <formula>NOT(ISERROR(SEARCH("Pesquisa de Preços",E1496)))</formula>
    </cfRule>
  </conditionalFormatting>
  <conditionalFormatting sqref="E1495">
    <cfRule type="containsText" dxfId="1935" priority="4838" operator="containsText" text="Pesquisa de Preços">
      <formula>NOT(ISERROR(SEARCH("Pesquisa de Preços",E1495)))</formula>
    </cfRule>
  </conditionalFormatting>
  <conditionalFormatting sqref="E1541">
    <cfRule type="containsText" dxfId="1934" priority="4846" operator="containsText" text="Pesquisa de Preços">
      <formula>NOT(ISERROR(SEARCH("Pesquisa de Preços",E1541)))</formula>
    </cfRule>
  </conditionalFormatting>
  <conditionalFormatting sqref="E1572:E1573 E1576:E1577">
    <cfRule type="containsText" dxfId="1933" priority="4845" operator="containsText" text="Pesquisa de Preços">
      <formula>NOT(ISERROR(SEARCH("Pesquisa de Preços",E1572)))</formula>
    </cfRule>
  </conditionalFormatting>
  <conditionalFormatting sqref="E1571">
    <cfRule type="containsText" dxfId="1932" priority="4844" operator="containsText" text="Pesquisa de Preços">
      <formula>NOT(ISERROR(SEARCH("Pesquisa de Preços",E1571)))</formula>
    </cfRule>
  </conditionalFormatting>
  <conditionalFormatting sqref="E1575">
    <cfRule type="containsText" dxfId="1931" priority="4843" operator="containsText" text="Pesquisa de Preços">
      <formula>NOT(ISERROR(SEARCH("Pesquisa de Preços",E1575)))</formula>
    </cfRule>
  </conditionalFormatting>
  <conditionalFormatting sqref="E1564">
    <cfRule type="containsText" dxfId="1930" priority="4841" operator="containsText" text="Pesquisa de Preços">
      <formula>NOT(ISERROR(SEARCH("Pesquisa de Preços",E1564)))</formula>
    </cfRule>
  </conditionalFormatting>
  <conditionalFormatting sqref="E1567:E1568">
    <cfRule type="containsText" dxfId="1929" priority="4840" operator="containsText" text="Pesquisa de Preços">
      <formula>NOT(ISERROR(SEARCH("Pesquisa de Preços",E1567)))</formula>
    </cfRule>
  </conditionalFormatting>
  <conditionalFormatting sqref="E1618">
    <cfRule type="containsText" dxfId="1928" priority="4806" operator="containsText" text="Pesquisa de Preços">
      <formula>NOT(ISERROR(SEARCH("Pesquisa de Preços",E1618)))</formula>
    </cfRule>
  </conditionalFormatting>
  <conditionalFormatting sqref="E1405">
    <cfRule type="containsText" dxfId="1927" priority="4836" operator="containsText" text="Pesquisa de Preços">
      <formula>NOT(ISERROR(SEARCH("Pesquisa de Preços",E1405)))</formula>
    </cfRule>
  </conditionalFormatting>
  <conditionalFormatting sqref="E1612 E1616:E1617">
    <cfRule type="containsText" dxfId="1926" priority="4799" operator="containsText" text="Pesquisa de Preços">
      <formula>NOT(ISERROR(SEARCH("Pesquisa de Preços",E1612)))</formula>
    </cfRule>
  </conditionalFormatting>
  <conditionalFormatting sqref="E1436 E1449">
    <cfRule type="containsText" dxfId="1925" priority="4835" operator="containsText" text="Pesquisa de Preços">
      <formula>NOT(ISERROR(SEARCH("Pesquisa de Preços",E1436)))</formula>
    </cfRule>
  </conditionalFormatting>
  <conditionalFormatting sqref="E1435">
    <cfRule type="containsText" dxfId="1924" priority="4834" operator="containsText" text="Pesquisa de Preços">
      <formula>NOT(ISERROR(SEARCH("Pesquisa de Preços",E1435)))</formula>
    </cfRule>
  </conditionalFormatting>
  <conditionalFormatting sqref="E1630 E1634">
    <cfRule type="containsText" dxfId="1923" priority="4811" operator="containsText" text="Pesquisa de Preços">
      <formula>NOT(ISERROR(SEARCH("Pesquisa de Preços",E1630)))</formula>
    </cfRule>
  </conditionalFormatting>
  <conditionalFormatting sqref="E1421 E1434">
    <cfRule type="containsText" dxfId="1922" priority="4833" operator="containsText" text="Pesquisa de Preços">
      <formula>NOT(ISERROR(SEARCH("Pesquisa de Preços",E1421)))</formula>
    </cfRule>
  </conditionalFormatting>
  <conditionalFormatting sqref="E1466 E1479">
    <cfRule type="containsText" dxfId="1921" priority="4831" operator="containsText" text="Pesquisa de Preços">
      <formula>NOT(ISERROR(SEARCH("Pesquisa de Preços",E1466)))</formula>
    </cfRule>
  </conditionalFormatting>
  <conditionalFormatting sqref="E1693 E1696 E1698">
    <cfRule type="containsText" dxfId="1920" priority="4813" operator="containsText" text="Pesquisa de Preços">
      <formula>NOT(ISERROR(SEARCH("Pesquisa de Preços",E1693)))</formula>
    </cfRule>
  </conditionalFormatting>
  <conditionalFormatting sqref="E1464">
    <cfRule type="containsText" dxfId="1919" priority="4829" operator="containsText" text="Pesquisa de Preços">
      <formula>NOT(ISERROR(SEARCH("Pesquisa de Preços",E1464)))</formula>
    </cfRule>
  </conditionalFormatting>
  <conditionalFormatting sqref="E2281">
    <cfRule type="containsText" dxfId="1918" priority="4656" operator="containsText" text="Pesquisa de Preços">
      <formula>NOT(ISERROR(SEARCH("Pesquisa de Preços",E2281)))</formula>
    </cfRule>
  </conditionalFormatting>
  <conditionalFormatting sqref="E1594 E1598">
    <cfRule type="containsText" dxfId="1917" priority="4821" operator="containsText" text="Pesquisa de Preços">
      <formula>NOT(ISERROR(SEARCH("Pesquisa de Preços",E1594)))</formula>
    </cfRule>
  </conditionalFormatting>
  <conditionalFormatting sqref="E1579:E1580 E1591:E1592">
    <cfRule type="containsText" dxfId="1916" priority="4827" operator="containsText" text="Pesquisa de Preços">
      <formula>NOT(ISERROR(SEARCH("Pesquisa de Preços",E1579)))</formula>
    </cfRule>
  </conditionalFormatting>
  <conditionalFormatting sqref="E2215">
    <cfRule type="containsText" dxfId="1915" priority="4672" operator="containsText" text="Pesquisa de Preços">
      <formula>NOT(ISERROR(SEARCH("Pesquisa de Preços",E2215)))</formula>
    </cfRule>
  </conditionalFormatting>
  <conditionalFormatting sqref="E1581:E1590">
    <cfRule type="containsText" dxfId="1914" priority="4825" operator="containsText" text="Pesquisa de Preços">
      <formula>NOT(ISERROR(SEARCH("Pesquisa de Preços",E1581)))</formula>
    </cfRule>
  </conditionalFormatting>
  <conditionalFormatting sqref="E1393:E1394 E1396:E1397">
    <cfRule type="containsText" dxfId="1913" priority="4824" operator="containsText" text="Pesquisa de Preços">
      <formula>NOT(ISERROR(SEARCH("Pesquisa de Preços",E1393)))</formula>
    </cfRule>
  </conditionalFormatting>
  <conditionalFormatting sqref="E1392">
    <cfRule type="containsText" dxfId="1912" priority="4823" operator="containsText" text="Pesquisa de Preços">
      <formula>NOT(ISERROR(SEARCH("Pesquisa de Preços",E1392)))</formula>
    </cfRule>
  </conditionalFormatting>
  <conditionalFormatting sqref="E2235">
    <cfRule type="containsText" dxfId="1911" priority="4668" operator="containsText" text="Pesquisa de Preços">
      <formula>NOT(ISERROR(SEARCH("Pesquisa de Preços",E2235)))</formula>
    </cfRule>
  </conditionalFormatting>
  <conditionalFormatting sqref="E1395">
    <cfRule type="containsText" dxfId="1910" priority="4822" operator="containsText" text="Pesquisa de Preços">
      <formula>NOT(ISERROR(SEARCH("Pesquisa de Preços",E1395)))</formula>
    </cfRule>
  </conditionalFormatting>
  <conditionalFormatting sqref="E1593">
    <cfRule type="containsText" dxfId="1909" priority="4820" operator="containsText" text="Pesquisa de Preços">
      <formula>NOT(ISERROR(SEARCH("Pesquisa de Preços",E1593)))</formula>
    </cfRule>
  </conditionalFormatting>
  <conditionalFormatting sqref="E1636 E1638:E1639">
    <cfRule type="containsText" dxfId="1908" priority="4805" operator="containsText" text="Pesquisa de Preços">
      <formula>NOT(ISERROR(SEARCH("Pesquisa de Preços",E1636)))</formula>
    </cfRule>
  </conditionalFormatting>
  <conditionalFormatting sqref="E1600 E1604">
    <cfRule type="containsText" dxfId="1907" priority="4819" operator="containsText" text="Pesquisa de Preços">
      <formula>NOT(ISERROR(SEARCH("Pesquisa de Preços",E1600)))</formula>
    </cfRule>
  </conditionalFormatting>
  <conditionalFormatting sqref="E1599">
    <cfRule type="containsText" dxfId="1906" priority="4818" operator="containsText" text="Pesquisa de Preços">
      <formula>NOT(ISERROR(SEARCH("Pesquisa de Preços",E1599)))</formula>
    </cfRule>
  </conditionalFormatting>
  <conditionalFormatting sqref="E1646">
    <cfRule type="containsText" dxfId="1905" priority="4815" operator="containsText" text="Pesquisa de Preços">
      <formula>NOT(ISERROR(SEARCH("Pesquisa de Preços",E1646)))</formula>
    </cfRule>
  </conditionalFormatting>
  <conditionalFormatting sqref="E1610">
    <cfRule type="containsText" dxfId="1904" priority="4817" operator="containsText" text="Pesquisa de Preços">
      <formula>NOT(ISERROR(SEARCH("Pesquisa de Preços",E1610)))</formula>
    </cfRule>
  </conditionalFormatting>
  <conditionalFormatting sqref="E1647:E1648">
    <cfRule type="containsText" dxfId="1903" priority="4816" operator="containsText" text="Pesquisa de Preços">
      <formula>NOT(ISERROR(SEARCH("Pesquisa de Preços",E1647)))</formula>
    </cfRule>
  </conditionalFormatting>
  <conditionalFormatting sqref="E2255">
    <cfRule type="containsText" dxfId="1902" priority="4664" operator="containsText" text="Pesquisa de Preços">
      <formula>NOT(ISERROR(SEARCH("Pesquisa de Preços",E2255)))</formula>
    </cfRule>
  </conditionalFormatting>
  <conditionalFormatting sqref="E1649:E1650">
    <cfRule type="containsText" dxfId="1901" priority="4814" operator="containsText" text="Pesquisa de Preços">
      <formula>NOT(ISERROR(SEARCH("Pesquisa de Preços",E1649)))</formula>
    </cfRule>
  </conditionalFormatting>
  <conditionalFormatting sqref="E1692">
    <cfRule type="containsText" dxfId="1900" priority="4812" operator="containsText" text="Pesquisa de Preços">
      <formula>NOT(ISERROR(SEARCH("Pesquisa de Preços",E1692)))</formula>
    </cfRule>
  </conditionalFormatting>
  <conditionalFormatting sqref="E1624 E1628">
    <cfRule type="containsText" dxfId="1899" priority="4809" operator="containsText" text="Pesquisa de Preços">
      <formula>NOT(ISERROR(SEARCH("Pesquisa de Preços",E1624)))</formula>
    </cfRule>
  </conditionalFormatting>
  <conditionalFormatting sqref="E1629">
    <cfRule type="containsText" dxfId="1898" priority="4810" operator="containsText" text="Pesquisa de Preços">
      <formula>NOT(ISERROR(SEARCH("Pesquisa de Preços",E1629)))</formula>
    </cfRule>
  </conditionalFormatting>
  <conditionalFormatting sqref="E1623">
    <cfRule type="containsText" dxfId="1897" priority="4808" operator="containsText" text="Pesquisa de Preços">
      <formula>NOT(ISERROR(SEARCH("Pesquisa de Preços",E1623)))</formula>
    </cfRule>
  </conditionalFormatting>
  <conditionalFormatting sqref="E1619 E1621:E1622">
    <cfRule type="containsText" dxfId="1896" priority="4807" operator="containsText" text="Pesquisa de Preços">
      <formula>NOT(ISERROR(SEARCH("Pesquisa de Preços",E1619)))</formula>
    </cfRule>
  </conditionalFormatting>
  <conditionalFormatting sqref="E1641 E1644:E1645">
    <cfRule type="containsText" dxfId="1895" priority="4803" operator="containsText" text="Pesquisa de Preços">
      <formula>NOT(ISERROR(SEARCH("Pesquisa de Preços",E1641)))</formula>
    </cfRule>
  </conditionalFormatting>
  <conditionalFormatting sqref="E1745 E1736:E1738">
    <cfRule type="containsText" dxfId="1894" priority="4787" operator="containsText" text="Pesquisa de Preços">
      <formula>NOT(ISERROR(SEARCH("Pesquisa de Preços",E1736)))</formula>
    </cfRule>
  </conditionalFormatting>
  <conditionalFormatting sqref="E1686 E1690:E1691">
    <cfRule type="containsText" dxfId="1893" priority="4801" operator="containsText" text="Pesquisa de Preços">
      <formula>NOT(ISERROR(SEARCH("Pesquisa de Preços",E1686)))</formula>
    </cfRule>
  </conditionalFormatting>
  <conditionalFormatting sqref="E1685">
    <cfRule type="containsText" dxfId="1892" priority="4800" operator="containsText" text="Pesquisa de Preços">
      <formula>NOT(ISERROR(SEARCH("Pesquisa de Preços",E1685)))</formula>
    </cfRule>
  </conditionalFormatting>
  <conditionalFormatting sqref="E2359">
    <cfRule type="containsText" dxfId="1891" priority="4633" operator="containsText" text="Pesquisa de Preços">
      <formula>NOT(ISERROR(SEARCH("Pesquisa de Preços",E2359)))</formula>
    </cfRule>
  </conditionalFormatting>
  <conditionalFormatting sqref="E2354">
    <cfRule type="containsText" dxfId="1890" priority="4635" operator="containsText" text="Pesquisa de Preços">
      <formula>NOT(ISERROR(SEARCH("Pesquisa de Preços",E2354)))</formula>
    </cfRule>
  </conditionalFormatting>
  <conditionalFormatting sqref="E1680 E1683:E1684">
    <cfRule type="containsText" dxfId="1889" priority="4797" operator="containsText" text="Pesquisa de Preços">
      <formula>NOT(ISERROR(SEARCH("Pesquisa de Preços",E1680)))</formula>
    </cfRule>
  </conditionalFormatting>
  <conditionalFormatting sqref="E1679">
    <cfRule type="containsText" dxfId="1888" priority="4796" operator="containsText" text="Pesquisa de Preços">
      <formula>NOT(ISERROR(SEARCH("Pesquisa de Preços",E1679)))</formula>
    </cfRule>
  </conditionalFormatting>
  <conditionalFormatting sqref="E1675 E1677:E1678">
    <cfRule type="containsText" dxfId="1887" priority="4795" operator="containsText" text="Pesquisa de Preços">
      <formula>NOT(ISERROR(SEARCH("Pesquisa de Preços",E1675)))</formula>
    </cfRule>
  </conditionalFormatting>
  <conditionalFormatting sqref="E1674">
    <cfRule type="containsText" dxfId="1886" priority="4794" operator="containsText" text="Pesquisa de Preços">
      <formula>NOT(ISERROR(SEARCH("Pesquisa de Preços",E1674)))</formula>
    </cfRule>
  </conditionalFormatting>
  <conditionalFormatting sqref="E1725:E1726 E1734">
    <cfRule type="containsText" dxfId="1885" priority="4781" operator="containsText" text="Pesquisa de Preços">
      <formula>NOT(ISERROR(SEARCH("Pesquisa de Preços",E1725)))</formula>
    </cfRule>
  </conditionalFormatting>
  <conditionalFormatting sqref="E1670">
    <cfRule type="containsText" dxfId="1884" priority="4791" operator="containsText" text="Pesquisa de Preços">
      <formula>NOT(ISERROR(SEARCH("Pesquisa de Preços",E1670)))</formula>
    </cfRule>
  </conditionalFormatting>
  <conditionalFormatting sqref="E1665">
    <cfRule type="containsText" dxfId="1883" priority="4793" operator="containsText" text="Pesquisa de Preços">
      <formula>NOT(ISERROR(SEARCH("Pesquisa de Preços",E1665)))</formula>
    </cfRule>
  </conditionalFormatting>
  <conditionalFormatting sqref="E1664">
    <cfRule type="containsText" dxfId="1882" priority="4792" operator="containsText" text="Pesquisa de Preços">
      <formula>NOT(ISERROR(SEARCH("Pesquisa de Preços",E1664)))</formula>
    </cfRule>
  </conditionalFormatting>
  <conditionalFormatting sqref="E2331">
    <cfRule type="containsText" dxfId="1881" priority="4643" operator="containsText" text="Pesquisa de Preços">
      <formula>NOT(ISERROR(SEARCH("Pesquisa de Preços",E2331)))</formula>
    </cfRule>
  </conditionalFormatting>
  <conditionalFormatting sqref="E2343">
    <cfRule type="containsText" dxfId="1880" priority="4641" operator="containsText" text="Pesquisa de Preços">
      <formula>NOT(ISERROR(SEARCH("Pesquisa de Preços",E2343)))</formula>
    </cfRule>
  </conditionalFormatting>
  <conditionalFormatting sqref="E1659 E1662:E1663">
    <cfRule type="containsText" dxfId="1879" priority="4789" operator="containsText" text="Pesquisa de Preços">
      <formula>NOT(ISERROR(SEARCH("Pesquisa de Preços",E1659)))</formula>
    </cfRule>
  </conditionalFormatting>
  <conditionalFormatting sqref="E1747 E1756">
    <cfRule type="containsText" dxfId="1878" priority="4785" operator="containsText" text="Pesquisa de Preços">
      <formula>NOT(ISERROR(SEARCH("Pesquisa de Preços",E1747)))</formula>
    </cfRule>
  </conditionalFormatting>
  <conditionalFormatting sqref="E1714:E1715 E1723">
    <cfRule type="containsText" dxfId="1877" priority="4783" operator="containsText" text="Pesquisa de Preços">
      <formula>NOT(ISERROR(SEARCH("Pesquisa de Preços",E1714)))</formula>
    </cfRule>
  </conditionalFormatting>
  <conditionalFormatting sqref="E896">
    <cfRule type="containsText" dxfId="1876" priority="4631" operator="containsText" text="Pesquisa de Preços">
      <formula>NOT(ISERROR(SEARCH("Pesquisa de Preços",E896)))</formula>
    </cfRule>
  </conditionalFormatting>
  <conditionalFormatting sqref="E875">
    <cfRule type="containsText" dxfId="1875" priority="4629" operator="containsText" text="Pesquisa de Preços">
      <formula>NOT(ISERROR(SEARCH("Pesquisa de Preços",E875)))</formula>
    </cfRule>
  </conditionalFormatting>
  <conditionalFormatting sqref="E1700:E1701 E1703:E1704">
    <cfRule type="containsText" dxfId="1874" priority="4779" operator="containsText" text="Pesquisa de Preços">
      <formula>NOT(ISERROR(SEARCH("Pesquisa de Preços",E1700)))</formula>
    </cfRule>
  </conditionalFormatting>
  <conditionalFormatting sqref="E850">
    <cfRule type="containsText" dxfId="1873" priority="4618" operator="containsText" text="Pesquisa de Preços">
      <formula>NOT(ISERROR(SEARCH("Pesquisa de Preços",E850)))</formula>
    </cfRule>
  </conditionalFormatting>
  <conditionalFormatting sqref="E1706">
    <cfRule type="containsText" dxfId="1872" priority="4777" operator="containsText" text="Pesquisa de Preços">
      <formula>NOT(ISERROR(SEARCH("Pesquisa de Preços",E1706)))</formula>
    </cfRule>
  </conditionalFormatting>
  <conditionalFormatting sqref="E856">
    <cfRule type="containsText" dxfId="1871" priority="4623" operator="containsText" text="Pesquisa de Preços">
      <formula>NOT(ISERROR(SEARCH("Pesquisa de Preços",E856)))</formula>
    </cfRule>
  </conditionalFormatting>
  <conditionalFormatting sqref="E1709:E1710">
    <cfRule type="containsText" dxfId="1870" priority="4775" operator="containsText" text="Pesquisa de Preços">
      <formula>NOT(ISERROR(SEARCH("Pesquisa de Preços",E1709)))</formula>
    </cfRule>
  </conditionalFormatting>
  <conditionalFormatting sqref="E1819">
    <cfRule type="containsText" dxfId="1869" priority="4774" operator="containsText" text="Pesquisa de Preços">
      <formula>NOT(ISERROR(SEARCH("Pesquisa de Preços",E1819)))</formula>
    </cfRule>
  </conditionalFormatting>
  <conditionalFormatting sqref="E1818">
    <cfRule type="containsText" dxfId="1868" priority="4773" operator="containsText" text="Pesquisa de Preços">
      <formula>NOT(ISERROR(SEARCH("Pesquisa de Preços",E1818)))</formula>
    </cfRule>
  </conditionalFormatting>
  <conditionalFormatting sqref="E1845">
    <cfRule type="containsText" dxfId="1867" priority="4764" operator="containsText" text="Pesquisa de Preços">
      <formula>NOT(ISERROR(SEARCH("Pesquisa de Preços",E1845)))</formula>
    </cfRule>
  </conditionalFormatting>
  <conditionalFormatting sqref="E1814">
    <cfRule type="containsText" dxfId="1866" priority="4772" operator="containsText" text="Pesquisa de Preços">
      <formula>NOT(ISERROR(SEARCH("Pesquisa de Preços",E1814)))</formula>
    </cfRule>
  </conditionalFormatting>
  <conditionalFormatting sqref="E1813">
    <cfRule type="containsText" dxfId="1865" priority="4771" operator="containsText" text="Pesquisa de Preços">
      <formula>NOT(ISERROR(SEARCH("Pesquisa de Preços",E1813)))</formula>
    </cfRule>
  </conditionalFormatting>
  <conditionalFormatting sqref="E1824 E1827:E1828">
    <cfRule type="containsText" dxfId="1864" priority="4770" operator="containsText" text="Pesquisa de Preços">
      <formula>NOT(ISERROR(SEARCH("Pesquisa de Preços",E1824)))</formula>
    </cfRule>
  </conditionalFormatting>
  <conditionalFormatting sqref="E1823">
    <cfRule type="containsText" dxfId="1863" priority="4769" operator="containsText" text="Pesquisa de Preços">
      <formula>NOT(ISERROR(SEARCH("Pesquisa de Preços",E1823)))</formula>
    </cfRule>
  </conditionalFormatting>
  <conditionalFormatting sqref="E1826">
    <cfRule type="containsText" dxfId="1862" priority="4768" operator="containsText" text="Pesquisa de Preços">
      <formula>NOT(ISERROR(SEARCH("Pesquisa de Preços",E1826)))</formula>
    </cfRule>
  </conditionalFormatting>
  <conditionalFormatting sqref="E1834">
    <cfRule type="containsText" dxfId="1861" priority="4767" operator="containsText" text="Pesquisa de Preços">
      <formula>NOT(ISERROR(SEARCH("Pesquisa de Preços",E1834)))</formula>
    </cfRule>
  </conditionalFormatting>
  <conditionalFormatting sqref="E1843:E1844 E1846:E1847">
    <cfRule type="containsText" dxfId="1860" priority="4766" operator="containsText" text="Pesquisa de Preços">
      <formula>NOT(ISERROR(SEARCH("Pesquisa de Preços",E1843)))</formula>
    </cfRule>
  </conditionalFormatting>
  <conditionalFormatting sqref="E1849:E1850 E1852:E1853">
    <cfRule type="containsText" dxfId="1859" priority="4763" operator="containsText" text="Pesquisa de Preços">
      <formula>NOT(ISERROR(SEARCH("Pesquisa de Preços",E1849)))</formula>
    </cfRule>
  </conditionalFormatting>
  <conditionalFormatting sqref="E1857">
    <cfRule type="containsText" dxfId="1858" priority="4756" operator="containsText" text="Pesquisa de Preços">
      <formula>NOT(ISERROR(SEARCH("Pesquisa de Preços",E1857)))</formula>
    </cfRule>
  </conditionalFormatting>
  <conditionalFormatting sqref="E1851">
    <cfRule type="containsText" dxfId="1857" priority="4761" operator="containsText" text="Pesquisa de Preços">
      <formula>NOT(ISERROR(SEARCH("Pesquisa de Preços",E1851)))</formula>
    </cfRule>
  </conditionalFormatting>
  <conditionalFormatting sqref="E1836:E1837 E1841">
    <cfRule type="containsText" dxfId="1856" priority="4760" operator="containsText" text="Pesquisa de Preços">
      <formula>NOT(ISERROR(SEARCH("Pesquisa de Preços",E1836)))</formula>
    </cfRule>
  </conditionalFormatting>
  <conditionalFormatting sqref="E1855:E1856 E1858:E1859">
    <cfRule type="containsText" dxfId="1855" priority="4758" operator="containsText" text="Pesquisa de Preços">
      <formula>NOT(ISERROR(SEARCH("Pesquisa de Preços",E1855)))</formula>
    </cfRule>
  </conditionalFormatting>
  <conditionalFormatting sqref="E2364">
    <cfRule type="containsText" dxfId="1854" priority="4604" operator="containsText" text="Pesquisa de Preços">
      <formula>NOT(ISERROR(SEARCH("Pesquisa de Preços",E2364)))</formula>
    </cfRule>
  </conditionalFormatting>
  <conditionalFormatting sqref="E1865">
    <cfRule type="containsText" dxfId="1853" priority="4755" operator="containsText" text="Pesquisa de Preços">
      <formula>NOT(ISERROR(SEARCH("Pesquisa de Preços",E1865)))</formula>
    </cfRule>
  </conditionalFormatting>
  <conditionalFormatting sqref="E2391">
    <cfRule type="containsText" dxfId="1852" priority="4601" operator="containsText" text="Pesquisa de Preços">
      <formula>NOT(ISERROR(SEARCH("Pesquisa de Preços",E2391)))</formula>
    </cfRule>
  </conditionalFormatting>
  <conditionalFormatting sqref="E1901">
    <cfRule type="containsText" dxfId="1851" priority="4754" operator="containsText" text="Pesquisa de Preços">
      <formula>NOT(ISERROR(SEARCH("Pesquisa de Preços",E1901)))</formula>
    </cfRule>
  </conditionalFormatting>
  <conditionalFormatting sqref="E2385">
    <cfRule type="containsText" dxfId="1850" priority="4599" operator="containsText" text="Pesquisa de Preços">
      <formula>NOT(ISERROR(SEARCH("Pesquisa de Preços",E2385)))</formula>
    </cfRule>
  </conditionalFormatting>
  <conditionalFormatting sqref="E1877">
    <cfRule type="containsText" dxfId="1849" priority="4753" operator="containsText" text="Pesquisa de Preços">
      <formula>NOT(ISERROR(SEARCH("Pesquisa de Preços",E1877)))</formula>
    </cfRule>
  </conditionalFormatting>
  <conditionalFormatting sqref="E1895">
    <cfRule type="containsText" dxfId="1848" priority="4752" operator="containsText" text="Pesquisa de Preços">
      <formula>NOT(ISERROR(SEARCH("Pesquisa de Preços",E1895)))</formula>
    </cfRule>
  </conditionalFormatting>
  <conditionalFormatting sqref="E1871">
    <cfRule type="containsText" dxfId="1847" priority="4751" operator="containsText" text="Pesquisa de Preços">
      <formula>NOT(ISERROR(SEARCH("Pesquisa de Preços",E1871)))</formula>
    </cfRule>
  </conditionalFormatting>
  <conditionalFormatting sqref="E1883">
    <cfRule type="containsText" dxfId="1846" priority="4750" operator="containsText" text="Pesquisa de Preços">
      <formula>NOT(ISERROR(SEARCH("Pesquisa de Preços",E1883)))</formula>
    </cfRule>
  </conditionalFormatting>
  <conditionalFormatting sqref="E1905">
    <cfRule type="containsText" dxfId="1845" priority="4746" operator="containsText" text="Pesquisa de Preços">
      <formula>NOT(ISERROR(SEARCH("Pesquisa de Preços",E1905)))</formula>
    </cfRule>
  </conditionalFormatting>
  <conditionalFormatting sqref="E1889">
    <cfRule type="containsText" dxfId="1844" priority="4749" operator="containsText" text="Pesquisa de Preços">
      <formula>NOT(ISERROR(SEARCH("Pesquisa de Preços",E1889)))</formula>
    </cfRule>
  </conditionalFormatting>
  <conditionalFormatting sqref="E1930 E1933:E1934">
    <cfRule type="containsText" dxfId="1843" priority="4738" operator="containsText" text="Pesquisa de Preços">
      <formula>NOT(ISERROR(SEARCH("Pesquisa de Preços",E1930)))</formula>
    </cfRule>
  </conditionalFormatting>
  <conditionalFormatting sqref="E1903:E1904 E1906:E1907">
    <cfRule type="containsText" dxfId="1842" priority="4748" operator="containsText" text="Pesquisa de Preços">
      <formula>NOT(ISERROR(SEARCH("Pesquisa de Preços",E1903)))</formula>
    </cfRule>
  </conditionalFormatting>
  <conditionalFormatting sqref="E1911">
    <cfRule type="containsText" dxfId="1841" priority="4743" operator="containsText" text="Pesquisa de Preços">
      <formula>NOT(ISERROR(SEARCH("Pesquisa de Preços",E1911)))</formula>
    </cfRule>
  </conditionalFormatting>
  <conditionalFormatting sqref="E1909:E1910 E1912:E1913">
    <cfRule type="containsText" dxfId="1840" priority="4745" operator="containsText" text="Pesquisa de Preços">
      <formula>NOT(ISERROR(SEARCH("Pesquisa de Preços",E1909)))</formula>
    </cfRule>
  </conditionalFormatting>
  <conditionalFormatting sqref="E1925:E1926 E1928">
    <cfRule type="containsText" dxfId="1839" priority="4742" operator="containsText" text="Pesquisa de Preços">
      <formula>NOT(ISERROR(SEARCH("Pesquisa de Preços",E1925)))</formula>
    </cfRule>
  </conditionalFormatting>
  <conditionalFormatting sqref="E1920">
    <cfRule type="containsText" dxfId="1838" priority="4740" operator="containsText" text="Pesquisa de Preços">
      <formula>NOT(ISERROR(SEARCH("Pesquisa de Preços",E1920)))</formula>
    </cfRule>
  </conditionalFormatting>
  <conditionalFormatting sqref="E1953:E1954 E1956:E1957">
    <cfRule type="containsText" dxfId="1837" priority="4736" operator="containsText" text="Pesquisa de Preços">
      <formula>NOT(ISERROR(SEARCH("Pesquisa de Preços",E1953)))</formula>
    </cfRule>
  </conditionalFormatting>
  <conditionalFormatting sqref="E1955">
    <cfRule type="containsText" dxfId="1836" priority="4734" operator="containsText" text="Pesquisa de Preços">
      <formula>NOT(ISERROR(SEARCH("Pesquisa de Preços",E1955)))</formula>
    </cfRule>
  </conditionalFormatting>
  <conditionalFormatting sqref="E1962:E1963">
    <cfRule type="containsText" dxfId="1835" priority="4733" operator="containsText" text="Pesquisa de Preços">
      <formula>NOT(ISERROR(SEARCH("Pesquisa de Preços",E1962)))</formula>
    </cfRule>
  </conditionalFormatting>
  <conditionalFormatting sqref="E1972:E1973 E1976:E1977">
    <cfRule type="containsText" dxfId="1834" priority="4727" operator="containsText" text="Pesquisa de Preços">
      <formula>NOT(ISERROR(SEARCH("Pesquisa de Preços",E1972)))</formula>
    </cfRule>
  </conditionalFormatting>
  <conditionalFormatting sqref="E1974:E1975">
    <cfRule type="containsText" dxfId="1833" priority="4725" operator="containsText" text="Pesquisa de Preços">
      <formula>NOT(ISERROR(SEARCH("Pesquisa de Preços",E1974)))</formula>
    </cfRule>
  </conditionalFormatting>
  <conditionalFormatting sqref="E1987 E1992:E1993">
    <cfRule type="containsText" dxfId="1832" priority="4732" operator="containsText" text="Pesquisa de Preços">
      <formula>NOT(ISERROR(SEARCH("Pesquisa de Preços",E1987)))</formula>
    </cfRule>
  </conditionalFormatting>
  <conditionalFormatting sqref="E1986">
    <cfRule type="containsText" dxfId="1831" priority="4731" operator="containsText" text="Pesquisa de Preços">
      <formula>NOT(ISERROR(SEARCH("Pesquisa de Preços",E1986)))</formula>
    </cfRule>
  </conditionalFormatting>
  <conditionalFormatting sqref="E1979 E1985">
    <cfRule type="containsText" dxfId="1830" priority="4729" operator="containsText" text="Pesquisa de Preços">
      <formula>NOT(ISERROR(SEARCH("Pesquisa de Preços",E1979)))</formula>
    </cfRule>
  </conditionalFormatting>
  <conditionalFormatting sqref="E1964">
    <cfRule type="containsText" dxfId="1829" priority="4723" operator="containsText" text="Pesquisa de Preços">
      <formula>NOT(ISERROR(SEARCH("Pesquisa de Preços",E1964)))</formula>
    </cfRule>
  </conditionalFormatting>
  <conditionalFormatting sqref="E1965:E1966 E1969:E1970">
    <cfRule type="containsText" dxfId="1828" priority="4724" operator="containsText" text="Pesquisa de Preços">
      <formula>NOT(ISERROR(SEARCH("Pesquisa de Preços",E1965)))</formula>
    </cfRule>
  </conditionalFormatting>
  <conditionalFormatting sqref="E1967:E1968">
    <cfRule type="containsText" dxfId="1827" priority="4722" operator="containsText" text="Pesquisa de Preços">
      <formula>NOT(ISERROR(SEARCH("Pesquisa de Preços",E1967)))</formula>
    </cfRule>
  </conditionalFormatting>
  <conditionalFormatting sqref="E2016 E2021">
    <cfRule type="containsText" dxfId="1826" priority="4721" operator="containsText" text="Pesquisa de Preços">
      <formula>NOT(ISERROR(SEARCH("Pesquisa de Preços",E2016)))</formula>
    </cfRule>
  </conditionalFormatting>
  <conditionalFormatting sqref="E2011:E2012">
    <cfRule type="containsText" dxfId="1825" priority="4717" operator="containsText" text="Pesquisa de Preços">
      <formula>NOT(ISERROR(SEARCH("Pesquisa de Preços",E2011)))</formula>
    </cfRule>
  </conditionalFormatting>
  <conditionalFormatting sqref="E2014 E2009:E2010">
    <cfRule type="containsText" dxfId="1824" priority="4719" operator="containsText" text="Pesquisa de Preços">
      <formula>NOT(ISERROR(SEARCH("Pesquisa de Preços",E2009)))</formula>
    </cfRule>
  </conditionalFormatting>
  <conditionalFormatting sqref="E2004:E2005">
    <cfRule type="containsText" dxfId="1823" priority="4714" operator="containsText" text="Pesquisa de Preços">
      <formula>NOT(ISERROR(SEARCH("Pesquisa de Preços",E2004)))</formula>
    </cfRule>
  </conditionalFormatting>
  <conditionalFormatting sqref="E2007 E2002:E2003">
    <cfRule type="containsText" dxfId="1822" priority="4716" operator="containsText" text="Pesquisa de Preços">
      <formula>NOT(ISERROR(SEARCH("Pesquisa de Preços",E2002)))</formula>
    </cfRule>
  </conditionalFormatting>
  <conditionalFormatting sqref="E1995 E2000">
    <cfRule type="containsText" dxfId="1821" priority="4713" operator="containsText" text="Pesquisa de Preços">
      <formula>NOT(ISERROR(SEARCH("Pesquisa de Preços",E1995)))</formula>
    </cfRule>
  </conditionalFormatting>
  <conditionalFormatting sqref="E2140">
    <cfRule type="containsText" dxfId="1820" priority="4710" operator="containsText" text="Pesquisa de Preços">
      <formula>NOT(ISERROR(SEARCH("Pesquisa de Preços",E2140)))</formula>
    </cfRule>
  </conditionalFormatting>
  <conditionalFormatting sqref="E2141:E2142">
    <cfRule type="containsText" dxfId="1819" priority="4711" operator="containsText" text="Pesquisa de Preços">
      <formula>NOT(ISERROR(SEARCH("Pesquisa de Preços",E2141)))</formula>
    </cfRule>
  </conditionalFormatting>
  <conditionalFormatting sqref="E2143:E2144">
    <cfRule type="containsText" dxfId="1818" priority="4709" operator="containsText" text="Pesquisa de Preços">
      <formula>NOT(ISERROR(SEARCH("Pesquisa de Preços",E2143)))</formula>
    </cfRule>
  </conditionalFormatting>
  <conditionalFormatting sqref="E2129:E2130">
    <cfRule type="containsText" dxfId="1817" priority="4708" operator="containsText" text="Pesquisa de Preços">
      <formula>NOT(ISERROR(SEARCH("Pesquisa de Preços",E2129)))</formula>
    </cfRule>
  </conditionalFormatting>
  <conditionalFormatting sqref="E2128">
    <cfRule type="containsText" dxfId="1816" priority="4707" operator="containsText" text="Pesquisa de Preços">
      <formula>NOT(ISERROR(SEARCH("Pesquisa de Preços",E2128)))</formula>
    </cfRule>
  </conditionalFormatting>
  <conditionalFormatting sqref="E2155 E2159:E2161">
    <cfRule type="containsText" dxfId="1815" priority="4705" operator="containsText" text="Pesquisa de Preços">
      <formula>NOT(ISERROR(SEARCH("Pesquisa de Preços",E2155)))</formula>
    </cfRule>
  </conditionalFormatting>
  <conditionalFormatting sqref="E2154">
    <cfRule type="containsText" dxfId="1814" priority="4704" operator="containsText" text="Pesquisa de Preços">
      <formula>NOT(ISERROR(SEARCH("Pesquisa de Preços",E2154)))</formula>
    </cfRule>
  </conditionalFormatting>
  <conditionalFormatting sqref="E2158">
    <cfRule type="containsText" dxfId="1813" priority="4703" operator="containsText" text="Pesquisa de Preços">
      <formula>NOT(ISERROR(SEARCH("Pesquisa de Preços",E2158)))</formula>
    </cfRule>
  </conditionalFormatting>
  <conditionalFormatting sqref="E2171 E2175:E2177">
    <cfRule type="containsText" dxfId="1812" priority="4702" operator="containsText" text="Pesquisa de Preços">
      <formula>NOT(ISERROR(SEARCH("Pesquisa de Preços",E2171)))</formula>
    </cfRule>
  </conditionalFormatting>
  <conditionalFormatting sqref="E2151:E2153">
    <cfRule type="containsText" dxfId="1811" priority="4700" operator="containsText" text="Pesquisa de Preços">
      <formula>NOT(ISERROR(SEARCH("Pesquisa de Preços",E2151)))</formula>
    </cfRule>
  </conditionalFormatting>
  <conditionalFormatting sqref="E2183:E2185">
    <cfRule type="containsText" dxfId="1810" priority="4699" operator="containsText" text="Pesquisa de Preços">
      <formula>NOT(ISERROR(SEARCH("Pesquisa de Preços",E2183)))</formula>
    </cfRule>
  </conditionalFormatting>
  <conditionalFormatting sqref="E2061 E2065:E2067">
    <cfRule type="containsText" dxfId="1809" priority="4694" operator="containsText" text="Pesquisa de Preços">
      <formula>NOT(ISERROR(SEARCH("Pesquisa de Preços",E2061)))</formula>
    </cfRule>
  </conditionalFormatting>
  <conditionalFormatting sqref="E2167:E2169">
    <cfRule type="containsText" dxfId="1808" priority="4698" operator="containsText" text="Pesquisa de Preços">
      <formula>NOT(ISERROR(SEARCH("Pesquisa de Preços",E2167)))</formula>
    </cfRule>
  </conditionalFormatting>
  <conditionalFormatting sqref="E2060">
    <cfRule type="containsText" dxfId="1807" priority="4693" operator="containsText" text="Pesquisa de Preços">
      <formula>NOT(ISERROR(SEARCH("Pesquisa de Preços",E2060)))</formula>
    </cfRule>
  </conditionalFormatting>
  <conditionalFormatting sqref="E2191:E2193">
    <cfRule type="containsText" dxfId="1806" priority="4697" operator="containsText" text="Pesquisa de Preços">
      <formula>NOT(ISERROR(SEARCH("Pesquisa de Preços",E2191)))</formula>
    </cfRule>
  </conditionalFormatting>
  <conditionalFormatting sqref="E2244:E2247 E2249">
    <cfRule type="containsText" dxfId="1805" priority="4653" operator="containsText" text="Pesquisa de Preços">
      <formula>NOT(ISERROR(SEARCH("Pesquisa de Preços",E2244)))</formula>
    </cfRule>
  </conditionalFormatting>
  <conditionalFormatting sqref="E2045 E2049:E2051">
    <cfRule type="containsText" dxfId="1804" priority="4696" operator="containsText" text="Pesquisa de Preços">
      <formula>NOT(ISERROR(SEARCH("Pesquisa de Preços",E2045)))</formula>
    </cfRule>
  </conditionalFormatting>
  <conditionalFormatting sqref="E2053 E2057:E2059">
    <cfRule type="containsText" dxfId="1803" priority="4688" operator="containsText" text="Pesquisa de Preços">
      <formula>NOT(ISERROR(SEARCH("Pesquisa de Preços",E2053)))</formula>
    </cfRule>
  </conditionalFormatting>
  <conditionalFormatting sqref="E2338:E2339 E2342">
    <cfRule type="containsText" dxfId="1802" priority="4646" operator="containsText" text="Pesquisa de Preços">
      <formula>NOT(ISERROR(SEARCH("Pesquisa de Preços",E2338)))</formula>
    </cfRule>
  </conditionalFormatting>
  <conditionalFormatting sqref="E2037 E2041:E2043">
    <cfRule type="containsText" dxfId="1801" priority="4692" operator="containsText" text="Pesquisa de Preços">
      <formula>NOT(ISERROR(SEARCH("Pesquisa de Preços",E2037)))</formula>
    </cfRule>
  </conditionalFormatting>
  <conditionalFormatting sqref="E2036">
    <cfRule type="containsText" dxfId="1800" priority="4691" operator="containsText" text="Pesquisa de Preços">
      <formula>NOT(ISERROR(SEARCH("Pesquisa de Preços",E2036)))</formula>
    </cfRule>
  </conditionalFormatting>
  <conditionalFormatting sqref="E2069 E2073:E2075">
    <cfRule type="containsText" dxfId="1799" priority="4690" operator="containsText" text="Pesquisa de Preços">
      <formula>NOT(ISERROR(SEARCH("Pesquisa de Preços",E2069)))</formula>
    </cfRule>
  </conditionalFormatting>
  <conditionalFormatting sqref="E2068">
    <cfRule type="containsText" dxfId="1798" priority="4689" operator="containsText" text="Pesquisa de Preços">
      <formula>NOT(ISERROR(SEARCH("Pesquisa de Preços",E2068)))</formula>
    </cfRule>
  </conditionalFormatting>
  <conditionalFormatting sqref="E2319:E2320">
    <cfRule type="containsText" dxfId="1797" priority="4652" operator="containsText" text="Pesquisa de Preços">
      <formula>NOT(ISERROR(SEARCH("Pesquisa de Preços",E2319)))</formula>
    </cfRule>
  </conditionalFormatting>
  <conditionalFormatting sqref="E2052">
    <cfRule type="containsText" dxfId="1796" priority="4687" operator="containsText" text="Pesquisa de Preços">
      <formula>NOT(ISERROR(SEARCH("Pesquisa de Preços",E2052)))</formula>
    </cfRule>
  </conditionalFormatting>
  <conditionalFormatting sqref="E2301">
    <cfRule type="containsText" dxfId="1795" priority="4661" operator="containsText" text="Pesquisa de Preços">
      <formula>NOT(ISERROR(SEARCH("Pesquisa de Preços",E2301)))</formula>
    </cfRule>
  </conditionalFormatting>
  <conditionalFormatting sqref="E2077 E2081:E2083">
    <cfRule type="containsText" dxfId="1794" priority="4686" operator="containsText" text="Pesquisa de Preços">
      <formula>NOT(ISERROR(SEARCH("Pesquisa de Preços",E2077)))</formula>
    </cfRule>
  </conditionalFormatting>
  <conditionalFormatting sqref="E2076">
    <cfRule type="containsText" dxfId="1793" priority="4685" operator="containsText" text="Pesquisa de Preços">
      <formula>NOT(ISERROR(SEARCH("Pesquisa de Preços",E2076)))</formula>
    </cfRule>
  </conditionalFormatting>
  <conditionalFormatting sqref="E2256">
    <cfRule type="containsText" dxfId="1792" priority="4665" operator="containsText" text="Pesquisa de Preços">
      <formula>NOT(ISERROR(SEARCH("Pesquisa de Preços",E2256)))</formula>
    </cfRule>
  </conditionalFormatting>
  <conditionalFormatting sqref="E2035">
    <cfRule type="containsText" dxfId="1791" priority="4684" operator="containsText" text="Pesquisa de Preços">
      <formula>NOT(ISERROR(SEARCH("Pesquisa de Preços",E2035)))</formula>
    </cfRule>
  </conditionalFormatting>
  <conditionalFormatting sqref="E2113:E2115">
    <cfRule type="containsText" dxfId="1790" priority="4683" operator="containsText" text="Pesquisa de Preços">
      <formula>NOT(ISERROR(SEARCH("Pesquisa de Preços",E2113)))</formula>
    </cfRule>
  </conditionalFormatting>
  <conditionalFormatting sqref="E2229">
    <cfRule type="containsText" dxfId="1789" priority="4666" operator="containsText" text="Pesquisa de Preços">
      <formula>NOT(ISERROR(SEARCH("Pesquisa de Preços",E2229)))</formula>
    </cfRule>
  </conditionalFormatting>
  <conditionalFormatting sqref="E2105:E2107">
    <cfRule type="containsText" dxfId="1788" priority="4682" operator="containsText" text="Pesquisa de Preços">
      <formula>NOT(ISERROR(SEARCH("Pesquisa de Preços",E2105)))</formula>
    </cfRule>
  </conditionalFormatting>
  <conditionalFormatting sqref="E2220">
    <cfRule type="containsText" dxfId="1787" priority="4671" operator="containsText" text="Pesquisa de Preços">
      <formula>NOT(ISERROR(SEARCH("Pesquisa de Preços",E2220)))</formula>
    </cfRule>
  </conditionalFormatting>
  <conditionalFormatting sqref="E2222">
    <cfRule type="containsText" dxfId="1786" priority="4670" operator="containsText" text="Pesquisa de Preços">
      <formula>NOT(ISERROR(SEARCH("Pesquisa de Preços",E2222)))</formula>
    </cfRule>
  </conditionalFormatting>
  <conditionalFormatting sqref="E2099">
    <cfRule type="containsText" dxfId="1785" priority="4681" operator="containsText" text="Pesquisa de Preços">
      <formula>NOT(ISERROR(SEARCH("Pesquisa de Preços",E2099)))</formula>
    </cfRule>
  </conditionalFormatting>
  <conditionalFormatting sqref="E2025">
    <cfRule type="containsText" dxfId="1784" priority="4678" operator="containsText" text="Pesquisa de Preços">
      <formula>NOT(ISERROR(SEARCH("Pesquisa de Preços",E2025)))</formula>
    </cfRule>
  </conditionalFormatting>
  <conditionalFormatting sqref="E2023:E2024 E2026:E2027">
    <cfRule type="containsText" dxfId="1783" priority="4680" operator="containsText" text="Pesquisa de Preços">
      <formula>NOT(ISERROR(SEARCH("Pesquisa de Preços",E2023)))</formula>
    </cfRule>
  </conditionalFormatting>
  <conditionalFormatting sqref="E2022">
    <cfRule type="containsText" dxfId="1782" priority="4679" operator="containsText" text="Pesquisa de Preços">
      <formula>NOT(ISERROR(SEARCH("Pesquisa de Preços",E2022)))</formula>
    </cfRule>
  </conditionalFormatting>
  <conditionalFormatting sqref="E2117">
    <cfRule type="containsText" dxfId="1781" priority="4677" operator="containsText" text="Pesquisa de Preços">
      <formula>NOT(ISERROR(SEARCH("Pesquisa de Preços",E2117)))</formula>
    </cfRule>
  </conditionalFormatting>
  <conditionalFormatting sqref="E2116">
    <cfRule type="containsText" dxfId="1780" priority="4676" operator="containsText" text="Pesquisa de Preços">
      <formula>NOT(ISERROR(SEARCH("Pesquisa de Preços",E2116)))</formula>
    </cfRule>
  </conditionalFormatting>
  <conditionalFormatting sqref="E2211:E2212">
    <cfRule type="containsText" dxfId="1779" priority="4675" operator="containsText" text="Pesquisa de Preços">
      <formula>NOT(ISERROR(SEARCH("Pesquisa de Preços",E2211)))</formula>
    </cfRule>
  </conditionalFormatting>
  <conditionalFormatting sqref="E2210">
    <cfRule type="containsText" dxfId="1778" priority="4674" operator="containsText" text="Pesquisa de Preços">
      <formula>NOT(ISERROR(SEARCH("Pesquisa de Preços",E2210)))</formula>
    </cfRule>
  </conditionalFormatting>
  <conditionalFormatting sqref="E2216:E2217 E2219">
    <cfRule type="containsText" dxfId="1777" priority="4673" operator="containsText" text="Pesquisa de Preços">
      <formula>NOT(ISERROR(SEARCH("Pesquisa de Preços",E2216)))</formula>
    </cfRule>
  </conditionalFormatting>
  <conditionalFormatting sqref="E2236 E2239:E2240">
    <cfRule type="containsText" dxfId="1776" priority="4669" operator="containsText" text="Pesquisa de Preços">
      <formula>NOT(ISERROR(SEARCH("Pesquisa de Preços",E2236)))</formula>
    </cfRule>
  </conditionalFormatting>
  <conditionalFormatting sqref="E2230 E2234">
    <cfRule type="containsText" dxfId="1775" priority="4667" operator="containsText" text="Pesquisa de Preços">
      <formula>NOT(ISERROR(SEARCH("Pesquisa de Preços",E2230)))</formula>
    </cfRule>
  </conditionalFormatting>
  <conditionalFormatting sqref="E2302">
    <cfRule type="containsText" dxfId="1774" priority="4662" operator="containsText" text="Pesquisa de Preços">
      <formula>NOT(ISERROR(SEARCH("Pesquisa de Preços",E2302)))</formula>
    </cfRule>
  </conditionalFormatting>
  <conditionalFormatting sqref="E2259">
    <cfRule type="containsText" dxfId="1773" priority="4663" operator="containsText" text="Pesquisa de Preços">
      <formula>NOT(ISERROR(SEARCH("Pesquisa de Preços",E2259)))</formula>
    </cfRule>
  </conditionalFormatting>
  <conditionalFormatting sqref="E2291">
    <cfRule type="containsText" dxfId="1772" priority="4659" operator="containsText" text="Pesquisa de Preços">
      <formula>NOT(ISERROR(SEARCH("Pesquisa de Preços",E2291)))</formula>
    </cfRule>
  </conditionalFormatting>
  <conditionalFormatting sqref="E2292">
    <cfRule type="containsText" dxfId="1771" priority="4660" operator="containsText" text="Pesquisa de Preços">
      <formula>NOT(ISERROR(SEARCH("Pesquisa de Preços",E2292)))</formula>
    </cfRule>
  </conditionalFormatting>
  <conditionalFormatting sqref="E2282 E2290">
    <cfRule type="containsText" dxfId="1770" priority="4657" operator="containsText" text="Pesquisa de Preços">
      <formula>NOT(ISERROR(SEARCH("Pesquisa de Preços",E2282)))</formula>
    </cfRule>
  </conditionalFormatting>
  <conditionalFormatting sqref="E2241">
    <cfRule type="containsText" dxfId="1769" priority="4654" operator="containsText" text="Pesquisa de Preços">
      <formula>NOT(ISERROR(SEARCH("Pesquisa de Preços",E2241)))</formula>
    </cfRule>
  </conditionalFormatting>
  <conditionalFormatting sqref="E2242:E2243">
    <cfRule type="containsText" dxfId="1768" priority="4655" operator="containsText" text="Pesquisa de Preços">
      <formula>NOT(ISERROR(SEARCH("Pesquisa de Preços",E2242)))</formula>
    </cfRule>
  </conditionalFormatting>
  <conditionalFormatting sqref="E2318">
    <cfRule type="containsText" dxfId="1767" priority="4651" operator="containsText" text="Pesquisa de Preços">
      <formula>NOT(ISERROR(SEARCH("Pesquisa de Preços",E2318)))</formula>
    </cfRule>
  </conditionalFormatting>
  <conditionalFormatting sqref="E2323">
    <cfRule type="containsText" dxfId="1766" priority="4650" operator="containsText" text="Pesquisa de Preços">
      <formula>NOT(ISERROR(SEARCH("Pesquisa de Preços",E2323)))</formula>
    </cfRule>
  </conditionalFormatting>
  <conditionalFormatting sqref="E2317">
    <cfRule type="containsText" dxfId="1765" priority="4649" operator="containsText" text="Pesquisa de Preços">
      <formula>NOT(ISERROR(SEARCH("Pesquisa de Preços",E2317)))</formula>
    </cfRule>
  </conditionalFormatting>
  <conditionalFormatting sqref="E2350">
    <cfRule type="containsText" dxfId="1764" priority="4648" operator="containsText" text="Pesquisa de Preços">
      <formula>NOT(ISERROR(SEARCH("Pesquisa de Preços",E2350)))</formula>
    </cfRule>
  </conditionalFormatting>
  <conditionalFormatting sqref="E2349">
    <cfRule type="containsText" dxfId="1763" priority="4647" operator="containsText" text="Pesquisa de Preços">
      <formula>NOT(ISERROR(SEARCH("Pesquisa de Preços",E2349)))</formula>
    </cfRule>
  </conditionalFormatting>
  <conditionalFormatting sqref="E2337">
    <cfRule type="containsText" dxfId="1762" priority="4645" operator="containsText" text="Pesquisa de Preços">
      <formula>NOT(ISERROR(SEARCH("Pesquisa de Preços",E2337)))</formula>
    </cfRule>
  </conditionalFormatting>
  <conditionalFormatting sqref="E2332:E2333 E2336">
    <cfRule type="containsText" dxfId="1761" priority="4644" operator="containsText" text="Pesquisa de Preços">
      <formula>NOT(ISERROR(SEARCH("Pesquisa de Preços",E2332)))</formula>
    </cfRule>
  </conditionalFormatting>
  <conditionalFormatting sqref="E2344:E2345 E2347:E2348">
    <cfRule type="containsText" dxfId="1760" priority="4642" operator="containsText" text="Pesquisa de Preços">
      <formula>NOT(ISERROR(SEARCH("Pesquisa de Preços",E2344)))</formula>
    </cfRule>
  </conditionalFormatting>
  <conditionalFormatting sqref="E2346">
    <cfRule type="containsText" dxfId="1759" priority="4640" operator="containsText" text="Pesquisa de Preços">
      <formula>NOT(ISERROR(SEARCH("Pesquisa de Preços",E2346)))</formula>
    </cfRule>
  </conditionalFormatting>
  <conditionalFormatting sqref="E2326 E2329:E2330">
    <cfRule type="containsText" dxfId="1758" priority="4639" operator="containsText" text="Pesquisa de Preços">
      <formula>NOT(ISERROR(SEARCH("Pesquisa de Preços",E2326)))</formula>
    </cfRule>
  </conditionalFormatting>
  <conditionalFormatting sqref="E2325">
    <cfRule type="containsText" dxfId="1757" priority="4638" operator="containsText" text="Pesquisa de Preços">
      <formula>NOT(ISERROR(SEARCH("Pesquisa de Preços",E2325)))</formula>
    </cfRule>
  </conditionalFormatting>
  <conditionalFormatting sqref="E2328">
    <cfRule type="containsText" dxfId="1756" priority="4637" operator="containsText" text="Pesquisa de Preços">
      <formula>NOT(ISERROR(SEARCH("Pesquisa de Preços",E2328)))</formula>
    </cfRule>
  </conditionalFormatting>
  <conditionalFormatting sqref="E2355:E2358">
    <cfRule type="containsText" dxfId="1755" priority="4636" operator="containsText" text="Pesquisa de Preços">
      <formula>NOT(ISERROR(SEARCH("Pesquisa de Preços",E2355)))</formula>
    </cfRule>
  </conditionalFormatting>
  <conditionalFormatting sqref="E2360 E2362:E2363">
    <cfRule type="containsText" dxfId="1754" priority="4634" operator="containsText" text="Pesquisa de Preços">
      <formula>NOT(ISERROR(SEARCH("Pesquisa de Preços",E2360)))</formula>
    </cfRule>
  </conditionalFormatting>
  <conditionalFormatting sqref="E897:E898 E900:E902">
    <cfRule type="containsText" dxfId="1753" priority="4632" operator="containsText" text="Pesquisa de Preços">
      <formula>NOT(ISERROR(SEARCH("Pesquisa de Preços",E897)))</formula>
    </cfRule>
  </conditionalFormatting>
  <conditionalFormatting sqref="E857:E858">
    <cfRule type="containsText" dxfId="1752" priority="4624" operator="containsText" text="Pesquisa de Preços">
      <formula>NOT(ISERROR(SEARCH("Pesquisa de Preços",E857)))</formula>
    </cfRule>
  </conditionalFormatting>
  <conditionalFormatting sqref="E876 E881:E882">
    <cfRule type="containsText" dxfId="1751" priority="4630" operator="containsText" text="Pesquisa de Preços">
      <formula>NOT(ISERROR(SEARCH("Pesquisa de Preços",E876)))</formula>
    </cfRule>
  </conditionalFormatting>
  <conditionalFormatting sqref="E889:E890">
    <cfRule type="containsText" dxfId="1750" priority="4627" operator="containsText" text="Pesquisa de Preços">
      <formula>NOT(ISERROR(SEARCH("Pesquisa de Preços",E889)))</formula>
    </cfRule>
  </conditionalFormatting>
  <conditionalFormatting sqref="E868">
    <cfRule type="containsText" dxfId="1749" priority="4617" operator="containsText" text="Pesquisa de Preços">
      <formula>NOT(ISERROR(SEARCH("Pesquisa de Preços",E868)))</formula>
    </cfRule>
  </conditionalFormatting>
  <conditionalFormatting sqref="E858:E860">
    <cfRule type="containsText" dxfId="1748" priority="4622" operator="containsText" text="Pesquisa de Preços">
      <formula>NOT(ISERROR(SEARCH("Pesquisa de Preços",E858)))</formula>
    </cfRule>
  </conditionalFormatting>
  <conditionalFormatting sqref="E846:E849">
    <cfRule type="containsText" dxfId="1747" priority="4621" operator="containsText" text="Pesquisa de Preços">
      <formula>NOT(ISERROR(SEARCH("Pesquisa de Preços",E846)))</formula>
    </cfRule>
  </conditionalFormatting>
  <conditionalFormatting sqref="E845">
    <cfRule type="containsText" dxfId="1746" priority="4620" operator="containsText" text="Pesquisa de Preços">
      <formula>NOT(ISERROR(SEARCH("Pesquisa de Preços",E845)))</formula>
    </cfRule>
  </conditionalFormatting>
  <conditionalFormatting sqref="E851 E854:E855">
    <cfRule type="containsText" dxfId="1745" priority="4619" operator="containsText" text="Pesquisa de Preços">
      <formula>NOT(ISERROR(SEARCH("Pesquisa de Preços",E851)))</formula>
    </cfRule>
  </conditionalFormatting>
  <conditionalFormatting sqref="E867">
    <cfRule type="containsText" dxfId="1744" priority="4616" operator="containsText" text="Pesquisa de Preços">
      <formula>NOT(ISERROR(SEARCH("Pesquisa de Preços",E867)))</formula>
    </cfRule>
  </conditionalFormatting>
  <conditionalFormatting sqref="E863">
    <cfRule type="containsText" dxfId="1743" priority="4615" operator="containsText" text="Pesquisa de Preços">
      <formula>NOT(ISERROR(SEARCH("Pesquisa de Preços",E863)))</formula>
    </cfRule>
  </conditionalFormatting>
  <conditionalFormatting sqref="E862">
    <cfRule type="containsText" dxfId="1742" priority="4614" operator="containsText" text="Pesquisa de Preços">
      <formula>NOT(ISERROR(SEARCH("Pesquisa de Preços",E862)))</formula>
    </cfRule>
  </conditionalFormatting>
  <conditionalFormatting sqref="E892:E893">
    <cfRule type="containsText" dxfId="1741" priority="4613" operator="containsText" text="Pesquisa de Preços">
      <formula>NOT(ISERROR(SEARCH("Pesquisa de Preços",E892)))</formula>
    </cfRule>
  </conditionalFormatting>
  <conditionalFormatting sqref="E891">
    <cfRule type="containsText" dxfId="1740" priority="4612" operator="containsText" text="Pesquisa de Preços">
      <formula>NOT(ISERROR(SEARCH("Pesquisa de Preços",E891)))</formula>
    </cfRule>
  </conditionalFormatting>
  <conditionalFormatting sqref="E904:E905">
    <cfRule type="containsText" dxfId="1739" priority="4611" operator="containsText" text="Pesquisa de Preços">
      <formula>NOT(ISERROR(SEARCH("Pesquisa de Preços",E904)))</formula>
    </cfRule>
  </conditionalFormatting>
  <conditionalFormatting sqref="E903">
    <cfRule type="containsText" dxfId="1738" priority="4610" operator="containsText" text="Pesquisa de Preços">
      <formula>NOT(ISERROR(SEARCH("Pesquisa de Preços",E903)))</formula>
    </cfRule>
  </conditionalFormatting>
  <conditionalFormatting sqref="E2371:E2372">
    <cfRule type="containsText" dxfId="1737" priority="4609" operator="containsText" text="Pesquisa de Preços">
      <formula>NOT(ISERROR(SEARCH("Pesquisa de Preços",E2371)))</formula>
    </cfRule>
  </conditionalFormatting>
  <conditionalFormatting sqref="E2370">
    <cfRule type="containsText" dxfId="1736" priority="4608" operator="containsText" text="Pesquisa de Preços">
      <formula>NOT(ISERROR(SEARCH("Pesquisa de Preços",E2370)))</formula>
    </cfRule>
  </conditionalFormatting>
  <conditionalFormatting sqref="E2379 E2382 E2384">
    <cfRule type="containsText" dxfId="1735" priority="4607" operator="containsText" text="Pesquisa de Preços">
      <formula>NOT(ISERROR(SEARCH("Pesquisa de Preços",E2379)))</formula>
    </cfRule>
  </conditionalFormatting>
  <conditionalFormatting sqref="E2378">
    <cfRule type="containsText" dxfId="1734" priority="4606" operator="containsText" text="Pesquisa de Preços">
      <formula>NOT(ISERROR(SEARCH("Pesquisa de Preços",E2378)))</formula>
    </cfRule>
  </conditionalFormatting>
  <conditionalFormatting sqref="E2365:E2366 E2368:E2369">
    <cfRule type="containsText" dxfId="1733" priority="4605" operator="containsText" text="Pesquisa de Preços">
      <formula>NOT(ISERROR(SEARCH("Pesquisa de Preços",E2365)))</formula>
    </cfRule>
  </conditionalFormatting>
  <conditionalFormatting sqref="E2392 E2397">
    <cfRule type="containsText" dxfId="1732" priority="4602" operator="containsText" text="Pesquisa de Preços">
      <formula>NOT(ISERROR(SEARCH("Pesquisa de Preços",E2392)))</formula>
    </cfRule>
  </conditionalFormatting>
  <conditionalFormatting sqref="E2367">
    <cfRule type="containsText" dxfId="1731" priority="4603" operator="containsText" text="Pesquisa de Preços">
      <formula>NOT(ISERROR(SEARCH("Pesquisa de Preços",E2367)))</formula>
    </cfRule>
  </conditionalFormatting>
  <conditionalFormatting sqref="E2386">
    <cfRule type="containsText" dxfId="1730" priority="4600" operator="containsText" text="Pesquisa de Preços">
      <formula>NOT(ISERROR(SEARCH("Pesquisa de Preços",E2386)))</formula>
    </cfRule>
  </conditionalFormatting>
  <conditionalFormatting sqref="E1772:E1773 E1776:E1777">
    <cfRule type="containsText" dxfId="1729" priority="4598" operator="containsText" text="Pesquisa de Preços">
      <formula>NOT(ISERROR(SEARCH("Pesquisa de Preços",E1772)))</formula>
    </cfRule>
  </conditionalFormatting>
  <conditionalFormatting sqref="E1771">
    <cfRule type="containsText" dxfId="1728" priority="4597" operator="containsText" text="Pesquisa de Preços">
      <formula>NOT(ISERROR(SEARCH("Pesquisa de Preços",E1771)))</formula>
    </cfRule>
  </conditionalFormatting>
  <conditionalFormatting sqref="E1744">
    <cfRule type="containsText" dxfId="1727" priority="4524" operator="containsText" text="Pesquisa de Preços">
      <formula>NOT(ISERROR(SEARCH("Pesquisa de Preços",E1744)))</formula>
    </cfRule>
  </conditionalFormatting>
  <conditionalFormatting sqref="E1774:E1775">
    <cfRule type="containsText" dxfId="1726" priority="4596" operator="containsText" text="Pesquisa de Preços">
      <formula>NOT(ISERROR(SEARCH("Pesquisa de Preços",E1774)))</formula>
    </cfRule>
  </conditionalFormatting>
  <conditionalFormatting sqref="E1786:E1787 E1790:E1791">
    <cfRule type="containsText" dxfId="1725" priority="4595" operator="containsText" text="Pesquisa de Preços">
      <formula>NOT(ISERROR(SEARCH("Pesquisa de Preços",E1786)))</formula>
    </cfRule>
  </conditionalFormatting>
  <conditionalFormatting sqref="E1785">
    <cfRule type="containsText" dxfId="1724" priority="4594" operator="containsText" text="Pesquisa de Preços">
      <formula>NOT(ISERROR(SEARCH("Pesquisa de Preços",E1785)))</formula>
    </cfRule>
  </conditionalFormatting>
  <conditionalFormatting sqref="E1788:E1789">
    <cfRule type="containsText" dxfId="1723" priority="4593" operator="containsText" text="Pesquisa de Preços">
      <formula>NOT(ISERROR(SEARCH("Pesquisa de Preços",E1788)))</formula>
    </cfRule>
  </conditionalFormatting>
  <conditionalFormatting sqref="E1800:E1801 E1804:E1805">
    <cfRule type="containsText" dxfId="1722" priority="4592" operator="containsText" text="Pesquisa de Preços">
      <formula>NOT(ISERROR(SEARCH("Pesquisa de Preços",E1800)))</formula>
    </cfRule>
  </conditionalFormatting>
  <conditionalFormatting sqref="E1799">
    <cfRule type="containsText" dxfId="1721" priority="4591" operator="containsText" text="Pesquisa de Preços">
      <formula>NOT(ISERROR(SEARCH("Pesquisa de Preços",E1799)))</formula>
    </cfRule>
  </conditionalFormatting>
  <conditionalFormatting sqref="E1802:E1803">
    <cfRule type="containsText" dxfId="1720" priority="4590" operator="containsText" text="Pesquisa de Preços">
      <formula>NOT(ISERROR(SEARCH("Pesquisa de Preços",E1802)))</formula>
    </cfRule>
  </conditionalFormatting>
  <conditionalFormatting sqref="E1758:E1759 E1762:E1763">
    <cfRule type="containsText" dxfId="1719" priority="4589" operator="containsText" text="Pesquisa de Preços">
      <formula>NOT(ISERROR(SEARCH("Pesquisa de Preços",E1758)))</formula>
    </cfRule>
  </conditionalFormatting>
  <conditionalFormatting sqref="E1757">
    <cfRule type="containsText" dxfId="1718" priority="4588" operator="containsText" text="Pesquisa de Preços">
      <formula>NOT(ISERROR(SEARCH("Pesquisa de Preços",E1757)))</formula>
    </cfRule>
  </conditionalFormatting>
  <conditionalFormatting sqref="E1760:E1761">
    <cfRule type="containsText" dxfId="1717" priority="4587" operator="containsText" text="Pesquisa de Preços">
      <formula>NOT(ISERROR(SEARCH("Pesquisa de Preços",E1760)))</formula>
    </cfRule>
  </conditionalFormatting>
  <conditionalFormatting sqref="E1765:E1766 E1769:E1770">
    <cfRule type="containsText" dxfId="1716" priority="4586" operator="containsText" text="Pesquisa de Preços">
      <formula>NOT(ISERROR(SEARCH("Pesquisa de Preços",E1765)))</formula>
    </cfRule>
  </conditionalFormatting>
  <conditionalFormatting sqref="E1764">
    <cfRule type="containsText" dxfId="1715" priority="4585" operator="containsText" text="Pesquisa de Preços">
      <formula>NOT(ISERROR(SEARCH("Pesquisa de Preços",E1764)))</formula>
    </cfRule>
  </conditionalFormatting>
  <conditionalFormatting sqref="E590 E594">
    <cfRule type="containsText" dxfId="1714" priority="4523" operator="containsText" text="Pesquisa de Preços">
      <formula>NOT(ISERROR(SEARCH("Pesquisa de Preços",E590)))</formula>
    </cfRule>
  </conditionalFormatting>
  <conditionalFormatting sqref="E1767:E1768">
    <cfRule type="containsText" dxfId="1713" priority="4584" operator="containsText" text="Pesquisa de Preços">
      <formula>NOT(ISERROR(SEARCH("Pesquisa de Preços",E1767)))</formula>
    </cfRule>
  </conditionalFormatting>
  <conditionalFormatting sqref="E1779 E1784">
    <cfRule type="containsText" dxfId="1712" priority="4583" operator="containsText" text="Pesquisa de Preços">
      <formula>NOT(ISERROR(SEARCH("Pesquisa de Preços",E1779)))</formula>
    </cfRule>
  </conditionalFormatting>
  <conditionalFormatting sqref="E1778">
    <cfRule type="containsText" dxfId="1711" priority="4582" operator="containsText" text="Pesquisa de Preços">
      <formula>NOT(ISERROR(SEARCH("Pesquisa de Preços",E1778)))</formula>
    </cfRule>
  </conditionalFormatting>
  <conditionalFormatting sqref="E380">
    <cfRule type="containsText" dxfId="1710" priority="4520" operator="containsText" text="Pesquisa de Preços">
      <formula>NOT(ISERROR(SEARCH("Pesquisa de Preços",E380)))</formula>
    </cfRule>
  </conditionalFormatting>
  <conditionalFormatting sqref="E1798">
    <cfRule type="containsText" dxfId="1709" priority="4581" operator="containsText" text="Pesquisa de Preços">
      <formula>NOT(ISERROR(SEARCH("Pesquisa de Preços",E1798)))</formula>
    </cfRule>
  </conditionalFormatting>
  <conditionalFormatting sqref="E1174">
    <cfRule type="containsText" dxfId="1708" priority="4580" operator="containsText" text="Pesquisa de Preços">
      <formula>NOT(ISERROR(SEARCH("Pesquisa de Preços",E1174)))</formula>
    </cfRule>
  </conditionalFormatting>
  <conditionalFormatting sqref="E1984">
    <cfRule type="containsText" dxfId="1707" priority="4578" operator="containsText" text="Pesquisa de Preços">
      <formula>NOT(ISERROR(SEARCH("Pesquisa de Preços",E1984)))</formula>
    </cfRule>
  </conditionalFormatting>
  <conditionalFormatting sqref="E2017">
    <cfRule type="containsText" dxfId="1706" priority="4576" operator="containsText" text="Pesquisa de Preços">
      <formula>NOT(ISERROR(SEARCH("Pesquisa de Preços",E2017)))</formula>
    </cfRule>
  </conditionalFormatting>
  <conditionalFormatting sqref="E2018:E2019">
    <cfRule type="containsText" dxfId="1705" priority="4575" operator="containsText" text="Pesquisa de Preços">
      <formula>NOT(ISERROR(SEARCH("Pesquisa de Preços",E2018)))</formula>
    </cfRule>
  </conditionalFormatting>
  <conditionalFormatting sqref="E1996 E1999">
    <cfRule type="containsText" dxfId="1704" priority="4574" operator="containsText" text="Pesquisa de Preços">
      <formula>NOT(ISERROR(SEARCH("Pesquisa de Preços",E1996)))</formula>
    </cfRule>
  </conditionalFormatting>
  <conditionalFormatting sqref="E1997:E1998">
    <cfRule type="containsText" dxfId="1703" priority="4573" operator="containsText" text="Pesquisa de Preços">
      <formula>NOT(ISERROR(SEARCH("Pesquisa de Preços",E1997)))</formula>
    </cfRule>
  </conditionalFormatting>
  <conditionalFormatting sqref="E2097:E2098">
    <cfRule type="containsText" dxfId="1702" priority="4572" operator="containsText" text="Pesquisa de Preços">
      <formula>NOT(ISERROR(SEARCH("Pesquisa de Preços",E2097)))</formula>
    </cfRule>
  </conditionalFormatting>
  <conditionalFormatting sqref="E2033:E2034">
    <cfRule type="containsText" dxfId="1701" priority="4571" operator="containsText" text="Pesquisa de Preços">
      <formula>NOT(ISERROR(SEARCH("Pesquisa de Preços",E2033)))</formula>
    </cfRule>
  </conditionalFormatting>
  <conditionalFormatting sqref="E829">
    <cfRule type="containsText" dxfId="1700" priority="4503" operator="containsText" text="Pesquisa de Preços">
      <formula>NOT(ISERROR(SEARCH("Pesquisa de Preços",E829)))</formula>
    </cfRule>
  </conditionalFormatting>
  <conditionalFormatting sqref="E830">
    <cfRule type="containsText" dxfId="1699" priority="4502" operator="containsText" text="Pesquisa de Preços">
      <formula>NOT(ISERROR(SEARCH("Pesquisa de Preços",E830)))</formula>
    </cfRule>
  </conditionalFormatting>
  <conditionalFormatting sqref="E94:E95">
    <cfRule type="containsText" dxfId="1698" priority="4497" operator="containsText" text="Pesquisa de Preços">
      <formula>NOT(ISERROR(SEARCH("Pesquisa de Preços",E94)))</formula>
    </cfRule>
  </conditionalFormatting>
  <conditionalFormatting sqref="E207">
    <cfRule type="containsText" dxfId="1697" priority="4495" operator="containsText" text="Pesquisa de Preços">
      <formula>NOT(ISERROR(SEARCH("Pesquisa de Preços",E207)))</formula>
    </cfRule>
  </conditionalFormatting>
  <conditionalFormatting sqref="E1637">
    <cfRule type="containsText" dxfId="1696" priority="4493" operator="containsText" text="Pesquisa de Preços">
      <formula>NOT(ISERROR(SEARCH("Pesquisa de Preços",E1637)))</formula>
    </cfRule>
  </conditionalFormatting>
  <conditionalFormatting sqref="E1613">
    <cfRule type="containsText" dxfId="1695" priority="4491" operator="containsText" text="Pesquisa de Preços">
      <formula>NOT(ISERROR(SEARCH("Pesquisa de Preços",E1613)))</formula>
    </cfRule>
  </conditionalFormatting>
  <conditionalFormatting sqref="E1689">
    <cfRule type="containsText" dxfId="1694" priority="4490" operator="containsText" text="Pesquisa de Preços">
      <formula>NOT(ISERROR(SEARCH("Pesquisa de Preços",E1689)))</formula>
    </cfRule>
  </conditionalFormatting>
  <conditionalFormatting sqref="E54">
    <cfRule type="containsText" dxfId="1693" priority="4553" operator="containsText" text="Pesquisa de Preços">
      <formula>NOT(ISERROR(SEARCH("Pesquisa de Preços",E54)))</formula>
    </cfRule>
  </conditionalFormatting>
  <conditionalFormatting sqref="E206">
    <cfRule type="containsText" dxfId="1692" priority="4570" operator="containsText" text="Pesquisa de Preços">
      <formula>NOT(ISERROR(SEARCH("Pesquisa de Preços",E206)))</formula>
    </cfRule>
  </conditionalFormatting>
  <conditionalFormatting sqref="E205">
    <cfRule type="containsText" dxfId="1691" priority="4569" operator="containsText" text="Pesquisa de Preços">
      <formula>NOT(ISERROR(SEARCH("Pesquisa de Preços",E205)))</formula>
    </cfRule>
  </conditionalFormatting>
  <conditionalFormatting sqref="E103:E104">
    <cfRule type="containsText" dxfId="1690" priority="4568" operator="containsText" text="Pesquisa de Preços">
      <formula>NOT(ISERROR(SEARCH("Pesquisa de Preços",E103)))</formula>
    </cfRule>
  </conditionalFormatting>
  <conditionalFormatting sqref="E102">
    <cfRule type="containsText" dxfId="1689" priority="4567" operator="containsText" text="Pesquisa de Preços">
      <formula>NOT(ISERROR(SEARCH("Pesquisa de Preços",E102)))</formula>
    </cfRule>
  </conditionalFormatting>
  <conditionalFormatting sqref="E423:E424">
    <cfRule type="containsText" dxfId="1688" priority="4566" operator="containsText" text="Pesquisa de Preços">
      <formula>NOT(ISERROR(SEARCH("Pesquisa de Preços",E423)))</formula>
    </cfRule>
  </conditionalFormatting>
  <conditionalFormatting sqref="E422">
    <cfRule type="containsText" dxfId="1687" priority="4565" operator="containsText" text="Pesquisa de Preços">
      <formula>NOT(ISERROR(SEARCH("Pesquisa de Preços",E422)))</formula>
    </cfRule>
  </conditionalFormatting>
  <conditionalFormatting sqref="E425:E427">
    <cfRule type="containsText" dxfId="1686" priority="4564" operator="containsText" text="Pesquisa de Preços">
      <formula>NOT(ISERROR(SEARCH("Pesquisa de Preços",E425)))</formula>
    </cfRule>
  </conditionalFormatting>
  <conditionalFormatting sqref="E616 E620">
    <cfRule type="containsText" dxfId="1685" priority="4563" operator="containsText" text="Pesquisa de Preços">
      <formula>NOT(ISERROR(SEARCH("Pesquisa de Preços",E616)))</formula>
    </cfRule>
  </conditionalFormatting>
  <conditionalFormatting sqref="E615">
    <cfRule type="containsText" dxfId="1684" priority="4562" operator="containsText" text="Pesquisa de Preços">
      <formula>NOT(ISERROR(SEARCH("Pesquisa de Preços",E615)))</formula>
    </cfRule>
  </conditionalFormatting>
  <conditionalFormatting sqref="E589 E595">
    <cfRule type="containsText" dxfId="1683" priority="4561" operator="containsText" text="Pesquisa de Preços">
      <formula>NOT(ISERROR(SEARCH("Pesquisa de Preços",E589)))</formula>
    </cfRule>
  </conditionalFormatting>
  <conditionalFormatting sqref="E588">
    <cfRule type="containsText" dxfId="1682" priority="4560" operator="containsText" text="Pesquisa de Preços">
      <formula>NOT(ISERROR(SEARCH("Pesquisa de Preços",E588)))</formula>
    </cfRule>
  </conditionalFormatting>
  <conditionalFormatting sqref="E638:E639 E642:E643">
    <cfRule type="containsText" dxfId="1681" priority="4559" operator="containsText" text="Pesquisa de Preços">
      <formula>NOT(ISERROR(SEARCH("Pesquisa de Preços",E638)))</formula>
    </cfRule>
  </conditionalFormatting>
  <conditionalFormatting sqref="E637">
    <cfRule type="containsText" dxfId="1680" priority="4558" operator="containsText" text="Pesquisa de Preços">
      <formula>NOT(ISERROR(SEARCH("Pesquisa de Preços",E637)))</formula>
    </cfRule>
  </conditionalFormatting>
  <conditionalFormatting sqref="E640:E641">
    <cfRule type="containsText" dxfId="1679" priority="4557" operator="containsText" text="Pesquisa de Preços">
      <formula>NOT(ISERROR(SEARCH("Pesquisa de Preços",E640)))</formula>
    </cfRule>
  </conditionalFormatting>
  <conditionalFormatting sqref="E226">
    <cfRule type="containsText" dxfId="1678" priority="4556" operator="containsText" text="Pesquisa de Preços">
      <formula>NOT(ISERROR(SEARCH("Pesquisa de Preços",E226)))</formula>
    </cfRule>
  </conditionalFormatting>
  <conditionalFormatting sqref="E151:E152">
    <cfRule type="containsText" dxfId="1677" priority="4555" operator="containsText" text="Pesquisa de Preços">
      <formula>NOT(ISERROR(SEARCH("Pesquisa de Preços",E151)))</formula>
    </cfRule>
  </conditionalFormatting>
  <conditionalFormatting sqref="E163:E164">
    <cfRule type="containsText" dxfId="1676" priority="4554" operator="containsText" text="Pesquisa de Preços">
      <formula>NOT(ISERROR(SEARCH("Pesquisa de Preços",E163)))</formula>
    </cfRule>
  </conditionalFormatting>
  <conditionalFormatting sqref="E55:E57">
    <cfRule type="containsText" dxfId="1675" priority="4552" operator="containsText" text="Pesquisa de Preços">
      <formula>NOT(ISERROR(SEARCH("Pesquisa de Preços",E55)))</formula>
    </cfRule>
  </conditionalFormatting>
  <conditionalFormatting sqref="E30:E31">
    <cfRule type="containsText" dxfId="1674" priority="4551" operator="containsText" text="Pesquisa de Preços">
      <formula>NOT(ISERROR(SEARCH("Pesquisa de Preços",E30)))</formula>
    </cfRule>
  </conditionalFormatting>
  <conditionalFormatting sqref="E25:E26">
    <cfRule type="containsText" dxfId="1673" priority="4550" operator="containsText" text="Pesquisa de Preços">
      <formula>NOT(ISERROR(SEARCH("Pesquisa de Preços",E25)))</formula>
    </cfRule>
  </conditionalFormatting>
  <conditionalFormatting sqref="E181">
    <cfRule type="containsText" dxfId="1672" priority="4549" operator="containsText" text="Pesquisa de Preços">
      <formula>NOT(ISERROR(SEARCH("Pesquisa de Preços",E181)))</formula>
    </cfRule>
  </conditionalFormatting>
  <conditionalFormatting sqref="E128:E129">
    <cfRule type="containsText" dxfId="1671" priority="4548" operator="containsText" text="Pesquisa de Preços">
      <formula>NOT(ISERROR(SEARCH("Pesquisa de Preços",E128)))</formula>
    </cfRule>
  </conditionalFormatting>
  <conditionalFormatting sqref="E1922">
    <cfRule type="containsText" dxfId="1670" priority="4473" operator="containsText" text="Pesquisa de Preços">
      <formula>NOT(ISERROR(SEARCH("Pesquisa de Preços",E1922)))</formula>
    </cfRule>
  </conditionalFormatting>
  <conditionalFormatting sqref="E84">
    <cfRule type="containsText" dxfId="1669" priority="4547" operator="containsText" text="Pesquisa de Preços">
      <formula>NOT(ISERROR(SEARCH("Pesquisa de Preços",E84)))</formula>
    </cfRule>
  </conditionalFormatting>
  <conditionalFormatting sqref="E85">
    <cfRule type="containsText" dxfId="1668" priority="4546" operator="containsText" text="Pesquisa de Preços">
      <formula>NOT(ISERROR(SEARCH("Pesquisa de Preços",E85)))</formula>
    </cfRule>
  </conditionalFormatting>
  <conditionalFormatting sqref="E61">
    <cfRule type="containsText" dxfId="1667" priority="4545" operator="containsText" text="Pesquisa de Preços">
      <formula>NOT(ISERROR(SEARCH("Pesquisa de Preços",E61)))</formula>
    </cfRule>
  </conditionalFormatting>
  <conditionalFormatting sqref="E62">
    <cfRule type="containsText" dxfId="1666" priority="4544" operator="containsText" text="Pesquisa de Preços">
      <formula>NOT(ISERROR(SEARCH("Pesquisa de Preços",E62)))</formula>
    </cfRule>
  </conditionalFormatting>
  <conditionalFormatting sqref="E2351">
    <cfRule type="containsText" dxfId="1665" priority="4470" operator="containsText" text="Pesquisa de Preços">
      <formula>NOT(ISERROR(SEARCH("Pesquisa de Preços",E2351)))</formula>
    </cfRule>
  </conditionalFormatting>
  <conditionalFormatting sqref="E44:E45">
    <cfRule type="containsText" dxfId="1664" priority="4543" operator="containsText" text="Pesquisa de Preços">
      <formula>NOT(ISERROR(SEARCH("Pesquisa de Preços",E44)))</formula>
    </cfRule>
  </conditionalFormatting>
  <conditionalFormatting sqref="E311">
    <cfRule type="containsText" dxfId="1663" priority="4542" operator="containsText" text="Pesquisa de Preços">
      <formula>NOT(ISERROR(SEARCH("Pesquisa de Preços",E311)))</formula>
    </cfRule>
  </conditionalFormatting>
  <conditionalFormatting sqref="E297">
    <cfRule type="containsText" dxfId="1662" priority="4541" operator="containsText" text="Pesquisa de Preços">
      <formula>NOT(ISERROR(SEARCH("Pesquisa de Preços",E297)))</formula>
    </cfRule>
  </conditionalFormatting>
  <conditionalFormatting sqref="E457">
    <cfRule type="containsText" dxfId="1661" priority="4540" operator="containsText" text="Pesquisa de Preços">
      <formula>NOT(ISERROR(SEARCH("Pesquisa de Preços",E457)))</formula>
    </cfRule>
  </conditionalFormatting>
  <conditionalFormatting sqref="E500:E501">
    <cfRule type="containsText" dxfId="1660" priority="4537" operator="containsText" text="Pesquisa de Preços">
      <formula>NOT(ISERROR(SEARCH("Pesquisa de Preços",E500)))</formula>
    </cfRule>
  </conditionalFormatting>
  <conditionalFormatting sqref="E467">
    <cfRule type="containsText" dxfId="1659" priority="4539" operator="containsText" text="Pesquisa de Preços">
      <formula>NOT(ISERROR(SEARCH("Pesquisa de Preços",E467)))</formula>
    </cfRule>
  </conditionalFormatting>
  <conditionalFormatting sqref="E499 E502">
    <cfRule type="containsText" dxfId="1658" priority="4538" operator="containsText" text="Pesquisa de Preços">
      <formula>NOT(ISERROR(SEARCH("Pesquisa de Preços",E499)))</formula>
    </cfRule>
  </conditionalFormatting>
  <conditionalFormatting sqref="E623">
    <cfRule type="containsText" dxfId="1657" priority="4536" operator="containsText" text="Pesquisa de Preços">
      <formula>NOT(ISERROR(SEARCH("Pesquisa de Preços",E623)))</formula>
    </cfRule>
  </conditionalFormatting>
  <conditionalFormatting sqref="E624:E626">
    <cfRule type="containsText" dxfId="1656" priority="4535" operator="containsText" text="Pesquisa de Preços">
      <formula>NOT(ISERROR(SEARCH("Pesquisa de Preços",E624)))</formula>
    </cfRule>
  </conditionalFormatting>
  <conditionalFormatting sqref="E997">
    <cfRule type="containsText" dxfId="1655" priority="4534" operator="containsText" text="Pesquisa de Preços">
      <formula>NOT(ISERROR(SEARCH("Pesquisa de Preços",E997)))</formula>
    </cfRule>
  </conditionalFormatting>
  <conditionalFormatting sqref="E614">
    <cfRule type="containsText" dxfId="1654" priority="4518" operator="containsText" text="Pesquisa de Preços">
      <formula>NOT(ISERROR(SEARCH("Pesquisa de Preços",E614)))</formula>
    </cfRule>
  </conditionalFormatting>
  <conditionalFormatting sqref="E737">
    <cfRule type="containsText" dxfId="1653" priority="4517" operator="containsText" text="Pesquisa de Preços">
      <formula>NOT(ISERROR(SEARCH("Pesquisa de Preços",E737)))</formula>
    </cfRule>
  </conditionalFormatting>
  <conditionalFormatting sqref="E1499">
    <cfRule type="containsText" dxfId="1652" priority="4531" operator="containsText" text="Pesquisa de Preços">
      <formula>NOT(ISERROR(SEARCH("Pesquisa de Preços",E1499)))</formula>
    </cfRule>
  </conditionalFormatting>
  <conditionalFormatting sqref="E591:E593">
    <cfRule type="containsText" dxfId="1651" priority="4522" operator="containsText" text="Pesquisa de Preços">
      <formula>NOT(ISERROR(SEARCH("Pesquisa de Preços",E591)))</formula>
    </cfRule>
  </conditionalFormatting>
  <conditionalFormatting sqref="E1626:E1627">
    <cfRule type="containsText" dxfId="1650" priority="4527" operator="containsText" text="Pesquisa de Preços">
      <formula>NOT(ISERROR(SEARCH("Pesquisa de Preços",E1626)))</formula>
    </cfRule>
  </conditionalFormatting>
  <conditionalFormatting sqref="E1631">
    <cfRule type="containsText" dxfId="1649" priority="4530" operator="containsText" text="Pesquisa de Preços">
      <formula>NOT(ISERROR(SEARCH("Pesquisa de Preços",E1631)))</formula>
    </cfRule>
  </conditionalFormatting>
  <conditionalFormatting sqref="E1632:E1633">
    <cfRule type="containsText" dxfId="1648" priority="4529" operator="containsText" text="Pesquisa de Preços">
      <formula>NOT(ISERROR(SEARCH("Pesquisa de Preços",E1632)))</formula>
    </cfRule>
  </conditionalFormatting>
  <conditionalFormatting sqref="E1625">
    <cfRule type="containsText" dxfId="1647" priority="4528" operator="containsText" text="Pesquisa de Preços">
      <formula>NOT(ISERROR(SEARCH("Pesquisa de Preços",E1625)))</formula>
    </cfRule>
  </conditionalFormatting>
  <conditionalFormatting sqref="E1748">
    <cfRule type="containsText" dxfId="1646" priority="4526" operator="containsText" text="Pesquisa de Preços">
      <formula>NOT(ISERROR(SEARCH("Pesquisa de Preços",E1748)))</formula>
    </cfRule>
  </conditionalFormatting>
  <conditionalFormatting sqref="E381">
    <cfRule type="containsText" dxfId="1645" priority="4521" operator="containsText" text="Pesquisa de Preços">
      <formula>NOT(ISERROR(SEARCH("Pesquisa de Preços",E381)))</formula>
    </cfRule>
  </conditionalFormatting>
  <conditionalFormatting sqref="E1071:E1072">
    <cfRule type="containsText" dxfId="1644" priority="4443" operator="containsText" text="Pesquisa de Preços">
      <formula>NOT(ISERROR(SEARCH("Pesquisa de Preços",E1071)))</formula>
    </cfRule>
  </conditionalFormatting>
  <conditionalFormatting sqref="E605">
    <cfRule type="containsText" dxfId="1643" priority="4519" operator="containsText" text="Pesquisa de Preços">
      <formula>NOT(ISERROR(SEARCH("Pesquisa de Preços",E605)))</formula>
    </cfRule>
  </conditionalFormatting>
  <conditionalFormatting sqref="E1084:E1088">
    <cfRule type="containsText" dxfId="1642" priority="4442" operator="containsText" text="Pesquisa de Preços">
      <formula>NOT(ISERROR(SEARCH("Pesquisa de Preços",E1084)))</formula>
    </cfRule>
  </conditionalFormatting>
  <conditionalFormatting sqref="E736">
    <cfRule type="containsText" dxfId="1641" priority="4516" operator="containsText" text="Pesquisa de Preços">
      <formula>NOT(ISERROR(SEARCH("Pesquisa de Preços",E736)))</formula>
    </cfRule>
  </conditionalFormatting>
  <conditionalFormatting sqref="E631">
    <cfRule type="containsText" dxfId="1640" priority="4513" operator="containsText" text="Pesquisa de Preços">
      <formula>NOT(ISERROR(SEARCH("Pesquisa de Preços",E631)))</formula>
    </cfRule>
  </conditionalFormatting>
  <conditionalFormatting sqref="E630 E635:E636">
    <cfRule type="containsText" dxfId="1639" priority="4515" operator="containsText" text="Pesquisa de Preços">
      <formula>NOT(ISERROR(SEARCH("Pesquisa de Preços",E630)))</formula>
    </cfRule>
  </conditionalFormatting>
  <conditionalFormatting sqref="E629">
    <cfRule type="containsText" dxfId="1638" priority="4514" operator="containsText" text="Pesquisa de Preços">
      <formula>NOT(ISERROR(SEARCH("Pesquisa de Preços",E629)))</formula>
    </cfRule>
  </conditionalFormatting>
  <conditionalFormatting sqref="E1257:E1258 E1253:E1254">
    <cfRule type="containsText" dxfId="1637" priority="4511" operator="containsText" text="Pesquisa de Preços">
      <formula>NOT(ISERROR(SEARCH("Pesquisa de Preços",E1253)))</formula>
    </cfRule>
  </conditionalFormatting>
  <conditionalFormatting sqref="E632:E634">
    <cfRule type="containsText" dxfId="1636" priority="4512" operator="containsText" text="Pesquisa de Preços">
      <formula>NOT(ISERROR(SEARCH("Pesquisa de Preços",E632)))</formula>
    </cfRule>
  </conditionalFormatting>
  <conditionalFormatting sqref="E1252">
    <cfRule type="containsText" dxfId="1635" priority="4510" operator="containsText" text="Pesquisa de Preços">
      <formula>NOT(ISERROR(SEARCH("Pesquisa de Preços",E1252)))</formula>
    </cfRule>
  </conditionalFormatting>
  <conditionalFormatting sqref="E1255:E1256">
    <cfRule type="containsText" dxfId="1634" priority="4509" operator="containsText" text="Pesquisa de Preços">
      <formula>NOT(ISERROR(SEARCH("Pesquisa de Preços",E1255)))</formula>
    </cfRule>
  </conditionalFormatting>
  <conditionalFormatting sqref="E1159 E1163:E1164">
    <cfRule type="containsText" dxfId="1633" priority="4508" operator="containsText" text="Pesquisa de Preços">
      <formula>NOT(ISERROR(SEARCH("Pesquisa de Preços",E1159)))</formula>
    </cfRule>
  </conditionalFormatting>
  <conditionalFormatting sqref="E1158">
    <cfRule type="containsText" dxfId="1632" priority="4507" operator="containsText" text="Pesquisa de Preços">
      <formula>NOT(ISERROR(SEARCH("Pesquisa de Preços",E1158)))</formula>
    </cfRule>
  </conditionalFormatting>
  <conditionalFormatting sqref="E1219:E1220 E1215:E1216">
    <cfRule type="containsText" dxfId="1631" priority="4506" operator="containsText" text="Pesquisa de Preços">
      <formula>NOT(ISERROR(SEARCH("Pesquisa de Preços",E1215)))</formula>
    </cfRule>
  </conditionalFormatting>
  <conditionalFormatting sqref="E1214">
    <cfRule type="containsText" dxfId="1630" priority="4505" operator="containsText" text="Pesquisa de Preços">
      <formula>NOT(ISERROR(SEARCH("Pesquisa de Preços",E1214)))</formula>
    </cfRule>
  </conditionalFormatting>
  <conditionalFormatting sqref="E1217:E1218">
    <cfRule type="containsText" dxfId="1629" priority="4504" operator="containsText" text="Pesquisa de Preços">
      <formula>NOT(ISERROR(SEARCH("Pesquisa de Preços",E1217)))</formula>
    </cfRule>
  </conditionalFormatting>
  <conditionalFormatting sqref="E1350">
    <cfRule type="containsText" dxfId="1628" priority="4441" operator="containsText" text="Pesquisa de Preços">
      <formula>NOT(ISERROR(SEARCH("Pesquisa de Preços",E1350)))</formula>
    </cfRule>
  </conditionalFormatting>
  <conditionalFormatting sqref="E865:E866">
    <cfRule type="containsText" dxfId="1627" priority="4501" operator="containsText" text="Pesquisa de Preços">
      <formula>NOT(ISERROR(SEARCH("Pesquisa de Preços",E865)))</formula>
    </cfRule>
  </conditionalFormatting>
  <conditionalFormatting sqref="E1511">
    <cfRule type="containsText" dxfId="1626" priority="4440" operator="containsText" text="Pesquisa de Preços">
      <formula>NOT(ISERROR(SEARCH("Pesquisa de Preços",E1511)))</formula>
    </cfRule>
  </conditionalFormatting>
  <conditionalFormatting sqref="E208">
    <cfRule type="containsText" dxfId="1625" priority="4496" operator="containsText" text="Pesquisa de Preços">
      <formula>NOT(ISERROR(SEARCH("Pesquisa de Preços",E208)))</formula>
    </cfRule>
  </conditionalFormatting>
  <conditionalFormatting sqref="E1620">
    <cfRule type="containsText" dxfId="1624" priority="4494" operator="containsText" text="Pesquisa de Preços">
      <formula>NOT(ISERROR(SEARCH("Pesquisa de Preços",E1620)))</formula>
    </cfRule>
  </conditionalFormatting>
  <conditionalFormatting sqref="E1687">
    <cfRule type="containsText" dxfId="1623" priority="4492" operator="containsText" text="Pesquisa de Preços">
      <formula>NOT(ISERROR(SEARCH("Pesquisa de Preços",E1687)))</formula>
    </cfRule>
  </conditionalFormatting>
  <conditionalFormatting sqref="E1615">
    <cfRule type="containsText" dxfId="1622" priority="4489" operator="containsText" text="Pesquisa de Preços">
      <formula>NOT(ISERROR(SEARCH("Pesquisa de Preços",E1615)))</formula>
    </cfRule>
  </conditionalFormatting>
  <conditionalFormatting sqref="E142">
    <cfRule type="containsText" dxfId="1621" priority="4488" operator="containsText" text="Pesquisa de Preços">
      <formula>NOT(ISERROR(SEARCH("Pesquisa de Preços",E142)))</formula>
    </cfRule>
  </conditionalFormatting>
  <conditionalFormatting sqref="E802">
    <cfRule type="containsText" dxfId="1620" priority="4487" operator="containsText" text="Pesquisa de Preços">
      <formula>NOT(ISERROR(SEARCH("Pesquisa de Preços",E802)))</formula>
    </cfRule>
  </conditionalFormatting>
  <conditionalFormatting sqref="E1005">
    <cfRule type="containsText" dxfId="1619" priority="4486" operator="containsText" text="Pesquisa de Preços">
      <formula>NOT(ISERROR(SEARCH("Pesquisa de Preços",E1005)))</formula>
    </cfRule>
  </conditionalFormatting>
  <conditionalFormatting sqref="E1010">
    <cfRule type="containsText" dxfId="1618" priority="4485" operator="containsText" text="Pesquisa de Preços">
      <formula>NOT(ISERROR(SEARCH("Pesquisa de Preços",E1010)))</formula>
    </cfRule>
  </conditionalFormatting>
  <conditionalFormatting sqref="E113">
    <cfRule type="containsText" dxfId="1617" priority="4484" operator="containsText" text="Pesquisa de Preços">
      <formula>NOT(ISERROR(SEARCH("Pesquisa de Preços",E113)))</formula>
    </cfRule>
  </conditionalFormatting>
  <conditionalFormatting sqref="E114">
    <cfRule type="containsText" dxfId="1616" priority="4483" operator="containsText" text="Pesquisa de Preços">
      <formula>NOT(ISERROR(SEARCH("Pesquisa de Preços",E114)))</formula>
    </cfRule>
  </conditionalFormatting>
  <conditionalFormatting sqref="E1482">
    <cfRule type="containsText" dxfId="1615" priority="4439" operator="containsText" text="Pesquisa de Preços">
      <formula>NOT(ISERROR(SEARCH("Pesquisa de Preços",E1482)))</formula>
    </cfRule>
  </conditionalFormatting>
  <conditionalFormatting sqref="E1694:E1695">
    <cfRule type="containsText" dxfId="1614" priority="4482" operator="containsText" text="Pesquisa de Preços">
      <formula>NOT(ISERROR(SEARCH("Pesquisa de Preços",E1694)))</formula>
    </cfRule>
  </conditionalFormatting>
  <conditionalFormatting sqref="E1660">
    <cfRule type="containsText" dxfId="1613" priority="4481" operator="containsText" text="Pesquisa de Preços">
      <formula>NOT(ISERROR(SEARCH("Pesquisa de Preços",E1660)))</formula>
    </cfRule>
  </conditionalFormatting>
  <conditionalFormatting sqref="E1743">
    <cfRule type="containsText" dxfId="1612" priority="4480" operator="containsText" text="Pesquisa de Preços">
      <formula>NOT(ISERROR(SEARCH("Pesquisa de Preços",E1743)))</formula>
    </cfRule>
  </conditionalFormatting>
  <conditionalFormatting sqref="E1825">
    <cfRule type="containsText" dxfId="1611" priority="4477" operator="containsText" text="Pesquisa de Preços">
      <formula>NOT(ISERROR(SEARCH("Pesquisa de Preços",E1825)))</formula>
    </cfRule>
  </conditionalFormatting>
  <conditionalFormatting sqref="E1839">
    <cfRule type="containsText" dxfId="1610" priority="4476" operator="containsText" text="Pesquisa de Preços">
      <formula>NOT(ISERROR(SEARCH("Pesquisa de Preços",E1839)))</formula>
    </cfRule>
  </conditionalFormatting>
  <conditionalFormatting sqref="E1838">
    <cfRule type="containsText" dxfId="1609" priority="4475" operator="containsText" text="Pesquisa de Preços">
      <formula>NOT(ISERROR(SEARCH("Pesquisa de Preços",E1838)))</formula>
    </cfRule>
  </conditionalFormatting>
  <conditionalFormatting sqref="E1840">
    <cfRule type="containsText" dxfId="1608" priority="4474" operator="containsText" text="Pesquisa de Preços">
      <formula>NOT(ISERROR(SEARCH("Pesquisa de Preços",E1840)))</formula>
    </cfRule>
  </conditionalFormatting>
  <conditionalFormatting sqref="E1921">
    <cfRule type="containsText" dxfId="1607" priority="4472" operator="containsText" text="Pesquisa de Preços">
      <formula>NOT(ISERROR(SEARCH("Pesquisa de Preços",E1921)))</formula>
    </cfRule>
  </conditionalFormatting>
  <conditionalFormatting sqref="E841">
    <cfRule type="containsText" dxfId="1606" priority="4471" operator="containsText" text="Pesquisa de Preços">
      <formula>NOT(ISERROR(SEARCH("Pesquisa de Preços",E841)))</formula>
    </cfRule>
  </conditionalFormatting>
  <conditionalFormatting sqref="E2387">
    <cfRule type="containsText" dxfId="1605" priority="4469" operator="containsText" text="Pesquisa de Preços">
      <formula>NOT(ISERROR(SEARCH("Pesquisa de Preços",E2387)))</formula>
    </cfRule>
  </conditionalFormatting>
  <conditionalFormatting sqref="E2257">
    <cfRule type="containsText" dxfId="1604" priority="4468" operator="containsText" text="Pesquisa de Preços">
      <formula>NOT(ISERROR(SEARCH("Pesquisa de Preços",E2257)))</formula>
    </cfRule>
  </conditionalFormatting>
  <conditionalFormatting sqref="E2258">
    <cfRule type="containsText" dxfId="1603" priority="4467" operator="containsText" text="Pesquisa de Preços">
      <formula>NOT(ISERROR(SEARCH("Pesquisa de Preços",E2258)))</formula>
    </cfRule>
  </conditionalFormatting>
  <conditionalFormatting sqref="E2380">
    <cfRule type="containsText" dxfId="1602" priority="4466" operator="containsText" text="Pesquisa de Preços">
      <formula>NOT(ISERROR(SEARCH("Pesquisa de Preços",E2380)))</formula>
    </cfRule>
  </conditionalFormatting>
  <conditionalFormatting sqref="E133">
    <cfRule type="containsText" dxfId="1601" priority="4465" operator="containsText" text="Pesquisa de Preços">
      <formula>NOT(ISERROR(SEARCH("Pesquisa de Preços",E133)))</formula>
    </cfRule>
  </conditionalFormatting>
  <conditionalFormatting sqref="E1119">
    <cfRule type="containsText" dxfId="1600" priority="4464" operator="containsText" text="Pesquisa de Preços">
      <formula>NOT(ISERROR(SEARCH("Pesquisa de Preços",E1119)))</formula>
    </cfRule>
  </conditionalFormatting>
  <conditionalFormatting sqref="E1643">
    <cfRule type="containsText" dxfId="1599" priority="4463" operator="containsText" text="Pesquisa de Preços">
      <formula>NOT(ISERROR(SEARCH("Pesquisa de Preços",E1643)))</formula>
    </cfRule>
  </conditionalFormatting>
  <conditionalFormatting sqref="E1642">
    <cfRule type="containsText" dxfId="1598" priority="4462" operator="containsText" text="Pesquisa de Preços">
      <formula>NOT(ISERROR(SEARCH("Pesquisa de Preços",E1642)))</formula>
    </cfRule>
  </conditionalFormatting>
  <conditionalFormatting sqref="E322">
    <cfRule type="containsText" dxfId="1597" priority="4461" operator="containsText" text="Pesquisa de Preços">
      <formula>NOT(ISERROR(SEARCH("Pesquisa de Preços",E322)))</formula>
    </cfRule>
  </conditionalFormatting>
  <conditionalFormatting sqref="E1958">
    <cfRule type="containsText" dxfId="1596" priority="4438" operator="containsText" text="Pesquisa de Preços">
      <formula>NOT(ISERROR(SEARCH("Pesquisa de Preços",E1958)))</formula>
    </cfRule>
  </conditionalFormatting>
  <conditionalFormatting sqref="E1961">
    <cfRule type="containsText" dxfId="1595" priority="4437" operator="containsText" text="Pesquisa de Preços">
      <formula>NOT(ISERROR(SEARCH("Pesquisa de Preços",E1961)))</formula>
    </cfRule>
  </conditionalFormatting>
  <conditionalFormatting sqref="E80">
    <cfRule type="containsText" dxfId="1594" priority="4460" operator="containsText" text="Pesquisa de Preços">
      <formula>NOT(ISERROR(SEARCH("Pesquisa de Preços",E80)))</formula>
    </cfRule>
  </conditionalFormatting>
  <conditionalFormatting sqref="E1136">
    <cfRule type="containsText" dxfId="1593" priority="4459" operator="containsText" text="Pesquisa de Preços">
      <formula>NOT(ISERROR(SEARCH("Pesquisa de Preços",E1136)))</formula>
    </cfRule>
  </conditionalFormatting>
  <conditionalFormatting sqref="E1135">
    <cfRule type="containsText" dxfId="1592" priority="4458" operator="containsText" text="Pesquisa de Preços">
      <formula>NOT(ISERROR(SEARCH("Pesquisa de Preços",E1135)))</formula>
    </cfRule>
  </conditionalFormatting>
  <conditionalFormatting sqref="E1134">
    <cfRule type="containsText" dxfId="1591" priority="4457" operator="containsText" text="Pesquisa de Preços">
      <formula>NOT(ISERROR(SEARCH("Pesquisa de Preços",E1134)))</formula>
    </cfRule>
  </conditionalFormatting>
  <conditionalFormatting sqref="E403:E413">
    <cfRule type="containsText" dxfId="1590" priority="4456" operator="containsText" text="Pesquisa de Preços">
      <formula>NOT(ISERROR(SEARCH("Pesquisa de Preços",E403)))</formula>
    </cfRule>
  </conditionalFormatting>
  <conditionalFormatting sqref="E2135:E2136">
    <cfRule type="containsText" dxfId="1589" priority="4436" operator="containsText" text="Pesquisa de Preços">
      <formula>NOT(ISERROR(SEARCH("Pesquisa de Preços",E2135)))</formula>
    </cfRule>
  </conditionalFormatting>
  <conditionalFormatting sqref="E195">
    <cfRule type="containsText" dxfId="1588" priority="4455" operator="containsText" text="Pesquisa de Preços">
      <formula>NOT(ISERROR(SEARCH("Pesquisa de Preços",E195)))</formula>
    </cfRule>
  </conditionalFormatting>
  <conditionalFormatting sqref="E834:E838">
    <cfRule type="containsText" dxfId="1587" priority="4454" operator="containsText" text="Pesquisa de Preços">
      <formula>NOT(ISERROR(SEARCH("Pesquisa de Preços",E834)))</formula>
    </cfRule>
  </conditionalFormatting>
  <conditionalFormatting sqref="E834:E838">
    <cfRule type="containsText" dxfId="1586" priority="4453" operator="containsText" text="Pesquisa de Preços">
      <formula>NOT(ISERROR(SEARCH("Pesquisa de Preços",E834)))</formula>
    </cfRule>
  </conditionalFormatting>
  <conditionalFormatting sqref="E1931">
    <cfRule type="containsText" dxfId="1585" priority="4452" operator="containsText" text="Pesquisa de Preços">
      <formula>NOT(ISERROR(SEARCH("Pesquisa de Preços",E1931)))</formula>
    </cfRule>
  </conditionalFormatting>
  <conditionalFormatting sqref="E1932">
    <cfRule type="containsText" dxfId="1584" priority="4451" operator="containsText" text="Pesquisa de Preços">
      <formula>NOT(ISERROR(SEARCH("Pesquisa de Preços",E1932)))</formula>
    </cfRule>
  </conditionalFormatting>
  <conditionalFormatting sqref="E812">
    <cfRule type="containsText" dxfId="1583" priority="4450" operator="containsText" text="Pesquisa de Preços">
      <formula>NOT(ISERROR(SEARCH("Pesquisa de Preços",E812)))</formula>
    </cfRule>
  </conditionalFormatting>
  <conditionalFormatting sqref="E769">
    <cfRule type="containsText" dxfId="1582" priority="4449" operator="containsText" text="Pesquisa de Preços">
      <formula>NOT(ISERROR(SEARCH("Pesquisa de Preços",E769)))</formula>
    </cfRule>
  </conditionalFormatting>
  <conditionalFormatting sqref="E768">
    <cfRule type="containsText" dxfId="1581" priority="4448" operator="containsText" text="Pesquisa de Preços">
      <formula>NOT(ISERROR(SEARCH("Pesquisa de Preços",E768)))</formula>
    </cfRule>
  </conditionalFormatting>
  <conditionalFormatting sqref="E852">
    <cfRule type="containsText" dxfId="1580" priority="4447" operator="containsText" text="Pesquisa de Preços">
      <formula>NOT(ISERROR(SEARCH("Pesquisa de Preços",E852)))</formula>
    </cfRule>
  </conditionalFormatting>
  <conditionalFormatting sqref="E871:E872">
    <cfRule type="containsText" dxfId="1579" priority="4446" operator="containsText" text="Pesquisa de Preços">
      <formula>NOT(ISERROR(SEARCH("Pesquisa de Preços",E871)))</formula>
    </cfRule>
  </conditionalFormatting>
  <conditionalFormatting sqref="E2162">
    <cfRule type="containsText" dxfId="1578" priority="4435" operator="containsText" text="Pesquisa de Preços">
      <formula>NOT(ISERROR(SEARCH("Pesquisa de Preços",E2162)))</formula>
    </cfRule>
  </conditionalFormatting>
  <conditionalFormatting sqref="E869">
    <cfRule type="containsText" dxfId="1577" priority="4445" operator="containsText" text="Pesquisa de Preços">
      <formula>NOT(ISERROR(SEARCH("Pesquisa de Preços",E869)))</formula>
    </cfRule>
  </conditionalFormatting>
  <conditionalFormatting sqref="E894">
    <cfRule type="containsText" dxfId="1576" priority="4444" operator="containsText" text="Pesquisa de Preços">
      <formula>NOT(ISERROR(SEARCH("Pesquisa de Preços",E894)))</formula>
    </cfRule>
  </conditionalFormatting>
  <conditionalFormatting sqref="E171">
    <cfRule type="containsText" dxfId="1575" priority="4433" operator="containsText" text="Pesquisa de Preços">
      <formula>NOT(ISERROR(SEARCH("Pesquisa de Preços",E171)))</formula>
    </cfRule>
  </conditionalFormatting>
  <conditionalFormatting sqref="E172:E173">
    <cfRule type="containsText" dxfId="1574" priority="4434" operator="containsText" text="Pesquisa de Preços">
      <formula>NOT(ISERROR(SEARCH("Pesquisa de Preços",E172)))</formula>
    </cfRule>
  </conditionalFormatting>
  <conditionalFormatting sqref="D2797">
    <cfRule type="containsText" dxfId="1573" priority="4412" operator="containsText" text="Pesquisa de Preços">
      <formula>NOT(ISERROR(SEARCH("Pesquisa de Preços",D2797)))</formula>
    </cfRule>
  </conditionalFormatting>
  <conditionalFormatting sqref="D2802">
    <cfRule type="containsText" dxfId="1572" priority="4408" operator="containsText" text="Pesquisa de Preços">
      <formula>NOT(ISERROR(SEARCH("Pesquisa de Preços",D2802)))</formula>
    </cfRule>
  </conditionalFormatting>
  <conditionalFormatting sqref="D4768">
    <cfRule type="containsText" dxfId="1571" priority="4386" operator="containsText" text="Pesquisa de Preços">
      <formula>NOT(ISERROR(SEARCH("Pesquisa de Preços",D4768)))</formula>
    </cfRule>
  </conditionalFormatting>
  <conditionalFormatting sqref="D4778">
    <cfRule type="containsText" dxfId="1570" priority="4378" operator="containsText" text="Pesquisa de Preços">
      <formula>NOT(ISERROR(SEARCH("Pesquisa de Preços",D4778)))</formula>
    </cfRule>
  </conditionalFormatting>
  <conditionalFormatting sqref="D4788">
    <cfRule type="containsText" dxfId="1569" priority="4362" operator="containsText" text="Pesquisa de Preços">
      <formula>NOT(ISERROR(SEARCH("Pesquisa de Preços",D4788)))</formula>
    </cfRule>
  </conditionalFormatting>
  <conditionalFormatting sqref="D4793">
    <cfRule type="containsText" dxfId="1568" priority="4332" operator="containsText" text="Pesquisa de Preços">
      <formula>NOT(ISERROR(SEARCH("Pesquisa de Preços",D4793)))</formula>
    </cfRule>
  </conditionalFormatting>
  <conditionalFormatting sqref="D4798">
    <cfRule type="containsText" dxfId="1567" priority="4328" operator="containsText" text="Pesquisa de Preços">
      <formula>NOT(ISERROR(SEARCH("Pesquisa de Preços",D4798)))</formula>
    </cfRule>
  </conditionalFormatting>
  <conditionalFormatting sqref="D4868:D4869 D4876">
    <cfRule type="containsText" dxfId="1566" priority="4275" operator="containsText" text="Pesquisa de Preços">
      <formula>NOT(ISERROR(SEARCH("Pesquisa de Preços",D4868)))</formula>
    </cfRule>
  </conditionalFormatting>
  <conditionalFormatting sqref="D4803">
    <cfRule type="containsText" dxfId="1565" priority="4324" operator="containsText" text="Pesquisa de Preços">
      <formula>NOT(ISERROR(SEARCH("Pesquisa de Preços",D4803)))</formula>
    </cfRule>
  </conditionalFormatting>
  <conditionalFormatting sqref="E4871:E4874">
    <cfRule type="containsText" dxfId="1564" priority="4271" operator="containsText" text="Pesquisa de Preços">
      <formula>NOT(ISERROR(SEARCH("Pesquisa de Preços",E4871)))</formula>
    </cfRule>
  </conditionalFormatting>
  <conditionalFormatting sqref="D4811">
    <cfRule type="containsText" dxfId="1563" priority="4320" operator="containsText" text="Pesquisa de Preços">
      <formula>NOT(ISERROR(SEARCH("Pesquisa de Preços",D4811)))</formula>
    </cfRule>
  </conditionalFormatting>
  <conditionalFormatting sqref="D4877">
    <cfRule type="containsText" dxfId="1562" priority="4267" operator="containsText" text="Pesquisa de Preços">
      <formula>NOT(ISERROR(SEARCH("Pesquisa de Preços",D4877)))</formula>
    </cfRule>
  </conditionalFormatting>
  <conditionalFormatting sqref="D4819">
    <cfRule type="containsText" dxfId="1561" priority="4316" operator="containsText" text="Pesquisa de Preços">
      <formula>NOT(ISERROR(SEARCH("Pesquisa de Preços",D4819)))</formula>
    </cfRule>
  </conditionalFormatting>
  <conditionalFormatting sqref="E4877">
    <cfRule type="containsText" dxfId="1560" priority="4263" operator="containsText" text="Pesquisa de Preços">
      <formula>NOT(ISERROR(SEARCH("Pesquisa de Preços",E4877)))</formula>
    </cfRule>
  </conditionalFormatting>
  <conditionalFormatting sqref="D4827">
    <cfRule type="containsText" dxfId="1559" priority="4312" operator="containsText" text="Pesquisa de Preços">
      <formula>NOT(ISERROR(SEARCH("Pesquisa de Preços",D4827)))</formula>
    </cfRule>
  </conditionalFormatting>
  <conditionalFormatting sqref="E4882:E4883">
    <cfRule type="containsText" dxfId="1558" priority="4259" operator="containsText" text="Pesquisa de Preços">
      <formula>NOT(ISERROR(SEARCH("Pesquisa de Preços",E4882)))</formula>
    </cfRule>
  </conditionalFormatting>
  <conditionalFormatting sqref="D4835">
    <cfRule type="containsText" dxfId="1557" priority="4308" operator="containsText" text="Pesquisa de Preços">
      <formula>NOT(ISERROR(SEARCH("Pesquisa de Preços",D4835)))</formula>
    </cfRule>
  </conditionalFormatting>
  <conditionalFormatting sqref="D4886">
    <cfRule type="containsText" dxfId="1556" priority="4255" operator="containsText" text="Pesquisa de Preços">
      <formula>NOT(ISERROR(SEARCH("Pesquisa de Preços",D4886)))</formula>
    </cfRule>
  </conditionalFormatting>
  <conditionalFormatting sqref="D4843">
    <cfRule type="containsText" dxfId="1555" priority="4304" operator="containsText" text="Pesquisa de Preços">
      <formula>NOT(ISERROR(SEARCH("Pesquisa de Preços",D4843)))</formula>
    </cfRule>
  </conditionalFormatting>
  <conditionalFormatting sqref="D4893">
    <cfRule type="containsText" dxfId="1554" priority="4251" operator="containsText" text="Pesquisa de Preços">
      <formula>NOT(ISERROR(SEARCH("Pesquisa de Preços",D4893)))</formula>
    </cfRule>
  </conditionalFormatting>
  <conditionalFormatting sqref="D4851">
    <cfRule type="containsText" dxfId="1553" priority="4300" operator="containsText" text="Pesquisa de Preços">
      <formula>NOT(ISERROR(SEARCH("Pesquisa de Preços",D4851)))</formula>
    </cfRule>
  </conditionalFormatting>
  <conditionalFormatting sqref="D4859">
    <cfRule type="containsText" dxfId="1552" priority="4296" operator="containsText" text="Pesquisa de Preços">
      <formula>NOT(ISERROR(SEARCH("Pesquisa de Preços",D4859)))</formula>
    </cfRule>
  </conditionalFormatting>
  <conditionalFormatting sqref="D4867">
    <cfRule type="containsText" dxfId="1551" priority="4276" operator="containsText" text="Pesquisa de Preços">
      <formula>NOT(ISERROR(SEARCH("Pesquisa de Preços",D4867)))</formula>
    </cfRule>
  </conditionalFormatting>
  <conditionalFormatting sqref="D4900">
    <cfRule type="containsText" dxfId="1550" priority="4247" operator="containsText" text="Pesquisa de Preços">
      <formula>NOT(ISERROR(SEARCH("Pesquisa de Preços",D4900)))</formula>
    </cfRule>
  </conditionalFormatting>
  <conditionalFormatting sqref="D4871:D4873">
    <cfRule type="containsText" dxfId="1549" priority="4274" operator="containsText" text="Pesquisa de Preços">
      <formula>NOT(ISERROR(SEARCH("Pesquisa de Preços",D4871)))</formula>
    </cfRule>
  </conditionalFormatting>
  <conditionalFormatting sqref="E4867">
    <cfRule type="containsText" dxfId="1548" priority="4272" operator="containsText" text="Pesquisa de Preços">
      <formula>NOT(ISERROR(SEARCH("Pesquisa de Preços",E4867)))</formula>
    </cfRule>
  </conditionalFormatting>
  <conditionalFormatting sqref="E4868:E4869 E4876">
    <cfRule type="containsText" dxfId="1547" priority="4273" operator="containsText" text="Pesquisa de Preços">
      <formula>NOT(ISERROR(SEARCH("Pesquisa de Preços",E4868)))</formula>
    </cfRule>
  </conditionalFormatting>
  <conditionalFormatting sqref="D4878:D4879 D4885">
    <cfRule type="containsText" dxfId="1546" priority="4266" operator="containsText" text="Pesquisa de Preços">
      <formula>NOT(ISERROR(SEARCH("Pesquisa de Preços",D4878)))</formula>
    </cfRule>
  </conditionalFormatting>
  <conditionalFormatting sqref="E4878:E4879 E4885">
    <cfRule type="containsText" dxfId="1545" priority="4264" operator="containsText" text="Pesquisa de Preços">
      <formula>NOT(ISERROR(SEARCH("Pesquisa de Preços",E4878)))</formula>
    </cfRule>
  </conditionalFormatting>
  <conditionalFormatting sqref="E1041">
    <cfRule type="containsText" dxfId="1544" priority="4258" operator="containsText" text="Pesquisa de Preços">
      <formula>NOT(ISERROR(SEARCH("Pesquisa de Preços",E1041)))</formula>
    </cfRule>
  </conditionalFormatting>
  <conditionalFormatting sqref="E1042">
    <cfRule type="containsText" dxfId="1543" priority="4257" operator="containsText" text="Pesquisa de Preços">
      <formula>NOT(ISERROR(SEARCH("Pesquisa de Preços",E1042)))</formula>
    </cfRule>
  </conditionalFormatting>
  <conditionalFormatting sqref="E4948 E4953">
    <cfRule type="containsText" dxfId="1542" priority="4206" operator="containsText" text="Pesquisa de Preços">
      <formula>NOT(ISERROR(SEARCH("Pesquisa de Preços",E4948)))</formula>
    </cfRule>
  </conditionalFormatting>
  <conditionalFormatting sqref="E4927:E4928 E4932">
    <cfRule type="containsText" dxfId="1541" priority="4227" operator="containsText" text="Pesquisa de Preços">
      <formula>NOT(ISERROR(SEARCH("Pesquisa de Preços",E4927)))</formula>
    </cfRule>
  </conditionalFormatting>
  <conditionalFormatting sqref="E4926">
    <cfRule type="containsText" dxfId="1540" priority="4226" operator="containsText" text="Pesquisa de Preços">
      <formula>NOT(ISERROR(SEARCH("Pesquisa de Preços",E4926)))</formula>
    </cfRule>
  </conditionalFormatting>
  <conditionalFormatting sqref="D4927:D4928 D4931:D4932">
    <cfRule type="containsText" dxfId="1539" priority="4228" operator="containsText" text="Pesquisa de Preços">
      <formula>NOT(ISERROR(SEARCH("Pesquisa de Preços",D4927)))</formula>
    </cfRule>
  </conditionalFormatting>
  <conditionalFormatting sqref="D4907">
    <cfRule type="containsText" dxfId="1538" priority="4243" operator="containsText" text="Pesquisa de Preços">
      <formula>NOT(ISERROR(SEARCH("Pesquisa de Preços",D4907)))</formula>
    </cfRule>
  </conditionalFormatting>
  <conditionalFormatting sqref="D4956">
    <cfRule type="containsText" dxfId="1537" priority="4190" operator="containsText" text="Pesquisa de Preços">
      <formula>NOT(ISERROR(SEARCH("Pesquisa de Preços",D4956)))</formula>
    </cfRule>
  </conditionalFormatting>
  <conditionalFormatting sqref="D4914">
    <cfRule type="containsText" dxfId="1536" priority="4239" operator="containsText" text="Pesquisa de Preços">
      <formula>NOT(ISERROR(SEARCH("Pesquisa de Preços",D4914)))</formula>
    </cfRule>
  </conditionalFormatting>
  <conditionalFormatting sqref="E4934:E4935 E4939">
    <cfRule type="containsText" dxfId="1535" priority="4220" operator="containsText" text="Pesquisa de Preços">
      <formula>NOT(ISERROR(SEARCH("Pesquisa de Preços",E4934)))</formula>
    </cfRule>
  </conditionalFormatting>
  <conditionalFormatting sqref="D4921">
    <cfRule type="containsText" dxfId="1534" priority="4235" operator="containsText" text="Pesquisa de Preços">
      <formula>NOT(ISERROR(SEARCH("Pesquisa de Preços",D4921)))</formula>
    </cfRule>
  </conditionalFormatting>
  <conditionalFormatting sqref="D4926">
    <cfRule type="containsText" dxfId="1533" priority="4229" operator="containsText" text="Pesquisa de Preços">
      <formula>NOT(ISERROR(SEARCH("Pesquisa de Preços",D4926)))</formula>
    </cfRule>
  </conditionalFormatting>
  <conditionalFormatting sqref="D4933">
    <cfRule type="containsText" dxfId="1532" priority="4222" operator="containsText" text="Pesquisa de Preços">
      <formula>NOT(ISERROR(SEARCH("Pesquisa de Preços",D4933)))</formula>
    </cfRule>
  </conditionalFormatting>
  <conditionalFormatting sqref="D4948:D4949 D4952:D4953">
    <cfRule type="containsText" dxfId="1531" priority="4207" operator="containsText" text="Pesquisa de Preços">
      <formula>NOT(ISERROR(SEARCH("Pesquisa de Preços",D4948)))</formula>
    </cfRule>
  </conditionalFormatting>
  <conditionalFormatting sqref="D4934:D4935 D4938:D4939">
    <cfRule type="containsText" dxfId="1530" priority="4221" operator="containsText" text="Pesquisa de Preços">
      <formula>NOT(ISERROR(SEARCH("Pesquisa de Preços",D4934)))</formula>
    </cfRule>
  </conditionalFormatting>
  <conditionalFormatting sqref="E4933">
    <cfRule type="containsText" dxfId="1529" priority="4219" operator="containsText" text="Pesquisa de Preços">
      <formula>NOT(ISERROR(SEARCH("Pesquisa de Preços",E4933)))</formula>
    </cfRule>
  </conditionalFormatting>
  <conditionalFormatting sqref="D4941:D4942 D4945:D4946">
    <cfRule type="containsText" dxfId="1528" priority="4214" operator="containsText" text="Pesquisa de Preços">
      <formula>NOT(ISERROR(SEARCH("Pesquisa de Preços",D4941)))</formula>
    </cfRule>
  </conditionalFormatting>
  <conditionalFormatting sqref="D4940">
    <cfRule type="containsText" dxfId="1527" priority="4215" operator="containsText" text="Pesquisa de Preços">
      <formula>NOT(ISERROR(SEARCH("Pesquisa de Preços",D4940)))</formula>
    </cfRule>
  </conditionalFormatting>
  <conditionalFormatting sqref="E4940">
    <cfRule type="containsText" dxfId="1526" priority="4212" operator="containsText" text="Pesquisa de Preços">
      <formula>NOT(ISERROR(SEARCH("Pesquisa de Preços",E4940)))</formula>
    </cfRule>
  </conditionalFormatting>
  <conditionalFormatting sqref="E4941:E4942 E4946">
    <cfRule type="containsText" dxfId="1525" priority="4213" operator="containsText" text="Pesquisa de Preços">
      <formula>NOT(ISERROR(SEARCH("Pesquisa de Preços",E4941)))</formula>
    </cfRule>
  </conditionalFormatting>
  <conditionalFormatting sqref="E4990">
    <cfRule type="containsText" dxfId="1524" priority="4159" operator="containsText" text="Pesquisa de Preços">
      <formula>NOT(ISERROR(SEARCH("Pesquisa de Preços",E4990)))</formula>
    </cfRule>
  </conditionalFormatting>
  <conditionalFormatting sqref="D4947">
    <cfRule type="containsText" dxfId="1523" priority="4208" operator="containsText" text="Pesquisa de Preços">
      <formula>NOT(ISERROR(SEARCH("Pesquisa de Preços",D4947)))</formula>
    </cfRule>
  </conditionalFormatting>
  <conditionalFormatting sqref="E4947">
    <cfRule type="containsText" dxfId="1522" priority="4205" operator="containsText" text="Pesquisa de Preços">
      <formula>NOT(ISERROR(SEARCH("Pesquisa de Preços",E4947)))</formula>
    </cfRule>
  </conditionalFormatting>
  <conditionalFormatting sqref="D4978">
    <cfRule type="containsText" dxfId="1521" priority="4184" operator="containsText" text="Pesquisa de Preços">
      <formula>NOT(ISERROR(SEARCH("Pesquisa de Preços",D4978)))</formula>
    </cfRule>
  </conditionalFormatting>
  <conditionalFormatting sqref="D4954">
    <cfRule type="containsText" dxfId="1520" priority="4199" operator="containsText" text="Pesquisa de Preços">
      <formula>NOT(ISERROR(SEARCH("Pesquisa de Preços",D4954)))</formula>
    </cfRule>
  </conditionalFormatting>
  <conditionalFormatting sqref="D4957">
    <cfRule type="containsText" dxfId="1519" priority="4192" operator="containsText" text="Pesquisa de Preços">
      <formula>NOT(ISERROR(SEARCH("Pesquisa de Preços",D4957)))</formula>
    </cfRule>
  </conditionalFormatting>
  <conditionalFormatting sqref="E4984 E4989">
    <cfRule type="containsText" dxfId="1518" priority="4169" operator="containsText" text="Pesquisa de Preços">
      <formula>NOT(ISERROR(SEARCH("Pesquisa de Preços",E4984)))</formula>
    </cfRule>
  </conditionalFormatting>
  <conditionalFormatting sqref="E4956">
    <cfRule type="containsText" dxfId="1517" priority="4189" operator="containsText" text="Pesquisa de Preços">
      <formula>NOT(ISERROR(SEARCH("Pesquisa de Preços",E4956)))</formula>
    </cfRule>
  </conditionalFormatting>
  <conditionalFormatting sqref="D4984 D4988:D4989">
    <cfRule type="containsText" dxfId="1516" priority="4170" operator="containsText" text="Pesquisa de Preços">
      <formula>NOT(ISERROR(SEARCH("Pesquisa de Preços",D4984)))</formula>
    </cfRule>
  </conditionalFormatting>
  <conditionalFormatting sqref="D4959 D4965 D4971 D4977">
    <cfRule type="containsText" dxfId="1515" priority="4185" operator="containsText" text="Pesquisa de Preços">
      <formula>NOT(ISERROR(SEARCH("Pesquisa de Preços",D4959)))</formula>
    </cfRule>
  </conditionalFormatting>
  <conditionalFormatting sqref="D4980:D4981">
    <cfRule type="containsText" dxfId="1514" priority="4183" operator="containsText" text="Pesquisa de Preços">
      <formula>NOT(ISERROR(SEARCH("Pesquisa de Preços",D4980)))</formula>
    </cfRule>
  </conditionalFormatting>
  <conditionalFormatting sqref="E4972 E4976">
    <cfRule type="containsText" dxfId="1513" priority="4178" operator="containsText" text="Pesquisa de Preços">
      <formula>NOT(ISERROR(SEARCH("Pesquisa de Preços",E4972)))</formula>
    </cfRule>
  </conditionalFormatting>
  <conditionalFormatting sqref="D4972 D4976">
    <cfRule type="containsText" dxfId="1512" priority="4182" operator="containsText" text="Pesquisa de Preços">
      <formula>NOT(ISERROR(SEARCH("Pesquisa de Preços",D4972)))</formula>
    </cfRule>
  </conditionalFormatting>
  <conditionalFormatting sqref="E4971">
    <cfRule type="containsText" dxfId="1511" priority="4177" operator="containsText" text="Pesquisa de Preços">
      <formula>NOT(ISERROR(SEARCH("Pesquisa de Preços",E4971)))</formula>
    </cfRule>
  </conditionalFormatting>
  <conditionalFormatting sqref="E4980:E4981">
    <cfRule type="containsText" dxfId="1510" priority="4179" operator="containsText" text="Pesquisa de Preços">
      <formula>NOT(ISERROR(SEARCH("Pesquisa de Preços",E4980)))</formula>
    </cfRule>
  </conditionalFormatting>
  <conditionalFormatting sqref="E4977">
    <cfRule type="containsText" dxfId="1509" priority="4180" operator="containsText" text="Pesquisa de Preços">
      <formula>NOT(ISERROR(SEARCH("Pesquisa de Preços",E4977)))</formula>
    </cfRule>
  </conditionalFormatting>
  <conditionalFormatting sqref="E4978">
    <cfRule type="containsText" dxfId="1508" priority="4181" operator="containsText" text="Pesquisa de Preços">
      <formula>NOT(ISERROR(SEARCH("Pesquisa de Preços",E4978)))</formula>
    </cfRule>
  </conditionalFormatting>
  <conditionalFormatting sqref="D4983">
    <cfRule type="containsText" dxfId="1507" priority="4171" operator="containsText" text="Pesquisa de Preços">
      <formula>NOT(ISERROR(SEARCH("Pesquisa de Preços",D4983)))</formula>
    </cfRule>
  </conditionalFormatting>
  <conditionalFormatting sqref="E4983">
    <cfRule type="containsText" dxfId="1506" priority="4168" operator="containsText" text="Pesquisa de Preços">
      <formula>NOT(ISERROR(SEARCH("Pesquisa de Preços",E4983)))</formula>
    </cfRule>
  </conditionalFormatting>
  <conditionalFormatting sqref="E5003">
    <cfRule type="containsText" dxfId="1505" priority="4141" operator="containsText" text="Pesquisa de Preços">
      <formula>NOT(ISERROR(SEARCH("Pesquisa de Preços",E5003)))</formula>
    </cfRule>
  </conditionalFormatting>
  <conditionalFormatting sqref="D4990">
    <cfRule type="containsText" dxfId="1504" priority="4162" operator="containsText" text="Pesquisa de Preços">
      <formula>NOT(ISERROR(SEARCH("Pesquisa de Preços",D4990)))</formula>
    </cfRule>
  </conditionalFormatting>
  <conditionalFormatting sqref="D4991">
    <cfRule type="containsText" dxfId="1503" priority="4161" operator="containsText" text="Pesquisa de Preços">
      <formula>NOT(ISERROR(SEARCH("Pesquisa de Preços",D4991)))</formula>
    </cfRule>
  </conditionalFormatting>
  <conditionalFormatting sqref="E4991:E4992 E4994">
    <cfRule type="containsText" dxfId="1502" priority="4160" operator="containsText" text="Pesquisa de Preços">
      <formula>NOT(ISERROR(SEARCH("Pesquisa de Preços",E4991)))</formula>
    </cfRule>
  </conditionalFormatting>
  <conditionalFormatting sqref="D4986">
    <cfRule type="containsText" dxfId="1501" priority="4132" operator="containsText" text="Pesquisa de Preços">
      <formula>NOT(ISERROR(SEARCH("Pesquisa de Preços",D4986)))</formula>
    </cfRule>
  </conditionalFormatting>
  <conditionalFormatting sqref="D5003">
    <cfRule type="containsText" dxfId="1500" priority="4144" operator="containsText" text="Pesquisa de Preços">
      <formula>NOT(ISERROR(SEARCH("Pesquisa de Preços",D5003)))</formula>
    </cfRule>
  </conditionalFormatting>
  <conditionalFormatting sqref="D5004">
    <cfRule type="containsText" dxfId="1499" priority="4143" operator="containsText" text="Pesquisa de Preços">
      <formula>NOT(ISERROR(SEARCH("Pesquisa de Preços",D5004)))</formula>
    </cfRule>
  </conditionalFormatting>
  <conditionalFormatting sqref="E5004:E5005 E5008">
    <cfRule type="containsText" dxfId="1498" priority="4142" operator="containsText" text="Pesquisa de Preços">
      <formula>NOT(ISERROR(SEARCH("Pesquisa de Preços",E5004)))</formula>
    </cfRule>
  </conditionalFormatting>
  <conditionalFormatting sqref="D4995">
    <cfRule type="containsText" dxfId="1497" priority="4137" operator="containsText" text="Pesquisa de Preços">
      <formula>NOT(ISERROR(SEARCH("Pesquisa de Preços",D4995)))</formula>
    </cfRule>
  </conditionalFormatting>
  <conditionalFormatting sqref="D5012">
    <cfRule type="containsText" dxfId="1496" priority="4131" operator="containsText" text="Pesquisa de Preços">
      <formula>NOT(ISERROR(SEARCH("Pesquisa de Preços",D5012)))</formula>
    </cfRule>
  </conditionalFormatting>
  <conditionalFormatting sqref="D5009">
    <cfRule type="containsText" dxfId="1495" priority="4126" operator="containsText" text="Pesquisa de Preços">
      <formula>NOT(ISERROR(SEARCH("Pesquisa de Preços",D5009)))</formula>
    </cfRule>
  </conditionalFormatting>
  <conditionalFormatting sqref="D5010">
    <cfRule type="containsText" dxfId="1494" priority="4125" operator="containsText" text="Pesquisa de Preços">
      <formula>NOT(ISERROR(SEARCH("Pesquisa de Preços",D5010)))</formula>
    </cfRule>
  </conditionalFormatting>
  <conditionalFormatting sqref="E5009">
    <cfRule type="containsText" dxfId="1493" priority="4123" operator="containsText" text="Pesquisa de Preços">
      <formula>NOT(ISERROR(SEARCH("Pesquisa de Preços",E5009)))</formula>
    </cfRule>
  </conditionalFormatting>
  <conditionalFormatting sqref="E5010:E5012">
    <cfRule type="containsText" dxfId="1492" priority="4124" operator="containsText" text="Pesquisa de Preços">
      <formula>NOT(ISERROR(SEARCH("Pesquisa de Preços",E5010)))</formula>
    </cfRule>
  </conditionalFormatting>
  <conditionalFormatting sqref="D5018">
    <cfRule type="containsText" dxfId="1491" priority="4120" operator="containsText" text="Pesquisa de Preços">
      <formula>NOT(ISERROR(SEARCH("Pesquisa de Preços",D5018)))</formula>
    </cfRule>
  </conditionalFormatting>
  <conditionalFormatting sqref="D5013">
    <cfRule type="containsText" dxfId="1490" priority="4115" operator="containsText" text="Pesquisa de Preços">
      <formula>NOT(ISERROR(SEARCH("Pesquisa de Preços",D5013)))</formula>
    </cfRule>
  </conditionalFormatting>
  <conditionalFormatting sqref="D5014:D5015">
    <cfRule type="containsText" dxfId="1489" priority="4114" operator="containsText" text="Pesquisa de Preços">
      <formula>NOT(ISERROR(SEARCH("Pesquisa de Preços",D5014)))</formula>
    </cfRule>
  </conditionalFormatting>
  <conditionalFormatting sqref="E5013">
    <cfRule type="containsText" dxfId="1488" priority="4112" operator="containsText" text="Pesquisa de Preços">
      <formula>NOT(ISERROR(SEARCH("Pesquisa de Preços",E5013)))</formula>
    </cfRule>
  </conditionalFormatting>
  <conditionalFormatting sqref="E5014:E5015 E5018">
    <cfRule type="containsText" dxfId="1487" priority="4113" operator="containsText" text="Pesquisa de Preços">
      <formula>NOT(ISERROR(SEARCH("Pesquisa de Preços",E5014)))</formula>
    </cfRule>
  </conditionalFormatting>
  <conditionalFormatting sqref="E5019">
    <cfRule type="containsText" dxfId="1486" priority="4090" operator="containsText" text="Pesquisa de Preços">
      <formula>NOT(ISERROR(SEARCH("Pesquisa de Preços",E5019)))</formula>
    </cfRule>
  </conditionalFormatting>
  <conditionalFormatting sqref="D5025">
    <cfRule type="containsText" dxfId="1485" priority="4084" operator="containsText" text="Pesquisa de Preços">
      <formula>NOT(ISERROR(SEARCH("Pesquisa de Preços",D5025)))</formula>
    </cfRule>
  </conditionalFormatting>
  <conditionalFormatting sqref="E5026:E5027 E5032">
    <cfRule type="containsText" dxfId="1484" priority="4082" operator="containsText" text="Pesquisa de Preços">
      <formula>NOT(ISERROR(SEARCH("Pesquisa de Preços",E5026)))</formula>
    </cfRule>
  </conditionalFormatting>
  <conditionalFormatting sqref="D5026:D5027 D5032">
    <cfRule type="containsText" dxfId="1483" priority="4083" operator="containsText" text="Pesquisa de Preços">
      <formula>NOT(ISERROR(SEARCH("Pesquisa de Preços",D5026)))</formula>
    </cfRule>
  </conditionalFormatting>
  <conditionalFormatting sqref="D5024">
    <cfRule type="containsText" dxfId="1482" priority="4098" operator="containsText" text="Pesquisa de Preços">
      <formula>NOT(ISERROR(SEARCH("Pesquisa de Preços",D5024)))</formula>
    </cfRule>
  </conditionalFormatting>
  <conditionalFormatting sqref="D5019">
    <cfRule type="containsText" dxfId="1481" priority="4093" operator="containsText" text="Pesquisa de Preços">
      <formula>NOT(ISERROR(SEARCH("Pesquisa de Preços",D5019)))</formula>
    </cfRule>
  </conditionalFormatting>
  <conditionalFormatting sqref="D5020:D5021">
    <cfRule type="containsText" dxfId="1480" priority="4092" operator="containsText" text="Pesquisa de Preços">
      <formula>NOT(ISERROR(SEARCH("Pesquisa de Preços",D5020)))</formula>
    </cfRule>
  </conditionalFormatting>
  <conditionalFormatting sqref="E5020:E5021 E5024">
    <cfRule type="containsText" dxfId="1479" priority="4091" operator="containsText" text="Pesquisa de Preços">
      <formula>NOT(ISERROR(SEARCH("Pesquisa de Preços",E5020)))</formula>
    </cfRule>
  </conditionalFormatting>
  <conditionalFormatting sqref="D5029:D5030 D5027:E5027 D5029:E5029">
    <cfRule type="containsText" dxfId="1478" priority="4087" operator="containsText" text="Pesquisa de Preços">
      <formula>NOT(ISERROR(SEARCH("Pesquisa de Preços",D5027)))</formula>
    </cfRule>
  </conditionalFormatting>
  <conditionalFormatting sqref="E5025">
    <cfRule type="containsText" dxfId="1477" priority="4081" operator="containsText" text="Pesquisa de Preços">
      <formula>NOT(ISERROR(SEARCH("Pesquisa de Preços",E5025)))</formula>
    </cfRule>
  </conditionalFormatting>
  <conditionalFormatting sqref="E5029:E5031">
    <cfRule type="containsText" dxfId="1476" priority="4080" operator="containsText" text="Pesquisa de Preços">
      <formula>NOT(ISERROR(SEARCH("Pesquisa de Preços",E5029)))</formula>
    </cfRule>
  </conditionalFormatting>
  <conditionalFormatting sqref="E5037">
    <cfRule type="containsText" dxfId="1475" priority="4063" operator="containsText" text="Pesquisa de Preços">
      <formula>NOT(ISERROR(SEARCH("Pesquisa de Preços",E5037)))</formula>
    </cfRule>
  </conditionalFormatting>
  <conditionalFormatting sqref="D5033">
    <cfRule type="containsText" dxfId="1474" priority="4075" operator="containsText" text="Pesquisa de Preços">
      <formula>NOT(ISERROR(SEARCH("Pesquisa de Preços",D5033)))</formula>
    </cfRule>
  </conditionalFormatting>
  <conditionalFormatting sqref="E5034 E5039">
    <cfRule type="containsText" dxfId="1473" priority="4073" operator="containsText" text="Pesquisa de Preços">
      <formula>NOT(ISERROR(SEARCH("Pesquisa de Preços",E5034)))</formula>
    </cfRule>
  </conditionalFormatting>
  <conditionalFormatting sqref="D5034 D5039">
    <cfRule type="containsText" dxfId="1472" priority="4074" operator="containsText" text="Pesquisa de Preços">
      <formula>NOT(ISERROR(SEARCH("Pesquisa de Preços",D5034)))</formula>
    </cfRule>
  </conditionalFormatting>
  <conditionalFormatting sqref="E5056:E5057">
    <cfRule type="containsText" dxfId="1471" priority="4022" operator="containsText" text="Pesquisa de Preços">
      <formula>NOT(ISERROR(SEARCH("Pesquisa de Preços",E5056)))</formula>
    </cfRule>
  </conditionalFormatting>
  <conditionalFormatting sqref="E5033">
    <cfRule type="containsText" dxfId="1470" priority="4072" operator="containsText" text="Pesquisa de Preços">
      <formula>NOT(ISERROR(SEARCH("Pesquisa de Preços",E5033)))</formula>
    </cfRule>
  </conditionalFormatting>
  <conditionalFormatting sqref="E5038">
    <cfRule type="containsText" dxfId="1469" priority="4071" operator="containsText" text="Pesquisa de Preços">
      <formula>NOT(ISERROR(SEARCH("Pesquisa de Preços",E5038)))</formula>
    </cfRule>
  </conditionalFormatting>
  <conditionalFormatting sqref="D5037">
    <cfRule type="containsText" dxfId="1468" priority="4064" operator="containsText" text="Pesquisa de Preços">
      <formula>NOT(ISERROR(SEARCH("Pesquisa de Preços",D5037)))</formula>
    </cfRule>
  </conditionalFormatting>
  <conditionalFormatting sqref="D5047">
    <cfRule type="containsText" dxfId="1467" priority="4057" operator="containsText" text="Pesquisa de Preços">
      <formula>NOT(ISERROR(SEARCH("Pesquisa de Preços",D5047)))</formula>
    </cfRule>
  </conditionalFormatting>
  <conditionalFormatting sqref="D5040">
    <cfRule type="containsText" dxfId="1466" priority="4061" operator="containsText" text="Pesquisa de Preços">
      <formula>NOT(ISERROR(SEARCH("Pesquisa de Preços",D5040)))</formula>
    </cfRule>
  </conditionalFormatting>
  <conditionalFormatting sqref="D5052">
    <cfRule type="containsText" dxfId="1465" priority="4052" operator="containsText" text="Pesquisa de Preços">
      <formula>NOT(ISERROR(SEARCH("Pesquisa de Preços",D5052)))</formula>
    </cfRule>
  </conditionalFormatting>
  <conditionalFormatting sqref="D5050">
    <cfRule type="containsText" dxfId="1464" priority="4049" operator="containsText" text="Pesquisa de Preços">
      <formula>NOT(ISERROR(SEARCH("Pesquisa de Preços",D5050)))</formula>
    </cfRule>
  </conditionalFormatting>
  <conditionalFormatting sqref="D1327">
    <cfRule type="containsText" dxfId="1463" priority="4045" operator="containsText" text="Pesquisa de Preços">
      <formula>NOT(ISERROR(SEARCH("Pesquisa de Preços",D1327)))</formula>
    </cfRule>
  </conditionalFormatting>
  <conditionalFormatting sqref="E1327">
    <cfRule type="containsText" dxfId="1462" priority="4044" operator="containsText" text="Pesquisa de Preços">
      <formula>NOT(ISERROR(SEARCH("Pesquisa de Preços",E1327)))</formula>
    </cfRule>
  </conditionalFormatting>
  <conditionalFormatting sqref="E1326">
    <cfRule type="containsText" dxfId="1461" priority="4043" operator="containsText" text="Pesquisa de Preços">
      <formula>NOT(ISERROR(SEARCH("Pesquisa de Preços",E1326)))</formula>
    </cfRule>
  </conditionalFormatting>
  <conditionalFormatting sqref="D1333">
    <cfRule type="containsText" dxfId="1460" priority="4039" operator="containsText" text="Pesquisa de Preços">
      <formula>NOT(ISERROR(SEARCH("Pesquisa de Preços",D1333)))</formula>
    </cfRule>
  </conditionalFormatting>
  <conditionalFormatting sqref="E1333">
    <cfRule type="containsText" dxfId="1459" priority="4038" operator="containsText" text="Pesquisa de Preços">
      <formula>NOT(ISERROR(SEARCH("Pesquisa de Preços",E1333)))</formula>
    </cfRule>
  </conditionalFormatting>
  <conditionalFormatting sqref="E1332">
    <cfRule type="containsText" dxfId="1458" priority="4037" operator="containsText" text="Pesquisa de Preços">
      <formula>NOT(ISERROR(SEARCH("Pesquisa de Preços",E1332)))</formula>
    </cfRule>
  </conditionalFormatting>
  <conditionalFormatting sqref="D1339">
    <cfRule type="containsText" dxfId="1457" priority="4033" operator="containsText" text="Pesquisa de Preços">
      <formula>NOT(ISERROR(SEARCH("Pesquisa de Preços",D1339)))</formula>
    </cfRule>
  </conditionalFormatting>
  <conditionalFormatting sqref="E1339">
    <cfRule type="containsText" dxfId="1456" priority="4032" operator="containsText" text="Pesquisa de Preços">
      <formula>NOT(ISERROR(SEARCH("Pesquisa de Preços",E1339)))</formula>
    </cfRule>
  </conditionalFormatting>
  <conditionalFormatting sqref="E1338">
    <cfRule type="containsText" dxfId="1455" priority="4031" operator="containsText" text="Pesquisa de Preços">
      <formula>NOT(ISERROR(SEARCH("Pesquisa de Preços",E1338)))</formula>
    </cfRule>
  </conditionalFormatting>
  <conditionalFormatting sqref="D5055 D5061">
    <cfRule type="containsText" dxfId="1454" priority="4027" operator="containsText" text="Pesquisa de Preços">
      <formula>NOT(ISERROR(SEARCH("Pesquisa de Preços",D5055)))</formula>
    </cfRule>
  </conditionalFormatting>
  <conditionalFormatting sqref="D5056:D5057">
    <cfRule type="containsText" dxfId="1453" priority="4025" operator="containsText" text="Pesquisa de Preços">
      <formula>NOT(ISERROR(SEARCH("Pesquisa de Preços",D5056)))</formula>
    </cfRule>
  </conditionalFormatting>
  <conditionalFormatting sqref="D5062:D5063">
    <cfRule type="containsText" dxfId="1452" priority="4026" operator="containsText" text="Pesquisa de Preços">
      <formula>NOT(ISERROR(SEARCH("Pesquisa de Preços",D5062)))</formula>
    </cfRule>
  </conditionalFormatting>
  <conditionalFormatting sqref="E5061">
    <cfRule type="containsText" dxfId="1451" priority="4023" operator="containsText" text="Pesquisa de Preços">
      <formula>NOT(ISERROR(SEARCH("Pesquisa de Preços",E5061)))</formula>
    </cfRule>
  </conditionalFormatting>
  <conditionalFormatting sqref="E5055">
    <cfRule type="containsText" dxfId="1450" priority="4021" operator="containsText" text="Pesquisa de Preços">
      <formula>NOT(ISERROR(SEARCH("Pesquisa de Preços",E5055)))</formula>
    </cfRule>
  </conditionalFormatting>
  <conditionalFormatting sqref="E5062:E5063">
    <cfRule type="containsText" dxfId="1449" priority="4024" operator="containsText" text="Pesquisa de Preços">
      <formula>NOT(ISERROR(SEARCH("Pesquisa de Preços",E5062)))</formula>
    </cfRule>
  </conditionalFormatting>
  <conditionalFormatting sqref="D5065">
    <cfRule type="containsText" dxfId="1448" priority="4017" operator="containsText" text="Pesquisa de Preços">
      <formula>NOT(ISERROR(SEARCH("Pesquisa de Preços",D5065)))</formula>
    </cfRule>
  </conditionalFormatting>
  <conditionalFormatting sqref="E5065">
    <cfRule type="containsText" dxfId="1447" priority="4016" operator="containsText" text="Pesquisa de Preços">
      <formula>NOT(ISERROR(SEARCH("Pesquisa de Preços",E5065)))</formula>
    </cfRule>
  </conditionalFormatting>
  <conditionalFormatting sqref="E5064">
    <cfRule type="containsText" dxfId="1446" priority="4015" operator="containsText" text="Pesquisa de Preços">
      <formula>NOT(ISERROR(SEARCH("Pesquisa de Preços",E5064)))</formula>
    </cfRule>
  </conditionalFormatting>
  <conditionalFormatting sqref="D5059">
    <cfRule type="containsText" dxfId="1445" priority="4011" operator="containsText" text="Pesquisa de Preços">
      <formula>NOT(ISERROR(SEARCH("Pesquisa de Preços",D5059)))</formula>
    </cfRule>
  </conditionalFormatting>
  <conditionalFormatting sqref="E5059">
    <cfRule type="containsText" dxfId="1444" priority="4010" operator="containsText" text="Pesquisa de Preços">
      <formula>NOT(ISERROR(SEARCH("Pesquisa de Preços",E5059)))</formula>
    </cfRule>
  </conditionalFormatting>
  <conditionalFormatting sqref="E5058">
    <cfRule type="containsText" dxfId="1443" priority="4009" operator="containsText" text="Pesquisa de Preços">
      <formula>NOT(ISERROR(SEARCH("Pesquisa de Preços",E5058)))</formula>
    </cfRule>
  </conditionalFormatting>
  <conditionalFormatting sqref="D5067">
    <cfRule type="containsText" dxfId="1442" priority="4005" operator="containsText" text="Pesquisa de Preços">
      <formula>NOT(ISERROR(SEARCH("Pesquisa de Preços",D5067)))</formula>
    </cfRule>
  </conditionalFormatting>
  <conditionalFormatting sqref="D5068 D5072">
    <cfRule type="containsText" dxfId="1441" priority="4004" operator="containsText" text="Pesquisa de Preços">
      <formula>NOT(ISERROR(SEARCH("Pesquisa de Preços",D5068)))</formula>
    </cfRule>
  </conditionalFormatting>
  <conditionalFormatting sqref="D5069">
    <cfRule type="containsText" dxfId="1440" priority="4003" operator="containsText" text="Pesquisa de Preços">
      <formula>NOT(ISERROR(SEARCH("Pesquisa de Preços",D5069)))</formula>
    </cfRule>
  </conditionalFormatting>
  <conditionalFormatting sqref="D5070:D5071">
    <cfRule type="containsText" dxfId="1439" priority="4002" operator="containsText" text="Pesquisa de Preços">
      <formula>NOT(ISERROR(SEARCH("Pesquisa de Preços",D5070)))</formula>
    </cfRule>
  </conditionalFormatting>
  <conditionalFormatting sqref="E5068 E5072">
    <cfRule type="containsText" dxfId="1438" priority="4001" operator="containsText" text="Pesquisa de Preços">
      <formula>NOT(ISERROR(SEARCH("Pesquisa de Preços",E5068)))</formula>
    </cfRule>
  </conditionalFormatting>
  <conditionalFormatting sqref="E5067">
    <cfRule type="containsText" dxfId="1437" priority="4000" operator="containsText" text="Pesquisa de Preços">
      <formula>NOT(ISERROR(SEARCH("Pesquisa de Preços",E5067)))</formula>
    </cfRule>
  </conditionalFormatting>
  <conditionalFormatting sqref="E5069">
    <cfRule type="containsText" dxfId="1436" priority="3999" operator="containsText" text="Pesquisa de Preços">
      <formula>NOT(ISERROR(SEARCH("Pesquisa de Preços",E5069)))</formula>
    </cfRule>
  </conditionalFormatting>
  <conditionalFormatting sqref="E5070:E5071">
    <cfRule type="containsText" dxfId="1435" priority="3998" operator="containsText" text="Pesquisa de Preços">
      <formula>NOT(ISERROR(SEARCH("Pesquisa de Preços",E5070)))</formula>
    </cfRule>
  </conditionalFormatting>
  <conditionalFormatting sqref="D5073">
    <cfRule type="containsText" dxfId="1434" priority="3994" operator="containsText" text="Pesquisa de Preços">
      <formula>NOT(ISERROR(SEARCH("Pesquisa de Preços",D5073)))</formula>
    </cfRule>
  </conditionalFormatting>
  <conditionalFormatting sqref="D5074 D5078">
    <cfRule type="containsText" dxfId="1433" priority="3993" operator="containsText" text="Pesquisa de Preços">
      <formula>NOT(ISERROR(SEARCH("Pesquisa de Preços",D5074)))</formula>
    </cfRule>
  </conditionalFormatting>
  <conditionalFormatting sqref="D5075">
    <cfRule type="containsText" dxfId="1432" priority="3992" operator="containsText" text="Pesquisa de Preços">
      <formula>NOT(ISERROR(SEARCH("Pesquisa de Preços",D5075)))</formula>
    </cfRule>
  </conditionalFormatting>
  <conditionalFormatting sqref="D5076:D5077">
    <cfRule type="containsText" dxfId="1431" priority="3991" operator="containsText" text="Pesquisa de Preços">
      <formula>NOT(ISERROR(SEARCH("Pesquisa de Preços",D5076)))</formula>
    </cfRule>
  </conditionalFormatting>
  <conditionalFormatting sqref="E5074 E5078">
    <cfRule type="containsText" dxfId="1430" priority="3990" operator="containsText" text="Pesquisa de Preços">
      <formula>NOT(ISERROR(SEARCH("Pesquisa de Preços",E5074)))</formula>
    </cfRule>
  </conditionalFormatting>
  <conditionalFormatting sqref="E5073">
    <cfRule type="containsText" dxfId="1429" priority="3989" operator="containsText" text="Pesquisa de Preços">
      <formula>NOT(ISERROR(SEARCH("Pesquisa de Preços",E5073)))</formula>
    </cfRule>
  </conditionalFormatting>
  <conditionalFormatting sqref="E5075">
    <cfRule type="containsText" dxfId="1428" priority="3988" operator="containsText" text="Pesquisa de Preços">
      <formula>NOT(ISERROR(SEARCH("Pesquisa de Preços",E5075)))</formula>
    </cfRule>
  </conditionalFormatting>
  <conditionalFormatting sqref="E5076:E5077">
    <cfRule type="containsText" dxfId="1427" priority="3987" operator="containsText" text="Pesquisa de Preços">
      <formula>NOT(ISERROR(SEARCH("Pesquisa de Preços",E5076)))</formula>
    </cfRule>
  </conditionalFormatting>
  <conditionalFormatting sqref="E5080:E5081 E5085">
    <cfRule type="containsText" dxfId="1426" priority="3979" operator="containsText" text="Pesquisa de Preços">
      <formula>NOT(ISERROR(SEARCH("Pesquisa de Preços",E5080)))</formula>
    </cfRule>
  </conditionalFormatting>
  <conditionalFormatting sqref="E5079">
    <cfRule type="containsText" dxfId="1425" priority="3978" operator="containsText" text="Pesquisa de Preços">
      <formula>NOT(ISERROR(SEARCH("Pesquisa de Preços",E5079)))</formula>
    </cfRule>
  </conditionalFormatting>
  <conditionalFormatting sqref="D5080:D5081 D5084:D5085">
    <cfRule type="containsText" dxfId="1424" priority="3980" operator="containsText" text="Pesquisa de Preços">
      <formula>NOT(ISERROR(SEARCH("Pesquisa de Preços",D5080)))</formula>
    </cfRule>
  </conditionalFormatting>
  <conditionalFormatting sqref="D5079">
    <cfRule type="containsText" dxfId="1423" priority="3981" operator="containsText" text="Pesquisa de Preços">
      <formula>NOT(ISERROR(SEARCH("Pesquisa de Preços",D5079)))</formula>
    </cfRule>
  </conditionalFormatting>
  <conditionalFormatting sqref="D4979">
    <cfRule type="containsText" dxfId="1422" priority="3969" operator="containsText" text="Pesquisa de Preços">
      <formula>NOT(ISERROR(SEARCH("Pesquisa de Preços",D4979)))</formula>
    </cfRule>
  </conditionalFormatting>
  <conditionalFormatting sqref="E4979">
    <cfRule type="containsText" dxfId="1421" priority="3968" operator="containsText" text="Pesquisa de Preços">
      <formula>NOT(ISERROR(SEARCH("Pesquisa de Preços",E4979)))</formula>
    </cfRule>
  </conditionalFormatting>
  <conditionalFormatting sqref="D2293">
    <cfRule type="containsText" dxfId="1420" priority="3959" operator="containsText" text="Pesquisa de Preços">
      <formula>NOT(ISERROR(SEARCH("Pesquisa de Preços",D2293)))</formula>
    </cfRule>
  </conditionalFormatting>
  <conditionalFormatting sqref="E2293">
    <cfRule type="containsText" dxfId="1419" priority="3958" operator="containsText" text="Pesquisa de Preços">
      <formula>NOT(ISERROR(SEARCH("Pesquisa de Preços",E2293)))</formula>
    </cfRule>
  </conditionalFormatting>
  <conditionalFormatting sqref="D2294:D2295">
    <cfRule type="containsText" dxfId="1418" priority="3947" operator="containsText" text="Pesquisa de Preços">
      <formula>NOT(ISERROR(SEARCH("Pesquisa de Preços",D2294)))</formula>
    </cfRule>
  </conditionalFormatting>
  <conditionalFormatting sqref="E2294:E2295">
    <cfRule type="containsText" dxfId="1417" priority="3946" operator="containsText" text="Pesquisa de Preços">
      <formula>NOT(ISERROR(SEARCH("Pesquisa de Preços",E2294)))</formula>
    </cfRule>
  </conditionalFormatting>
  <conditionalFormatting sqref="D2248">
    <cfRule type="containsText" dxfId="1416" priority="3922" operator="containsText" text="Pesquisa de Preços">
      <formula>NOT(ISERROR(SEARCH("Pesquisa de Preços",D2248)))</formula>
    </cfRule>
  </conditionalFormatting>
  <conditionalFormatting sqref="E2248">
    <cfRule type="containsText" dxfId="1415" priority="3921" operator="containsText" text="Pesquisa de Preços">
      <formula>NOT(ISERROR(SEARCH("Pesquisa de Preços",E2248)))</formula>
    </cfRule>
  </conditionalFormatting>
  <conditionalFormatting sqref="D5038">
    <cfRule type="containsText" dxfId="1414" priority="3918" operator="containsText" text="Pesquisa de Preços">
      <formula>NOT(ISERROR(SEARCH("Pesquisa de Preços",D5038)))</formula>
    </cfRule>
  </conditionalFormatting>
  <conditionalFormatting sqref="D5087 D5092">
    <cfRule type="containsText" dxfId="1413" priority="3901" operator="containsText" text="Pesquisa de Preços">
      <formula>NOT(ISERROR(SEARCH("Pesquisa de Preços",D5087)))</formula>
    </cfRule>
  </conditionalFormatting>
  <conditionalFormatting sqref="D5086">
    <cfRule type="containsText" dxfId="1412" priority="3902" operator="containsText" text="Pesquisa de Preços">
      <formula>NOT(ISERROR(SEARCH("Pesquisa de Preços",D5086)))</formula>
    </cfRule>
  </conditionalFormatting>
  <conditionalFormatting sqref="E5087 E5092">
    <cfRule type="containsText" dxfId="1411" priority="3900" operator="containsText" text="Pesquisa de Preços">
      <formula>NOT(ISERROR(SEARCH("Pesquisa de Preços",E5087)))</formula>
    </cfRule>
  </conditionalFormatting>
  <conditionalFormatting sqref="E5086">
    <cfRule type="containsText" dxfId="1410" priority="3899" operator="containsText" text="Pesquisa de Preços">
      <formula>NOT(ISERROR(SEARCH("Pesquisa de Preços",E5086)))</formula>
    </cfRule>
  </conditionalFormatting>
  <conditionalFormatting sqref="D5093">
    <cfRule type="containsText" dxfId="1409" priority="3892" operator="containsText" text="Pesquisa de Preços">
      <formula>NOT(ISERROR(SEARCH("Pesquisa de Preços",D5093)))</formula>
    </cfRule>
  </conditionalFormatting>
  <conditionalFormatting sqref="D5094 D5103">
    <cfRule type="containsText" dxfId="1408" priority="3891" operator="containsText" text="Pesquisa de Preços">
      <formula>NOT(ISERROR(SEARCH("Pesquisa de Preços",D5094)))</formula>
    </cfRule>
  </conditionalFormatting>
  <conditionalFormatting sqref="E5093">
    <cfRule type="containsText" dxfId="1407" priority="3889" operator="containsText" text="Pesquisa de Preços">
      <formula>NOT(ISERROR(SEARCH("Pesquisa de Preços",E5093)))</formula>
    </cfRule>
  </conditionalFormatting>
  <conditionalFormatting sqref="E5094 E5103">
    <cfRule type="containsText" dxfId="1406" priority="3890" operator="containsText" text="Pesquisa de Preços">
      <formula>NOT(ISERROR(SEARCH("Pesquisa de Preços",E5094)))</formula>
    </cfRule>
  </conditionalFormatting>
  <conditionalFormatting sqref="D5104">
    <cfRule type="containsText" dxfId="1405" priority="3875" operator="containsText" text="Pesquisa de Preços">
      <formula>NOT(ISERROR(SEARCH("Pesquisa de Preços",D5104)))</formula>
    </cfRule>
  </conditionalFormatting>
  <conditionalFormatting sqref="D5107">
    <cfRule type="containsText" dxfId="1404" priority="3867" operator="containsText" text="Pesquisa de Preços">
      <formula>NOT(ISERROR(SEARCH("Pesquisa de Preços",D5107)))</formula>
    </cfRule>
  </conditionalFormatting>
  <conditionalFormatting sqref="D5110">
    <cfRule type="containsText" dxfId="1403" priority="3863" operator="containsText" text="Pesquisa de Preços">
      <formula>NOT(ISERROR(SEARCH("Pesquisa de Preços",D5110)))</formula>
    </cfRule>
  </conditionalFormatting>
  <conditionalFormatting sqref="D5115">
    <cfRule type="containsText" dxfId="1402" priority="3858" operator="containsText" text="Pesquisa de Preços">
      <formula>NOT(ISERROR(SEARCH("Pesquisa de Preços",D5115)))</formula>
    </cfRule>
  </conditionalFormatting>
  <conditionalFormatting sqref="D5113">
    <cfRule type="containsText" dxfId="1401" priority="3855" operator="containsText" text="Pesquisa de Preços">
      <formula>NOT(ISERROR(SEARCH("Pesquisa de Preços",D5113)))</formula>
    </cfRule>
  </conditionalFormatting>
  <conditionalFormatting sqref="D5118">
    <cfRule type="containsText" dxfId="1400" priority="3849" operator="containsText" text="Pesquisa de Preços">
      <formula>NOT(ISERROR(SEARCH("Pesquisa de Preços",D5118)))</formula>
    </cfRule>
  </conditionalFormatting>
  <conditionalFormatting sqref="D5123">
    <cfRule type="containsText" dxfId="1399" priority="3846" operator="containsText" text="Pesquisa de Preços">
      <formula>NOT(ISERROR(SEARCH("Pesquisa de Preços",D5123)))</formula>
    </cfRule>
  </conditionalFormatting>
  <conditionalFormatting sqref="D5121">
    <cfRule type="containsText" dxfId="1398" priority="3843" operator="containsText" text="Pesquisa de Preços">
      <formula>NOT(ISERROR(SEARCH("Pesquisa de Preços",D5121)))</formula>
    </cfRule>
  </conditionalFormatting>
  <conditionalFormatting sqref="D5126">
    <cfRule type="containsText" dxfId="1397" priority="3837" operator="containsText" text="Pesquisa de Preços">
      <formula>NOT(ISERROR(SEARCH("Pesquisa de Preços",D5126)))</formula>
    </cfRule>
  </conditionalFormatting>
  <conditionalFormatting sqref="D5131">
    <cfRule type="containsText" dxfId="1396" priority="3834" operator="containsText" text="Pesquisa de Preços">
      <formula>NOT(ISERROR(SEARCH("Pesquisa de Preços",D5131)))</formula>
    </cfRule>
  </conditionalFormatting>
  <conditionalFormatting sqref="D5129">
    <cfRule type="containsText" dxfId="1395" priority="3831" operator="containsText" text="Pesquisa de Preços">
      <formula>NOT(ISERROR(SEARCH("Pesquisa de Preços",D5129)))</formula>
    </cfRule>
  </conditionalFormatting>
  <conditionalFormatting sqref="D5134">
    <cfRule type="containsText" dxfId="1394" priority="3813" operator="containsText" text="Pesquisa de Preços">
      <formula>NOT(ISERROR(SEARCH("Pesquisa de Preços",D5134)))</formula>
    </cfRule>
  </conditionalFormatting>
  <conditionalFormatting sqref="D5139">
    <cfRule type="containsText" dxfId="1393" priority="3810" operator="containsText" text="Pesquisa de Preços">
      <formula>NOT(ISERROR(SEARCH("Pesquisa de Preços",D5139)))</formula>
    </cfRule>
  </conditionalFormatting>
  <conditionalFormatting sqref="D5137">
    <cfRule type="containsText" dxfId="1392" priority="3807" operator="containsText" text="Pesquisa de Preços">
      <formula>NOT(ISERROR(SEARCH("Pesquisa de Preços",D5137)))</formula>
    </cfRule>
  </conditionalFormatting>
  <conditionalFormatting sqref="D5142">
    <cfRule type="containsText" dxfId="1391" priority="3801" operator="containsText" text="Pesquisa de Preços">
      <formula>NOT(ISERROR(SEARCH("Pesquisa de Preços",D5142)))</formula>
    </cfRule>
  </conditionalFormatting>
  <conditionalFormatting sqref="D5146">
    <cfRule type="containsText" dxfId="1390" priority="3798" operator="containsText" text="Pesquisa de Preços">
      <formula>NOT(ISERROR(SEARCH("Pesquisa de Preços",D5146)))</formula>
    </cfRule>
  </conditionalFormatting>
  <conditionalFormatting sqref="D5144">
    <cfRule type="containsText" dxfId="1389" priority="3788" operator="containsText" text="Pesquisa de Preços">
      <formula>NOT(ISERROR(SEARCH("Pesquisa de Preços",D5144)))</formula>
    </cfRule>
  </conditionalFormatting>
  <conditionalFormatting sqref="D5148">
    <cfRule type="containsText" dxfId="1388" priority="3786" operator="containsText" text="Pesquisa de Preços">
      <formula>NOT(ISERROR(SEARCH("Pesquisa de Preços",D5148)))</formula>
    </cfRule>
  </conditionalFormatting>
  <conditionalFormatting sqref="D5153">
    <cfRule type="containsText" dxfId="1387" priority="3783" operator="containsText" text="Pesquisa de Preços">
      <formula>NOT(ISERROR(SEARCH("Pesquisa de Preços",D5153)))</formula>
    </cfRule>
  </conditionalFormatting>
  <conditionalFormatting sqref="D5151">
    <cfRule type="containsText" dxfId="1386" priority="3780" operator="containsText" text="Pesquisa de Preços">
      <formula>NOT(ISERROR(SEARCH("Pesquisa de Preços",D5151)))</formula>
    </cfRule>
  </conditionalFormatting>
  <conditionalFormatting sqref="D5156">
    <cfRule type="containsText" dxfId="1385" priority="3774" operator="containsText" text="Pesquisa de Preços">
      <formula>NOT(ISERROR(SEARCH("Pesquisa de Preços",D5156)))</formula>
    </cfRule>
  </conditionalFormatting>
  <conditionalFormatting sqref="D5160">
    <cfRule type="containsText" dxfId="1384" priority="3771" operator="containsText" text="Pesquisa de Preços">
      <formula>NOT(ISERROR(SEARCH("Pesquisa de Preços",D5160)))</formula>
    </cfRule>
  </conditionalFormatting>
  <conditionalFormatting sqref="D5158">
    <cfRule type="containsText" dxfId="1383" priority="3766" operator="containsText" text="Pesquisa de Preços">
      <formula>NOT(ISERROR(SEARCH("Pesquisa de Preços",D5158)))</formula>
    </cfRule>
  </conditionalFormatting>
  <conditionalFormatting sqref="D5162">
    <cfRule type="containsText" dxfId="1382" priority="3764" operator="containsText" text="Pesquisa de Preços">
      <formula>NOT(ISERROR(SEARCH("Pesquisa de Preços",D5162)))</formula>
    </cfRule>
  </conditionalFormatting>
  <conditionalFormatting sqref="D5167">
    <cfRule type="containsText" dxfId="1381" priority="3761" operator="containsText" text="Pesquisa de Preços">
      <formula>NOT(ISERROR(SEARCH("Pesquisa de Preços",D5167)))</formula>
    </cfRule>
  </conditionalFormatting>
  <conditionalFormatting sqref="D5165">
    <cfRule type="containsText" dxfId="1380" priority="3758" operator="containsText" text="Pesquisa de Preços">
      <formula>NOT(ISERROR(SEARCH("Pesquisa de Preços",D5165)))</formula>
    </cfRule>
  </conditionalFormatting>
  <conditionalFormatting sqref="D5170">
    <cfRule type="containsText" dxfId="1379" priority="3750" operator="containsText" text="Pesquisa de Preços">
      <formula>NOT(ISERROR(SEARCH("Pesquisa de Preços",D5170)))</formula>
    </cfRule>
  </conditionalFormatting>
  <conditionalFormatting sqref="D5175">
    <cfRule type="containsText" dxfId="1378" priority="3747" operator="containsText" text="Pesquisa de Preços">
      <formula>NOT(ISERROR(SEARCH("Pesquisa de Preços",D5175)))</formula>
    </cfRule>
  </conditionalFormatting>
  <conditionalFormatting sqref="D5173">
    <cfRule type="containsText" dxfId="1377" priority="3744" operator="containsText" text="Pesquisa de Preços">
      <formula>NOT(ISERROR(SEARCH("Pesquisa de Preços",D5173)))</formula>
    </cfRule>
  </conditionalFormatting>
  <conditionalFormatting sqref="D5178">
    <cfRule type="containsText" dxfId="1376" priority="3738" operator="containsText" text="Pesquisa de Preços">
      <formula>NOT(ISERROR(SEARCH("Pesquisa de Preços",D5178)))</formula>
    </cfRule>
  </conditionalFormatting>
  <conditionalFormatting sqref="D5183">
    <cfRule type="containsText" dxfId="1375" priority="3735" operator="containsText" text="Pesquisa de Preços">
      <formula>NOT(ISERROR(SEARCH("Pesquisa de Preços",D5183)))</formula>
    </cfRule>
  </conditionalFormatting>
  <conditionalFormatting sqref="D5181">
    <cfRule type="containsText" dxfId="1374" priority="3732" operator="containsText" text="Pesquisa de Preços">
      <formula>NOT(ISERROR(SEARCH("Pesquisa de Preços",D5181)))</formula>
    </cfRule>
  </conditionalFormatting>
  <conditionalFormatting sqref="D5186">
    <cfRule type="containsText" dxfId="1373" priority="3726" operator="containsText" text="Pesquisa de Preços">
      <formula>NOT(ISERROR(SEARCH("Pesquisa de Preços",D5186)))</formula>
    </cfRule>
  </conditionalFormatting>
  <conditionalFormatting sqref="D5191">
    <cfRule type="containsText" dxfId="1372" priority="3723" operator="containsText" text="Pesquisa de Preços">
      <formula>NOT(ISERROR(SEARCH("Pesquisa de Preços",D5191)))</formula>
    </cfRule>
  </conditionalFormatting>
  <conditionalFormatting sqref="D5189">
    <cfRule type="containsText" dxfId="1371" priority="3720" operator="containsText" text="Pesquisa de Preços">
      <formula>NOT(ISERROR(SEARCH("Pesquisa de Preços",D5189)))</formula>
    </cfRule>
  </conditionalFormatting>
  <conditionalFormatting sqref="D5201">
    <cfRule type="containsText" dxfId="1370" priority="3711" operator="containsText" text="Pesquisa de Preços">
      <formula>NOT(ISERROR(SEARCH("Pesquisa de Preços",D5201)))</formula>
    </cfRule>
  </conditionalFormatting>
  <conditionalFormatting sqref="D5206">
    <cfRule type="containsText" dxfId="1369" priority="3708" operator="containsText" text="Pesquisa de Preços">
      <formula>NOT(ISERROR(SEARCH("Pesquisa de Preços",D5206)))</formula>
    </cfRule>
  </conditionalFormatting>
  <conditionalFormatting sqref="D5204">
    <cfRule type="containsText" dxfId="1368" priority="3705" operator="containsText" text="Pesquisa de Preços">
      <formula>NOT(ISERROR(SEARCH("Pesquisa de Preços",D5204)))</formula>
    </cfRule>
  </conditionalFormatting>
  <conditionalFormatting sqref="D5216">
    <cfRule type="containsText" dxfId="1367" priority="3696" operator="containsText" text="Pesquisa de Preços">
      <formula>NOT(ISERROR(SEARCH("Pesquisa de Preços",D5216)))</formula>
    </cfRule>
  </conditionalFormatting>
  <conditionalFormatting sqref="D5221">
    <cfRule type="containsText" dxfId="1366" priority="3693" operator="containsText" text="Pesquisa de Preços">
      <formula>NOT(ISERROR(SEARCH("Pesquisa de Preços",D5221)))</formula>
    </cfRule>
  </conditionalFormatting>
  <conditionalFormatting sqref="D5219">
    <cfRule type="containsText" dxfId="1365" priority="3690" operator="containsText" text="Pesquisa de Preços">
      <formula>NOT(ISERROR(SEARCH("Pesquisa de Preços",D5219)))</formula>
    </cfRule>
  </conditionalFormatting>
  <conditionalFormatting sqref="D5218">
    <cfRule type="containsText" dxfId="1364" priority="3685" operator="containsText" text="Pesquisa de Preços">
      <formula>NOT(ISERROR(SEARCH("Pesquisa de Preços",D5218)))</formula>
    </cfRule>
  </conditionalFormatting>
  <conditionalFormatting sqref="D5223">
    <cfRule type="containsText" dxfId="1363" priority="3683" operator="containsText" text="Pesquisa de Preços">
      <formula>NOT(ISERROR(SEARCH("Pesquisa de Preços",D5223)))</formula>
    </cfRule>
  </conditionalFormatting>
  <conditionalFormatting sqref="D5228">
    <cfRule type="containsText" dxfId="1362" priority="3680" operator="containsText" text="Pesquisa de Preços">
      <formula>NOT(ISERROR(SEARCH("Pesquisa de Preços",D5228)))</formula>
    </cfRule>
  </conditionalFormatting>
  <conditionalFormatting sqref="D5226">
    <cfRule type="containsText" dxfId="1361" priority="3677" operator="containsText" text="Pesquisa de Preços">
      <formula>NOT(ISERROR(SEARCH("Pesquisa de Preços",D5226)))</formula>
    </cfRule>
  </conditionalFormatting>
  <conditionalFormatting sqref="D5225">
    <cfRule type="containsText" dxfId="1360" priority="3674" operator="containsText" text="Pesquisa de Preços">
      <formula>NOT(ISERROR(SEARCH("Pesquisa de Preços",D5225)))</formula>
    </cfRule>
  </conditionalFormatting>
  <conditionalFormatting sqref="D5234">
    <cfRule type="containsText" dxfId="1359" priority="3649" operator="containsText" text="Pesquisa de Preços">
      <formula>NOT(ISERROR(SEARCH("Pesquisa de Preços",D5234)))</formula>
    </cfRule>
  </conditionalFormatting>
  <conditionalFormatting sqref="D5230">
    <cfRule type="containsText" dxfId="1358" priority="3661" operator="containsText" text="Pesquisa de Preços">
      <formula>NOT(ISERROR(SEARCH("Pesquisa de Preços",D5230)))</formula>
    </cfRule>
  </conditionalFormatting>
  <conditionalFormatting sqref="D5232">
    <cfRule type="containsText" dxfId="1357" priority="3652" operator="containsText" text="Pesquisa de Preços">
      <formula>NOT(ISERROR(SEARCH("Pesquisa de Preços",D5232)))</formula>
    </cfRule>
  </conditionalFormatting>
  <conditionalFormatting sqref="D5240">
    <cfRule type="containsText" dxfId="1356" priority="3639" operator="containsText" text="Pesquisa de Preços">
      <formula>NOT(ISERROR(SEARCH("Pesquisa de Preços",D5240)))</formula>
    </cfRule>
  </conditionalFormatting>
  <conditionalFormatting sqref="D5236">
    <cfRule type="containsText" dxfId="1355" priority="3647" operator="containsText" text="Pesquisa de Preços">
      <formula>NOT(ISERROR(SEARCH("Pesquisa de Preços",D5236)))</formula>
    </cfRule>
  </conditionalFormatting>
  <conditionalFormatting sqref="D5238">
    <cfRule type="containsText" dxfId="1354" priority="3640" operator="containsText" text="Pesquisa de Preços">
      <formula>NOT(ISERROR(SEARCH("Pesquisa de Preços",D5238)))</formula>
    </cfRule>
  </conditionalFormatting>
  <conditionalFormatting sqref="D5278">
    <cfRule type="containsText" dxfId="1353" priority="3591" operator="containsText" text="Pesquisa de Preços">
      <formula>NOT(ISERROR(SEARCH("Pesquisa de Preços",D5278)))</formula>
    </cfRule>
  </conditionalFormatting>
  <conditionalFormatting sqref="D5242">
    <cfRule type="containsText" dxfId="1352" priority="3621" operator="containsText" text="Pesquisa de Preços">
      <formula>NOT(ISERROR(SEARCH("Pesquisa de Preços",D5242)))</formula>
    </cfRule>
  </conditionalFormatting>
  <conditionalFormatting sqref="D5243 D5248">
    <cfRule type="containsText" dxfId="1351" priority="3620" operator="containsText" text="Pesquisa de Preços">
      <formula>NOT(ISERROR(SEARCH("Pesquisa de Preços",D5243)))</formula>
    </cfRule>
  </conditionalFormatting>
  <conditionalFormatting sqref="E5248">
    <cfRule type="containsText" dxfId="1350" priority="3617" operator="containsText" text="Pesquisa de Preços">
      <formula>NOT(ISERROR(SEARCH("Pesquisa de Preços",E5248)))</formula>
    </cfRule>
  </conditionalFormatting>
  <conditionalFormatting sqref="D5249">
    <cfRule type="containsText" dxfId="1349" priority="3613" operator="containsText" text="Pesquisa de Preços">
      <formula>NOT(ISERROR(SEARCH("Pesquisa de Preços",D5249)))</formula>
    </cfRule>
  </conditionalFormatting>
  <conditionalFormatting sqref="D5252">
    <cfRule type="containsText" dxfId="1348" priority="3610" operator="containsText" text="Pesquisa de Preços">
      <formula>NOT(ISERROR(SEARCH("Pesquisa de Preços",D5252)))</formula>
    </cfRule>
  </conditionalFormatting>
  <conditionalFormatting sqref="D5250">
    <cfRule type="containsText" dxfId="1347" priority="3612" operator="containsText" text="Pesquisa de Preços">
      <formula>NOT(ISERROR(SEARCH("Pesquisa de Preços",D5250)))</formula>
    </cfRule>
  </conditionalFormatting>
  <conditionalFormatting sqref="D5251">
    <cfRule type="containsText" dxfId="1346" priority="3611" operator="containsText" text="Pesquisa de Preços">
      <formula>NOT(ISERROR(SEARCH("Pesquisa de Preços",D5251)))</formula>
    </cfRule>
  </conditionalFormatting>
  <conditionalFormatting sqref="E5260">
    <cfRule type="containsText" dxfId="1345" priority="3609" operator="containsText" text="Pesquisa de Preços">
      <formula>NOT(ISERROR(SEARCH("Pesquisa de Preços",E5260)))</formula>
    </cfRule>
  </conditionalFormatting>
  <conditionalFormatting sqref="D5269">
    <cfRule type="containsText" dxfId="1344" priority="3605" operator="containsText" text="Pesquisa de Preços">
      <formula>NOT(ISERROR(SEARCH("Pesquisa de Preços",D5269)))</formula>
    </cfRule>
  </conditionalFormatting>
  <conditionalFormatting sqref="D5272">
    <cfRule type="containsText" dxfId="1343" priority="3602" operator="containsText" text="Pesquisa de Preços">
      <formula>NOT(ISERROR(SEARCH("Pesquisa de Preços",D5272)))</formula>
    </cfRule>
  </conditionalFormatting>
  <conditionalFormatting sqref="D5270 D5273:D5274">
    <cfRule type="containsText" dxfId="1342" priority="3604" operator="containsText" text="Pesquisa de Preços">
      <formula>NOT(ISERROR(SEARCH("Pesquisa de Preços",D5270)))</formula>
    </cfRule>
  </conditionalFormatting>
  <conditionalFormatting sqref="D5271">
    <cfRule type="containsText" dxfId="1341" priority="3603" operator="containsText" text="Pesquisa de Preços">
      <formula>NOT(ISERROR(SEARCH("Pesquisa de Preços",D5271)))</formula>
    </cfRule>
  </conditionalFormatting>
  <conditionalFormatting sqref="E5274">
    <cfRule type="containsText" dxfId="1340" priority="3601" operator="containsText" text="Pesquisa de Preços">
      <formula>NOT(ISERROR(SEARCH("Pesquisa de Preços",E5274)))</formula>
    </cfRule>
  </conditionalFormatting>
  <conditionalFormatting sqref="D5275">
    <cfRule type="containsText" dxfId="1339" priority="3597" operator="containsText" text="Pesquisa de Preços">
      <formula>NOT(ISERROR(SEARCH("Pesquisa de Preços",D5275)))</formula>
    </cfRule>
  </conditionalFormatting>
  <conditionalFormatting sqref="D5280">
    <cfRule type="containsText" dxfId="1338" priority="3594" operator="containsText" text="Pesquisa de Preços">
      <formula>NOT(ISERROR(SEARCH("Pesquisa de Preços",D5280)))</formula>
    </cfRule>
  </conditionalFormatting>
  <conditionalFormatting sqref="D5277">
    <cfRule type="containsText" dxfId="1337" priority="3588" operator="containsText" text="Pesquisa de Preços">
      <formula>NOT(ISERROR(SEARCH("Pesquisa de Preços",D5277)))</formula>
    </cfRule>
  </conditionalFormatting>
  <conditionalFormatting sqref="D5256">
    <cfRule type="containsText" dxfId="1336" priority="3587" operator="containsText" text="Pesquisa de Preços">
      <formula>NOT(ISERROR(SEARCH("Pesquisa de Preços",D5256)))</formula>
    </cfRule>
  </conditionalFormatting>
  <conditionalFormatting sqref="D5255">
    <cfRule type="containsText" dxfId="1335" priority="3583" operator="containsText" text="Pesquisa de Preços">
      <formula>NOT(ISERROR(SEARCH("Pesquisa de Preços",D5255)))</formula>
    </cfRule>
  </conditionalFormatting>
  <conditionalFormatting sqref="D5254">
    <cfRule type="containsText" dxfId="1334" priority="3584" operator="containsText" text="Pesquisa de Preços">
      <formula>NOT(ISERROR(SEARCH("Pesquisa de Preços",D5254)))</formula>
    </cfRule>
  </conditionalFormatting>
  <conditionalFormatting sqref="E1064">
    <cfRule type="containsText" dxfId="1333" priority="3582" operator="containsText" text="Pesquisa de Preços">
      <formula>NOT(ISERROR(SEARCH("Pesquisa de Preços",E1064)))</formula>
    </cfRule>
  </conditionalFormatting>
  <conditionalFormatting sqref="E1063">
    <cfRule type="containsText" dxfId="1332" priority="3581" operator="containsText" text="Pesquisa de Preços">
      <formula>NOT(ISERROR(SEARCH("Pesquisa de Preços",E1063)))</formula>
    </cfRule>
  </conditionalFormatting>
  <conditionalFormatting sqref="E1162">
    <cfRule type="containsText" dxfId="1331" priority="3580" operator="containsText" text="Pesquisa de Preços">
      <formula>NOT(ISERROR(SEARCH("Pesquisa de Preços",E1162)))</formula>
    </cfRule>
  </conditionalFormatting>
  <conditionalFormatting sqref="E1160:E1161">
    <cfRule type="containsText" dxfId="1330" priority="3579" operator="containsText" text="Pesquisa de Preços">
      <formula>NOT(ISERROR(SEARCH("Pesquisa de Preços",E1160)))</formula>
    </cfRule>
  </conditionalFormatting>
  <conditionalFormatting sqref="E1177">
    <cfRule type="containsText" dxfId="1329" priority="3578" operator="containsText" text="Pesquisa de Preços">
      <formula>NOT(ISERROR(SEARCH("Pesquisa de Preços",E1177)))</formula>
    </cfRule>
  </conditionalFormatting>
  <conditionalFormatting sqref="E1175:E1176">
    <cfRule type="containsText" dxfId="1328" priority="3577" operator="containsText" text="Pesquisa de Preços">
      <formula>NOT(ISERROR(SEARCH("Pesquisa de Preços",E1175)))</formula>
    </cfRule>
  </conditionalFormatting>
  <conditionalFormatting sqref="E1191">
    <cfRule type="containsText" dxfId="1327" priority="3576" operator="containsText" text="Pesquisa de Preços">
      <formula>NOT(ISERROR(SEARCH("Pesquisa de Preços",E1191)))</formula>
    </cfRule>
  </conditionalFormatting>
  <conditionalFormatting sqref="E1189:E1190">
    <cfRule type="containsText" dxfId="1326" priority="3575" operator="containsText" text="Pesquisa de Preços">
      <formula>NOT(ISERROR(SEARCH("Pesquisa de Preços",E1189)))</formula>
    </cfRule>
  </conditionalFormatting>
  <conditionalFormatting sqref="E1198">
    <cfRule type="containsText" dxfId="1325" priority="3574" operator="containsText" text="Pesquisa de Preços">
      <formula>NOT(ISERROR(SEARCH("Pesquisa de Preços",E1198)))</formula>
    </cfRule>
  </conditionalFormatting>
  <conditionalFormatting sqref="E1196:E1197">
    <cfRule type="containsText" dxfId="1324" priority="3573" operator="containsText" text="Pesquisa de Preços">
      <formula>NOT(ISERROR(SEARCH("Pesquisa de Preços",E1196)))</formula>
    </cfRule>
  </conditionalFormatting>
  <conditionalFormatting sqref="E1205">
    <cfRule type="containsText" dxfId="1323" priority="3572" operator="containsText" text="Pesquisa de Preços">
      <formula>NOT(ISERROR(SEARCH("Pesquisa de Preços",E1205)))</formula>
    </cfRule>
  </conditionalFormatting>
  <conditionalFormatting sqref="E1203:E1204">
    <cfRule type="containsText" dxfId="1322" priority="3571" operator="containsText" text="Pesquisa de Preços">
      <formula>NOT(ISERROR(SEARCH("Pesquisa de Preços",E1203)))</formula>
    </cfRule>
  </conditionalFormatting>
  <conditionalFormatting sqref="D619">
    <cfRule type="containsText" dxfId="1321" priority="3557" operator="containsText" text="Pesquisa de Preços">
      <formula>NOT(ISERROR(SEARCH("Pesquisa de Preços",D619)))</formula>
    </cfRule>
  </conditionalFormatting>
  <conditionalFormatting sqref="D617:D618">
    <cfRule type="containsText" dxfId="1320" priority="3556" operator="containsText" text="Pesquisa de Preços">
      <formula>NOT(ISERROR(SEARCH("Pesquisa de Preços",D617)))</formula>
    </cfRule>
  </conditionalFormatting>
  <conditionalFormatting sqref="E619">
    <cfRule type="containsText" dxfId="1319" priority="3555" operator="containsText" text="Pesquisa de Preços">
      <formula>NOT(ISERROR(SEARCH("Pesquisa de Preços",E619)))</formula>
    </cfRule>
  </conditionalFormatting>
  <conditionalFormatting sqref="E617:E618">
    <cfRule type="containsText" dxfId="1318" priority="3554" operator="containsText" text="Pesquisa de Preços">
      <formula>NOT(ISERROR(SEARCH("Pesquisa de Preços",E617)))</formula>
    </cfRule>
  </conditionalFormatting>
  <conditionalFormatting sqref="D266">
    <cfRule type="containsText" dxfId="1317" priority="3542" operator="containsText" text="Pesquisa de Preços">
      <formula>NOT(ISERROR(SEARCH("Pesquisa de Preços",D266)))</formula>
    </cfRule>
  </conditionalFormatting>
  <conditionalFormatting sqref="E266">
    <cfRule type="containsText" dxfId="1316" priority="3541" operator="containsText" text="Pesquisa de Preços">
      <formula>NOT(ISERROR(SEARCH("Pesquisa de Preços",E266)))</formula>
    </cfRule>
  </conditionalFormatting>
  <conditionalFormatting sqref="D2132">
    <cfRule type="containsText" dxfId="1315" priority="3538" operator="containsText" text="Pesquisa de Preços">
      <formula>NOT(ISERROR(SEARCH("Pesquisa de Preços",D2132)))</formula>
    </cfRule>
  </conditionalFormatting>
  <conditionalFormatting sqref="E2132">
    <cfRule type="containsText" dxfId="1314" priority="3537" operator="containsText" text="Pesquisa de Preços">
      <formula>NOT(ISERROR(SEARCH("Pesquisa de Preços",E2132)))</formula>
    </cfRule>
  </conditionalFormatting>
  <conditionalFormatting sqref="D2138">
    <cfRule type="containsText" dxfId="1313" priority="3534" operator="containsText" text="Pesquisa de Preços">
      <formula>NOT(ISERROR(SEARCH("Pesquisa de Preços",D2138)))</formula>
    </cfRule>
  </conditionalFormatting>
  <conditionalFormatting sqref="D5268">
    <cfRule type="containsText" dxfId="1312" priority="3524" operator="containsText" text="Pesquisa de Preços">
      <formula>NOT(ISERROR(SEARCH("Pesquisa de Preços",D5268)))</formula>
    </cfRule>
  </conditionalFormatting>
  <conditionalFormatting sqref="E5261">
    <cfRule type="containsText" dxfId="1311" priority="3517" operator="containsText" text="Pesquisa de Preços">
      <formula>NOT(ISERROR(SEARCH("Pesquisa de Preços",E5261)))</formula>
    </cfRule>
  </conditionalFormatting>
  <conditionalFormatting sqref="E5268">
    <cfRule type="containsText" dxfId="1310" priority="3521" operator="containsText" text="Pesquisa de Preços">
      <formula>NOT(ISERROR(SEARCH("Pesquisa de Preços",E5268)))</formula>
    </cfRule>
  </conditionalFormatting>
  <conditionalFormatting sqref="D5261">
    <cfRule type="containsText" dxfId="1309" priority="3512" operator="containsText" text="Pesquisa de Preços">
      <formula>NOT(ISERROR(SEARCH("Pesquisa de Preços",D5261)))</formula>
    </cfRule>
  </conditionalFormatting>
  <conditionalFormatting sqref="D5286">
    <cfRule type="containsText" dxfId="1308" priority="3495" operator="containsText" text="Pesquisa de Preços">
      <formula>NOT(ISERROR(SEARCH("Pesquisa de Preços",D5286)))</formula>
    </cfRule>
  </conditionalFormatting>
  <conditionalFormatting sqref="D5284">
    <cfRule type="containsText" dxfId="1307" priority="3496" operator="containsText" text="Pesquisa de Preços">
      <formula>NOT(ISERROR(SEARCH("Pesquisa de Preços",D5284)))</formula>
    </cfRule>
  </conditionalFormatting>
  <conditionalFormatting sqref="D5292">
    <cfRule type="containsText" dxfId="1306" priority="3483" operator="containsText" text="Pesquisa de Preços">
      <formula>NOT(ISERROR(SEARCH("Pesquisa de Preços",D5292)))</formula>
    </cfRule>
  </conditionalFormatting>
  <conditionalFormatting sqref="D5290">
    <cfRule type="containsText" dxfId="1305" priority="3484" operator="containsText" text="Pesquisa de Preços">
      <formula>NOT(ISERROR(SEARCH("Pesquisa de Preços",D5290)))</formula>
    </cfRule>
  </conditionalFormatting>
  <conditionalFormatting sqref="D5282">
    <cfRule type="containsText" dxfId="1304" priority="3475" operator="containsText" text="Pesquisa de Preços">
      <formula>NOT(ISERROR(SEARCH("Pesquisa de Preços",D5282)))</formula>
    </cfRule>
  </conditionalFormatting>
  <conditionalFormatting sqref="D5288">
    <cfRule type="containsText" dxfId="1303" priority="3474" operator="containsText" text="Pesquisa de Preços">
      <formula>NOT(ISERROR(SEARCH("Pesquisa de Preços",D5288)))</formula>
    </cfRule>
  </conditionalFormatting>
  <conditionalFormatting sqref="D2407">
    <cfRule type="containsText" dxfId="1302" priority="3468" operator="containsText" text="Pesquisa de Preços">
      <formula>NOT(ISERROR(SEARCH("Pesquisa de Preços",D2407)))</formula>
    </cfRule>
  </conditionalFormatting>
  <conditionalFormatting sqref="D2404">
    <cfRule type="containsText" dxfId="1301" priority="3467" operator="containsText" text="Pesquisa de Preços">
      <formula>NOT(ISERROR(SEARCH("Pesquisa de Preços",D2404)))</formula>
    </cfRule>
  </conditionalFormatting>
  <conditionalFormatting sqref="E2407">
    <cfRule type="containsText" dxfId="1300" priority="3466" operator="containsText" text="Pesquisa de Preços">
      <formula>NOT(ISERROR(SEARCH("Pesquisa de Preços",E2407)))</formula>
    </cfRule>
  </conditionalFormatting>
  <conditionalFormatting sqref="D2411">
    <cfRule type="containsText" dxfId="1299" priority="3463" operator="containsText" text="Pesquisa de Preços">
      <formula>NOT(ISERROR(SEARCH("Pesquisa de Preços",D2411)))</formula>
    </cfRule>
  </conditionalFormatting>
  <conditionalFormatting sqref="D2408">
    <cfRule type="containsText" dxfId="1298" priority="3462" operator="containsText" text="Pesquisa de Preços">
      <formula>NOT(ISERROR(SEARCH("Pesquisa de Preços",D2408)))</formula>
    </cfRule>
  </conditionalFormatting>
  <conditionalFormatting sqref="E2411">
    <cfRule type="containsText" dxfId="1297" priority="3461" operator="containsText" text="Pesquisa de Preços">
      <formula>NOT(ISERROR(SEARCH("Pesquisa de Preços",E2411)))</formula>
    </cfRule>
  </conditionalFormatting>
  <conditionalFormatting sqref="D2419">
    <cfRule type="containsText" dxfId="1296" priority="3458" operator="containsText" text="Pesquisa de Preços">
      <formula>NOT(ISERROR(SEARCH("Pesquisa de Preços",D2419)))</formula>
    </cfRule>
  </conditionalFormatting>
  <conditionalFormatting sqref="D2416">
    <cfRule type="containsText" dxfId="1295" priority="3457" operator="containsText" text="Pesquisa de Preços">
      <formula>NOT(ISERROR(SEARCH("Pesquisa de Preços",D2416)))</formula>
    </cfRule>
  </conditionalFormatting>
  <conditionalFormatting sqref="E2419">
    <cfRule type="containsText" dxfId="1294" priority="3456" operator="containsText" text="Pesquisa de Preços">
      <formula>NOT(ISERROR(SEARCH("Pesquisa de Preços",E2419)))</formula>
    </cfRule>
  </conditionalFormatting>
  <conditionalFormatting sqref="D2423">
    <cfRule type="containsText" dxfId="1293" priority="3453" operator="containsText" text="Pesquisa de Preços">
      <formula>NOT(ISERROR(SEARCH("Pesquisa de Preços",D2423)))</formula>
    </cfRule>
  </conditionalFormatting>
  <conditionalFormatting sqref="D2420">
    <cfRule type="containsText" dxfId="1292" priority="3452" operator="containsText" text="Pesquisa de Preços">
      <formula>NOT(ISERROR(SEARCH("Pesquisa de Preços",D2420)))</formula>
    </cfRule>
  </conditionalFormatting>
  <conditionalFormatting sqref="E2423">
    <cfRule type="containsText" dxfId="1291" priority="3451" operator="containsText" text="Pesquisa de Preços">
      <formula>NOT(ISERROR(SEARCH("Pesquisa de Preços",E2423)))</formula>
    </cfRule>
  </conditionalFormatting>
  <conditionalFormatting sqref="D2427">
    <cfRule type="containsText" dxfId="1290" priority="3448" operator="containsText" text="Pesquisa de Preços">
      <formula>NOT(ISERROR(SEARCH("Pesquisa de Preços",D2427)))</formula>
    </cfRule>
  </conditionalFormatting>
  <conditionalFormatting sqref="D2424">
    <cfRule type="containsText" dxfId="1289" priority="3447" operator="containsText" text="Pesquisa de Preços">
      <formula>NOT(ISERROR(SEARCH("Pesquisa de Preços",D2424)))</formula>
    </cfRule>
  </conditionalFormatting>
  <conditionalFormatting sqref="E2427">
    <cfRule type="containsText" dxfId="1288" priority="3446" operator="containsText" text="Pesquisa de Preços">
      <formula>NOT(ISERROR(SEARCH("Pesquisa de Preços",E2427)))</formula>
    </cfRule>
  </conditionalFormatting>
  <conditionalFormatting sqref="D2431">
    <cfRule type="containsText" dxfId="1287" priority="3443" operator="containsText" text="Pesquisa de Preços">
      <formula>NOT(ISERROR(SEARCH("Pesquisa de Preços",D2431)))</formula>
    </cfRule>
  </conditionalFormatting>
  <conditionalFormatting sqref="D2428">
    <cfRule type="containsText" dxfId="1286" priority="3442" operator="containsText" text="Pesquisa de Preços">
      <formula>NOT(ISERROR(SEARCH("Pesquisa de Preços",D2428)))</formula>
    </cfRule>
  </conditionalFormatting>
  <conditionalFormatting sqref="E2431">
    <cfRule type="containsText" dxfId="1285" priority="3441" operator="containsText" text="Pesquisa de Preços">
      <formula>NOT(ISERROR(SEARCH("Pesquisa de Preços",E2431)))</formula>
    </cfRule>
  </conditionalFormatting>
  <conditionalFormatting sqref="D2435">
    <cfRule type="containsText" dxfId="1284" priority="3438" operator="containsText" text="Pesquisa de Preços">
      <formula>NOT(ISERROR(SEARCH("Pesquisa de Preços",D2435)))</formula>
    </cfRule>
  </conditionalFormatting>
  <conditionalFormatting sqref="D2432">
    <cfRule type="containsText" dxfId="1283" priority="3437" operator="containsText" text="Pesquisa de Preços">
      <formula>NOT(ISERROR(SEARCH("Pesquisa de Preços",D2432)))</formula>
    </cfRule>
  </conditionalFormatting>
  <conditionalFormatting sqref="E2435">
    <cfRule type="containsText" dxfId="1282" priority="3436" operator="containsText" text="Pesquisa de Preços">
      <formula>NOT(ISERROR(SEARCH("Pesquisa de Preços",E2435)))</formula>
    </cfRule>
  </conditionalFormatting>
  <conditionalFormatting sqref="D2439">
    <cfRule type="containsText" dxfId="1281" priority="3433" operator="containsText" text="Pesquisa de Preços">
      <formula>NOT(ISERROR(SEARCH("Pesquisa de Preços",D2439)))</formula>
    </cfRule>
  </conditionalFormatting>
  <conditionalFormatting sqref="D2436">
    <cfRule type="containsText" dxfId="1280" priority="3432" operator="containsText" text="Pesquisa de Preços">
      <formula>NOT(ISERROR(SEARCH("Pesquisa de Preços",D2436)))</formula>
    </cfRule>
  </conditionalFormatting>
  <conditionalFormatting sqref="E2439">
    <cfRule type="containsText" dxfId="1279" priority="3431" operator="containsText" text="Pesquisa de Preços">
      <formula>NOT(ISERROR(SEARCH("Pesquisa de Preços",E2439)))</formula>
    </cfRule>
  </conditionalFormatting>
  <conditionalFormatting sqref="D2444">
    <cfRule type="containsText" dxfId="1278" priority="3427" operator="containsText" text="Pesquisa de Preços">
      <formula>NOT(ISERROR(SEARCH("Pesquisa de Preços",D2444)))</formula>
    </cfRule>
  </conditionalFormatting>
  <conditionalFormatting sqref="D2448">
    <cfRule type="containsText" dxfId="1277" priority="3423" operator="containsText" text="Pesquisa de Preços">
      <formula>NOT(ISERROR(SEARCH("Pesquisa de Preços",D2448)))</formula>
    </cfRule>
  </conditionalFormatting>
  <conditionalFormatting sqref="D2460">
    <cfRule type="containsText" dxfId="1276" priority="3419" operator="containsText" text="Pesquisa de Preços">
      <formula>NOT(ISERROR(SEARCH("Pesquisa de Preços",D2460)))</formula>
    </cfRule>
  </conditionalFormatting>
  <conditionalFormatting sqref="D2464">
    <cfRule type="containsText" dxfId="1275" priority="3415" operator="containsText" text="Pesquisa de Preços">
      <formula>NOT(ISERROR(SEARCH("Pesquisa de Preços",D2464)))</formula>
    </cfRule>
  </conditionalFormatting>
  <conditionalFormatting sqref="D2468">
    <cfRule type="containsText" dxfId="1274" priority="3411" operator="containsText" text="Pesquisa de Preços">
      <formula>NOT(ISERROR(SEARCH("Pesquisa de Preços",D2468)))</formula>
    </cfRule>
  </conditionalFormatting>
  <conditionalFormatting sqref="D2472">
    <cfRule type="containsText" dxfId="1273" priority="3407" operator="containsText" text="Pesquisa de Preços">
      <formula>NOT(ISERROR(SEARCH("Pesquisa de Preços",D2472)))</formula>
    </cfRule>
  </conditionalFormatting>
  <conditionalFormatting sqref="D2476">
    <cfRule type="containsText" dxfId="1272" priority="3403" operator="containsText" text="Pesquisa de Preços">
      <formula>NOT(ISERROR(SEARCH("Pesquisa de Preços",D2476)))</formula>
    </cfRule>
  </conditionalFormatting>
  <conditionalFormatting sqref="D2480">
    <cfRule type="containsText" dxfId="1271" priority="3399" operator="containsText" text="Pesquisa de Preços">
      <formula>NOT(ISERROR(SEARCH("Pesquisa de Preços",D2480)))</formula>
    </cfRule>
  </conditionalFormatting>
  <conditionalFormatting sqref="D2484">
    <cfRule type="containsText" dxfId="1270" priority="3395" operator="containsText" text="Pesquisa de Preços">
      <formula>NOT(ISERROR(SEARCH("Pesquisa de Preços",D2484)))</formula>
    </cfRule>
  </conditionalFormatting>
  <conditionalFormatting sqref="D2488">
    <cfRule type="containsText" dxfId="1269" priority="3391" operator="containsText" text="Pesquisa de Preços">
      <formula>NOT(ISERROR(SEARCH("Pesquisa de Preços",D2488)))</formula>
    </cfRule>
  </conditionalFormatting>
  <conditionalFormatting sqref="D2492">
    <cfRule type="containsText" dxfId="1268" priority="3387" operator="containsText" text="Pesquisa de Preços">
      <formula>NOT(ISERROR(SEARCH("Pesquisa de Preços",D2492)))</formula>
    </cfRule>
  </conditionalFormatting>
  <conditionalFormatting sqref="D2496">
    <cfRule type="containsText" dxfId="1267" priority="3383" operator="containsText" text="Pesquisa de Preços">
      <formula>NOT(ISERROR(SEARCH("Pesquisa de Preços",D2496)))</formula>
    </cfRule>
  </conditionalFormatting>
  <conditionalFormatting sqref="D2500">
    <cfRule type="containsText" dxfId="1266" priority="3379" operator="containsText" text="Pesquisa de Preços">
      <formula>NOT(ISERROR(SEARCH("Pesquisa de Preços",D2500)))</formula>
    </cfRule>
  </conditionalFormatting>
  <conditionalFormatting sqref="D2504">
    <cfRule type="containsText" dxfId="1265" priority="3373" operator="containsText" text="Pesquisa de Preços">
      <formula>NOT(ISERROR(SEARCH("Pesquisa de Preços",D2504)))</formula>
    </cfRule>
  </conditionalFormatting>
  <conditionalFormatting sqref="D2508">
    <cfRule type="containsText" dxfId="1264" priority="3369" operator="containsText" text="Pesquisa de Preços">
      <formula>NOT(ISERROR(SEARCH("Pesquisa de Preços",D2508)))</formula>
    </cfRule>
  </conditionalFormatting>
  <conditionalFormatting sqref="D2512">
    <cfRule type="containsText" dxfId="1263" priority="3365" operator="containsText" text="Pesquisa de Preços">
      <formula>NOT(ISERROR(SEARCH("Pesquisa de Preços",D2512)))</formula>
    </cfRule>
  </conditionalFormatting>
  <conditionalFormatting sqref="D2516">
    <cfRule type="containsText" dxfId="1262" priority="3361" operator="containsText" text="Pesquisa de Preços">
      <formula>NOT(ISERROR(SEARCH("Pesquisa de Preços",D2516)))</formula>
    </cfRule>
  </conditionalFormatting>
  <conditionalFormatting sqref="D2520">
    <cfRule type="containsText" dxfId="1261" priority="3357" operator="containsText" text="Pesquisa de Preços">
      <formula>NOT(ISERROR(SEARCH("Pesquisa de Preços",D2520)))</formula>
    </cfRule>
  </conditionalFormatting>
  <conditionalFormatting sqref="D2524">
    <cfRule type="containsText" dxfId="1260" priority="3353" operator="containsText" text="Pesquisa de Preços">
      <formula>NOT(ISERROR(SEARCH("Pesquisa de Preços",D2524)))</formula>
    </cfRule>
  </conditionalFormatting>
  <conditionalFormatting sqref="D2528">
    <cfRule type="containsText" dxfId="1259" priority="3349" operator="containsText" text="Pesquisa de Preços">
      <formula>NOT(ISERROR(SEARCH("Pesquisa de Preços",D2528)))</formula>
    </cfRule>
  </conditionalFormatting>
  <conditionalFormatting sqref="D2532">
    <cfRule type="containsText" dxfId="1258" priority="3345" operator="containsText" text="Pesquisa de Preços">
      <formula>NOT(ISERROR(SEARCH("Pesquisa de Preços",D2532)))</formula>
    </cfRule>
  </conditionalFormatting>
  <conditionalFormatting sqref="D2536">
    <cfRule type="containsText" dxfId="1257" priority="3341" operator="containsText" text="Pesquisa de Preços">
      <formula>NOT(ISERROR(SEARCH("Pesquisa de Preços",D2536)))</formula>
    </cfRule>
  </conditionalFormatting>
  <conditionalFormatting sqref="D2540">
    <cfRule type="containsText" dxfId="1256" priority="3337" operator="containsText" text="Pesquisa de Preços">
      <formula>NOT(ISERROR(SEARCH("Pesquisa de Preços",D2540)))</formula>
    </cfRule>
  </conditionalFormatting>
  <conditionalFormatting sqref="D2544">
    <cfRule type="containsText" dxfId="1255" priority="3333" operator="containsText" text="Pesquisa de Preços">
      <formula>NOT(ISERROR(SEARCH("Pesquisa de Preços",D2544)))</formula>
    </cfRule>
  </conditionalFormatting>
  <conditionalFormatting sqref="D2548">
    <cfRule type="containsText" dxfId="1254" priority="3329" operator="containsText" text="Pesquisa de Preços">
      <formula>NOT(ISERROR(SEARCH("Pesquisa de Preços",D2548)))</formula>
    </cfRule>
  </conditionalFormatting>
  <conditionalFormatting sqref="D2648">
    <cfRule type="containsText" dxfId="1253" priority="3315" operator="containsText" text="Pesquisa de Preços">
      <formula>NOT(ISERROR(SEARCH("Pesquisa de Preços",D2648)))</formula>
    </cfRule>
  </conditionalFormatting>
  <conditionalFormatting sqref="D2556">
    <cfRule type="containsText" dxfId="1252" priority="3321" operator="containsText" text="Pesquisa de Preços">
      <formula>NOT(ISERROR(SEARCH("Pesquisa de Preços",D2556)))</formula>
    </cfRule>
  </conditionalFormatting>
  <conditionalFormatting sqref="D2552">
    <cfRule type="containsText" dxfId="1251" priority="3317" operator="containsText" text="Pesquisa de Preços">
      <formula>NOT(ISERROR(SEARCH("Pesquisa de Preços",D2552)))</formula>
    </cfRule>
  </conditionalFormatting>
  <conditionalFormatting sqref="D2656">
    <cfRule type="containsText" dxfId="1250" priority="3311" operator="containsText" text="Pesquisa de Preços">
      <formula>NOT(ISERROR(SEARCH("Pesquisa de Preços",D2656)))</formula>
    </cfRule>
  </conditionalFormatting>
  <conditionalFormatting sqref="D2452">
    <cfRule type="containsText" dxfId="1249" priority="3307" operator="containsText" text="Pesquisa de Preços">
      <formula>NOT(ISERROR(SEARCH("Pesquisa de Preços",D2452)))</formula>
    </cfRule>
  </conditionalFormatting>
  <conditionalFormatting sqref="D2456">
    <cfRule type="containsText" dxfId="1248" priority="3303" operator="containsText" text="Pesquisa de Preços">
      <formula>NOT(ISERROR(SEARCH("Pesquisa de Preços",D2456)))</formula>
    </cfRule>
  </conditionalFormatting>
  <conditionalFormatting sqref="D5719">
    <cfRule type="containsText" dxfId="1247" priority="2992" operator="containsText" text="Pesquisa de Preços">
      <formula>NOT(ISERROR(SEARCH("Pesquisa de Preços",D5719)))</formula>
    </cfRule>
  </conditionalFormatting>
  <conditionalFormatting sqref="D5711">
    <cfRule type="containsText" dxfId="1246" priority="3000" operator="containsText" text="Pesquisa de Preços">
      <formula>NOT(ISERROR(SEARCH("Pesquisa de Preços",D5711)))</formula>
    </cfRule>
  </conditionalFormatting>
  <conditionalFormatting sqref="D5723">
    <cfRule type="containsText" dxfId="1245" priority="2988" operator="containsText" text="Pesquisa de Preços">
      <formula>NOT(ISERROR(SEARCH("Pesquisa de Preços",D5723)))</formula>
    </cfRule>
  </conditionalFormatting>
  <conditionalFormatting sqref="D5903">
    <cfRule type="containsText" dxfId="1244" priority="2969" operator="containsText" text="Pesquisa de Preços">
      <formula>NOT(ISERROR(SEARCH("Pesquisa de Preços",D5903)))</formula>
    </cfRule>
  </conditionalFormatting>
  <conditionalFormatting sqref="D6067">
    <cfRule type="containsText" dxfId="1243" priority="2768" operator="containsText" text="Pesquisa de Preços">
      <formula>NOT(ISERROR(SEARCH("Pesquisa de Preços",D6067)))</formula>
    </cfRule>
  </conditionalFormatting>
  <conditionalFormatting sqref="D5555">
    <cfRule type="containsText" dxfId="1242" priority="2641" operator="containsText" text="Pesquisa de Preços">
      <formula>NOT(ISERROR(SEARCH("Pesquisa de Preços",D5555)))</formula>
    </cfRule>
  </conditionalFormatting>
  <conditionalFormatting sqref="D5619">
    <cfRule type="containsText" dxfId="1241" priority="2790" operator="containsText" text="Pesquisa de Preços">
      <formula>NOT(ISERROR(SEARCH("Pesquisa de Preços",D5619)))</formula>
    </cfRule>
  </conditionalFormatting>
  <conditionalFormatting sqref="D5623 D5627 D5631 D5635 D5639 D5643 D5647 D5651 D5655 D5659 D5663 D5667 D5671 D5675 D5679 D5683 D5687 D5691 D5695 D5699">
    <cfRule type="containsText" dxfId="1240" priority="2788" operator="containsText" text="Pesquisa de Preços">
      <formula>NOT(ISERROR(SEARCH("Pesquisa de Preços",D5623)))</formula>
    </cfRule>
  </conditionalFormatting>
  <conditionalFormatting sqref="D6051">
    <cfRule type="containsText" dxfId="1239" priority="2784" operator="containsText" text="Pesquisa de Preços">
      <formula>NOT(ISERROR(SEARCH("Pesquisa de Preços",D6051)))</formula>
    </cfRule>
  </conditionalFormatting>
  <conditionalFormatting sqref="D6055">
    <cfRule type="containsText" dxfId="1238" priority="2780" operator="containsText" text="Pesquisa de Preços">
      <formula>NOT(ISERROR(SEARCH("Pesquisa de Preços",D6055)))</formula>
    </cfRule>
  </conditionalFormatting>
  <conditionalFormatting sqref="D5615">
    <cfRule type="containsText" dxfId="1237" priority="2749" operator="containsText" text="Pesquisa de Preços">
      <formula>NOT(ISERROR(SEARCH("Pesquisa de Preços",D5615)))</formula>
    </cfRule>
  </conditionalFormatting>
  <conditionalFormatting sqref="D6128">
    <cfRule type="containsText" dxfId="1236" priority="2760" operator="containsText" text="Pesquisa de Preços">
      <formula>NOT(ISERROR(SEARCH("Pesquisa de Preços",D6128)))</formula>
    </cfRule>
  </conditionalFormatting>
  <conditionalFormatting sqref="D2774">
    <cfRule type="containsText" dxfId="1235" priority="2745" operator="containsText" text="Pesquisa de Preços">
      <formula>NOT(ISERROR(SEARCH("Pesquisa de Preços",D2774)))</formula>
    </cfRule>
  </conditionalFormatting>
  <conditionalFormatting sqref="D5611">
    <cfRule type="containsText" dxfId="1234" priority="2751" operator="containsText" text="Pesquisa de Preços">
      <formula>NOT(ISERROR(SEARCH("Pesquisa de Preços",D5611)))</formula>
    </cfRule>
  </conditionalFormatting>
  <conditionalFormatting sqref="D6071">
    <cfRule type="containsText" dxfId="1233" priority="2764" operator="containsText" text="Pesquisa de Preços">
      <formula>NOT(ISERROR(SEARCH("Pesquisa de Preços",D6071)))</formula>
    </cfRule>
  </conditionalFormatting>
  <conditionalFormatting sqref="D6124:D6127">
    <cfRule type="containsText" dxfId="1232" priority="2758" operator="containsText" text="Pesquisa de Preços">
      <formula>NOT(ISERROR(SEARCH("Pesquisa de Preços",D6124)))</formula>
    </cfRule>
  </conditionalFormatting>
  <conditionalFormatting sqref="D6123">
    <cfRule type="containsText" dxfId="1231" priority="2759" operator="containsText" text="Pesquisa de Preços">
      <formula>NOT(ISERROR(SEARCH("Pesquisa de Preços",D6123)))</formula>
    </cfRule>
  </conditionalFormatting>
  <conditionalFormatting sqref="D2770">
    <cfRule type="containsText" dxfId="1230" priority="3190" operator="containsText" text="Pesquisa de Preços">
      <formula>NOT(ISERROR(SEARCH("Pesquisa de Preços",D2770)))</formula>
    </cfRule>
  </conditionalFormatting>
  <conditionalFormatting sqref="D2768">
    <cfRule type="containsText" dxfId="1229" priority="3189" operator="containsText" text="Pesquisa de Preços">
      <formula>NOT(ISERROR(SEARCH("Pesquisa de Preços",D2768)))</formula>
    </cfRule>
  </conditionalFormatting>
  <conditionalFormatting sqref="D6083">
    <cfRule type="containsText" dxfId="1228" priority="3028" operator="containsText" text="Pesquisa de Preços">
      <formula>NOT(ISERROR(SEARCH("Pesquisa de Preços",D6083)))</formula>
    </cfRule>
  </conditionalFormatting>
  <conditionalFormatting sqref="D6091">
    <cfRule type="containsText" dxfId="1227" priority="3026" operator="containsText" text="Pesquisa de Preços">
      <formula>NOT(ISERROR(SEARCH("Pesquisa de Preços",D6091)))</formula>
    </cfRule>
  </conditionalFormatting>
  <conditionalFormatting sqref="D6079">
    <cfRule type="containsText" dxfId="1226" priority="3029" operator="containsText" text="Pesquisa de Preços">
      <formula>NOT(ISERROR(SEARCH("Pesquisa de Preços",D6079)))</formula>
    </cfRule>
  </conditionalFormatting>
  <conditionalFormatting sqref="D6087">
    <cfRule type="containsText" dxfId="1225" priority="3027" operator="containsText" text="Pesquisa de Preços">
      <formula>NOT(ISERROR(SEARCH("Pesquisa de Preços",D6087)))</formula>
    </cfRule>
  </conditionalFormatting>
  <conditionalFormatting sqref="D5867">
    <cfRule type="containsText" dxfId="1224" priority="3089" operator="containsText" text="Pesquisa de Preços">
      <formula>NOT(ISERROR(SEARCH("Pesquisa de Preços",D5867)))</formula>
    </cfRule>
  </conditionalFormatting>
  <conditionalFormatting sqref="D6099">
    <cfRule type="containsText" dxfId="1223" priority="3024" operator="containsText" text="Pesquisa de Preços">
      <formula>NOT(ISERROR(SEARCH("Pesquisa de Preços",D6099)))</formula>
    </cfRule>
  </conditionalFormatting>
  <conditionalFormatting sqref="D5871">
    <cfRule type="containsText" dxfId="1222" priority="3085" operator="containsText" text="Pesquisa de Preços">
      <formula>NOT(ISERROR(SEARCH("Pesquisa de Preços",D5871)))</formula>
    </cfRule>
  </conditionalFormatting>
  <conditionalFormatting sqref="D6135">
    <cfRule type="containsText" dxfId="1221" priority="3021" operator="containsText" text="Pesquisa de Preços">
      <formula>NOT(ISERROR(SEARCH("Pesquisa de Preços",D6135)))</formula>
    </cfRule>
  </conditionalFormatting>
  <conditionalFormatting sqref="D5875">
    <cfRule type="containsText" dxfId="1220" priority="3081" operator="containsText" text="Pesquisa de Preços">
      <formula>NOT(ISERROR(SEARCH("Pesquisa de Preços",D5875)))</formula>
    </cfRule>
  </conditionalFormatting>
  <conditionalFormatting sqref="D5879">
    <cfRule type="containsText" dxfId="1219" priority="3077" operator="containsText" text="Pesquisa de Preços">
      <formula>NOT(ISERROR(SEARCH("Pesquisa de Preços",D5879)))</formula>
    </cfRule>
  </conditionalFormatting>
  <conditionalFormatting sqref="D5883">
    <cfRule type="containsText" dxfId="1218" priority="3073" operator="containsText" text="Pesquisa de Preços">
      <formula>NOT(ISERROR(SEARCH("Pesquisa de Preços",D5883)))</formula>
    </cfRule>
  </conditionalFormatting>
  <conditionalFormatting sqref="D5607">
    <cfRule type="containsText" dxfId="1217" priority="3012" operator="containsText" text="Pesquisa de Preços">
      <formula>NOT(ISERROR(SEARCH("Pesquisa de Preços",D5607)))</formula>
    </cfRule>
  </conditionalFormatting>
  <conditionalFormatting sqref="D5887">
    <cfRule type="containsText" dxfId="1216" priority="3069" operator="containsText" text="Pesquisa de Preços">
      <formula>NOT(ISERROR(SEARCH("Pesquisa de Preços",D5887)))</formula>
    </cfRule>
  </conditionalFormatting>
  <conditionalFormatting sqref="D5891">
    <cfRule type="containsText" dxfId="1215" priority="3065" operator="containsText" text="Pesquisa de Preços">
      <formula>NOT(ISERROR(SEARCH("Pesquisa de Preços",D5891)))</formula>
    </cfRule>
  </conditionalFormatting>
  <conditionalFormatting sqref="D6075">
    <cfRule type="containsText" dxfId="1214" priority="3061" operator="containsText" text="Pesquisa de Preços">
      <formula>NOT(ISERROR(SEARCH("Pesquisa de Preços",D6075)))</formula>
    </cfRule>
  </conditionalFormatting>
  <conditionalFormatting sqref="D6095">
    <cfRule type="containsText" dxfId="1213" priority="3025" operator="containsText" text="Pesquisa de Preços">
      <formula>NOT(ISERROR(SEARCH("Pesquisa de Preços",D6095)))</formula>
    </cfRule>
  </conditionalFormatting>
  <conditionalFormatting sqref="D6103">
    <cfRule type="containsText" dxfId="1212" priority="3039" operator="containsText" text="Pesquisa de Preços">
      <formula>NOT(ISERROR(SEARCH("Pesquisa de Preços",D6103)))</formula>
    </cfRule>
  </conditionalFormatting>
  <conditionalFormatting sqref="D6131">
    <cfRule type="containsText" dxfId="1211" priority="3022" operator="containsText" text="Pesquisa de Preços">
      <formula>NOT(ISERROR(SEARCH("Pesquisa de Preços",D6131)))</formula>
    </cfRule>
  </conditionalFormatting>
  <conditionalFormatting sqref="D6107">
    <cfRule type="containsText" dxfId="1210" priority="3023" operator="containsText" text="Pesquisa de Preços">
      <formula>NOT(ISERROR(SEARCH("Pesquisa de Preços",D6107)))</formula>
    </cfRule>
  </conditionalFormatting>
  <conditionalFormatting sqref="D5603">
    <cfRule type="containsText" dxfId="1209" priority="3016" operator="containsText" text="Pesquisa de Preços">
      <formula>NOT(ISERROR(SEARCH("Pesquisa de Preços",D5603)))</formula>
    </cfRule>
  </conditionalFormatting>
  <conditionalFormatting sqref="D5775">
    <cfRule type="containsText" dxfId="1208" priority="2885" operator="containsText" text="Pesquisa de Preços">
      <formula>NOT(ISERROR(SEARCH("Pesquisa de Preços",D5775)))</formula>
    </cfRule>
  </conditionalFormatting>
  <conditionalFormatting sqref="D5979">
    <cfRule type="containsText" dxfId="1207" priority="2905" operator="containsText" text="Pesquisa de Preços">
      <formula>NOT(ISERROR(SEARCH("Pesquisa de Preços",D5979)))</formula>
    </cfRule>
  </conditionalFormatting>
  <conditionalFormatting sqref="D5703">
    <cfRule type="containsText" dxfId="1206" priority="3008" operator="containsText" text="Pesquisa de Preços">
      <formula>NOT(ISERROR(SEARCH("Pesquisa de Preços",D5703)))</formula>
    </cfRule>
  </conditionalFormatting>
  <conditionalFormatting sqref="D5743">
    <cfRule type="containsText" dxfId="1205" priority="2893" operator="containsText" text="Pesquisa de Preços">
      <formula>NOT(ISERROR(SEARCH("Pesquisa de Preços",D5743)))</formula>
    </cfRule>
  </conditionalFormatting>
  <conditionalFormatting sqref="D5707">
    <cfRule type="containsText" dxfId="1204" priority="3004" operator="containsText" text="Pesquisa de Preços">
      <formula>NOT(ISERROR(SEARCH("Pesquisa de Preços",D5707)))</formula>
    </cfRule>
  </conditionalFormatting>
  <conditionalFormatting sqref="D5755">
    <cfRule type="containsText" dxfId="1203" priority="2890" operator="containsText" text="Pesquisa de Preços">
      <formula>NOT(ISERROR(SEARCH("Pesquisa de Preços",D5755)))</formula>
    </cfRule>
  </conditionalFormatting>
  <conditionalFormatting sqref="D5715">
    <cfRule type="containsText" dxfId="1202" priority="2996" operator="containsText" text="Pesquisa de Preços">
      <formula>NOT(ISERROR(SEARCH("Pesquisa de Preços",D5715)))</formula>
    </cfRule>
  </conditionalFormatting>
  <conditionalFormatting sqref="D5767">
    <cfRule type="containsText" dxfId="1201" priority="2887" operator="containsText" text="Pesquisa de Preços">
      <formula>NOT(ISERROR(SEARCH("Pesquisa de Preços",D5767)))</formula>
    </cfRule>
  </conditionalFormatting>
  <conditionalFormatting sqref="D5811">
    <cfRule type="containsText" dxfId="1200" priority="2876" operator="containsText" text="Pesquisa de Preços">
      <formula>NOT(ISERROR(SEARCH("Pesquisa de Preços",D5811)))</formula>
    </cfRule>
  </conditionalFormatting>
  <conditionalFormatting sqref="D5911">
    <cfRule type="containsText" dxfId="1199" priority="2962" operator="containsText" text="Pesquisa de Preços">
      <formula>NOT(ISERROR(SEARCH("Pesquisa de Preços",D5911)))</formula>
    </cfRule>
  </conditionalFormatting>
  <conditionalFormatting sqref="D5919">
    <cfRule type="containsText" dxfId="1198" priority="2955" operator="containsText" text="Pesquisa de Preços">
      <formula>NOT(ISERROR(SEARCH("Pesquisa de Preços",D5919)))</formula>
    </cfRule>
  </conditionalFormatting>
  <conditionalFormatting sqref="D5735">
    <cfRule type="containsText" dxfId="1197" priority="2897" operator="containsText" text="Pesquisa de Preços">
      <formula>NOT(ISERROR(SEARCH("Pesquisa de Preços",D5735)))</formula>
    </cfRule>
  </conditionalFormatting>
  <conditionalFormatting sqref="D5739">
    <cfRule type="containsText" dxfId="1196" priority="2894" operator="containsText" text="Pesquisa de Preços">
      <formula>NOT(ISERROR(SEARCH("Pesquisa de Preços",D5739)))</formula>
    </cfRule>
  </conditionalFormatting>
  <conditionalFormatting sqref="D5791">
    <cfRule type="containsText" dxfId="1195" priority="2881" operator="containsText" text="Pesquisa de Preços">
      <formula>NOT(ISERROR(SEARCH("Pesquisa de Preços",D5791)))</formula>
    </cfRule>
  </conditionalFormatting>
  <conditionalFormatting sqref="D5855">
    <cfRule type="containsText" dxfId="1194" priority="2865" operator="containsText" text="Pesquisa de Preços">
      <formula>NOT(ISERROR(SEARCH("Pesquisa de Preços",D5855)))</formula>
    </cfRule>
  </conditionalFormatting>
  <conditionalFormatting sqref="D5899">
    <cfRule type="containsText" dxfId="1193" priority="2862" operator="containsText" text="Pesquisa de Preços">
      <formula>NOT(ISERROR(SEARCH("Pesquisa de Preços",D5899)))</formula>
    </cfRule>
  </conditionalFormatting>
  <conditionalFormatting sqref="D5907">
    <cfRule type="containsText" dxfId="1192" priority="2861" operator="containsText" text="Pesquisa de Preços">
      <formula>NOT(ISERROR(SEARCH("Pesquisa de Preços",D5907)))</formula>
    </cfRule>
  </conditionalFormatting>
  <conditionalFormatting sqref="D5915">
    <cfRule type="containsText" dxfId="1191" priority="2860" operator="containsText" text="Pesquisa de Preços">
      <formula>NOT(ISERROR(SEARCH("Pesquisa de Preços",D5915)))</formula>
    </cfRule>
  </conditionalFormatting>
  <conditionalFormatting sqref="D5935">
    <cfRule type="containsText" dxfId="1190" priority="2857" operator="containsText" text="Pesquisa de Preços">
      <formula>NOT(ISERROR(SEARCH("Pesquisa de Preços",D5935)))</formula>
    </cfRule>
  </conditionalFormatting>
  <conditionalFormatting sqref="D5947">
    <cfRule type="containsText" dxfId="1189" priority="2855" operator="containsText" text="Pesquisa de Preços">
      <formula>NOT(ISERROR(SEARCH("Pesquisa de Preços",D5947)))</formula>
    </cfRule>
  </conditionalFormatting>
  <conditionalFormatting sqref="D5963">
    <cfRule type="containsText" dxfId="1188" priority="2852" operator="containsText" text="Pesquisa de Preços">
      <formula>NOT(ISERROR(SEARCH("Pesquisa de Preços",D5963)))</formula>
    </cfRule>
  </conditionalFormatting>
  <conditionalFormatting sqref="D5975">
    <cfRule type="containsText" dxfId="1187" priority="2850" operator="containsText" text="Pesquisa de Preços">
      <formula>NOT(ISERROR(SEARCH("Pesquisa de Preços",D5975)))</formula>
    </cfRule>
  </conditionalFormatting>
  <conditionalFormatting sqref="D6035">
    <cfRule type="containsText" dxfId="1186" priority="2800" operator="containsText" text="Pesquisa de Preços">
      <formula>NOT(ISERROR(SEARCH("Pesquisa de Preços",D6035)))</formula>
    </cfRule>
  </conditionalFormatting>
  <conditionalFormatting sqref="D6039">
    <cfRule type="containsText" dxfId="1185" priority="2796" operator="containsText" text="Pesquisa de Preços">
      <formula>NOT(ISERROR(SEARCH("Pesquisa de Preços",D6039)))</formula>
    </cfRule>
  </conditionalFormatting>
  <conditionalFormatting sqref="D5601">
    <cfRule type="containsText" dxfId="1184" priority="3017" operator="containsText" text="Pesquisa de Preços">
      <formula>NOT(ISERROR(SEARCH("Pesquisa de Preços",D5601)))</formula>
    </cfRule>
  </conditionalFormatting>
  <conditionalFormatting sqref="D5731">
    <cfRule type="containsText" dxfId="1183" priority="2896" operator="containsText" text="Pesquisa de Preços">
      <formula>NOT(ISERROR(SEARCH("Pesquisa de Preços",D5731)))</formula>
    </cfRule>
  </conditionalFormatting>
  <conditionalFormatting sqref="D5747">
    <cfRule type="containsText" dxfId="1182" priority="2892" operator="containsText" text="Pesquisa de Preços">
      <formula>NOT(ISERROR(SEARCH("Pesquisa de Preços",D5747)))</formula>
    </cfRule>
  </conditionalFormatting>
  <conditionalFormatting sqref="D5783">
    <cfRule type="containsText" dxfId="1181" priority="2883" operator="containsText" text="Pesquisa de Preços">
      <formula>NOT(ISERROR(SEARCH("Pesquisa de Preços",D5783)))</formula>
    </cfRule>
  </conditionalFormatting>
  <conditionalFormatting sqref="D5931">
    <cfRule type="containsText" dxfId="1180" priority="2945" operator="containsText" text="Pesquisa de Preços">
      <formula>NOT(ISERROR(SEARCH("Pesquisa de Preços",D5931)))</formula>
    </cfRule>
  </conditionalFormatting>
  <conditionalFormatting sqref="D5895">
    <cfRule type="containsText" dxfId="1179" priority="2975" operator="containsText" text="Pesquisa de Preços">
      <formula>NOT(ISERROR(SEARCH("Pesquisa de Preços",D5895)))</formula>
    </cfRule>
  </conditionalFormatting>
  <conditionalFormatting sqref="D5779">
    <cfRule type="containsText" dxfId="1178" priority="2884" operator="containsText" text="Pesquisa de Preços">
      <formula>NOT(ISERROR(SEARCH("Pesquisa de Preços",D5779)))</formula>
    </cfRule>
  </conditionalFormatting>
  <conditionalFormatting sqref="D5803">
    <cfRule type="containsText" dxfId="1177" priority="2878" operator="containsText" text="Pesquisa de Preços">
      <formula>NOT(ISERROR(SEARCH("Pesquisa de Preços",D5803)))</formula>
    </cfRule>
  </conditionalFormatting>
  <conditionalFormatting sqref="D5727">
    <cfRule type="containsText" dxfId="1176" priority="2895" operator="containsText" text="Pesquisa de Preços">
      <formula>NOT(ISERROR(SEARCH("Pesquisa de Preços",D5727)))</formula>
    </cfRule>
  </conditionalFormatting>
  <conditionalFormatting sqref="D5795">
    <cfRule type="containsText" dxfId="1175" priority="2879" operator="containsText" text="Pesquisa de Preços">
      <formula>NOT(ISERROR(SEARCH("Pesquisa de Preços",D5795)))</formula>
    </cfRule>
  </conditionalFormatting>
  <conditionalFormatting sqref="D5943">
    <cfRule type="containsText" dxfId="1174" priority="2935" operator="containsText" text="Pesquisa de Preços">
      <formula>NOT(ISERROR(SEARCH("Pesquisa de Preços",D5943)))</formula>
    </cfRule>
  </conditionalFormatting>
  <conditionalFormatting sqref="D5787">
    <cfRule type="containsText" dxfId="1173" priority="2882" operator="containsText" text="Pesquisa de Preços">
      <formula>NOT(ISERROR(SEARCH("Pesquisa de Preços",D5787)))</formula>
    </cfRule>
  </conditionalFormatting>
  <conditionalFormatting sqref="D5823">
    <cfRule type="containsText" dxfId="1172" priority="2873" operator="containsText" text="Pesquisa de Preços">
      <formula>NOT(ISERROR(SEARCH("Pesquisa de Preços",D5823)))</formula>
    </cfRule>
  </conditionalFormatting>
  <conditionalFormatting sqref="D5763">
    <cfRule type="containsText" dxfId="1171" priority="2888" operator="containsText" text="Pesquisa de Preços">
      <formula>NOT(ISERROR(SEARCH("Pesquisa de Preços",D5763)))</formula>
    </cfRule>
  </conditionalFormatting>
  <conditionalFormatting sqref="D5955">
    <cfRule type="containsText" dxfId="1170" priority="2925" operator="containsText" text="Pesquisa de Preços">
      <formula>NOT(ISERROR(SEARCH("Pesquisa de Preços",D5955)))</formula>
    </cfRule>
  </conditionalFormatting>
  <conditionalFormatting sqref="D5815">
    <cfRule type="containsText" dxfId="1169" priority="2874" operator="containsText" text="Pesquisa de Preços">
      <formula>NOT(ISERROR(SEARCH("Pesquisa de Preços",D5815)))</formula>
    </cfRule>
  </conditionalFormatting>
  <conditionalFormatting sqref="D5799">
    <cfRule type="containsText" dxfId="1168" priority="2880" operator="containsText" text="Pesquisa de Preços">
      <formula>NOT(ISERROR(SEARCH("Pesquisa de Preços",D5799)))</formula>
    </cfRule>
  </conditionalFormatting>
  <conditionalFormatting sqref="D5851">
    <cfRule type="containsText" dxfId="1167" priority="2866" operator="containsText" text="Pesquisa de Preços">
      <formula>NOT(ISERROR(SEARCH("Pesquisa de Preços",D5851)))</formula>
    </cfRule>
  </conditionalFormatting>
  <conditionalFormatting sqref="D5967">
    <cfRule type="containsText" dxfId="1166" priority="2915" operator="containsText" text="Pesquisa de Preços">
      <formula>NOT(ISERROR(SEARCH("Pesquisa de Preços",D5967)))</formula>
    </cfRule>
  </conditionalFormatting>
  <conditionalFormatting sqref="D5819">
    <cfRule type="containsText" dxfId="1165" priority="2875" operator="containsText" text="Pesquisa de Preços">
      <formula>NOT(ISERROR(SEARCH("Pesquisa de Preços",D5819)))</formula>
    </cfRule>
  </conditionalFormatting>
  <conditionalFormatting sqref="D5847">
    <cfRule type="containsText" dxfId="1164" priority="2868" operator="containsText" text="Pesquisa de Preços">
      <formula>NOT(ISERROR(SEARCH("Pesquisa de Preços",D5847)))</formula>
    </cfRule>
  </conditionalFormatting>
  <conditionalFormatting sqref="D5843">
    <cfRule type="containsText" dxfId="1163" priority="2867" operator="containsText" text="Pesquisa de Preços">
      <formula>NOT(ISERROR(SEARCH("Pesquisa de Preços",D5843)))</formula>
    </cfRule>
  </conditionalFormatting>
  <conditionalFormatting sqref="D5831">
    <cfRule type="containsText" dxfId="1162" priority="2871" operator="containsText" text="Pesquisa de Preços">
      <formula>NOT(ISERROR(SEARCH("Pesquisa de Preços",D5831)))</formula>
    </cfRule>
  </conditionalFormatting>
  <conditionalFormatting sqref="D5939">
    <cfRule type="containsText" dxfId="1161" priority="2856" operator="containsText" text="Pesquisa de Preços">
      <formula>NOT(ISERROR(SEARCH("Pesquisa de Preços",D5939)))</formula>
    </cfRule>
  </conditionalFormatting>
  <conditionalFormatting sqref="D5751">
    <cfRule type="containsText" dxfId="1160" priority="2891" operator="containsText" text="Pesquisa de Preços">
      <formula>NOT(ISERROR(SEARCH("Pesquisa de Preços",D5751)))</formula>
    </cfRule>
  </conditionalFormatting>
  <conditionalFormatting sqref="D5759">
    <cfRule type="containsText" dxfId="1159" priority="2889" operator="containsText" text="Pesquisa de Preços">
      <formula>NOT(ISERROR(SEARCH("Pesquisa de Preços",D5759)))</formula>
    </cfRule>
  </conditionalFormatting>
  <conditionalFormatting sqref="D5839">
    <cfRule type="containsText" dxfId="1158" priority="2869" operator="containsText" text="Pesquisa de Preços">
      <formula>NOT(ISERROR(SEARCH("Pesquisa de Preços",D5839)))</formula>
    </cfRule>
  </conditionalFormatting>
  <conditionalFormatting sqref="D5859">
    <cfRule type="containsText" dxfId="1157" priority="2864" operator="containsText" text="Pesquisa de Preços">
      <formula>NOT(ISERROR(SEARCH("Pesquisa de Preços",D5859)))</formula>
    </cfRule>
  </conditionalFormatting>
  <conditionalFormatting sqref="D5923">
    <cfRule type="containsText" dxfId="1156" priority="2859" operator="containsText" text="Pesquisa de Preços">
      <formula>NOT(ISERROR(SEARCH("Pesquisa de Preços",D5923)))</formula>
    </cfRule>
  </conditionalFormatting>
  <conditionalFormatting sqref="D5951">
    <cfRule type="containsText" dxfId="1155" priority="2854" operator="containsText" text="Pesquisa de Preços">
      <formula>NOT(ISERROR(SEARCH("Pesquisa de Preços",D5951)))</formula>
    </cfRule>
  </conditionalFormatting>
  <conditionalFormatting sqref="D5827">
    <cfRule type="containsText" dxfId="1154" priority="2872" operator="containsText" text="Pesquisa de Preços">
      <formula>NOT(ISERROR(SEARCH("Pesquisa de Preços",D5827)))</formula>
    </cfRule>
  </conditionalFormatting>
  <conditionalFormatting sqref="D5835">
    <cfRule type="containsText" dxfId="1153" priority="2870" operator="containsText" text="Pesquisa de Preços">
      <formula>NOT(ISERROR(SEARCH("Pesquisa de Preços",D5835)))</formula>
    </cfRule>
  </conditionalFormatting>
  <conditionalFormatting sqref="D5927">
    <cfRule type="containsText" dxfId="1152" priority="2858" operator="containsText" text="Pesquisa de Preços">
      <formula>NOT(ISERROR(SEARCH("Pesquisa de Preços",D5927)))</formula>
    </cfRule>
  </conditionalFormatting>
  <conditionalFormatting sqref="D5771">
    <cfRule type="containsText" dxfId="1151" priority="2886" operator="containsText" text="Pesquisa de Preços">
      <formula>NOT(ISERROR(SEARCH("Pesquisa de Preços",D5771)))</formula>
    </cfRule>
  </conditionalFormatting>
  <conditionalFormatting sqref="D5987">
    <cfRule type="containsText" dxfId="1150" priority="2848" operator="containsText" text="Pesquisa de Preços">
      <formula>NOT(ISERROR(SEARCH("Pesquisa de Preços",D5987)))</formula>
    </cfRule>
  </conditionalFormatting>
  <conditionalFormatting sqref="D5863">
    <cfRule type="containsText" dxfId="1149" priority="2863" operator="containsText" text="Pesquisa de Preços">
      <formula>NOT(ISERROR(SEARCH("Pesquisa de Preços",D5863)))</formula>
    </cfRule>
  </conditionalFormatting>
  <conditionalFormatting sqref="D5807">
    <cfRule type="containsText" dxfId="1148" priority="2877" operator="containsText" text="Pesquisa de Preços">
      <formula>NOT(ISERROR(SEARCH("Pesquisa de Preços",D5807)))</formula>
    </cfRule>
  </conditionalFormatting>
  <conditionalFormatting sqref="D5971">
    <cfRule type="containsText" dxfId="1147" priority="2851" operator="containsText" text="Pesquisa de Preços">
      <formula>NOT(ISERROR(SEARCH("Pesquisa de Preços",D5971)))</formula>
    </cfRule>
  </conditionalFormatting>
  <conditionalFormatting sqref="D5983">
    <cfRule type="containsText" dxfId="1146" priority="2849" operator="containsText" text="Pesquisa de Preços">
      <formula>NOT(ISERROR(SEARCH("Pesquisa de Preços",D5983)))</formula>
    </cfRule>
  </conditionalFormatting>
  <conditionalFormatting sqref="D5959">
    <cfRule type="containsText" dxfId="1145" priority="2853" operator="containsText" text="Pesquisa de Preços">
      <formula>NOT(ISERROR(SEARCH("Pesquisa de Preços",D5959)))</formula>
    </cfRule>
  </conditionalFormatting>
  <conditionalFormatting sqref="D5991">
    <cfRule type="containsText" dxfId="1144" priority="2844" operator="containsText" text="Pesquisa de Preços">
      <formula>NOT(ISERROR(SEARCH("Pesquisa de Preços",D5991)))</formula>
    </cfRule>
  </conditionalFormatting>
  <conditionalFormatting sqref="D6031">
    <cfRule type="containsText" dxfId="1143" priority="2804" operator="containsText" text="Pesquisa de Preços">
      <formula>NOT(ISERROR(SEARCH("Pesquisa de Preços",D6031)))</formula>
    </cfRule>
  </conditionalFormatting>
  <conditionalFormatting sqref="D5999">
    <cfRule type="containsText" dxfId="1142" priority="2836" operator="containsText" text="Pesquisa de Preços">
      <formula>NOT(ISERROR(SEARCH("Pesquisa de Preços",D5999)))</formula>
    </cfRule>
  </conditionalFormatting>
  <conditionalFormatting sqref="D6011">
    <cfRule type="containsText" dxfId="1141" priority="2824" operator="containsText" text="Pesquisa de Preços">
      <formula>NOT(ISERROR(SEARCH("Pesquisa de Preços",D6011)))</formula>
    </cfRule>
  </conditionalFormatting>
  <conditionalFormatting sqref="D5995">
    <cfRule type="containsText" dxfId="1140" priority="2840" operator="containsText" text="Pesquisa de Preços">
      <formula>NOT(ISERROR(SEARCH("Pesquisa de Preços",D5995)))</formula>
    </cfRule>
  </conditionalFormatting>
  <conditionalFormatting sqref="D6019">
    <cfRule type="containsText" dxfId="1139" priority="2816" operator="containsText" text="Pesquisa de Preços">
      <formula>NOT(ISERROR(SEARCH("Pesquisa de Preços",D6019)))</formula>
    </cfRule>
  </conditionalFormatting>
  <conditionalFormatting sqref="D6003">
    <cfRule type="containsText" dxfId="1138" priority="2832" operator="containsText" text="Pesquisa de Preços">
      <formula>NOT(ISERROR(SEARCH("Pesquisa de Preços",D6003)))</formula>
    </cfRule>
  </conditionalFormatting>
  <conditionalFormatting sqref="D6007">
    <cfRule type="containsText" dxfId="1137" priority="2828" operator="containsText" text="Pesquisa de Preços">
      <formula>NOT(ISERROR(SEARCH("Pesquisa de Preços",D6007)))</formula>
    </cfRule>
  </conditionalFormatting>
  <conditionalFormatting sqref="D6015">
    <cfRule type="containsText" dxfId="1136" priority="2820" operator="containsText" text="Pesquisa de Preços">
      <formula>NOT(ISERROR(SEARCH("Pesquisa de Preços",D6015)))</formula>
    </cfRule>
  </conditionalFormatting>
  <conditionalFormatting sqref="D6023">
    <cfRule type="containsText" dxfId="1135" priority="2812" operator="containsText" text="Pesquisa de Preços">
      <formula>NOT(ISERROR(SEARCH("Pesquisa de Preços",D6023)))</formula>
    </cfRule>
  </conditionalFormatting>
  <conditionalFormatting sqref="D6059">
    <cfRule type="containsText" dxfId="1134" priority="2776" operator="containsText" text="Pesquisa de Preços">
      <formula>NOT(ISERROR(SEARCH("Pesquisa de Preços",D6059)))</formula>
    </cfRule>
  </conditionalFormatting>
  <conditionalFormatting sqref="D6063">
    <cfRule type="containsText" dxfId="1133" priority="2772" operator="containsText" text="Pesquisa de Preços">
      <formula>NOT(ISERROR(SEARCH("Pesquisa de Preços",D6063)))</formula>
    </cfRule>
  </conditionalFormatting>
  <conditionalFormatting sqref="D5535">
    <cfRule type="containsText" dxfId="1132" priority="2599" operator="containsText" text="Pesquisa de Preços">
      <formula>NOT(ISERROR(SEARCH("Pesquisa de Preços",D5535)))</formula>
    </cfRule>
  </conditionalFormatting>
  <conditionalFormatting sqref="D5529">
    <cfRule type="containsText" dxfId="1131" priority="2600" operator="containsText" text="Pesquisa de Preços">
      <formula>NOT(ISERROR(SEARCH("Pesquisa de Preços",D5529)))</formula>
    </cfRule>
  </conditionalFormatting>
  <conditionalFormatting sqref="D2772">
    <cfRule type="containsText" dxfId="1130" priority="2746" operator="containsText" text="Pesquisa de Preços">
      <formula>NOT(ISERROR(SEARCH("Pesquisa de Preços",D2772)))</formula>
    </cfRule>
  </conditionalFormatting>
  <conditionalFormatting sqref="D2764">
    <cfRule type="containsText" dxfId="1129" priority="2736" operator="containsText" text="Pesquisa de Preços">
      <formula>NOT(ISERROR(SEARCH("Pesquisa de Preços",D2764)))</formula>
    </cfRule>
  </conditionalFormatting>
  <conditionalFormatting sqref="D6139">
    <cfRule type="containsText" dxfId="1128" priority="2741" operator="containsText" text="Pesquisa de Preços">
      <formula>NOT(ISERROR(SEARCH("Pesquisa de Preços",D6139)))</formula>
    </cfRule>
  </conditionalFormatting>
  <conditionalFormatting sqref="D5483">
    <cfRule type="containsText" dxfId="1127" priority="2729" operator="containsText" text="Pesquisa de Preços">
      <formula>NOT(ISERROR(SEARCH("Pesquisa de Preços",D5483)))</formula>
    </cfRule>
  </conditionalFormatting>
  <conditionalFormatting sqref="D2766">
    <cfRule type="containsText" dxfId="1126" priority="2735" operator="containsText" text="Pesquisa de Preços">
      <formula>NOT(ISERROR(SEARCH("Pesquisa de Preços",D2766)))</formula>
    </cfRule>
  </conditionalFormatting>
  <conditionalFormatting sqref="D5633">
    <cfRule type="containsText" dxfId="1125" priority="2581" operator="containsText" text="Pesquisa de Preços">
      <formula>NOT(ISERROR(SEARCH("Pesquisa de Preços",D5633)))</formula>
    </cfRule>
  </conditionalFormatting>
  <conditionalFormatting sqref="D5657">
    <cfRule type="containsText" dxfId="1124" priority="2575" operator="containsText" text="Pesquisa de Preços">
      <formula>NOT(ISERROR(SEARCH("Pesquisa de Preços",D5657)))</formula>
    </cfRule>
  </conditionalFormatting>
  <conditionalFormatting sqref="D5495">
    <cfRule type="containsText" dxfId="1123" priority="2721" operator="containsText" text="Pesquisa de Preços">
      <formula>NOT(ISERROR(SEARCH("Pesquisa de Preços",D5495)))</formula>
    </cfRule>
  </conditionalFormatting>
  <conditionalFormatting sqref="D5649">
    <cfRule type="containsText" dxfId="1122" priority="2577" operator="containsText" text="Pesquisa de Preços">
      <formula>NOT(ISERROR(SEARCH("Pesquisa de Preços",D5649)))</formula>
    </cfRule>
  </conditionalFormatting>
  <conditionalFormatting sqref="D5501 D5507 D5513 D5519 D5543 D5549">
    <cfRule type="containsText" dxfId="1121" priority="2713" operator="containsText" text="Pesquisa de Preços">
      <formula>NOT(ISERROR(SEARCH("Pesquisa de Preços",D5501)))</formula>
    </cfRule>
  </conditionalFormatting>
  <conditionalFormatting sqref="D5661">
    <cfRule type="containsText" dxfId="1120" priority="2574" operator="containsText" text="Pesquisa de Preços">
      <formula>NOT(ISERROR(SEARCH("Pesquisa de Preços",D5661)))</formula>
    </cfRule>
  </conditionalFormatting>
  <conditionalFormatting sqref="D5579">
    <cfRule type="containsText" dxfId="1119" priority="2705" operator="containsText" text="Pesquisa de Preços">
      <formula>NOT(ISERROR(SEARCH("Pesquisa de Preços",D5579)))</formula>
    </cfRule>
  </conditionalFormatting>
  <conditionalFormatting sqref="D5689">
    <cfRule type="containsText" dxfId="1118" priority="2567" operator="containsText" text="Pesquisa de Preços">
      <formula>NOT(ISERROR(SEARCH("Pesquisa de Preços",D5689)))</formula>
    </cfRule>
  </conditionalFormatting>
  <conditionalFormatting sqref="D5585">
    <cfRule type="containsText" dxfId="1117" priority="2697" operator="containsText" text="Pesquisa de Preços">
      <formula>NOT(ISERROR(SEARCH("Pesquisa de Preços",D5585)))</formula>
    </cfRule>
  </conditionalFormatting>
  <conditionalFormatting sqref="D5717">
    <cfRule type="containsText" dxfId="1116" priority="2560" operator="containsText" text="Pesquisa de Preços">
      <formula>NOT(ISERROR(SEARCH("Pesquisa de Preços",D5717)))</formula>
    </cfRule>
  </conditionalFormatting>
  <conditionalFormatting sqref="D5591">
    <cfRule type="containsText" dxfId="1115" priority="2689" operator="containsText" text="Pesquisa de Preços">
      <formula>NOT(ISERROR(SEARCH("Pesquisa de Preços",D5591)))</formula>
    </cfRule>
  </conditionalFormatting>
  <conditionalFormatting sqref="D5781">
    <cfRule type="containsText" dxfId="1114" priority="2544" operator="containsText" text="Pesquisa de Preços">
      <formula>NOT(ISERROR(SEARCH("Pesquisa de Preços",D5781)))</formula>
    </cfRule>
  </conditionalFormatting>
  <conditionalFormatting sqref="D5597">
    <cfRule type="containsText" dxfId="1113" priority="2681" operator="containsText" text="Pesquisa de Preços">
      <formula>NOT(ISERROR(SEARCH("Pesquisa de Preços",D5597)))</formula>
    </cfRule>
  </conditionalFormatting>
  <conditionalFormatting sqref="D5853">
    <cfRule type="containsText" dxfId="1112" priority="2526" operator="containsText" text="Pesquisa de Preços">
      <formula>NOT(ISERROR(SEARCH("Pesquisa de Preços",D5853)))</formula>
    </cfRule>
  </conditionalFormatting>
  <conditionalFormatting sqref="D5489">
    <cfRule type="containsText" dxfId="1111" priority="2673" operator="containsText" text="Pesquisa de Preços">
      <formula>NOT(ISERROR(SEARCH("Pesquisa de Preços",D5489)))</formula>
    </cfRule>
  </conditionalFormatting>
  <conditionalFormatting sqref="D5857">
    <cfRule type="containsText" dxfId="1110" priority="2525" operator="containsText" text="Pesquisa de Preços">
      <formula>NOT(ISERROR(SEARCH("Pesquisa de Preços",D5857)))</formula>
    </cfRule>
  </conditionalFormatting>
  <conditionalFormatting sqref="D5525">
    <cfRule type="containsText" dxfId="1109" priority="2665" operator="containsText" text="Pesquisa de Preços">
      <formula>NOT(ISERROR(SEARCH("Pesquisa de Preços",D5525)))</formula>
    </cfRule>
  </conditionalFormatting>
  <conditionalFormatting sqref="D5885">
    <cfRule type="containsText" dxfId="1108" priority="2518" operator="containsText" text="Pesquisa de Preços">
      <formula>NOT(ISERROR(SEARCH("Pesquisa de Preços",D5885)))</formula>
    </cfRule>
  </conditionalFormatting>
  <conditionalFormatting sqref="D5531">
    <cfRule type="containsText" dxfId="1107" priority="2657" operator="containsText" text="Pesquisa de Preços">
      <formula>NOT(ISERROR(SEARCH("Pesquisa de Preços",D5531)))</formula>
    </cfRule>
  </conditionalFormatting>
  <conditionalFormatting sqref="D5913">
    <cfRule type="containsText" dxfId="1106" priority="2511" operator="containsText" text="Pesquisa de Preços">
      <formula>NOT(ISERROR(SEARCH("Pesquisa de Preços",D5913)))</formula>
    </cfRule>
  </conditionalFormatting>
  <conditionalFormatting sqref="D5537">
    <cfRule type="containsText" dxfId="1105" priority="2649" operator="containsText" text="Pesquisa de Preços">
      <formula>NOT(ISERROR(SEARCH("Pesquisa de Preços",D5537)))</formula>
    </cfRule>
  </conditionalFormatting>
  <conditionalFormatting sqref="D5933 D5929">
    <cfRule type="containsText" dxfId="1104" priority="2506" operator="containsText" text="Pesquisa de Preços">
      <formula>NOT(ISERROR(SEARCH("Pesquisa de Preços",D5929)))</formula>
    </cfRule>
  </conditionalFormatting>
  <conditionalFormatting sqref="D5961">
    <cfRule type="containsText" dxfId="1103" priority="2499" operator="containsText" text="Pesquisa de Preços">
      <formula>NOT(ISERROR(SEARCH("Pesquisa de Preços",D5961)))</formula>
    </cfRule>
  </conditionalFormatting>
  <conditionalFormatting sqref="D5561">
    <cfRule type="containsText" dxfId="1102" priority="2633" operator="containsText" text="Pesquisa de Preços">
      <formula>NOT(ISERROR(SEARCH("Pesquisa de Preços",D5561)))</formula>
    </cfRule>
  </conditionalFormatting>
  <conditionalFormatting sqref="D5985">
    <cfRule type="containsText" dxfId="1101" priority="2493" operator="containsText" text="Pesquisa de Preços">
      <formula>NOT(ISERROR(SEARCH("Pesquisa de Preços",D5985)))</formula>
    </cfRule>
  </conditionalFormatting>
  <conditionalFormatting sqref="D5567">
    <cfRule type="containsText" dxfId="1100" priority="2625" operator="containsText" text="Pesquisa de Preços">
      <formula>NOT(ISERROR(SEARCH("Pesquisa de Preços",D5567)))</formula>
    </cfRule>
  </conditionalFormatting>
  <conditionalFormatting sqref="D6017">
    <cfRule type="containsText" dxfId="1099" priority="2485" operator="containsText" text="Pesquisa de Preços">
      <formula>NOT(ISERROR(SEARCH("Pesquisa de Preços",D6017)))</formula>
    </cfRule>
  </conditionalFormatting>
  <conditionalFormatting sqref="D5573">
    <cfRule type="containsText" dxfId="1098" priority="2617" operator="containsText" text="Pesquisa de Preços">
      <formula>NOT(ISERROR(SEARCH("Pesquisa de Preços",D5573)))</formula>
    </cfRule>
  </conditionalFormatting>
  <conditionalFormatting sqref="D6061">
    <cfRule type="containsText" dxfId="1097" priority="2476" operator="containsText" text="Pesquisa de Preços">
      <formula>NOT(ISERROR(SEARCH("Pesquisa de Preços",D6061)))</formula>
    </cfRule>
  </conditionalFormatting>
  <conditionalFormatting sqref="D5481">
    <cfRule type="containsText" dxfId="1096" priority="2609" operator="containsText" text="Pesquisa de Preços">
      <formula>NOT(ISERROR(SEARCH("Pesquisa de Preços",D5481)))</formula>
    </cfRule>
  </conditionalFormatting>
  <conditionalFormatting sqref="D5487">
    <cfRule type="containsText" dxfId="1095" priority="2608" operator="containsText" text="Pesquisa de Preços">
      <formula>NOT(ISERROR(SEARCH("Pesquisa de Preços",D5487)))</formula>
    </cfRule>
  </conditionalFormatting>
  <conditionalFormatting sqref="D5493">
    <cfRule type="containsText" dxfId="1094" priority="2607" operator="containsText" text="Pesquisa de Preços">
      <formula>NOT(ISERROR(SEARCH("Pesquisa de Preços",D5493)))</formula>
    </cfRule>
  </conditionalFormatting>
  <conditionalFormatting sqref="D5499">
    <cfRule type="containsText" dxfId="1093" priority="2606" operator="containsText" text="Pesquisa de Preços">
      <formula>NOT(ISERROR(SEARCH("Pesquisa de Preços",D5499)))</formula>
    </cfRule>
  </conditionalFormatting>
  <conditionalFormatting sqref="D5505">
    <cfRule type="containsText" dxfId="1092" priority="2605" operator="containsText" text="Pesquisa de Preços">
      <formula>NOT(ISERROR(SEARCH("Pesquisa de Preços",D5505)))</formula>
    </cfRule>
  </conditionalFormatting>
  <conditionalFormatting sqref="D5511">
    <cfRule type="containsText" dxfId="1091" priority="2604" operator="containsText" text="Pesquisa de Preços">
      <formula>NOT(ISERROR(SEARCH("Pesquisa de Preços",D5511)))</formula>
    </cfRule>
  </conditionalFormatting>
  <conditionalFormatting sqref="D6137">
    <cfRule type="containsText" dxfId="1090" priority="2461" operator="containsText" text="Pesquisa de Preços">
      <formula>NOT(ISERROR(SEARCH("Pesquisa de Preços",D6137)))</formula>
    </cfRule>
  </conditionalFormatting>
  <conditionalFormatting sqref="D5517">
    <cfRule type="containsText" dxfId="1089" priority="2602" operator="containsText" text="Pesquisa de Preços">
      <formula>NOT(ISERROR(SEARCH("Pesquisa de Preços",D5517)))</formula>
    </cfRule>
  </conditionalFormatting>
  <conditionalFormatting sqref="D5523">
    <cfRule type="containsText" dxfId="1088" priority="2601" operator="containsText" text="Pesquisa de Preços">
      <formula>NOT(ISERROR(SEARCH("Pesquisa de Preços",D5523)))</formula>
    </cfRule>
  </conditionalFormatting>
  <conditionalFormatting sqref="D5583">
    <cfRule type="containsText" dxfId="1087" priority="2591" operator="containsText" text="Pesquisa de Preços">
      <formula>NOT(ISERROR(SEARCH("Pesquisa de Preços",D5583)))</formula>
    </cfRule>
  </conditionalFormatting>
  <conditionalFormatting sqref="D5589">
    <cfRule type="containsText" dxfId="1086" priority="2590" operator="containsText" text="Pesquisa de Preços">
      <formula>NOT(ISERROR(SEARCH("Pesquisa de Preços",D5589)))</formula>
    </cfRule>
  </conditionalFormatting>
  <conditionalFormatting sqref="D5541">
    <cfRule type="containsText" dxfId="1085" priority="2598" operator="containsText" text="Pesquisa de Preços">
      <formula>NOT(ISERROR(SEARCH("Pesquisa de Preços",D5541)))</formula>
    </cfRule>
  </conditionalFormatting>
  <conditionalFormatting sqref="D5547">
    <cfRule type="containsText" dxfId="1084" priority="2597" operator="containsText" text="Pesquisa de Preços">
      <formula>NOT(ISERROR(SEARCH("Pesquisa de Preços",D5547)))</formula>
    </cfRule>
  </conditionalFormatting>
  <conditionalFormatting sqref="D5553">
    <cfRule type="containsText" dxfId="1083" priority="2596" operator="containsText" text="Pesquisa de Preços">
      <formula>NOT(ISERROR(SEARCH("Pesquisa de Preços",D5553)))</formula>
    </cfRule>
  </conditionalFormatting>
  <conditionalFormatting sqref="D5565 D5559">
    <cfRule type="containsText" dxfId="1082" priority="2594" operator="containsText" text="Pesquisa de Preços">
      <formula>NOT(ISERROR(SEARCH("Pesquisa de Preços",D5559)))</formula>
    </cfRule>
  </conditionalFormatting>
  <conditionalFormatting sqref="D5571">
    <cfRule type="containsText" dxfId="1081" priority="2593" operator="containsText" text="Pesquisa de Preços">
      <formula>NOT(ISERROR(SEARCH("Pesquisa de Preços",D5571)))</formula>
    </cfRule>
  </conditionalFormatting>
  <conditionalFormatting sqref="D5577">
    <cfRule type="containsText" dxfId="1080" priority="2592" operator="containsText" text="Pesquisa de Preços">
      <formula>NOT(ISERROR(SEARCH("Pesquisa de Preços",D5577)))</formula>
    </cfRule>
  </conditionalFormatting>
  <conditionalFormatting sqref="D5595">
    <cfRule type="containsText" dxfId="1079" priority="2589" operator="containsText" text="Pesquisa de Preços">
      <formula>NOT(ISERROR(SEARCH("Pesquisa de Preços",D5595)))</formula>
    </cfRule>
  </conditionalFormatting>
  <conditionalFormatting sqref="D5605">
    <cfRule type="containsText" dxfId="1078" priority="2588" operator="containsText" text="Pesquisa de Preços">
      <formula>NOT(ISERROR(SEARCH("Pesquisa de Preços",D5605)))</formula>
    </cfRule>
  </conditionalFormatting>
  <conditionalFormatting sqref="D5609">
    <cfRule type="containsText" dxfId="1077" priority="2587" operator="containsText" text="Pesquisa de Preços">
      <formula>NOT(ISERROR(SEARCH("Pesquisa de Preços",D5609)))</formula>
    </cfRule>
  </conditionalFormatting>
  <conditionalFormatting sqref="D5613">
    <cfRule type="containsText" dxfId="1076" priority="2586" operator="containsText" text="Pesquisa de Preços">
      <formula>NOT(ISERROR(SEARCH("Pesquisa de Preços",D5613)))</formula>
    </cfRule>
  </conditionalFormatting>
  <conditionalFormatting sqref="D5617">
    <cfRule type="containsText" dxfId="1075" priority="2585" operator="containsText" text="Pesquisa de Preços">
      <formula>NOT(ISERROR(SEARCH("Pesquisa de Preços",D5617)))</formula>
    </cfRule>
  </conditionalFormatting>
  <conditionalFormatting sqref="D5621">
    <cfRule type="containsText" dxfId="1074" priority="2584" operator="containsText" text="Pesquisa de Preços">
      <formula>NOT(ISERROR(SEARCH("Pesquisa de Preços",D5621)))</formula>
    </cfRule>
  </conditionalFormatting>
  <conditionalFormatting sqref="D5625">
    <cfRule type="containsText" dxfId="1073" priority="2583" operator="containsText" text="Pesquisa de Preços">
      <formula>NOT(ISERROR(SEARCH("Pesquisa de Preços",D5625)))</formula>
    </cfRule>
  </conditionalFormatting>
  <conditionalFormatting sqref="D5629">
    <cfRule type="containsText" dxfId="1072" priority="2582" operator="containsText" text="Pesquisa de Preços">
      <formula>NOT(ISERROR(SEARCH("Pesquisa de Preços",D5629)))</formula>
    </cfRule>
  </conditionalFormatting>
  <conditionalFormatting sqref="D5637">
    <cfRule type="containsText" dxfId="1071" priority="2580" operator="containsText" text="Pesquisa de Preços">
      <formula>NOT(ISERROR(SEARCH("Pesquisa de Preços",D5637)))</formula>
    </cfRule>
  </conditionalFormatting>
  <conditionalFormatting sqref="D5641">
    <cfRule type="containsText" dxfId="1070" priority="2579" operator="containsText" text="Pesquisa de Preços">
      <formula>NOT(ISERROR(SEARCH("Pesquisa de Preços",D5641)))</formula>
    </cfRule>
  </conditionalFormatting>
  <conditionalFormatting sqref="D5645">
    <cfRule type="containsText" dxfId="1069" priority="2578" operator="containsText" text="Pesquisa de Preços">
      <formula>NOT(ISERROR(SEARCH("Pesquisa de Preços",D5645)))</formula>
    </cfRule>
  </conditionalFormatting>
  <conditionalFormatting sqref="D5685">
    <cfRule type="containsText" dxfId="1068" priority="2568" operator="containsText" text="Pesquisa de Preços">
      <formula>NOT(ISERROR(SEARCH("Pesquisa de Preços",D5685)))</formula>
    </cfRule>
  </conditionalFormatting>
  <conditionalFormatting sqref="D5653">
    <cfRule type="containsText" dxfId="1067" priority="2576" operator="containsText" text="Pesquisa de Preços">
      <formula>NOT(ISERROR(SEARCH("Pesquisa de Preços",D5653)))</formula>
    </cfRule>
  </conditionalFormatting>
  <conditionalFormatting sqref="D5693">
    <cfRule type="containsText" dxfId="1066" priority="2566" operator="containsText" text="Pesquisa de Preços">
      <formula>NOT(ISERROR(SEARCH("Pesquisa de Preços",D5693)))</formula>
    </cfRule>
  </conditionalFormatting>
  <conditionalFormatting sqref="D5697">
    <cfRule type="containsText" dxfId="1065" priority="2565" operator="containsText" text="Pesquisa de Preços">
      <formula>NOT(ISERROR(SEARCH("Pesquisa de Preços",D5697)))</formula>
    </cfRule>
  </conditionalFormatting>
  <conditionalFormatting sqref="D5665">
    <cfRule type="containsText" dxfId="1064" priority="2573" operator="containsText" text="Pesquisa de Preços">
      <formula>NOT(ISERROR(SEARCH("Pesquisa de Preços",D5665)))</formula>
    </cfRule>
  </conditionalFormatting>
  <conditionalFormatting sqref="D5673 D5669">
    <cfRule type="containsText" dxfId="1063" priority="2571" operator="containsText" text="Pesquisa de Preços">
      <formula>NOT(ISERROR(SEARCH("Pesquisa de Preços",D5669)))</formula>
    </cfRule>
  </conditionalFormatting>
  <conditionalFormatting sqref="D5677">
    <cfRule type="containsText" dxfId="1062" priority="2570" operator="containsText" text="Pesquisa de Preços">
      <formula>NOT(ISERROR(SEARCH("Pesquisa de Preços",D5677)))</formula>
    </cfRule>
  </conditionalFormatting>
  <conditionalFormatting sqref="D5681">
    <cfRule type="containsText" dxfId="1061" priority="2569" operator="containsText" text="Pesquisa de Preços">
      <formula>NOT(ISERROR(SEARCH("Pesquisa de Preços",D5681)))</formula>
    </cfRule>
  </conditionalFormatting>
  <conditionalFormatting sqref="D5725">
    <cfRule type="containsText" dxfId="1060" priority="2558" operator="containsText" text="Pesquisa de Preços">
      <formula>NOT(ISERROR(SEARCH("Pesquisa de Preços",D5725)))</formula>
    </cfRule>
  </conditionalFormatting>
  <conditionalFormatting sqref="D5701">
    <cfRule type="containsText" dxfId="1059" priority="2564" operator="containsText" text="Pesquisa de Preços">
      <formula>NOT(ISERROR(SEARCH("Pesquisa de Preços",D5701)))</formula>
    </cfRule>
  </conditionalFormatting>
  <conditionalFormatting sqref="D5705">
    <cfRule type="containsText" dxfId="1058" priority="2563" operator="containsText" text="Pesquisa de Preços">
      <formula>NOT(ISERROR(SEARCH("Pesquisa de Preços",D5705)))</formula>
    </cfRule>
  </conditionalFormatting>
  <conditionalFormatting sqref="D5709">
    <cfRule type="containsText" dxfId="1057" priority="2562" operator="containsText" text="Pesquisa de Preços">
      <formula>NOT(ISERROR(SEARCH("Pesquisa de Preços",D5709)))</formula>
    </cfRule>
  </conditionalFormatting>
  <conditionalFormatting sqref="D5713">
    <cfRule type="containsText" dxfId="1056" priority="2561" operator="containsText" text="Pesquisa de Preços">
      <formula>NOT(ISERROR(SEARCH("Pesquisa de Preços",D5713)))</formula>
    </cfRule>
  </conditionalFormatting>
  <conditionalFormatting sqref="D5753">
    <cfRule type="containsText" dxfId="1055" priority="2551" operator="containsText" text="Pesquisa de Preços">
      <formula>NOT(ISERROR(SEARCH("Pesquisa de Preços",D5753)))</formula>
    </cfRule>
  </conditionalFormatting>
  <conditionalFormatting sqref="D5721">
    <cfRule type="containsText" dxfId="1054" priority="2559" operator="containsText" text="Pesquisa de Preços">
      <formula>NOT(ISERROR(SEARCH("Pesquisa de Preços",D5721)))</formula>
    </cfRule>
  </conditionalFormatting>
  <conditionalFormatting sqref="D5729">
    <cfRule type="containsText" dxfId="1053" priority="2557" operator="containsText" text="Pesquisa de Preços">
      <formula>NOT(ISERROR(SEARCH("Pesquisa de Preços",D5729)))</formula>
    </cfRule>
  </conditionalFormatting>
  <conditionalFormatting sqref="D5733">
    <cfRule type="containsText" dxfId="1052" priority="2556" operator="containsText" text="Pesquisa de Preços">
      <formula>NOT(ISERROR(SEARCH("Pesquisa de Preços",D5733)))</formula>
    </cfRule>
  </conditionalFormatting>
  <conditionalFormatting sqref="D5737">
    <cfRule type="containsText" dxfId="1051" priority="2555" operator="containsText" text="Pesquisa de Preços">
      <formula>NOT(ISERROR(SEARCH("Pesquisa de Preços",D5737)))</formula>
    </cfRule>
  </conditionalFormatting>
  <conditionalFormatting sqref="D5741">
    <cfRule type="containsText" dxfId="1050" priority="2554" operator="containsText" text="Pesquisa de Preços">
      <formula>NOT(ISERROR(SEARCH("Pesquisa de Preços",D5741)))</formula>
    </cfRule>
  </conditionalFormatting>
  <conditionalFormatting sqref="D5749 D5745">
    <cfRule type="containsText" dxfId="1049" priority="2552" operator="containsText" text="Pesquisa de Preços">
      <formula>NOT(ISERROR(SEARCH("Pesquisa de Preços",D5745)))</formula>
    </cfRule>
  </conditionalFormatting>
  <conditionalFormatting sqref="D5757">
    <cfRule type="containsText" dxfId="1048" priority="2550" operator="containsText" text="Pesquisa de Preços">
      <formula>NOT(ISERROR(SEARCH("Pesquisa de Preços",D5757)))</formula>
    </cfRule>
  </conditionalFormatting>
  <conditionalFormatting sqref="D5761">
    <cfRule type="containsText" dxfId="1047" priority="2549" operator="containsText" text="Pesquisa de Preços">
      <formula>NOT(ISERROR(SEARCH("Pesquisa de Preços",D5761)))</formula>
    </cfRule>
  </conditionalFormatting>
  <conditionalFormatting sqref="D5765">
    <cfRule type="containsText" dxfId="1046" priority="2548" operator="containsText" text="Pesquisa de Preços">
      <formula>NOT(ISERROR(SEARCH("Pesquisa de Preços",D5765)))</formula>
    </cfRule>
  </conditionalFormatting>
  <conditionalFormatting sqref="D5769">
    <cfRule type="containsText" dxfId="1045" priority="2547" operator="containsText" text="Pesquisa de Preços">
      <formula>NOT(ISERROR(SEARCH("Pesquisa de Preços",D5769)))</formula>
    </cfRule>
  </conditionalFormatting>
  <conditionalFormatting sqref="D5773">
    <cfRule type="containsText" dxfId="1044" priority="2546" operator="containsText" text="Pesquisa de Preços">
      <formula>NOT(ISERROR(SEARCH("Pesquisa de Preços",D5773)))</formula>
    </cfRule>
  </conditionalFormatting>
  <conditionalFormatting sqref="D5777">
    <cfRule type="containsText" dxfId="1043" priority="2545" operator="containsText" text="Pesquisa de Preços">
      <formula>NOT(ISERROR(SEARCH("Pesquisa de Preços",D5777)))</formula>
    </cfRule>
  </conditionalFormatting>
  <conditionalFormatting sqref="D5785">
    <cfRule type="containsText" dxfId="1042" priority="2543" operator="containsText" text="Pesquisa de Preços">
      <formula>NOT(ISERROR(SEARCH("Pesquisa de Preços",D5785)))</formula>
    </cfRule>
  </conditionalFormatting>
  <conditionalFormatting sqref="D5789">
    <cfRule type="containsText" dxfId="1041" priority="2542" operator="containsText" text="Pesquisa de Preços">
      <formula>NOT(ISERROR(SEARCH("Pesquisa de Preços",D5789)))</formula>
    </cfRule>
  </conditionalFormatting>
  <conditionalFormatting sqref="D5793">
    <cfRule type="containsText" dxfId="1040" priority="2541" operator="containsText" text="Pesquisa de Preços">
      <formula>NOT(ISERROR(SEARCH("Pesquisa de Preços",D5793)))</formula>
    </cfRule>
  </conditionalFormatting>
  <conditionalFormatting sqref="D5797">
    <cfRule type="containsText" dxfId="1039" priority="2540" operator="containsText" text="Pesquisa de Preços">
      <formula>NOT(ISERROR(SEARCH("Pesquisa de Preços",D5797)))</formula>
    </cfRule>
  </conditionalFormatting>
  <conditionalFormatting sqref="D5801">
    <cfRule type="containsText" dxfId="1038" priority="2539" operator="containsText" text="Pesquisa de Preços">
      <formula>NOT(ISERROR(SEARCH("Pesquisa de Preços",D5801)))</formula>
    </cfRule>
  </conditionalFormatting>
  <conditionalFormatting sqref="D5805">
    <cfRule type="containsText" dxfId="1037" priority="2538" operator="containsText" text="Pesquisa de Preços">
      <formula>NOT(ISERROR(SEARCH("Pesquisa de Preços",D5805)))</formula>
    </cfRule>
  </conditionalFormatting>
  <conditionalFormatting sqref="D5809">
    <cfRule type="containsText" dxfId="1036" priority="2537" operator="containsText" text="Pesquisa de Preços">
      <formula>NOT(ISERROR(SEARCH("Pesquisa de Preços",D5809)))</formula>
    </cfRule>
  </conditionalFormatting>
  <conditionalFormatting sqref="D5813">
    <cfRule type="containsText" dxfId="1035" priority="2536" operator="containsText" text="Pesquisa de Preços">
      <formula>NOT(ISERROR(SEARCH("Pesquisa de Preços",D5813)))</formula>
    </cfRule>
  </conditionalFormatting>
  <conditionalFormatting sqref="D5817">
    <cfRule type="containsText" dxfId="1034" priority="2535" operator="containsText" text="Pesquisa de Preços">
      <formula>NOT(ISERROR(SEARCH("Pesquisa de Preços",D5817)))</formula>
    </cfRule>
  </conditionalFormatting>
  <conditionalFormatting sqref="D5821">
    <cfRule type="containsText" dxfId="1033" priority="2534" operator="containsText" text="Pesquisa de Preços">
      <formula>NOT(ISERROR(SEARCH("Pesquisa de Preços",D5821)))</formula>
    </cfRule>
  </conditionalFormatting>
  <conditionalFormatting sqref="D5825">
    <cfRule type="containsText" dxfId="1032" priority="2533" operator="containsText" text="Pesquisa de Preços">
      <formula>NOT(ISERROR(SEARCH("Pesquisa de Preços",D5825)))</formula>
    </cfRule>
  </conditionalFormatting>
  <conditionalFormatting sqref="D5829">
    <cfRule type="containsText" dxfId="1031" priority="2532" operator="containsText" text="Pesquisa de Preços">
      <formula>NOT(ISERROR(SEARCH("Pesquisa de Preços",D5829)))</formula>
    </cfRule>
  </conditionalFormatting>
  <conditionalFormatting sqref="D5833">
    <cfRule type="containsText" dxfId="1030" priority="2531" operator="containsText" text="Pesquisa de Preços">
      <formula>NOT(ISERROR(SEARCH("Pesquisa de Preços",D5833)))</formula>
    </cfRule>
  </conditionalFormatting>
  <conditionalFormatting sqref="D5837">
    <cfRule type="containsText" dxfId="1029" priority="2530" operator="containsText" text="Pesquisa de Preços">
      <formula>NOT(ISERROR(SEARCH("Pesquisa de Preços",D5837)))</formula>
    </cfRule>
  </conditionalFormatting>
  <conditionalFormatting sqref="D5841">
    <cfRule type="containsText" dxfId="1028" priority="2529" operator="containsText" text="Pesquisa de Preços">
      <formula>NOT(ISERROR(SEARCH("Pesquisa de Preços",D5841)))</formula>
    </cfRule>
  </conditionalFormatting>
  <conditionalFormatting sqref="D5845">
    <cfRule type="containsText" dxfId="1027" priority="2528" operator="containsText" text="Pesquisa de Preços">
      <formula>NOT(ISERROR(SEARCH("Pesquisa de Preços",D5845)))</formula>
    </cfRule>
  </conditionalFormatting>
  <conditionalFormatting sqref="D5849">
    <cfRule type="containsText" dxfId="1026" priority="2527" operator="containsText" text="Pesquisa de Preços">
      <formula>NOT(ISERROR(SEARCH("Pesquisa de Preços",D5849)))</formula>
    </cfRule>
  </conditionalFormatting>
  <conditionalFormatting sqref="D5889">
    <cfRule type="containsText" dxfId="1025" priority="2517" operator="containsText" text="Pesquisa de Preços">
      <formula>NOT(ISERROR(SEARCH("Pesquisa de Preços",D5889)))</formula>
    </cfRule>
  </conditionalFormatting>
  <conditionalFormatting sqref="D5893">
    <cfRule type="containsText" dxfId="1024" priority="2516" operator="containsText" text="Pesquisa de Preços">
      <formula>NOT(ISERROR(SEARCH("Pesquisa de Preços",D5893)))</formula>
    </cfRule>
  </conditionalFormatting>
  <conditionalFormatting sqref="D5861">
    <cfRule type="containsText" dxfId="1023" priority="2524" operator="containsText" text="Pesquisa de Preços">
      <formula>NOT(ISERROR(SEARCH("Pesquisa de Preços",D5861)))</formula>
    </cfRule>
  </conditionalFormatting>
  <conditionalFormatting sqref="D5865">
    <cfRule type="containsText" dxfId="1022" priority="2523" operator="containsText" text="Pesquisa de Preços">
      <formula>NOT(ISERROR(SEARCH("Pesquisa de Preços",D5865)))</formula>
    </cfRule>
  </conditionalFormatting>
  <conditionalFormatting sqref="D5869">
    <cfRule type="containsText" dxfId="1021" priority="2522" operator="containsText" text="Pesquisa de Preços">
      <formula>NOT(ISERROR(SEARCH("Pesquisa de Preços",D5869)))</formula>
    </cfRule>
  </conditionalFormatting>
  <conditionalFormatting sqref="D5873">
    <cfRule type="containsText" dxfId="1020" priority="2521" operator="containsText" text="Pesquisa de Preços">
      <formula>NOT(ISERROR(SEARCH("Pesquisa de Preços",D5873)))</formula>
    </cfRule>
  </conditionalFormatting>
  <conditionalFormatting sqref="D5877">
    <cfRule type="containsText" dxfId="1019" priority="2520" operator="containsText" text="Pesquisa de Preços">
      <formula>NOT(ISERROR(SEARCH("Pesquisa de Preços",D5877)))</formula>
    </cfRule>
  </conditionalFormatting>
  <conditionalFormatting sqref="D5881">
    <cfRule type="containsText" dxfId="1018" priority="2519" operator="containsText" text="Pesquisa de Preços">
      <formula>NOT(ISERROR(SEARCH("Pesquisa de Preços",D5881)))</formula>
    </cfRule>
  </conditionalFormatting>
  <conditionalFormatting sqref="D5921">
    <cfRule type="containsText" dxfId="1017" priority="2509" operator="containsText" text="Pesquisa de Preços">
      <formula>NOT(ISERROR(SEARCH("Pesquisa de Preços",D5921)))</formula>
    </cfRule>
  </conditionalFormatting>
  <conditionalFormatting sqref="D5897">
    <cfRule type="containsText" dxfId="1016" priority="2515" operator="containsText" text="Pesquisa de Preços">
      <formula>NOT(ISERROR(SEARCH("Pesquisa de Preços",D5897)))</formula>
    </cfRule>
  </conditionalFormatting>
  <conditionalFormatting sqref="D5901">
    <cfRule type="containsText" dxfId="1015" priority="2514" operator="containsText" text="Pesquisa de Preços">
      <formula>NOT(ISERROR(SEARCH("Pesquisa de Preços",D5901)))</formula>
    </cfRule>
  </conditionalFormatting>
  <conditionalFormatting sqref="D5905">
    <cfRule type="containsText" dxfId="1014" priority="2513" operator="containsText" text="Pesquisa de Preços">
      <formula>NOT(ISERROR(SEARCH("Pesquisa de Preços",D5905)))</formula>
    </cfRule>
  </conditionalFormatting>
  <conditionalFormatting sqref="D5909">
    <cfRule type="containsText" dxfId="1013" priority="2512" operator="containsText" text="Pesquisa de Preços">
      <formula>NOT(ISERROR(SEARCH("Pesquisa de Preços",D5909)))</formula>
    </cfRule>
  </conditionalFormatting>
  <conditionalFormatting sqref="D5949 D5945 D5941">
    <cfRule type="containsText" dxfId="1012" priority="2502" operator="containsText" text="Pesquisa de Preços">
      <formula>NOT(ISERROR(SEARCH("Pesquisa de Preços",D5941)))</formula>
    </cfRule>
  </conditionalFormatting>
  <conditionalFormatting sqref="D5917">
    <cfRule type="containsText" dxfId="1011" priority="2510" operator="containsText" text="Pesquisa de Preços">
      <formula>NOT(ISERROR(SEARCH("Pesquisa de Preços",D5917)))</formula>
    </cfRule>
  </conditionalFormatting>
  <conditionalFormatting sqref="D5925">
    <cfRule type="containsText" dxfId="1010" priority="2508" operator="containsText" text="Pesquisa de Preços">
      <formula>NOT(ISERROR(SEARCH("Pesquisa de Preços",D5925)))</formula>
    </cfRule>
  </conditionalFormatting>
  <conditionalFormatting sqref="D5937">
    <cfRule type="containsText" dxfId="1009" priority="2505" operator="containsText" text="Pesquisa de Preços">
      <formula>NOT(ISERROR(SEARCH("Pesquisa de Preços",D5937)))</formula>
    </cfRule>
  </conditionalFormatting>
  <conditionalFormatting sqref="D6133">
    <cfRule type="containsText" dxfId="1008" priority="2462" operator="containsText" text="Pesquisa de Preços">
      <formula>NOT(ISERROR(SEARCH("Pesquisa de Preços",D6133)))</formula>
    </cfRule>
  </conditionalFormatting>
  <conditionalFormatting sqref="D5953">
    <cfRule type="containsText" dxfId="1007" priority="2501" operator="containsText" text="Pesquisa de Preços">
      <formula>NOT(ISERROR(SEARCH("Pesquisa de Preços",D5953)))</formula>
    </cfRule>
  </conditionalFormatting>
  <conditionalFormatting sqref="D5957">
    <cfRule type="containsText" dxfId="1006" priority="2500" operator="containsText" text="Pesquisa de Preços">
      <formula>NOT(ISERROR(SEARCH("Pesquisa de Preços",D5957)))</formula>
    </cfRule>
  </conditionalFormatting>
  <conditionalFormatting sqref="D5997">
    <cfRule type="containsText" dxfId="1005" priority="2490" operator="containsText" text="Pesquisa de Preços">
      <formula>NOT(ISERROR(SEARCH("Pesquisa de Preços",D5997)))</formula>
    </cfRule>
  </conditionalFormatting>
  <conditionalFormatting sqref="D5965">
    <cfRule type="containsText" dxfId="1004" priority="2498" operator="containsText" text="Pesquisa de Preços">
      <formula>NOT(ISERROR(SEARCH("Pesquisa de Preços",D5965)))</formula>
    </cfRule>
  </conditionalFormatting>
  <conditionalFormatting sqref="D5973 D5969">
    <cfRule type="containsText" dxfId="1003" priority="2496" operator="containsText" text="Pesquisa de Preços">
      <formula>NOT(ISERROR(SEARCH("Pesquisa de Preços",D5969)))</formula>
    </cfRule>
  </conditionalFormatting>
  <conditionalFormatting sqref="D5977">
    <cfRule type="containsText" dxfId="1002" priority="2495" operator="containsText" text="Pesquisa de Preços">
      <formula>NOT(ISERROR(SEARCH("Pesquisa de Preços",D5977)))</formula>
    </cfRule>
  </conditionalFormatting>
  <conditionalFormatting sqref="D5981">
    <cfRule type="containsText" dxfId="1001" priority="2494" operator="containsText" text="Pesquisa de Preços">
      <formula>NOT(ISERROR(SEARCH("Pesquisa de Preços",D5981)))</formula>
    </cfRule>
  </conditionalFormatting>
  <conditionalFormatting sqref="D6021">
    <cfRule type="containsText" dxfId="1000" priority="2484" operator="containsText" text="Pesquisa de Preços">
      <formula>NOT(ISERROR(SEARCH("Pesquisa de Preços",D6021)))</formula>
    </cfRule>
  </conditionalFormatting>
  <conditionalFormatting sqref="D5989">
    <cfRule type="containsText" dxfId="999" priority="2492" operator="containsText" text="Pesquisa de Preços">
      <formula>NOT(ISERROR(SEARCH("Pesquisa de Preços",D5989)))</formula>
    </cfRule>
  </conditionalFormatting>
  <conditionalFormatting sqref="D5993">
    <cfRule type="containsText" dxfId="998" priority="2491" operator="containsText" text="Pesquisa de Preços">
      <formula>NOT(ISERROR(SEARCH("Pesquisa de Preços",D5993)))</formula>
    </cfRule>
  </conditionalFormatting>
  <conditionalFormatting sqref="D6001">
    <cfRule type="containsText" dxfId="997" priority="2489" operator="containsText" text="Pesquisa de Preços">
      <formula>NOT(ISERROR(SEARCH("Pesquisa de Preços",D6001)))</formula>
    </cfRule>
  </conditionalFormatting>
  <conditionalFormatting sqref="D6005">
    <cfRule type="containsText" dxfId="996" priority="2488" operator="containsText" text="Pesquisa de Preços">
      <formula>NOT(ISERROR(SEARCH("Pesquisa de Preços",D6005)))</formula>
    </cfRule>
  </conditionalFormatting>
  <conditionalFormatting sqref="D6009">
    <cfRule type="containsText" dxfId="995" priority="2487" operator="containsText" text="Pesquisa de Preços">
      <formula>NOT(ISERROR(SEARCH("Pesquisa de Preços",D6009)))</formula>
    </cfRule>
  </conditionalFormatting>
  <conditionalFormatting sqref="D6013">
    <cfRule type="containsText" dxfId="994" priority="2486" operator="containsText" text="Pesquisa de Preços">
      <formula>NOT(ISERROR(SEARCH("Pesquisa de Preços",D6013)))</formula>
    </cfRule>
  </conditionalFormatting>
  <conditionalFormatting sqref="D6029">
    <cfRule type="containsText" dxfId="993" priority="2482" operator="containsText" text="Pesquisa de Preços">
      <formula>NOT(ISERROR(SEARCH("Pesquisa de Preços",D6029)))</formula>
    </cfRule>
  </conditionalFormatting>
  <conditionalFormatting sqref="D6033">
    <cfRule type="containsText" dxfId="992" priority="2481" operator="containsText" text="Pesquisa de Preços">
      <formula>NOT(ISERROR(SEARCH("Pesquisa de Preços",D6033)))</formula>
    </cfRule>
  </conditionalFormatting>
  <conditionalFormatting sqref="D6037">
    <cfRule type="containsText" dxfId="991" priority="2480" operator="containsText" text="Pesquisa de Preços">
      <formula>NOT(ISERROR(SEARCH("Pesquisa de Preços",D6037)))</formula>
    </cfRule>
  </conditionalFormatting>
  <conditionalFormatting sqref="D6049">
    <cfRule type="containsText" dxfId="990" priority="2479" operator="containsText" text="Pesquisa de Preços">
      <formula>NOT(ISERROR(SEARCH("Pesquisa de Preços",D6049)))</formula>
    </cfRule>
  </conditionalFormatting>
  <conditionalFormatting sqref="D6053">
    <cfRule type="containsText" dxfId="989" priority="2478" operator="containsText" text="Pesquisa de Preços">
      <formula>NOT(ISERROR(SEARCH("Pesquisa de Preços",D6053)))</formula>
    </cfRule>
  </conditionalFormatting>
  <conditionalFormatting sqref="D6057">
    <cfRule type="containsText" dxfId="988" priority="2477" operator="containsText" text="Pesquisa de Preços">
      <formula>NOT(ISERROR(SEARCH("Pesquisa de Preços",D6057)))</formula>
    </cfRule>
  </conditionalFormatting>
  <conditionalFormatting sqref="D6065">
    <cfRule type="containsText" dxfId="987" priority="2475" operator="containsText" text="Pesquisa de Preços">
      <formula>NOT(ISERROR(SEARCH("Pesquisa de Preços",D6065)))</formula>
    </cfRule>
  </conditionalFormatting>
  <conditionalFormatting sqref="D6069">
    <cfRule type="containsText" dxfId="986" priority="2474" operator="containsText" text="Pesquisa de Preços">
      <formula>NOT(ISERROR(SEARCH("Pesquisa de Preços",D6069)))</formula>
    </cfRule>
  </conditionalFormatting>
  <conditionalFormatting sqref="D6073">
    <cfRule type="containsText" dxfId="985" priority="2473" operator="containsText" text="Pesquisa de Preços">
      <formula>NOT(ISERROR(SEARCH("Pesquisa de Preços",D6073)))</formula>
    </cfRule>
  </conditionalFormatting>
  <conditionalFormatting sqref="D6077">
    <cfRule type="containsText" dxfId="984" priority="2472" operator="containsText" text="Pesquisa de Preços">
      <formula>NOT(ISERROR(SEARCH("Pesquisa de Preços",D6077)))</formula>
    </cfRule>
  </conditionalFormatting>
  <conditionalFormatting sqref="D6081">
    <cfRule type="containsText" dxfId="983" priority="2471" operator="containsText" text="Pesquisa de Preços">
      <formula>NOT(ISERROR(SEARCH("Pesquisa de Preços",D6081)))</formula>
    </cfRule>
  </conditionalFormatting>
  <conditionalFormatting sqref="D6085">
    <cfRule type="containsText" dxfId="982" priority="2470" operator="containsText" text="Pesquisa de Preços">
      <formula>NOT(ISERROR(SEARCH("Pesquisa de Preços",D6085)))</formula>
    </cfRule>
  </conditionalFormatting>
  <conditionalFormatting sqref="D6089">
    <cfRule type="containsText" dxfId="981" priority="2469" operator="containsText" text="Pesquisa de Preços">
      <formula>NOT(ISERROR(SEARCH("Pesquisa de Preços",D6089)))</formula>
    </cfRule>
  </conditionalFormatting>
  <conditionalFormatting sqref="D6093">
    <cfRule type="containsText" dxfId="980" priority="2468" operator="containsText" text="Pesquisa de Preços">
      <formula>NOT(ISERROR(SEARCH("Pesquisa de Preços",D6093)))</formula>
    </cfRule>
  </conditionalFormatting>
  <conditionalFormatting sqref="D6097">
    <cfRule type="containsText" dxfId="979" priority="2467" operator="containsText" text="Pesquisa de Preços">
      <formula>NOT(ISERROR(SEARCH("Pesquisa de Preços",D6097)))</formula>
    </cfRule>
  </conditionalFormatting>
  <conditionalFormatting sqref="D6101">
    <cfRule type="containsText" dxfId="978" priority="2466" operator="containsText" text="Pesquisa de Preços">
      <formula>NOT(ISERROR(SEARCH("Pesquisa de Preços",D6101)))</formula>
    </cfRule>
  </conditionalFormatting>
  <conditionalFormatting sqref="D6105">
    <cfRule type="containsText" dxfId="977" priority="2465" operator="containsText" text="Pesquisa de Preços">
      <formula>NOT(ISERROR(SEARCH("Pesquisa de Preços",D6105)))</formula>
    </cfRule>
  </conditionalFormatting>
  <conditionalFormatting sqref="D6121">
    <cfRule type="containsText" dxfId="976" priority="2464" operator="containsText" text="Pesquisa de Preços">
      <formula>NOT(ISERROR(SEARCH("Pesquisa de Preços",D6121)))</formula>
    </cfRule>
  </conditionalFormatting>
  <conditionalFormatting sqref="D6129">
    <cfRule type="containsText" dxfId="975" priority="2463" operator="containsText" text="Pesquisa de Preços">
      <formula>NOT(ISERROR(SEARCH("Pesquisa de Preços",D6129)))</formula>
    </cfRule>
  </conditionalFormatting>
  <conditionalFormatting sqref="D118">
    <cfRule type="containsText" dxfId="974" priority="2459" operator="containsText" text="Pesquisa de Preços">
      <formula>NOT(ISERROR(SEARCH("Pesquisa de Preços",D118)))</formula>
    </cfRule>
  </conditionalFormatting>
  <conditionalFormatting sqref="D119">
    <cfRule type="containsText" dxfId="973" priority="2458" operator="containsText" text="Pesquisa de Preços">
      <formula>NOT(ISERROR(SEARCH("Pesquisa de Preços",D119)))</formula>
    </cfRule>
  </conditionalFormatting>
  <conditionalFormatting sqref="E118">
    <cfRule type="containsText" dxfId="972" priority="2457" operator="containsText" text="Pesquisa de Preços">
      <formula>NOT(ISERROR(SEARCH("Pesquisa de Preços",E118)))</formula>
    </cfRule>
  </conditionalFormatting>
  <conditionalFormatting sqref="E119">
    <cfRule type="containsText" dxfId="971" priority="2456" operator="containsText" text="Pesquisa de Preços">
      <formula>NOT(ISERROR(SEARCH("Pesquisa de Preços",E119)))</formula>
    </cfRule>
  </conditionalFormatting>
  <conditionalFormatting sqref="D692:D693">
    <cfRule type="containsText" dxfId="970" priority="2450" operator="containsText" text="Pesquisa de Preços">
      <formula>NOT(ISERROR(SEARCH("Pesquisa de Preços",D692)))</formula>
    </cfRule>
  </conditionalFormatting>
  <conditionalFormatting sqref="E692:E693">
    <cfRule type="containsText" dxfId="969" priority="2449" operator="containsText" text="Pesquisa de Preços">
      <formula>NOT(ISERROR(SEARCH("Pesquisa de Preços",E692)))</formula>
    </cfRule>
  </conditionalFormatting>
  <conditionalFormatting sqref="D860">
    <cfRule type="containsText" dxfId="968" priority="2446" operator="containsText" text="Pesquisa de Preços">
      <formula>NOT(ISERROR(SEARCH("Pesquisa de Preços",D860)))</formula>
    </cfRule>
  </conditionalFormatting>
  <conditionalFormatting sqref="E860">
    <cfRule type="containsText" dxfId="967" priority="2445" operator="containsText" text="Pesquisa de Preços">
      <formula>NOT(ISERROR(SEARCH("Pesquisa de Preços",E860)))</formula>
    </cfRule>
  </conditionalFormatting>
  <conditionalFormatting sqref="D864">
    <cfRule type="containsText" dxfId="966" priority="2444" operator="containsText" text="Pesquisa de Preços">
      <formula>NOT(ISERROR(SEARCH("Pesquisa de Preços",D864)))</formula>
    </cfRule>
  </conditionalFormatting>
  <conditionalFormatting sqref="E864">
    <cfRule type="containsText" dxfId="965" priority="2443" operator="containsText" text="Pesquisa de Preços">
      <formula>NOT(ISERROR(SEARCH("Pesquisa de Preços",E864)))</formula>
    </cfRule>
  </conditionalFormatting>
  <conditionalFormatting sqref="D877">
    <cfRule type="containsText" dxfId="964" priority="2440" operator="containsText" text="Pesquisa de Preços">
      <formula>NOT(ISERROR(SEARCH("Pesquisa de Preços",D877)))</formula>
    </cfRule>
  </conditionalFormatting>
  <conditionalFormatting sqref="E877">
    <cfRule type="containsText" dxfId="963" priority="2439" operator="containsText" text="Pesquisa de Preços">
      <formula>NOT(ISERROR(SEARCH("Pesquisa de Preços",E877)))</formula>
    </cfRule>
  </conditionalFormatting>
  <conditionalFormatting sqref="E883">
    <cfRule type="containsText" dxfId="962" priority="2434" operator="containsText" text="Pesquisa de Preços">
      <formula>NOT(ISERROR(SEARCH("Pesquisa de Preços",E883)))</formula>
    </cfRule>
  </conditionalFormatting>
  <conditionalFormatting sqref="E884 E888">
    <cfRule type="containsText" dxfId="961" priority="2435" operator="containsText" text="Pesquisa de Preços">
      <formula>NOT(ISERROR(SEARCH("Pesquisa de Preços",E884)))</formula>
    </cfRule>
  </conditionalFormatting>
  <conditionalFormatting sqref="E885">
    <cfRule type="containsText" dxfId="960" priority="2429" operator="containsText" text="Pesquisa de Preços">
      <formula>NOT(ISERROR(SEARCH("Pesquisa de Preços",E885)))</formula>
    </cfRule>
  </conditionalFormatting>
  <conditionalFormatting sqref="D885">
    <cfRule type="containsText" dxfId="959" priority="2432" operator="containsText" text="Pesquisa de Preços">
      <formula>NOT(ISERROR(SEARCH("Pesquisa de Preços",D885)))</formula>
    </cfRule>
  </conditionalFormatting>
  <conditionalFormatting sqref="D5258">
    <cfRule type="containsText" dxfId="958" priority="2414" operator="containsText" text="Pesquisa de Preços">
      <formula>NOT(ISERROR(SEARCH("Pesquisa de Preços",D5258)))</formula>
    </cfRule>
  </conditionalFormatting>
  <conditionalFormatting sqref="D5259">
    <cfRule type="containsText" dxfId="957" priority="2418" operator="containsText" text="Pesquisa de Preços">
      <formula>NOT(ISERROR(SEARCH("Pesquisa de Preços",D5259)))</formula>
    </cfRule>
  </conditionalFormatting>
  <conditionalFormatting sqref="D5257">
    <cfRule type="containsText" dxfId="956" priority="2415" operator="containsText" text="Pesquisa de Preços">
      <formula>NOT(ISERROR(SEARCH("Pesquisa de Preços",D5257)))</formula>
    </cfRule>
  </conditionalFormatting>
  <conditionalFormatting sqref="D5246">
    <cfRule type="containsText" dxfId="955" priority="2383" operator="containsText" text="Pesquisa de Preços">
      <formula>NOT(ISERROR(SEARCH("Pesquisa de Preços",D5246)))</formula>
    </cfRule>
  </conditionalFormatting>
  <conditionalFormatting sqref="D5247">
    <cfRule type="containsText" dxfId="954" priority="2385" operator="containsText" text="Pesquisa de Preços">
      <formula>NOT(ISERROR(SEARCH("Pesquisa de Preços",D5247)))</formula>
    </cfRule>
  </conditionalFormatting>
  <conditionalFormatting sqref="D5244">
    <cfRule type="containsText" dxfId="953" priority="2384" operator="containsText" text="Pesquisa de Preços">
      <formula>NOT(ISERROR(SEARCH("Pesquisa de Preços",D5244)))</formula>
    </cfRule>
  </conditionalFormatting>
  <conditionalFormatting sqref="D5245">
    <cfRule type="containsText" dxfId="952" priority="2382" operator="containsText" text="Pesquisa de Preços">
      <formula>NOT(ISERROR(SEARCH("Pesquisa de Preços",D5245)))</formula>
    </cfRule>
  </conditionalFormatting>
  <conditionalFormatting sqref="D5368 D5374 D5406 D5344:E5344 D5337:E5337">
    <cfRule type="containsText" dxfId="951" priority="2373" operator="containsText" text="Pesquisa de Preços">
      <formula>NOT(ISERROR(SEARCH("Pesquisa de Preços",D5337)))</formula>
    </cfRule>
  </conditionalFormatting>
  <conditionalFormatting sqref="D5308">
    <cfRule type="containsText" dxfId="950" priority="2363" operator="containsText" text="Pesquisa de Preços">
      <formula>NOT(ISERROR(SEARCH("Pesquisa de Preços",D5308)))</formula>
    </cfRule>
  </conditionalFormatting>
  <conditionalFormatting sqref="D5310">
    <cfRule type="containsText" dxfId="949" priority="2362" operator="containsText" text="Pesquisa de Preços">
      <formula>NOT(ISERROR(SEARCH("Pesquisa de Preços",D5310)))</formula>
    </cfRule>
  </conditionalFormatting>
  <conditionalFormatting sqref="D5306">
    <cfRule type="containsText" dxfId="948" priority="2370" operator="containsText" text="Pesquisa de Preços">
      <formula>NOT(ISERROR(SEARCH("Pesquisa de Preços",D5306)))</formula>
    </cfRule>
  </conditionalFormatting>
  <conditionalFormatting sqref="D5302">
    <cfRule type="containsText" dxfId="947" priority="2352" operator="containsText" text="Pesquisa de Preços">
      <formula>NOT(ISERROR(SEARCH("Pesquisa de Preços",D5302)))</formula>
    </cfRule>
  </conditionalFormatting>
  <conditionalFormatting sqref="D5304">
    <cfRule type="containsText" dxfId="946" priority="2351" operator="containsText" text="Pesquisa de Preços">
      <formula>NOT(ISERROR(SEARCH("Pesquisa de Preços",D5304)))</formula>
    </cfRule>
  </conditionalFormatting>
  <conditionalFormatting sqref="D5300">
    <cfRule type="containsText" dxfId="945" priority="2359" operator="containsText" text="Pesquisa de Preços">
      <formula>NOT(ISERROR(SEARCH("Pesquisa de Preços",D5300)))</formula>
    </cfRule>
  </conditionalFormatting>
  <conditionalFormatting sqref="D5320">
    <cfRule type="containsText" dxfId="944" priority="2341" operator="containsText" text="Pesquisa de Preços">
      <formula>NOT(ISERROR(SEARCH("Pesquisa de Preços",D5320)))</formula>
    </cfRule>
  </conditionalFormatting>
  <conditionalFormatting sqref="D5322">
    <cfRule type="containsText" dxfId="943" priority="2340" operator="containsText" text="Pesquisa de Preços">
      <formula>NOT(ISERROR(SEARCH("Pesquisa de Preços",D5322)))</formula>
    </cfRule>
  </conditionalFormatting>
  <conditionalFormatting sqref="D5318">
    <cfRule type="containsText" dxfId="942" priority="2348" operator="containsText" text="Pesquisa de Preços">
      <formula>NOT(ISERROR(SEARCH("Pesquisa de Preços",D5318)))</formula>
    </cfRule>
  </conditionalFormatting>
  <conditionalFormatting sqref="D5314">
    <cfRule type="containsText" dxfId="941" priority="2330" operator="containsText" text="Pesquisa de Preços">
      <formula>NOT(ISERROR(SEARCH("Pesquisa de Preços",D5314)))</formula>
    </cfRule>
  </conditionalFormatting>
  <conditionalFormatting sqref="D5316">
    <cfRule type="containsText" dxfId="940" priority="2329" operator="containsText" text="Pesquisa de Preços">
      <formula>NOT(ISERROR(SEARCH("Pesquisa de Preços",D5316)))</formula>
    </cfRule>
  </conditionalFormatting>
  <conditionalFormatting sqref="D5312">
    <cfRule type="containsText" dxfId="939" priority="2337" operator="containsText" text="Pesquisa de Preços">
      <formula>NOT(ISERROR(SEARCH("Pesquisa de Preços",D5312)))</formula>
    </cfRule>
  </conditionalFormatting>
  <conditionalFormatting sqref="D5324">
    <cfRule type="containsText" dxfId="938" priority="2326" operator="containsText" text="Pesquisa de Preços">
      <formula>NOT(ISERROR(SEARCH("Pesquisa de Preços",D5324)))</formula>
    </cfRule>
  </conditionalFormatting>
  <conditionalFormatting sqref="D5325:D5326 D5329:D5330">
    <cfRule type="containsText" dxfId="937" priority="2325" operator="containsText" text="Pesquisa de Preços">
      <formula>NOT(ISERROR(SEARCH("Pesquisa de Preços",D5325)))</formula>
    </cfRule>
  </conditionalFormatting>
  <conditionalFormatting sqref="D5327:D5328">
    <cfRule type="containsText" dxfId="936" priority="2324" operator="containsText" text="Pesquisa de Preços">
      <formula>NOT(ISERROR(SEARCH("Pesquisa de Preços",D5327)))</formula>
    </cfRule>
  </conditionalFormatting>
  <conditionalFormatting sqref="E5325:E5326 E5329:E5330">
    <cfRule type="containsText" dxfId="935" priority="2323" operator="containsText" text="Pesquisa de Preços">
      <formula>NOT(ISERROR(SEARCH("Pesquisa de Preços",E5325)))</formula>
    </cfRule>
  </conditionalFormatting>
  <conditionalFormatting sqref="E5324">
    <cfRule type="containsText" dxfId="934" priority="2322" operator="containsText" text="Pesquisa de Preços">
      <formula>NOT(ISERROR(SEARCH("Pesquisa de Preços",E5324)))</formula>
    </cfRule>
  </conditionalFormatting>
  <conditionalFormatting sqref="E5327:E5328">
    <cfRule type="containsText" dxfId="933" priority="2321" operator="containsText" text="Pesquisa de Preços">
      <formula>NOT(ISERROR(SEARCH("Pesquisa de Preços",E5327)))</formula>
    </cfRule>
  </conditionalFormatting>
  <conditionalFormatting sqref="D5296">
    <cfRule type="containsText" dxfId="932" priority="2313" operator="containsText" text="Pesquisa de Preços">
      <formula>NOT(ISERROR(SEARCH("Pesquisa de Preços",D5296)))</formula>
    </cfRule>
  </conditionalFormatting>
  <conditionalFormatting sqref="D5294">
    <cfRule type="containsText" dxfId="931" priority="2314" operator="containsText" text="Pesquisa de Preços">
      <formula>NOT(ISERROR(SEARCH("Pesquisa de Preços",D5294)))</formula>
    </cfRule>
  </conditionalFormatting>
  <conditionalFormatting sqref="D5298">
    <cfRule type="containsText" dxfId="930" priority="2312" operator="containsText" text="Pesquisa de Preços">
      <formula>NOT(ISERROR(SEARCH("Pesquisa de Preços",D5298)))</formula>
    </cfRule>
  </conditionalFormatting>
  <conditionalFormatting sqref="D5331">
    <cfRule type="containsText" dxfId="929" priority="2309" operator="containsText" text="Pesquisa de Preços">
      <formula>NOT(ISERROR(SEARCH("Pesquisa de Preços",D5331)))</formula>
    </cfRule>
  </conditionalFormatting>
  <conditionalFormatting sqref="D5332:D5333">
    <cfRule type="containsText" dxfId="928" priority="2308" operator="containsText" text="Pesquisa de Preços">
      <formula>NOT(ISERROR(SEARCH("Pesquisa de Preços",D5332)))</formula>
    </cfRule>
  </conditionalFormatting>
  <conditionalFormatting sqref="D5334">
    <cfRule type="containsText" dxfId="927" priority="2307" operator="containsText" text="Pesquisa de Preços">
      <formula>NOT(ISERROR(SEARCH("Pesquisa de Preços",D5334)))</formula>
    </cfRule>
  </conditionalFormatting>
  <conditionalFormatting sqref="E5332:E5333">
    <cfRule type="containsText" dxfId="926" priority="2306" operator="containsText" text="Pesquisa de Preços">
      <formula>NOT(ISERROR(SEARCH("Pesquisa de Preços",E5332)))</formula>
    </cfRule>
  </conditionalFormatting>
  <conditionalFormatting sqref="E5331">
    <cfRule type="containsText" dxfId="925" priority="2305" operator="containsText" text="Pesquisa de Preços">
      <formula>NOT(ISERROR(SEARCH("Pesquisa de Preços",E5331)))</formula>
    </cfRule>
  </conditionalFormatting>
  <conditionalFormatting sqref="E5334">
    <cfRule type="containsText" dxfId="924" priority="2304" operator="containsText" text="Pesquisa de Preços">
      <formula>NOT(ISERROR(SEARCH("Pesquisa de Preços",E5334)))</formula>
    </cfRule>
  </conditionalFormatting>
  <conditionalFormatting sqref="D5338">
    <cfRule type="containsText" dxfId="923" priority="2299" operator="containsText" text="Pesquisa de Preços">
      <formula>NOT(ISERROR(SEARCH("Pesquisa de Preços",D5338)))</formula>
    </cfRule>
  </conditionalFormatting>
  <conditionalFormatting sqref="D5339:D5340">
    <cfRule type="containsText" dxfId="922" priority="2298" operator="containsText" text="Pesquisa de Preços">
      <formula>NOT(ISERROR(SEARCH("Pesquisa de Preços",D5339)))</formula>
    </cfRule>
  </conditionalFormatting>
  <conditionalFormatting sqref="D5341:D5342">
    <cfRule type="containsText" dxfId="921" priority="2297" operator="containsText" text="Pesquisa de Preços">
      <formula>NOT(ISERROR(SEARCH("Pesquisa de Preços",D5341)))</formula>
    </cfRule>
  </conditionalFormatting>
  <conditionalFormatting sqref="E5339:E5340">
    <cfRule type="containsText" dxfId="920" priority="2296" operator="containsText" text="Pesquisa de Preços">
      <formula>NOT(ISERROR(SEARCH("Pesquisa de Preços",E5339)))</formula>
    </cfRule>
  </conditionalFormatting>
  <conditionalFormatting sqref="E5338">
    <cfRule type="containsText" dxfId="919" priority="2295" operator="containsText" text="Pesquisa de Preços">
      <formula>NOT(ISERROR(SEARCH("Pesquisa de Preços",E5338)))</formula>
    </cfRule>
  </conditionalFormatting>
  <conditionalFormatting sqref="E5341:E5342">
    <cfRule type="containsText" dxfId="918" priority="2294" operator="containsText" text="Pesquisa de Preços">
      <formula>NOT(ISERROR(SEARCH("Pesquisa de Preços",E5341)))</formula>
    </cfRule>
  </conditionalFormatting>
  <conditionalFormatting sqref="E5336">
    <cfRule type="containsText" dxfId="917" priority="2291" operator="containsText" text="Pesquisa de Preços">
      <formula>NOT(ISERROR(SEARCH("Pesquisa de Preços",E5336)))</formula>
    </cfRule>
  </conditionalFormatting>
  <conditionalFormatting sqref="D5343">
    <cfRule type="containsText" dxfId="916" priority="2290" operator="containsText" text="Pesquisa de Preços">
      <formula>NOT(ISERROR(SEARCH("Pesquisa de Preços",D5343)))</formula>
    </cfRule>
  </conditionalFormatting>
  <conditionalFormatting sqref="E5343">
    <cfRule type="containsText" dxfId="915" priority="2289" operator="containsText" text="Pesquisa de Preços">
      <formula>NOT(ISERROR(SEARCH("Pesquisa de Preços",E5343)))</formula>
    </cfRule>
  </conditionalFormatting>
  <conditionalFormatting sqref="D5335">
    <cfRule type="containsText" dxfId="914" priority="2278" operator="containsText" text="Pesquisa de Preços">
      <formula>NOT(ISERROR(SEARCH("Pesquisa de Preços",D5335)))</formula>
    </cfRule>
  </conditionalFormatting>
  <conditionalFormatting sqref="E5335">
    <cfRule type="containsText" dxfId="913" priority="2277" operator="containsText" text="Pesquisa de Preços">
      <formula>NOT(ISERROR(SEARCH("Pesquisa de Preços",E5335)))</formula>
    </cfRule>
  </conditionalFormatting>
  <conditionalFormatting sqref="D5336">
    <cfRule type="containsText" dxfId="912" priority="2274" operator="containsText" text="Pesquisa de Preços">
      <formula>NOT(ISERROR(SEARCH("Pesquisa de Preços",D5336)))</formula>
    </cfRule>
  </conditionalFormatting>
  <conditionalFormatting sqref="E5359">
    <cfRule type="containsText" dxfId="911" priority="2243" operator="containsText" text="Pesquisa de Preços">
      <formula>NOT(ISERROR(SEARCH("Pesquisa de Preços",E5359)))</formula>
    </cfRule>
  </conditionalFormatting>
  <conditionalFormatting sqref="D5349">
    <cfRule type="containsText" dxfId="910" priority="2264" operator="containsText" text="Pesquisa de Preços">
      <formula>NOT(ISERROR(SEARCH("Pesquisa de Preços",D5349)))</formula>
    </cfRule>
  </conditionalFormatting>
  <conditionalFormatting sqref="D5345">
    <cfRule type="containsText" dxfId="909" priority="2271" operator="containsText" text="Pesquisa de Preços">
      <formula>NOT(ISERROR(SEARCH("Pesquisa de Preços",D5345)))</formula>
    </cfRule>
  </conditionalFormatting>
  <conditionalFormatting sqref="D5347">
    <cfRule type="containsText" dxfId="908" priority="2261" operator="containsText" text="Pesquisa de Preços">
      <formula>NOT(ISERROR(SEARCH("Pesquisa de Preços",D5347)))</formula>
    </cfRule>
  </conditionalFormatting>
  <conditionalFormatting sqref="E5347">
    <cfRule type="containsText" dxfId="907" priority="2260" operator="containsText" text="Pesquisa de Preços">
      <formula>NOT(ISERROR(SEARCH("Pesquisa de Preços",E5347)))</formula>
    </cfRule>
  </conditionalFormatting>
  <conditionalFormatting sqref="D5351">
    <cfRule type="containsText" dxfId="906" priority="2257" operator="containsText" text="Pesquisa de Preços">
      <formula>NOT(ISERROR(SEARCH("Pesquisa de Preços",D5351)))</formula>
    </cfRule>
  </conditionalFormatting>
  <conditionalFormatting sqref="D5354">
    <cfRule type="containsText" dxfId="905" priority="2254" operator="containsText" text="Pesquisa de Preços">
      <formula>NOT(ISERROR(SEARCH("Pesquisa de Preços",D5354)))</formula>
    </cfRule>
  </conditionalFormatting>
  <conditionalFormatting sqref="D5352 D5355:D5356">
    <cfRule type="containsText" dxfId="904" priority="2256" operator="containsText" text="Pesquisa de Preços">
      <formula>NOT(ISERROR(SEARCH("Pesquisa de Preços",D5352)))</formula>
    </cfRule>
  </conditionalFormatting>
  <conditionalFormatting sqref="D5353">
    <cfRule type="containsText" dxfId="903" priority="2255" operator="containsText" text="Pesquisa de Preços">
      <formula>NOT(ISERROR(SEARCH("Pesquisa de Preços",D5353)))</formula>
    </cfRule>
  </conditionalFormatting>
  <conditionalFormatting sqref="E5356">
    <cfRule type="containsText" dxfId="902" priority="2253" operator="containsText" text="Pesquisa de Preços">
      <formula>NOT(ISERROR(SEARCH("Pesquisa de Preços",E5356)))</formula>
    </cfRule>
  </conditionalFormatting>
  <conditionalFormatting sqref="D5357">
    <cfRule type="containsText" dxfId="901" priority="2250" operator="containsText" text="Pesquisa de Preços">
      <formula>NOT(ISERROR(SEARCH("Pesquisa de Preços",D5357)))</formula>
    </cfRule>
  </conditionalFormatting>
  <conditionalFormatting sqref="D5358 D5362:D5363">
    <cfRule type="containsText" dxfId="900" priority="2249" operator="containsText" text="Pesquisa de Preços">
      <formula>NOT(ISERROR(SEARCH("Pesquisa de Preços",D5358)))</formula>
    </cfRule>
  </conditionalFormatting>
  <conditionalFormatting sqref="D5360">
    <cfRule type="containsText" dxfId="899" priority="2247" operator="containsText" text="Pesquisa de Preços">
      <formula>NOT(ISERROR(SEARCH("Pesquisa de Preços",D5360)))</formula>
    </cfRule>
  </conditionalFormatting>
  <conditionalFormatting sqref="D5359">
    <cfRule type="containsText" dxfId="898" priority="2248" operator="containsText" text="Pesquisa de Preços">
      <formula>NOT(ISERROR(SEARCH("Pesquisa de Preços",D5359)))</formula>
    </cfRule>
  </conditionalFormatting>
  <conditionalFormatting sqref="D5361">
    <cfRule type="containsText" dxfId="897" priority="2246" operator="containsText" text="Pesquisa de Preços">
      <formula>NOT(ISERROR(SEARCH("Pesquisa de Preços",D5361)))</formula>
    </cfRule>
  </conditionalFormatting>
  <conditionalFormatting sqref="E5357">
    <cfRule type="containsText" dxfId="896" priority="2244" operator="containsText" text="Pesquisa de Preços">
      <formula>NOT(ISERROR(SEARCH("Pesquisa de Preços",E5357)))</formula>
    </cfRule>
  </conditionalFormatting>
  <conditionalFormatting sqref="E5358 E5362:E5363">
    <cfRule type="containsText" dxfId="895" priority="2245" operator="containsText" text="Pesquisa de Preços">
      <formula>NOT(ISERROR(SEARCH("Pesquisa de Preços",E5358)))</formula>
    </cfRule>
  </conditionalFormatting>
  <conditionalFormatting sqref="E5361">
    <cfRule type="containsText" dxfId="894" priority="2242" operator="containsText" text="Pesquisa de Preços">
      <formula>NOT(ISERROR(SEARCH("Pesquisa de Preços",E5361)))</formula>
    </cfRule>
  </conditionalFormatting>
  <conditionalFormatting sqref="E5366">
    <cfRule type="containsText" dxfId="893" priority="2233" operator="containsText" text="Pesquisa de Preços">
      <formula>NOT(ISERROR(SEARCH("Pesquisa de Preços",E5366)))</formula>
    </cfRule>
  </conditionalFormatting>
  <conditionalFormatting sqref="D5364">
    <cfRule type="containsText" dxfId="892" priority="2239" operator="containsText" text="Pesquisa de Preços">
      <formula>NOT(ISERROR(SEARCH("Pesquisa de Preços",D5364)))</formula>
    </cfRule>
  </conditionalFormatting>
  <conditionalFormatting sqref="D5365 D5369">
    <cfRule type="containsText" dxfId="891" priority="2238" operator="containsText" text="Pesquisa de Preços">
      <formula>NOT(ISERROR(SEARCH("Pesquisa de Preços",D5365)))</formula>
    </cfRule>
  </conditionalFormatting>
  <conditionalFormatting sqref="D5367">
    <cfRule type="containsText" dxfId="890" priority="2236" operator="containsText" text="Pesquisa de Preços">
      <formula>NOT(ISERROR(SEARCH("Pesquisa de Preços",D5367)))</formula>
    </cfRule>
  </conditionalFormatting>
  <conditionalFormatting sqref="D5366">
    <cfRule type="containsText" dxfId="889" priority="2237" operator="containsText" text="Pesquisa de Preços">
      <formula>NOT(ISERROR(SEARCH("Pesquisa de Preços",D5366)))</formula>
    </cfRule>
  </conditionalFormatting>
  <conditionalFormatting sqref="E5371 E5375">
    <cfRule type="containsText" dxfId="888" priority="2226" operator="containsText" text="Pesquisa de Preços">
      <formula>NOT(ISERROR(SEARCH("Pesquisa de Preços",E5371)))</formula>
    </cfRule>
  </conditionalFormatting>
  <conditionalFormatting sqref="E5364">
    <cfRule type="containsText" dxfId="887" priority="2234" operator="containsText" text="Pesquisa de Preços">
      <formula>NOT(ISERROR(SEARCH("Pesquisa de Preços",E5364)))</formula>
    </cfRule>
  </conditionalFormatting>
  <conditionalFormatting sqref="E5365 E5369">
    <cfRule type="containsText" dxfId="886" priority="2235" operator="containsText" text="Pesquisa de Preços">
      <formula>NOT(ISERROR(SEARCH("Pesquisa de Preços",E5365)))</formula>
    </cfRule>
  </conditionalFormatting>
  <conditionalFormatting sqref="E5372">
    <cfRule type="containsText" dxfId="885" priority="2224" operator="containsText" text="Pesquisa de Preços">
      <formula>NOT(ISERROR(SEARCH("Pesquisa de Preços",E5372)))</formula>
    </cfRule>
  </conditionalFormatting>
  <conditionalFormatting sqref="D5370">
    <cfRule type="containsText" dxfId="884" priority="2230" operator="containsText" text="Pesquisa de Preços">
      <formula>NOT(ISERROR(SEARCH("Pesquisa de Preços",D5370)))</formula>
    </cfRule>
  </conditionalFormatting>
  <conditionalFormatting sqref="D5371 D5375">
    <cfRule type="containsText" dxfId="883" priority="2229" operator="containsText" text="Pesquisa de Preços">
      <formula>NOT(ISERROR(SEARCH("Pesquisa de Preços",D5371)))</formula>
    </cfRule>
  </conditionalFormatting>
  <conditionalFormatting sqref="D5373">
    <cfRule type="containsText" dxfId="882" priority="2227" operator="containsText" text="Pesquisa de Preços">
      <formula>NOT(ISERROR(SEARCH("Pesquisa de Preços",D5373)))</formula>
    </cfRule>
  </conditionalFormatting>
  <conditionalFormatting sqref="D5372">
    <cfRule type="containsText" dxfId="881" priority="2228" operator="containsText" text="Pesquisa de Preços">
      <formula>NOT(ISERROR(SEARCH("Pesquisa de Preços",D5372)))</formula>
    </cfRule>
  </conditionalFormatting>
  <conditionalFormatting sqref="E5370">
    <cfRule type="containsText" dxfId="880" priority="2225" operator="containsText" text="Pesquisa de Preços">
      <formula>NOT(ISERROR(SEARCH("Pesquisa de Preços",E5370)))</formula>
    </cfRule>
  </conditionalFormatting>
  <conditionalFormatting sqref="D5376">
    <cfRule type="containsText" dxfId="879" priority="2221" operator="containsText" text="Pesquisa de Preços">
      <formula>NOT(ISERROR(SEARCH("Pesquisa de Preços",D5376)))</formula>
    </cfRule>
  </conditionalFormatting>
  <conditionalFormatting sqref="D5382:D5383 D5377:D5378">
    <cfRule type="containsText" dxfId="878" priority="2220" operator="containsText" text="Pesquisa de Preços">
      <formula>NOT(ISERROR(SEARCH("Pesquisa de Preços",D5377)))</formula>
    </cfRule>
  </conditionalFormatting>
  <conditionalFormatting sqref="E5376">
    <cfRule type="containsText" dxfId="877" priority="2218" operator="containsText" text="Pesquisa de Preços">
      <formula>NOT(ISERROR(SEARCH("Pesquisa de Preços",E5376)))</formula>
    </cfRule>
  </conditionalFormatting>
  <conditionalFormatting sqref="E5377 E5383">
    <cfRule type="containsText" dxfId="876" priority="2219" operator="containsText" text="Pesquisa de Preços">
      <formula>NOT(ISERROR(SEARCH("Pesquisa de Preços",E5377)))</formula>
    </cfRule>
  </conditionalFormatting>
  <conditionalFormatting sqref="E5378">
    <cfRule type="containsText" dxfId="875" priority="2217" operator="containsText" text="Pesquisa de Preços">
      <formula>NOT(ISERROR(SEARCH("Pesquisa de Preços",E5378)))</formula>
    </cfRule>
  </conditionalFormatting>
  <conditionalFormatting sqref="D5384">
    <cfRule type="containsText" dxfId="874" priority="2214" operator="containsText" text="Pesquisa de Preços">
      <formula>NOT(ISERROR(SEARCH("Pesquisa de Preços",D5384)))</formula>
    </cfRule>
  </conditionalFormatting>
  <conditionalFormatting sqref="D5390:D5391 D5385:D5386">
    <cfRule type="containsText" dxfId="873" priority="2213" operator="containsText" text="Pesquisa de Preços">
      <formula>NOT(ISERROR(SEARCH("Pesquisa de Preços",D5385)))</formula>
    </cfRule>
  </conditionalFormatting>
  <conditionalFormatting sqref="E5384">
    <cfRule type="containsText" dxfId="872" priority="2211" operator="containsText" text="Pesquisa de Preços">
      <formula>NOT(ISERROR(SEARCH("Pesquisa de Preços",E5384)))</formula>
    </cfRule>
  </conditionalFormatting>
  <conditionalFormatting sqref="E5385 E5391">
    <cfRule type="containsText" dxfId="871" priority="2212" operator="containsText" text="Pesquisa de Preços">
      <formula>NOT(ISERROR(SEARCH("Pesquisa de Preços",E5385)))</formula>
    </cfRule>
  </conditionalFormatting>
  <conditionalFormatting sqref="E5386">
    <cfRule type="containsText" dxfId="870" priority="2210" operator="containsText" text="Pesquisa de Preços">
      <formula>NOT(ISERROR(SEARCH("Pesquisa de Preços",E5386)))</formula>
    </cfRule>
  </conditionalFormatting>
  <conditionalFormatting sqref="D5392">
    <cfRule type="containsText" dxfId="869" priority="2207" operator="containsText" text="Pesquisa de Preços">
      <formula>NOT(ISERROR(SEARCH("Pesquisa de Preços",D5392)))</formula>
    </cfRule>
  </conditionalFormatting>
  <conditionalFormatting sqref="D5398:D5399 D5393:D5394">
    <cfRule type="containsText" dxfId="868" priority="2206" operator="containsText" text="Pesquisa de Preços">
      <formula>NOT(ISERROR(SEARCH("Pesquisa de Preços",D5393)))</formula>
    </cfRule>
  </conditionalFormatting>
  <conditionalFormatting sqref="E5392">
    <cfRule type="containsText" dxfId="867" priority="2204" operator="containsText" text="Pesquisa de Preços">
      <formula>NOT(ISERROR(SEARCH("Pesquisa de Preços",E5392)))</formula>
    </cfRule>
  </conditionalFormatting>
  <conditionalFormatting sqref="E5393 E5399">
    <cfRule type="containsText" dxfId="866" priority="2205" operator="containsText" text="Pesquisa de Preços">
      <formula>NOT(ISERROR(SEARCH("Pesquisa de Preços",E5393)))</formula>
    </cfRule>
  </conditionalFormatting>
  <conditionalFormatting sqref="E5394">
    <cfRule type="containsText" dxfId="865" priority="2203" operator="containsText" text="Pesquisa de Preços">
      <formula>NOT(ISERROR(SEARCH("Pesquisa de Preços",E5394)))</formula>
    </cfRule>
  </conditionalFormatting>
  <conditionalFormatting sqref="D5400">
    <cfRule type="containsText" dxfId="864" priority="2202" operator="containsText" text="Pesquisa de Preços">
      <formula>NOT(ISERROR(SEARCH("Pesquisa de Preços",D5400)))</formula>
    </cfRule>
  </conditionalFormatting>
  <conditionalFormatting sqref="D5401:D5402">
    <cfRule type="containsText" dxfId="863" priority="2201" operator="containsText" text="Pesquisa de Preços">
      <formula>NOT(ISERROR(SEARCH("Pesquisa de Preços",D5401)))</formula>
    </cfRule>
  </conditionalFormatting>
  <conditionalFormatting sqref="E5400">
    <cfRule type="containsText" dxfId="862" priority="2199" operator="containsText" text="Pesquisa de Preços">
      <formula>NOT(ISERROR(SEARCH("Pesquisa de Preços",E5400)))</formula>
    </cfRule>
  </conditionalFormatting>
  <conditionalFormatting sqref="E5401 E5406">
    <cfRule type="containsText" dxfId="861" priority="2200" operator="containsText" text="Pesquisa de Preços">
      <formula>NOT(ISERROR(SEARCH("Pesquisa de Preços",E5401)))</formula>
    </cfRule>
  </conditionalFormatting>
  <conditionalFormatting sqref="E5402">
    <cfRule type="containsText" dxfId="860" priority="2198" operator="containsText" text="Pesquisa de Preços">
      <formula>NOT(ISERROR(SEARCH("Pesquisa de Preços",E5402)))</formula>
    </cfRule>
  </conditionalFormatting>
  <conditionalFormatting sqref="D5411 D5416">
    <cfRule type="containsText" dxfId="859" priority="2197" operator="containsText" text="Pesquisa de Preços">
      <formula>NOT(ISERROR(SEARCH("Pesquisa de Preços",D5411)))</formula>
    </cfRule>
  </conditionalFormatting>
  <conditionalFormatting sqref="D5407">
    <cfRule type="containsText" dxfId="858" priority="2194" operator="containsText" text="Pesquisa de Preços">
      <formula>NOT(ISERROR(SEARCH("Pesquisa de Preços",D5407)))</formula>
    </cfRule>
  </conditionalFormatting>
  <conditionalFormatting sqref="D5410">
    <cfRule type="containsText" dxfId="857" priority="2191" operator="containsText" text="Pesquisa de Preços">
      <formula>NOT(ISERROR(SEARCH("Pesquisa de Preços",D5410)))</formula>
    </cfRule>
  </conditionalFormatting>
  <conditionalFormatting sqref="D5408">
    <cfRule type="containsText" dxfId="856" priority="2193" operator="containsText" text="Pesquisa de Preços">
      <formula>NOT(ISERROR(SEARCH("Pesquisa de Preços",D5408)))</formula>
    </cfRule>
  </conditionalFormatting>
  <conditionalFormatting sqref="D5409">
    <cfRule type="containsText" dxfId="855" priority="2192" operator="containsText" text="Pesquisa de Preços">
      <formula>NOT(ISERROR(SEARCH("Pesquisa de Preços",D5409)))</formula>
    </cfRule>
  </conditionalFormatting>
  <conditionalFormatting sqref="E5416">
    <cfRule type="containsText" dxfId="854" priority="2190" operator="containsText" text="Pesquisa de Preços">
      <formula>NOT(ISERROR(SEARCH("Pesquisa de Preços",E5416)))</formula>
    </cfRule>
  </conditionalFormatting>
  <conditionalFormatting sqref="D5414">
    <cfRule type="containsText" dxfId="853" priority="2189" operator="containsText" text="Pesquisa de Preços">
      <formula>NOT(ISERROR(SEARCH("Pesquisa de Preços",D5414)))</formula>
    </cfRule>
  </conditionalFormatting>
  <conditionalFormatting sqref="D5413">
    <cfRule type="containsText" dxfId="852" priority="2185" operator="containsText" text="Pesquisa de Preços">
      <formula>NOT(ISERROR(SEARCH("Pesquisa de Preços",D5413)))</formula>
    </cfRule>
  </conditionalFormatting>
  <conditionalFormatting sqref="D5412">
    <cfRule type="containsText" dxfId="851" priority="2186" operator="containsText" text="Pesquisa de Preços">
      <formula>NOT(ISERROR(SEARCH("Pesquisa de Preços",D5412)))</formula>
    </cfRule>
  </conditionalFormatting>
  <conditionalFormatting sqref="D5415">
    <cfRule type="containsText" dxfId="850" priority="2184" operator="containsText" text="Pesquisa de Preços">
      <formula>NOT(ISERROR(SEARCH("Pesquisa de Preços",D5415)))</formula>
    </cfRule>
  </conditionalFormatting>
  <conditionalFormatting sqref="D5419">
    <cfRule type="containsText" dxfId="849" priority="2174" operator="containsText" text="Pesquisa de Preços">
      <formula>NOT(ISERROR(SEARCH("Pesquisa de Preços",D5419)))</formula>
    </cfRule>
  </conditionalFormatting>
  <conditionalFormatting sqref="D5420">
    <cfRule type="containsText" dxfId="848" priority="2173" operator="containsText" text="Pesquisa de Preços">
      <formula>NOT(ISERROR(SEARCH("Pesquisa de Preços",D5420)))</formula>
    </cfRule>
  </conditionalFormatting>
  <conditionalFormatting sqref="D5423">
    <cfRule type="containsText" dxfId="847" priority="2167" operator="containsText" text="Pesquisa de Preços">
      <formula>NOT(ISERROR(SEARCH("Pesquisa de Preços",D5423)))</formula>
    </cfRule>
  </conditionalFormatting>
  <conditionalFormatting sqref="D5422">
    <cfRule type="containsText" dxfId="846" priority="2168" operator="containsText" text="Pesquisa de Preços">
      <formula>NOT(ISERROR(SEARCH("Pesquisa de Preços",D5422)))</formula>
    </cfRule>
  </conditionalFormatting>
  <conditionalFormatting sqref="D5427">
    <cfRule type="containsText" dxfId="845" priority="2166" operator="containsText" text="Pesquisa de Preços">
      <formula>NOT(ISERROR(SEARCH("Pesquisa de Preços",D5427)))</formula>
    </cfRule>
  </conditionalFormatting>
  <conditionalFormatting sqref="D5426">
    <cfRule type="containsText" dxfId="844" priority="2162" operator="containsText" text="Pesquisa de Preços">
      <formula>NOT(ISERROR(SEARCH("Pesquisa de Preços",D5426)))</formula>
    </cfRule>
  </conditionalFormatting>
  <conditionalFormatting sqref="D5421 D5428">
    <cfRule type="containsText" dxfId="843" priority="2179" operator="containsText" text="Pesquisa de Preços">
      <formula>NOT(ISERROR(SEARCH("Pesquisa de Preços",D5421)))</formula>
    </cfRule>
  </conditionalFormatting>
  <conditionalFormatting sqref="D5417">
    <cfRule type="containsText" dxfId="842" priority="2176" operator="containsText" text="Pesquisa de Preços">
      <formula>NOT(ISERROR(SEARCH("Pesquisa de Preços",D5417)))</formula>
    </cfRule>
  </conditionalFormatting>
  <conditionalFormatting sqref="D5418">
    <cfRule type="containsText" dxfId="841" priority="2175" operator="containsText" text="Pesquisa de Preços">
      <formula>NOT(ISERROR(SEARCH("Pesquisa de Preços",D5418)))</formula>
    </cfRule>
  </conditionalFormatting>
  <conditionalFormatting sqref="E5428">
    <cfRule type="containsText" dxfId="840" priority="2172" operator="containsText" text="Pesquisa de Preços">
      <formula>NOT(ISERROR(SEARCH("Pesquisa de Preços",E5428)))</formula>
    </cfRule>
  </conditionalFormatting>
  <conditionalFormatting sqref="D5424">
    <cfRule type="containsText" dxfId="839" priority="2171" operator="containsText" text="Pesquisa de Preços">
      <formula>NOT(ISERROR(SEARCH("Pesquisa de Preços",D5424)))</formula>
    </cfRule>
  </conditionalFormatting>
  <conditionalFormatting sqref="D5425">
    <cfRule type="containsText" dxfId="838" priority="2163" operator="containsText" text="Pesquisa de Preços">
      <formula>NOT(ISERROR(SEARCH("Pesquisa de Preços",D5425)))</formula>
    </cfRule>
  </conditionalFormatting>
  <conditionalFormatting sqref="D5434">
    <cfRule type="containsText" dxfId="837" priority="2151" operator="containsText" text="Pesquisa de Preços">
      <formula>NOT(ISERROR(SEARCH("Pesquisa de Preços",D5434)))</formula>
    </cfRule>
  </conditionalFormatting>
  <conditionalFormatting sqref="D5429">
    <cfRule type="containsText" dxfId="836" priority="2150" operator="containsText" text="Pesquisa de Preços">
      <formula>NOT(ISERROR(SEARCH("Pesquisa de Preços",D5429)))</formula>
    </cfRule>
  </conditionalFormatting>
  <conditionalFormatting sqref="D5430:D5431">
    <cfRule type="containsText" dxfId="835" priority="2149" operator="containsText" text="Pesquisa de Preços">
      <formula>NOT(ISERROR(SEARCH("Pesquisa de Preços",D5430)))</formula>
    </cfRule>
  </conditionalFormatting>
  <conditionalFormatting sqref="E5429">
    <cfRule type="containsText" dxfId="834" priority="2147" operator="containsText" text="Pesquisa de Preços">
      <formula>NOT(ISERROR(SEARCH("Pesquisa de Preços",E5429)))</formula>
    </cfRule>
  </conditionalFormatting>
  <conditionalFormatting sqref="E5430 E5434">
    <cfRule type="containsText" dxfId="833" priority="2148" operator="containsText" text="Pesquisa de Preços">
      <formula>NOT(ISERROR(SEARCH("Pesquisa de Preços",E5430)))</formula>
    </cfRule>
  </conditionalFormatting>
  <conditionalFormatting sqref="E5431">
    <cfRule type="containsText" dxfId="832" priority="2146" operator="containsText" text="Pesquisa de Preços">
      <formula>NOT(ISERROR(SEARCH("Pesquisa de Preços",E5431)))</formula>
    </cfRule>
  </conditionalFormatting>
  <conditionalFormatting sqref="D5440">
    <cfRule type="containsText" dxfId="831" priority="2143" operator="containsText" text="Pesquisa de Preços">
      <formula>NOT(ISERROR(SEARCH("Pesquisa de Preços",D5440)))</formula>
    </cfRule>
  </conditionalFormatting>
  <conditionalFormatting sqref="D5435">
    <cfRule type="containsText" dxfId="830" priority="2142" operator="containsText" text="Pesquisa de Preços">
      <formula>NOT(ISERROR(SEARCH("Pesquisa de Preços",D5435)))</formula>
    </cfRule>
  </conditionalFormatting>
  <conditionalFormatting sqref="D5436:D5437">
    <cfRule type="containsText" dxfId="829" priority="2141" operator="containsText" text="Pesquisa de Preços">
      <formula>NOT(ISERROR(SEARCH("Pesquisa de Preços",D5436)))</formula>
    </cfRule>
  </conditionalFormatting>
  <conditionalFormatting sqref="E5435">
    <cfRule type="containsText" dxfId="828" priority="2139" operator="containsText" text="Pesquisa de Preços">
      <formula>NOT(ISERROR(SEARCH("Pesquisa de Preços",E5435)))</formula>
    </cfRule>
  </conditionalFormatting>
  <conditionalFormatting sqref="E5436 E5440">
    <cfRule type="containsText" dxfId="827" priority="2140" operator="containsText" text="Pesquisa de Preços">
      <formula>NOT(ISERROR(SEARCH("Pesquisa de Preços",E5436)))</formula>
    </cfRule>
  </conditionalFormatting>
  <conditionalFormatting sqref="E5437">
    <cfRule type="containsText" dxfId="826" priority="2138" operator="containsText" text="Pesquisa de Preços">
      <formula>NOT(ISERROR(SEARCH("Pesquisa de Preços",E5437)))</formula>
    </cfRule>
  </conditionalFormatting>
  <conditionalFormatting sqref="D5441">
    <cfRule type="containsText" dxfId="825" priority="2137" operator="containsText" text="Pesquisa de Preços">
      <formula>NOT(ISERROR(SEARCH("Pesquisa de Preços",D5441)))</formula>
    </cfRule>
  </conditionalFormatting>
  <conditionalFormatting sqref="D5442 D5446:D5447">
    <cfRule type="containsText" dxfId="824" priority="2136" operator="containsText" text="Pesquisa de Preços">
      <formula>NOT(ISERROR(SEARCH("Pesquisa de Preços",D5442)))</formula>
    </cfRule>
  </conditionalFormatting>
  <conditionalFormatting sqref="D5443">
    <cfRule type="containsText" dxfId="823" priority="2135" operator="containsText" text="Pesquisa de Preços">
      <formula>NOT(ISERROR(SEARCH("Pesquisa de Preços",D5443)))</formula>
    </cfRule>
  </conditionalFormatting>
  <conditionalFormatting sqref="D5444">
    <cfRule type="containsText" dxfId="822" priority="2134" operator="containsText" text="Pesquisa de Preços">
      <formula>NOT(ISERROR(SEARCH("Pesquisa de Preços",D5444)))</formula>
    </cfRule>
  </conditionalFormatting>
  <conditionalFormatting sqref="D5445">
    <cfRule type="containsText" dxfId="821" priority="2133" operator="containsText" text="Pesquisa de Preços">
      <formula>NOT(ISERROR(SEARCH("Pesquisa de Preços",D5445)))</formula>
    </cfRule>
  </conditionalFormatting>
  <conditionalFormatting sqref="E5442 E5446:E5447">
    <cfRule type="containsText" dxfId="820" priority="2132" operator="containsText" text="Pesquisa de Preços">
      <formula>NOT(ISERROR(SEARCH("Pesquisa de Preços",E5442)))</formula>
    </cfRule>
  </conditionalFormatting>
  <conditionalFormatting sqref="E5441">
    <cfRule type="containsText" dxfId="819" priority="2131" operator="containsText" text="Pesquisa de Preços">
      <formula>NOT(ISERROR(SEARCH("Pesquisa de Preços",E5441)))</formula>
    </cfRule>
  </conditionalFormatting>
  <conditionalFormatting sqref="E5445">
    <cfRule type="containsText" dxfId="818" priority="2129" operator="containsText" text="Pesquisa de Preços">
      <formula>NOT(ISERROR(SEARCH("Pesquisa de Preços",E5445)))</formula>
    </cfRule>
  </conditionalFormatting>
  <conditionalFormatting sqref="E5443">
    <cfRule type="containsText" dxfId="817" priority="2130" operator="containsText" text="Pesquisa de Preços">
      <formula>NOT(ISERROR(SEARCH("Pesquisa de Preços",E5443)))</formula>
    </cfRule>
  </conditionalFormatting>
  <conditionalFormatting sqref="D5453">
    <cfRule type="containsText" dxfId="816" priority="2124" operator="containsText" text="Pesquisa de Preços">
      <formula>NOT(ISERROR(SEARCH("Pesquisa de Preços",D5453)))</formula>
    </cfRule>
  </conditionalFormatting>
  <conditionalFormatting sqref="D5448">
    <cfRule type="containsText" dxfId="815" priority="2123" operator="containsText" text="Pesquisa de Preços">
      <formula>NOT(ISERROR(SEARCH("Pesquisa de Preços",D5448)))</formula>
    </cfRule>
  </conditionalFormatting>
  <conditionalFormatting sqref="D5449:D5450">
    <cfRule type="containsText" dxfId="814" priority="2122" operator="containsText" text="Pesquisa de Preços">
      <formula>NOT(ISERROR(SEARCH("Pesquisa de Preços",D5449)))</formula>
    </cfRule>
  </conditionalFormatting>
  <conditionalFormatting sqref="E5448">
    <cfRule type="containsText" dxfId="813" priority="2120" operator="containsText" text="Pesquisa de Preços">
      <formula>NOT(ISERROR(SEARCH("Pesquisa de Preços",E5448)))</formula>
    </cfRule>
  </conditionalFormatting>
  <conditionalFormatting sqref="E5449 E5453">
    <cfRule type="containsText" dxfId="812" priority="2121" operator="containsText" text="Pesquisa de Preços">
      <formula>NOT(ISERROR(SEARCH("Pesquisa de Preços",E5449)))</formula>
    </cfRule>
  </conditionalFormatting>
  <conditionalFormatting sqref="E5450">
    <cfRule type="containsText" dxfId="811" priority="2119" operator="containsText" text="Pesquisa de Preços">
      <formula>NOT(ISERROR(SEARCH("Pesquisa de Preços",E5450)))</formula>
    </cfRule>
  </conditionalFormatting>
  <conditionalFormatting sqref="D5459">
    <cfRule type="containsText" dxfId="810" priority="2116" operator="containsText" text="Pesquisa de Preços">
      <formula>NOT(ISERROR(SEARCH("Pesquisa de Preços",D5459)))</formula>
    </cfRule>
  </conditionalFormatting>
  <conditionalFormatting sqref="D5454">
    <cfRule type="containsText" dxfId="809" priority="2115" operator="containsText" text="Pesquisa de Preços">
      <formula>NOT(ISERROR(SEARCH("Pesquisa de Preços",D5454)))</formula>
    </cfRule>
  </conditionalFormatting>
  <conditionalFormatting sqref="D5455">
    <cfRule type="containsText" dxfId="808" priority="2114" operator="containsText" text="Pesquisa de Preços">
      <formula>NOT(ISERROR(SEARCH("Pesquisa de Preços",D5455)))</formula>
    </cfRule>
  </conditionalFormatting>
  <conditionalFormatting sqref="E5454">
    <cfRule type="containsText" dxfId="807" priority="2112" operator="containsText" text="Pesquisa de Preços">
      <formula>NOT(ISERROR(SEARCH("Pesquisa de Preços",E5454)))</formula>
    </cfRule>
  </conditionalFormatting>
  <conditionalFormatting sqref="E5455 E5459">
    <cfRule type="containsText" dxfId="806" priority="2113" operator="containsText" text="Pesquisa de Preços">
      <formula>NOT(ISERROR(SEARCH("Pesquisa de Preços",E5455)))</formula>
    </cfRule>
  </conditionalFormatting>
  <conditionalFormatting sqref="D5456">
    <cfRule type="containsText" dxfId="805" priority="2111" operator="containsText" text="Pesquisa de Preços">
      <formula>NOT(ISERROR(SEARCH("Pesquisa de Preços",D5456)))</formula>
    </cfRule>
  </conditionalFormatting>
  <conditionalFormatting sqref="E5456">
    <cfRule type="containsText" dxfId="804" priority="2110" operator="containsText" text="Pesquisa de Preços">
      <formula>NOT(ISERROR(SEARCH("Pesquisa de Preços",E5456)))</formula>
    </cfRule>
  </conditionalFormatting>
  <conditionalFormatting sqref="D5464">
    <cfRule type="containsText" dxfId="803" priority="2109" operator="containsText" text="Pesquisa de Preços">
      <formula>NOT(ISERROR(SEARCH("Pesquisa de Preços",D5464)))</formula>
    </cfRule>
  </conditionalFormatting>
  <conditionalFormatting sqref="E5461 E5465">
    <cfRule type="containsText" dxfId="802" priority="2104" operator="containsText" text="Pesquisa de Preços">
      <formula>NOT(ISERROR(SEARCH("Pesquisa de Preços",E5461)))</formula>
    </cfRule>
  </conditionalFormatting>
  <conditionalFormatting sqref="E5462">
    <cfRule type="containsText" dxfId="801" priority="2102" operator="containsText" text="Pesquisa de Preços">
      <formula>NOT(ISERROR(SEARCH("Pesquisa de Preços",E5462)))</formula>
    </cfRule>
  </conditionalFormatting>
  <conditionalFormatting sqref="D5460">
    <cfRule type="containsText" dxfId="800" priority="2108" operator="containsText" text="Pesquisa de Preços">
      <formula>NOT(ISERROR(SEARCH("Pesquisa de Preços",D5460)))</formula>
    </cfRule>
  </conditionalFormatting>
  <conditionalFormatting sqref="D5461 D5465">
    <cfRule type="containsText" dxfId="799" priority="2107" operator="containsText" text="Pesquisa de Preços">
      <formula>NOT(ISERROR(SEARCH("Pesquisa de Preços",D5461)))</formula>
    </cfRule>
  </conditionalFormatting>
  <conditionalFormatting sqref="D5463">
    <cfRule type="containsText" dxfId="798" priority="2105" operator="containsText" text="Pesquisa de Preços">
      <formula>NOT(ISERROR(SEARCH("Pesquisa de Preços",D5463)))</formula>
    </cfRule>
  </conditionalFormatting>
  <conditionalFormatting sqref="D5462">
    <cfRule type="containsText" dxfId="797" priority="2106" operator="containsText" text="Pesquisa de Preços">
      <formula>NOT(ISERROR(SEARCH("Pesquisa de Preços",D5462)))</formula>
    </cfRule>
  </conditionalFormatting>
  <conditionalFormatting sqref="E5460">
    <cfRule type="containsText" dxfId="796" priority="2103" operator="containsText" text="Pesquisa de Preços">
      <formula>NOT(ISERROR(SEARCH("Pesquisa de Preços",E5460)))</formula>
    </cfRule>
  </conditionalFormatting>
  <conditionalFormatting sqref="E5463">
    <cfRule type="containsText" dxfId="795" priority="2097" operator="containsText" text="Pesquisa de Preços">
      <formula>NOT(ISERROR(SEARCH("Pesquisa de Preços",E5463)))</formula>
    </cfRule>
  </conditionalFormatting>
  <conditionalFormatting sqref="E5467 E5469">
    <cfRule type="containsText" dxfId="794" priority="2093" operator="containsText" text="Pesquisa de Preços">
      <formula>NOT(ISERROR(SEARCH("Pesquisa de Preços",E5467)))</formula>
    </cfRule>
  </conditionalFormatting>
  <conditionalFormatting sqref="E5468">
    <cfRule type="containsText" dxfId="793" priority="2091" operator="containsText" text="Pesquisa de Preços">
      <formula>NOT(ISERROR(SEARCH("Pesquisa de Preços",E5468)))</formula>
    </cfRule>
  </conditionalFormatting>
  <conditionalFormatting sqref="D5466">
    <cfRule type="containsText" dxfId="792" priority="2096" operator="containsText" text="Pesquisa de Preços">
      <formula>NOT(ISERROR(SEARCH("Pesquisa de Preços",D5466)))</formula>
    </cfRule>
  </conditionalFormatting>
  <conditionalFormatting sqref="D5467 D5469">
    <cfRule type="containsText" dxfId="791" priority="2095" operator="containsText" text="Pesquisa de Preços">
      <formula>NOT(ISERROR(SEARCH("Pesquisa de Preços",D5467)))</formula>
    </cfRule>
  </conditionalFormatting>
  <conditionalFormatting sqref="D5468">
    <cfRule type="containsText" dxfId="790" priority="2094" operator="containsText" text="Pesquisa de Preços">
      <formula>NOT(ISERROR(SEARCH("Pesquisa de Preços",D5468)))</formula>
    </cfRule>
  </conditionalFormatting>
  <conditionalFormatting sqref="E5466">
    <cfRule type="containsText" dxfId="789" priority="2092" operator="containsText" text="Pesquisa de Preços">
      <formula>NOT(ISERROR(SEARCH("Pesquisa de Preços",E5466)))</formula>
    </cfRule>
  </conditionalFormatting>
  <conditionalFormatting sqref="E5478 E5480">
    <cfRule type="containsText" dxfId="788" priority="2085" operator="containsText" text="Pesquisa de Preços">
      <formula>NOT(ISERROR(SEARCH("Pesquisa de Preços",E5478)))</formula>
    </cfRule>
  </conditionalFormatting>
  <conditionalFormatting sqref="E5479">
    <cfRule type="containsText" dxfId="787" priority="2083" operator="containsText" text="Pesquisa de Preços">
      <formula>NOT(ISERROR(SEARCH("Pesquisa de Preços",E5479)))</formula>
    </cfRule>
  </conditionalFormatting>
  <conditionalFormatting sqref="D5477">
    <cfRule type="containsText" dxfId="786" priority="2088" operator="containsText" text="Pesquisa de Preços">
      <formula>NOT(ISERROR(SEARCH("Pesquisa de Preços",D5477)))</formula>
    </cfRule>
  </conditionalFormatting>
  <conditionalFormatting sqref="D5478 D5480">
    <cfRule type="containsText" dxfId="785" priority="2087" operator="containsText" text="Pesquisa de Preços">
      <formula>NOT(ISERROR(SEARCH("Pesquisa de Preços",D5478)))</formula>
    </cfRule>
  </conditionalFormatting>
  <conditionalFormatting sqref="D5479">
    <cfRule type="containsText" dxfId="784" priority="2086" operator="containsText" text="Pesquisa de Preços">
      <formula>NOT(ISERROR(SEARCH("Pesquisa de Preços",D5479)))</formula>
    </cfRule>
  </conditionalFormatting>
  <conditionalFormatting sqref="E5477">
    <cfRule type="containsText" dxfId="783" priority="2084" operator="containsText" text="Pesquisa de Preços">
      <formula>NOT(ISERROR(SEARCH("Pesquisa de Preços",E5477)))</formula>
    </cfRule>
  </conditionalFormatting>
  <conditionalFormatting sqref="D5475">
    <cfRule type="containsText" dxfId="782" priority="2064" operator="containsText" text="Pesquisa de Preços">
      <formula>NOT(ISERROR(SEARCH("Pesquisa de Preços",D5475)))</formula>
    </cfRule>
  </conditionalFormatting>
  <conditionalFormatting sqref="E5471 E5476">
    <cfRule type="containsText" dxfId="781" priority="2072" operator="containsText" text="Pesquisa de Preços">
      <formula>NOT(ISERROR(SEARCH("Pesquisa de Preços",E5471)))</formula>
    </cfRule>
  </conditionalFormatting>
  <conditionalFormatting sqref="D5470">
    <cfRule type="containsText" dxfId="780" priority="2076" operator="containsText" text="Pesquisa de Preços">
      <formula>NOT(ISERROR(SEARCH("Pesquisa de Preços",D5470)))</formula>
    </cfRule>
  </conditionalFormatting>
  <conditionalFormatting sqref="D5471 D5476">
    <cfRule type="containsText" dxfId="779" priority="2075" operator="containsText" text="Pesquisa de Preços">
      <formula>NOT(ISERROR(SEARCH("Pesquisa de Preços",D5471)))</formula>
    </cfRule>
  </conditionalFormatting>
  <conditionalFormatting sqref="E5473:E5474">
    <cfRule type="containsText" dxfId="778" priority="2060" operator="containsText" text="Pesquisa de Preços">
      <formula>NOT(ISERROR(SEARCH("Pesquisa de Preços",E5473)))</formula>
    </cfRule>
  </conditionalFormatting>
  <conditionalFormatting sqref="E5472">
    <cfRule type="containsText" dxfId="777" priority="2061" operator="containsText" text="Pesquisa de Preços">
      <formula>NOT(ISERROR(SEARCH("Pesquisa de Preços",E5472)))</formula>
    </cfRule>
  </conditionalFormatting>
  <conditionalFormatting sqref="E5470">
    <cfRule type="containsText" dxfId="776" priority="2071" operator="containsText" text="Pesquisa de Preços">
      <formula>NOT(ISERROR(SEARCH("Pesquisa de Preços",E5470)))</formula>
    </cfRule>
  </conditionalFormatting>
  <conditionalFormatting sqref="D5473:D5474">
    <cfRule type="containsText" dxfId="775" priority="2062" operator="containsText" text="Pesquisa de Preços">
      <formula>NOT(ISERROR(SEARCH("Pesquisa de Preços",D5473)))</formula>
    </cfRule>
  </conditionalFormatting>
  <conditionalFormatting sqref="D5472">
    <cfRule type="containsText" dxfId="774" priority="2063" operator="containsText" text="Pesquisa de Preços">
      <formula>NOT(ISERROR(SEARCH("Pesquisa de Preços",D5472)))</formula>
    </cfRule>
  </conditionalFormatting>
  <conditionalFormatting sqref="D6236">
    <cfRule type="containsText" dxfId="773" priority="2046" operator="containsText" text="Pesquisa de Preços">
      <formula>NOT(ISERROR(SEARCH("Pesquisa de Preços",D6236)))</formula>
    </cfRule>
  </conditionalFormatting>
  <conditionalFormatting sqref="D6234:D6235">
    <cfRule type="containsText" dxfId="772" priority="2044" operator="containsText" text="Pesquisa de Preços">
      <formula>NOT(ISERROR(SEARCH("Pesquisa de Preços",D6234)))</formula>
    </cfRule>
  </conditionalFormatting>
  <conditionalFormatting sqref="D6233">
    <cfRule type="containsText" dxfId="771" priority="2045" operator="containsText" text="Pesquisa de Preços">
      <formula>NOT(ISERROR(SEARCH("Pesquisa de Preços",D6233)))</formula>
    </cfRule>
  </conditionalFormatting>
  <conditionalFormatting sqref="D6231">
    <cfRule type="containsText" dxfId="770" priority="2043" operator="containsText" text="Pesquisa de Preços">
      <formula>NOT(ISERROR(SEARCH("Pesquisa de Preços",D6231)))</formula>
    </cfRule>
  </conditionalFormatting>
  <conditionalFormatting sqref="D6245">
    <cfRule type="containsText" dxfId="769" priority="2038" operator="containsText" text="Pesquisa de Preços">
      <formula>NOT(ISERROR(SEARCH("Pesquisa de Preços",D6245)))</formula>
    </cfRule>
  </conditionalFormatting>
  <conditionalFormatting sqref="D6239">
    <cfRule type="containsText" dxfId="768" priority="2037" operator="containsText" text="Pesquisa de Preços">
      <formula>NOT(ISERROR(SEARCH("Pesquisa de Preços",D6239)))</formula>
    </cfRule>
  </conditionalFormatting>
  <conditionalFormatting sqref="D6237">
    <cfRule type="containsText" dxfId="767" priority="2036" operator="containsText" text="Pesquisa de Preços">
      <formula>NOT(ISERROR(SEARCH("Pesquisa de Preços",D6237)))</formula>
    </cfRule>
  </conditionalFormatting>
  <conditionalFormatting sqref="D6240:D6244">
    <cfRule type="containsText" dxfId="766" priority="2033" operator="containsText" text="Pesquisa de Preços">
      <formula>NOT(ISERROR(SEARCH("Pesquisa de Preços",D6240)))</formula>
    </cfRule>
  </conditionalFormatting>
  <conditionalFormatting sqref="D6256">
    <cfRule type="containsText" dxfId="765" priority="2025" operator="containsText" text="Pesquisa de Preços">
      <formula>NOT(ISERROR(SEARCH("Pesquisa de Preços",D6256)))</formula>
    </cfRule>
  </conditionalFormatting>
  <conditionalFormatting sqref="D6248">
    <cfRule type="containsText" dxfId="764" priority="2024" operator="containsText" text="Pesquisa de Preços">
      <formula>NOT(ISERROR(SEARCH("Pesquisa de Preços",D6248)))</formula>
    </cfRule>
  </conditionalFormatting>
  <conditionalFormatting sqref="D6246">
    <cfRule type="containsText" dxfId="763" priority="2023" operator="containsText" text="Pesquisa de Preços">
      <formula>NOT(ISERROR(SEARCH("Pesquisa de Preços",D6246)))</formula>
    </cfRule>
  </conditionalFormatting>
  <conditionalFormatting sqref="D6249:D6253">
    <cfRule type="containsText" dxfId="762" priority="2020" operator="containsText" text="Pesquisa de Preços">
      <formula>NOT(ISERROR(SEARCH("Pesquisa de Preços",D6249)))</formula>
    </cfRule>
  </conditionalFormatting>
  <conditionalFormatting sqref="D6255">
    <cfRule type="containsText" dxfId="761" priority="2019" operator="containsText" text="Pesquisa de Preços">
      <formula>NOT(ISERROR(SEARCH("Pesquisa de Preços",D6255)))</formula>
    </cfRule>
  </conditionalFormatting>
  <conditionalFormatting sqref="D6254">
    <cfRule type="containsText" dxfId="760" priority="2016" operator="containsText" text="Pesquisa de Preços">
      <formula>NOT(ISERROR(SEARCH("Pesquisa de Preços",D6254)))</formula>
    </cfRule>
  </conditionalFormatting>
  <conditionalFormatting sqref="D6264">
    <cfRule type="containsText" dxfId="759" priority="2003" operator="containsText" text="Pesquisa de Preços">
      <formula>NOT(ISERROR(SEARCH("Pesquisa de Preços",D6264)))</formula>
    </cfRule>
  </conditionalFormatting>
  <conditionalFormatting sqref="D6259">
    <cfRule type="containsText" dxfId="758" priority="2002" operator="containsText" text="Pesquisa de Preços">
      <formula>NOT(ISERROR(SEARCH("Pesquisa de Preços",D6259)))</formula>
    </cfRule>
  </conditionalFormatting>
  <conditionalFormatting sqref="D6257">
    <cfRule type="containsText" dxfId="757" priority="2001" operator="containsText" text="Pesquisa de Preços">
      <formula>NOT(ISERROR(SEARCH("Pesquisa de Preços",D6257)))</formula>
    </cfRule>
  </conditionalFormatting>
  <conditionalFormatting sqref="D6260:D6263">
    <cfRule type="containsText" dxfId="756" priority="1998" operator="containsText" text="Pesquisa de Preços">
      <formula>NOT(ISERROR(SEARCH("Pesquisa de Preços",D6260)))</formula>
    </cfRule>
  </conditionalFormatting>
  <conditionalFormatting sqref="D6272">
    <cfRule type="containsText" dxfId="755" priority="1991" operator="containsText" text="Pesquisa de Preços">
      <formula>NOT(ISERROR(SEARCH("Pesquisa de Preços",D6272)))</formula>
    </cfRule>
  </conditionalFormatting>
  <conditionalFormatting sqref="D6267">
    <cfRule type="containsText" dxfId="754" priority="1990" operator="containsText" text="Pesquisa de Preços">
      <formula>NOT(ISERROR(SEARCH("Pesquisa de Preços",D6267)))</formula>
    </cfRule>
  </conditionalFormatting>
  <conditionalFormatting sqref="D6265">
    <cfRule type="containsText" dxfId="753" priority="1989" operator="containsText" text="Pesquisa de Preços">
      <formula>NOT(ISERROR(SEARCH("Pesquisa de Preços",D6265)))</formula>
    </cfRule>
  </conditionalFormatting>
  <conditionalFormatting sqref="D6268:D6271">
    <cfRule type="containsText" dxfId="752" priority="1986" operator="containsText" text="Pesquisa de Preços">
      <formula>NOT(ISERROR(SEARCH("Pesquisa de Preços",D6268)))</formula>
    </cfRule>
  </conditionalFormatting>
  <conditionalFormatting sqref="D6281">
    <cfRule type="containsText" dxfId="751" priority="1981" operator="containsText" text="Pesquisa de Preços">
      <formula>NOT(ISERROR(SEARCH("Pesquisa de Preços",D6281)))</formula>
    </cfRule>
  </conditionalFormatting>
  <conditionalFormatting sqref="D6275">
    <cfRule type="containsText" dxfId="750" priority="1980" operator="containsText" text="Pesquisa de Preços">
      <formula>NOT(ISERROR(SEARCH("Pesquisa de Preços",D6275)))</formula>
    </cfRule>
  </conditionalFormatting>
  <conditionalFormatting sqref="D6273">
    <cfRule type="containsText" dxfId="749" priority="1979" operator="containsText" text="Pesquisa de Preços">
      <formula>NOT(ISERROR(SEARCH("Pesquisa de Preços",D6273)))</formula>
    </cfRule>
  </conditionalFormatting>
  <conditionalFormatting sqref="D6276:D6280">
    <cfRule type="containsText" dxfId="748" priority="1976" operator="containsText" text="Pesquisa de Preços">
      <formula>NOT(ISERROR(SEARCH("Pesquisa de Preços",D6276)))</formula>
    </cfRule>
  </conditionalFormatting>
  <conditionalFormatting sqref="D6292">
    <cfRule type="containsText" dxfId="747" priority="1969" operator="containsText" text="Pesquisa de Preços">
      <formula>NOT(ISERROR(SEARCH("Pesquisa de Preços",D6292)))</formula>
    </cfRule>
  </conditionalFormatting>
  <conditionalFormatting sqref="D6284">
    <cfRule type="containsText" dxfId="746" priority="1968" operator="containsText" text="Pesquisa de Preços">
      <formula>NOT(ISERROR(SEARCH("Pesquisa de Preços",D6284)))</formula>
    </cfRule>
  </conditionalFormatting>
  <conditionalFormatting sqref="D6282">
    <cfRule type="containsText" dxfId="745" priority="1967" operator="containsText" text="Pesquisa de Preços">
      <formula>NOT(ISERROR(SEARCH("Pesquisa de Preços",D6282)))</formula>
    </cfRule>
  </conditionalFormatting>
  <conditionalFormatting sqref="D6285:D6289">
    <cfRule type="containsText" dxfId="744" priority="1964" operator="containsText" text="Pesquisa de Preços">
      <formula>NOT(ISERROR(SEARCH("Pesquisa de Preços",D6285)))</formula>
    </cfRule>
  </conditionalFormatting>
  <conditionalFormatting sqref="D6290">
    <cfRule type="containsText" dxfId="743" priority="1960" operator="containsText" text="Pesquisa de Preços">
      <formula>NOT(ISERROR(SEARCH("Pesquisa de Preços",D6290)))</formula>
    </cfRule>
  </conditionalFormatting>
  <conditionalFormatting sqref="D6291">
    <cfRule type="containsText" dxfId="742" priority="1957" operator="containsText" text="Pesquisa de Preços">
      <formula>NOT(ISERROR(SEARCH("Pesquisa de Preços",D6291)))</formula>
    </cfRule>
  </conditionalFormatting>
  <conditionalFormatting sqref="D6316">
    <cfRule type="containsText" dxfId="741" priority="1950" operator="containsText" text="Pesquisa de Preços">
      <formula>NOT(ISERROR(SEARCH("Pesquisa de Preços",D6316)))</formula>
    </cfRule>
  </conditionalFormatting>
  <conditionalFormatting sqref="D6295">
    <cfRule type="containsText" dxfId="740" priority="1949" operator="containsText" text="Pesquisa de Preços">
      <formula>NOT(ISERROR(SEARCH("Pesquisa de Preços",D6295)))</formula>
    </cfRule>
  </conditionalFormatting>
  <conditionalFormatting sqref="D6293">
    <cfRule type="containsText" dxfId="739" priority="1948" operator="containsText" text="Pesquisa de Preços">
      <formula>NOT(ISERROR(SEARCH("Pesquisa de Preços",D6293)))</formula>
    </cfRule>
  </conditionalFormatting>
  <conditionalFormatting sqref="D6296">
    <cfRule type="containsText" dxfId="738" priority="1945" operator="containsText" text="Pesquisa de Preços">
      <formula>NOT(ISERROR(SEARCH("Pesquisa de Preços",D6296)))</formula>
    </cfRule>
  </conditionalFormatting>
  <conditionalFormatting sqref="D6332 D6330">
    <cfRule type="containsText" dxfId="737" priority="1916" operator="containsText" text="Pesquisa de Preços">
      <formula>NOT(ISERROR(SEARCH("Pesquisa de Preços",D6330)))</formula>
    </cfRule>
  </conditionalFormatting>
  <conditionalFormatting sqref="D6297:D6309">
    <cfRule type="containsText" dxfId="736" priority="1942" operator="containsText" text="Pesquisa de Preços">
      <formula>NOT(ISERROR(SEARCH("Pesquisa de Preços",D6297)))</formula>
    </cfRule>
  </conditionalFormatting>
  <conditionalFormatting sqref="D6317">
    <cfRule type="containsText" dxfId="735" priority="1930" operator="containsText" text="Pesquisa de Preços">
      <formula>NOT(ISERROR(SEARCH("Pesquisa de Preços",D6317)))</formula>
    </cfRule>
  </conditionalFormatting>
  <conditionalFormatting sqref="D6310:D6315">
    <cfRule type="containsText" dxfId="734" priority="1939" operator="containsText" text="Pesquisa de Preços">
      <formula>NOT(ISERROR(SEARCH("Pesquisa de Preços",D6310)))</formula>
    </cfRule>
  </conditionalFormatting>
  <conditionalFormatting sqref="D6321">
    <cfRule type="containsText" dxfId="733" priority="1927" operator="containsText" text="Pesquisa de Preços">
      <formula>NOT(ISERROR(SEARCH("Pesquisa de Preços",D6321)))</formula>
    </cfRule>
  </conditionalFormatting>
  <conditionalFormatting sqref="D6329">
    <cfRule type="containsText" dxfId="732" priority="1918" operator="containsText" text="Pesquisa de Preços">
      <formula>NOT(ISERROR(SEARCH("Pesquisa de Preços",D6329)))</formula>
    </cfRule>
  </conditionalFormatting>
  <conditionalFormatting sqref="D6333:D6334">
    <cfRule type="containsText" dxfId="731" priority="1914" operator="containsText" text="Pesquisa de Preços">
      <formula>NOT(ISERROR(SEARCH("Pesquisa de Preços",D6333)))</formula>
    </cfRule>
  </conditionalFormatting>
  <conditionalFormatting sqref="D6326">
    <cfRule type="containsText" dxfId="730" priority="1932" operator="containsText" text="Pesquisa de Preços">
      <formula>NOT(ISERROR(SEARCH("Pesquisa de Preços",D6326)))</formula>
    </cfRule>
  </conditionalFormatting>
  <conditionalFormatting sqref="D6319">
    <cfRule type="containsText" dxfId="729" priority="1931" operator="containsText" text="Pesquisa de Preços">
      <formula>NOT(ISERROR(SEARCH("Pesquisa de Preços",D6319)))</formula>
    </cfRule>
  </conditionalFormatting>
  <conditionalFormatting sqref="D6325">
    <cfRule type="containsText" dxfId="728" priority="1929" operator="containsText" text="Pesquisa de Preços">
      <formula>NOT(ISERROR(SEARCH("Pesquisa de Preços",D6325)))</formula>
    </cfRule>
  </conditionalFormatting>
  <conditionalFormatting sqref="D6336">
    <cfRule type="containsText" dxfId="727" priority="1908" operator="containsText" text="Pesquisa de Preços">
      <formula>NOT(ISERROR(SEARCH("Pesquisa de Preços",D6336)))</formula>
    </cfRule>
  </conditionalFormatting>
  <conditionalFormatting sqref="D6322 D6320">
    <cfRule type="containsText" dxfId="726" priority="1928" operator="containsText" text="Pesquisa de Preços">
      <formula>NOT(ISERROR(SEARCH("Pesquisa de Preços",D6320)))</formula>
    </cfRule>
  </conditionalFormatting>
  <conditionalFormatting sqref="D6323:D6324">
    <cfRule type="containsText" dxfId="725" priority="1926" operator="containsText" text="Pesquisa de Preços">
      <formula>NOT(ISERROR(SEARCH("Pesquisa de Preços",D6323)))</formula>
    </cfRule>
  </conditionalFormatting>
  <conditionalFormatting sqref="D6327">
    <cfRule type="containsText" dxfId="724" priority="1917" operator="containsText" text="Pesquisa de Preços">
      <formula>NOT(ISERROR(SEARCH("Pesquisa de Preços",D6327)))</formula>
    </cfRule>
  </conditionalFormatting>
  <conditionalFormatting sqref="D6331">
    <cfRule type="containsText" dxfId="723" priority="1915" operator="containsText" text="Pesquisa de Preços">
      <formula>NOT(ISERROR(SEARCH("Pesquisa de Preços",D6331)))</formula>
    </cfRule>
  </conditionalFormatting>
  <conditionalFormatting sqref="D6335">
    <cfRule type="containsText" dxfId="722" priority="1919" operator="containsText" text="Pesquisa de Preços">
      <formula>NOT(ISERROR(SEARCH("Pesquisa de Preços",D6335)))</formula>
    </cfRule>
  </conditionalFormatting>
  <conditionalFormatting sqref="D6340">
    <cfRule type="containsText" dxfId="721" priority="1911" operator="containsText" text="Pesquisa de Preços">
      <formula>NOT(ISERROR(SEARCH("Pesquisa de Preços",D6340)))</formula>
    </cfRule>
  </conditionalFormatting>
  <conditionalFormatting sqref="D6339">
    <cfRule type="containsText" dxfId="720" priority="1909" operator="containsText" text="Pesquisa de Preços">
      <formula>NOT(ISERROR(SEARCH("Pesquisa de Preços",D6339)))</formula>
    </cfRule>
  </conditionalFormatting>
  <conditionalFormatting sqref="D6338">
    <cfRule type="containsText" dxfId="719" priority="1910" operator="containsText" text="Pesquisa de Preços">
      <formula>NOT(ISERROR(SEARCH("Pesquisa de Preços",D6338)))</formula>
    </cfRule>
  </conditionalFormatting>
  <conditionalFormatting sqref="D6354">
    <cfRule type="containsText" dxfId="718" priority="1901" operator="containsText" text="Pesquisa de Preços">
      <formula>NOT(ISERROR(SEARCH("Pesquisa de Preços",D6354)))</formula>
    </cfRule>
  </conditionalFormatting>
  <conditionalFormatting sqref="D6343">
    <cfRule type="containsText" dxfId="717" priority="1900" operator="containsText" text="Pesquisa de Preços">
      <formula>NOT(ISERROR(SEARCH("Pesquisa de Preços",D6343)))</formula>
    </cfRule>
  </conditionalFormatting>
  <conditionalFormatting sqref="D6341">
    <cfRule type="containsText" dxfId="716" priority="1899" operator="containsText" text="Pesquisa de Preços">
      <formula>NOT(ISERROR(SEARCH("Pesquisa de Preços",D6341)))</formula>
    </cfRule>
  </conditionalFormatting>
  <conditionalFormatting sqref="D6344:D6348">
    <cfRule type="containsText" dxfId="715" priority="1896" operator="containsText" text="Pesquisa de Preços">
      <formula>NOT(ISERROR(SEARCH("Pesquisa de Preços",D6344)))</formula>
    </cfRule>
  </conditionalFormatting>
  <conditionalFormatting sqref="D6352">
    <cfRule type="containsText" dxfId="714" priority="1895" operator="containsText" text="Pesquisa de Preços">
      <formula>NOT(ISERROR(SEARCH("Pesquisa de Preços",D6352)))</formula>
    </cfRule>
  </conditionalFormatting>
  <conditionalFormatting sqref="D6349">
    <cfRule type="containsText" dxfId="713" priority="1892" operator="containsText" text="Pesquisa de Preços">
      <formula>NOT(ISERROR(SEARCH("Pesquisa de Preços",D6349)))</formula>
    </cfRule>
  </conditionalFormatting>
  <conditionalFormatting sqref="D6353">
    <cfRule type="containsText" dxfId="712" priority="1889" operator="containsText" text="Pesquisa de Preços">
      <formula>NOT(ISERROR(SEARCH("Pesquisa de Preços",D6353)))</formula>
    </cfRule>
  </conditionalFormatting>
  <conditionalFormatting sqref="D6350">
    <cfRule type="containsText" dxfId="711" priority="1886" operator="containsText" text="Pesquisa de Preços">
      <formula>NOT(ISERROR(SEARCH("Pesquisa de Preços",D6350)))</formula>
    </cfRule>
  </conditionalFormatting>
  <conditionalFormatting sqref="D6351">
    <cfRule type="containsText" dxfId="710" priority="1883" operator="containsText" text="Pesquisa de Preços">
      <formula>NOT(ISERROR(SEARCH("Pesquisa de Preços",D6351)))</formula>
    </cfRule>
  </conditionalFormatting>
  <conditionalFormatting sqref="D6369">
    <cfRule type="containsText" dxfId="709" priority="1876" operator="containsText" text="Pesquisa de Preços">
      <formula>NOT(ISERROR(SEARCH("Pesquisa de Preços",D6369)))</formula>
    </cfRule>
  </conditionalFormatting>
  <conditionalFormatting sqref="D6355">
    <cfRule type="containsText" dxfId="708" priority="1874" operator="containsText" text="Pesquisa de Preços">
      <formula>NOT(ISERROR(SEARCH("Pesquisa de Preços",D6355)))</formula>
    </cfRule>
  </conditionalFormatting>
  <conditionalFormatting sqref="D6371:D6372">
    <cfRule type="containsText" dxfId="707" priority="1864" operator="containsText" text="Pesquisa de Preços">
      <formula>NOT(ISERROR(SEARCH("Pesquisa de Preços",D6371)))</formula>
    </cfRule>
  </conditionalFormatting>
  <conditionalFormatting sqref="E6372">
    <cfRule type="containsText" dxfId="706" priority="1861" operator="containsText" text="Pesquisa de Preços">
      <formula>NOT(ISERROR(SEARCH("Pesquisa de Preços",E6372)))</formula>
    </cfRule>
  </conditionalFormatting>
  <conditionalFormatting sqref="D6367:D6368">
    <cfRule type="containsText" dxfId="705" priority="1869" operator="containsText" text="Pesquisa de Preços">
      <formula>NOT(ISERROR(SEARCH("Pesquisa de Preços",D6367)))</formula>
    </cfRule>
  </conditionalFormatting>
  <conditionalFormatting sqref="D6378:D6379">
    <cfRule type="containsText" dxfId="704" priority="1858" operator="containsText" text="Pesquisa de Preços">
      <formula>NOT(ISERROR(SEARCH("Pesquisa de Preços",D6378)))</formula>
    </cfRule>
  </conditionalFormatting>
  <conditionalFormatting sqref="E6379">
    <cfRule type="containsText" dxfId="703" priority="1855" operator="containsText" text="Pesquisa de Preços">
      <formula>NOT(ISERROR(SEARCH("Pesquisa de Preços",E6379)))</formula>
    </cfRule>
  </conditionalFormatting>
  <conditionalFormatting sqref="D6376">
    <cfRule type="containsText" dxfId="702" priority="1868" operator="containsText" text="Pesquisa de Preços">
      <formula>NOT(ISERROR(SEARCH("Pesquisa de Preços",D6376)))</formula>
    </cfRule>
  </conditionalFormatting>
  <conditionalFormatting sqref="D6370">
    <cfRule type="containsText" dxfId="701" priority="1865" operator="containsText" text="Pesquisa de Preços">
      <formula>NOT(ISERROR(SEARCH("Pesquisa de Preços",D6370)))</formula>
    </cfRule>
  </conditionalFormatting>
  <conditionalFormatting sqref="E6370">
    <cfRule type="containsText" dxfId="700" priority="1862" operator="containsText" text="Pesquisa de Preços">
      <formula>NOT(ISERROR(SEARCH("Pesquisa de Preços",E6370)))</formula>
    </cfRule>
  </conditionalFormatting>
  <conditionalFormatting sqref="E6371 E6376">
    <cfRule type="containsText" dxfId="699" priority="1863" operator="containsText" text="Pesquisa de Preços">
      <formula>NOT(ISERROR(SEARCH("Pesquisa de Preços",E6371)))</formula>
    </cfRule>
  </conditionalFormatting>
  <conditionalFormatting sqref="D6382">
    <cfRule type="containsText" dxfId="698" priority="1860" operator="containsText" text="Pesquisa de Preços">
      <formula>NOT(ISERROR(SEARCH("Pesquisa de Preços",D6382)))</formula>
    </cfRule>
  </conditionalFormatting>
  <conditionalFormatting sqref="D6377">
    <cfRule type="containsText" dxfId="697" priority="1859" operator="containsText" text="Pesquisa de Preços">
      <formula>NOT(ISERROR(SEARCH("Pesquisa de Preços",D6377)))</formula>
    </cfRule>
  </conditionalFormatting>
  <conditionalFormatting sqref="E6377">
    <cfRule type="containsText" dxfId="696" priority="1856" operator="containsText" text="Pesquisa de Preços">
      <formula>NOT(ISERROR(SEARCH("Pesquisa de Preços",E6377)))</formula>
    </cfRule>
  </conditionalFormatting>
  <conditionalFormatting sqref="E6378 E6382">
    <cfRule type="containsText" dxfId="695" priority="1857" operator="containsText" text="Pesquisa de Preços">
      <formula>NOT(ISERROR(SEARCH("Pesquisa de Preços",E6378)))</formula>
    </cfRule>
  </conditionalFormatting>
  <conditionalFormatting sqref="D6358:D6360 D6362">
    <cfRule type="containsText" dxfId="694" priority="1847" operator="containsText" text="Pesquisa de Preços">
      <formula>NOT(ISERROR(SEARCH("Pesquisa de Preços",D6358)))</formula>
    </cfRule>
  </conditionalFormatting>
  <conditionalFormatting sqref="D6364">
    <cfRule type="containsText" dxfId="693" priority="1846" operator="containsText" text="Pesquisa de Preços">
      <formula>NOT(ISERROR(SEARCH("Pesquisa de Preços",D6364)))</formula>
    </cfRule>
  </conditionalFormatting>
  <conditionalFormatting sqref="D6365">
    <cfRule type="containsText" dxfId="692" priority="1845" operator="containsText" text="Pesquisa de Preços">
      <formula>NOT(ISERROR(SEARCH("Pesquisa de Preços",D6365)))</formula>
    </cfRule>
  </conditionalFormatting>
  <conditionalFormatting sqref="E6365:E6366">
    <cfRule type="containsText" dxfId="691" priority="1844" operator="containsText" text="Pesquisa de Preços">
      <formula>NOT(ISERROR(SEARCH("Pesquisa de Preços",E6365)))</formula>
    </cfRule>
  </conditionalFormatting>
  <conditionalFormatting sqref="D6357">
    <cfRule type="containsText" dxfId="690" priority="1843" operator="containsText" text="Pesquisa de Preços">
      <formula>NOT(ISERROR(SEARCH("Pesquisa de Preços",D6357)))</formula>
    </cfRule>
  </conditionalFormatting>
  <conditionalFormatting sqref="D6363">
    <cfRule type="containsText" dxfId="689" priority="1842" operator="containsText" text="Pesquisa de Preços">
      <formula>NOT(ISERROR(SEARCH("Pesquisa de Preços",D6363)))</formula>
    </cfRule>
  </conditionalFormatting>
  <conditionalFormatting sqref="D6361">
    <cfRule type="containsText" dxfId="688" priority="1841" operator="containsText" text="Pesquisa de Preços">
      <formula>NOT(ISERROR(SEARCH("Pesquisa de Preços",D6361)))</formula>
    </cfRule>
  </conditionalFormatting>
  <conditionalFormatting sqref="D6169">
    <cfRule type="containsText" dxfId="687" priority="1835" operator="containsText" text="Pesquisa de Preços">
      <formula>NOT(ISERROR(SEARCH("Pesquisa de Preços",D6169)))</formula>
    </cfRule>
  </conditionalFormatting>
  <conditionalFormatting sqref="D6165">
    <cfRule type="containsText" dxfId="686" priority="1834" operator="containsText" text="Pesquisa de Preços">
      <formula>NOT(ISERROR(SEARCH("Pesquisa de Preços",D6165)))</formula>
    </cfRule>
  </conditionalFormatting>
  <conditionalFormatting sqref="D6163">
    <cfRule type="containsText" dxfId="685" priority="1832" operator="containsText" text="Pesquisa de Preços">
      <formula>NOT(ISERROR(SEARCH("Pesquisa de Preços",D6163)))</formula>
    </cfRule>
  </conditionalFormatting>
  <conditionalFormatting sqref="D6151">
    <cfRule type="containsText" dxfId="684" priority="1828" operator="containsText" text="Pesquisa de Preços">
      <formula>NOT(ISERROR(SEARCH("Pesquisa de Preços",D6151)))</formula>
    </cfRule>
  </conditionalFormatting>
  <conditionalFormatting sqref="D6141">
    <cfRule type="containsText" dxfId="683" priority="1825" operator="containsText" text="Pesquisa de Preços">
      <formula>NOT(ISERROR(SEARCH("Pesquisa de Preços",D6141)))</formula>
    </cfRule>
  </conditionalFormatting>
  <conditionalFormatting sqref="D6142">
    <cfRule type="containsText" dxfId="682" priority="1824" operator="containsText" text="Pesquisa de Preços">
      <formula>NOT(ISERROR(SEARCH("Pesquisa de Preços",D6142)))</formula>
    </cfRule>
  </conditionalFormatting>
  <conditionalFormatting sqref="E6151">
    <cfRule type="containsText" dxfId="681" priority="1821" operator="containsText" text="Pesquisa de Preços">
      <formula>NOT(ISERROR(SEARCH("Pesquisa de Preços",E6151)))</formula>
    </cfRule>
  </conditionalFormatting>
  <conditionalFormatting sqref="D6162">
    <cfRule type="containsText" dxfId="680" priority="1801" operator="containsText" text="Pesquisa de Preços">
      <formula>NOT(ISERROR(SEARCH("Pesquisa de Preços",D6162)))</formula>
    </cfRule>
  </conditionalFormatting>
  <conditionalFormatting sqref="D6152">
    <cfRule type="containsText" dxfId="679" priority="1798" operator="containsText" text="Pesquisa de Preços">
      <formula>NOT(ISERROR(SEARCH("Pesquisa de Preços",D6152)))</formula>
    </cfRule>
  </conditionalFormatting>
  <conditionalFormatting sqref="D6153">
    <cfRule type="containsText" dxfId="678" priority="1797" operator="containsText" text="Pesquisa de Preços">
      <formula>NOT(ISERROR(SEARCH("Pesquisa de Preços",D6153)))</formula>
    </cfRule>
  </conditionalFormatting>
  <conditionalFormatting sqref="E6162">
    <cfRule type="containsText" dxfId="677" priority="1794" operator="containsText" text="Pesquisa de Preços">
      <formula>NOT(ISERROR(SEARCH("Pesquisa de Preços",E6162)))</formula>
    </cfRule>
  </conditionalFormatting>
  <conditionalFormatting sqref="D6174">
    <cfRule type="containsText" dxfId="676" priority="1760" operator="containsText" text="Pesquisa de Preços">
      <formula>NOT(ISERROR(SEARCH("Pesquisa de Preços",D6174)))</formula>
    </cfRule>
  </conditionalFormatting>
  <conditionalFormatting sqref="D6170">
    <cfRule type="containsText" dxfId="675" priority="1758" operator="containsText" text="Pesquisa de Preços">
      <formula>NOT(ISERROR(SEARCH("Pesquisa de Preços",D6170)))</formula>
    </cfRule>
  </conditionalFormatting>
  <conditionalFormatting sqref="D6179">
    <cfRule type="containsText" dxfId="674" priority="1750" operator="containsText" text="Pesquisa de Preços">
      <formula>NOT(ISERROR(SEARCH("Pesquisa de Preços",D6179)))</formula>
    </cfRule>
  </conditionalFormatting>
  <conditionalFormatting sqref="D6175">
    <cfRule type="containsText" dxfId="673" priority="1749" operator="containsText" text="Pesquisa de Preços">
      <formula>NOT(ISERROR(SEARCH("Pesquisa de Preços",D6175)))</formula>
    </cfRule>
  </conditionalFormatting>
  <conditionalFormatting sqref="D6195">
    <cfRule type="containsText" dxfId="672" priority="1739" operator="containsText" text="Pesquisa de Preços">
      <formula>NOT(ISERROR(SEARCH("Pesquisa de Preços",D6195)))</formula>
    </cfRule>
  </conditionalFormatting>
  <conditionalFormatting sqref="D6190">
    <cfRule type="containsText" dxfId="671" priority="1738" operator="containsText" text="Pesquisa de Preços">
      <formula>NOT(ISERROR(SEARCH("Pesquisa de Preços",D6190)))</formula>
    </cfRule>
  </conditionalFormatting>
  <conditionalFormatting sqref="D6188">
    <cfRule type="containsText" dxfId="670" priority="1737" operator="containsText" text="Pesquisa de Preços">
      <formula>NOT(ISERROR(SEARCH("Pesquisa de Preços",D6188)))</formula>
    </cfRule>
  </conditionalFormatting>
  <conditionalFormatting sqref="D6191:D6194">
    <cfRule type="containsText" dxfId="669" priority="1734" operator="containsText" text="Pesquisa de Preços">
      <formula>NOT(ISERROR(SEARCH("Pesquisa de Preços",D6191)))</formula>
    </cfRule>
  </conditionalFormatting>
  <conditionalFormatting sqref="D6183:D6186">
    <cfRule type="containsText" dxfId="668" priority="1733" operator="containsText" text="Pesquisa de Preços">
      <formula>NOT(ISERROR(SEARCH("Pesquisa de Preços",D6183)))</formula>
    </cfRule>
  </conditionalFormatting>
  <conditionalFormatting sqref="D6187">
    <cfRule type="containsText" dxfId="667" priority="1728" operator="containsText" text="Pesquisa de Preços">
      <formula>NOT(ISERROR(SEARCH("Pesquisa de Preços",D6187)))</formula>
    </cfRule>
  </conditionalFormatting>
  <conditionalFormatting sqref="D6182">
    <cfRule type="containsText" dxfId="666" priority="1727" operator="containsText" text="Pesquisa de Preços">
      <formula>NOT(ISERROR(SEARCH("Pesquisa de Preços",D6182)))</formula>
    </cfRule>
  </conditionalFormatting>
  <conditionalFormatting sqref="D6180">
    <cfRule type="containsText" dxfId="665" priority="1726" operator="containsText" text="Pesquisa de Preços">
      <formula>NOT(ISERROR(SEARCH("Pesquisa de Preços",D6180)))</formula>
    </cfRule>
  </conditionalFormatting>
  <conditionalFormatting sqref="D6199 D6202:D6204">
    <cfRule type="containsText" dxfId="664" priority="1703" operator="containsText" text="Pesquisa de Preços">
      <formula>NOT(ISERROR(SEARCH("Pesquisa de Preços",D6199)))</formula>
    </cfRule>
  </conditionalFormatting>
  <conditionalFormatting sqref="D6198">
    <cfRule type="containsText" dxfId="663" priority="1715" operator="containsText" text="Pesquisa de Preços">
      <formula>NOT(ISERROR(SEARCH("Pesquisa de Preços",D6198)))</formula>
    </cfRule>
  </conditionalFormatting>
  <conditionalFormatting sqref="D6196">
    <cfRule type="containsText" dxfId="662" priority="1714" operator="containsText" text="Pesquisa de Preços">
      <formula>NOT(ISERROR(SEARCH("Pesquisa de Preços",D6196)))</formula>
    </cfRule>
  </conditionalFormatting>
  <conditionalFormatting sqref="D6200:D6201">
    <cfRule type="containsText" dxfId="661" priority="1699" operator="containsText" text="Pesquisa de Preços">
      <formula>NOT(ISERROR(SEARCH("Pesquisa de Preços",D6200)))</formula>
    </cfRule>
  </conditionalFormatting>
  <conditionalFormatting sqref="D6211">
    <cfRule type="containsText" dxfId="660" priority="1689" operator="containsText" text="Pesquisa de Preços">
      <formula>NOT(ISERROR(SEARCH("Pesquisa de Preços",D6211)))</formula>
    </cfRule>
  </conditionalFormatting>
  <conditionalFormatting sqref="D6207">
    <cfRule type="containsText" dxfId="659" priority="1688" operator="containsText" text="Pesquisa de Preços">
      <formula>NOT(ISERROR(SEARCH("Pesquisa de Preços",D6207)))</formula>
    </cfRule>
  </conditionalFormatting>
  <conditionalFormatting sqref="D6205">
    <cfRule type="containsText" dxfId="658" priority="1687" operator="containsText" text="Pesquisa de Preços">
      <formula>NOT(ISERROR(SEARCH("Pesquisa de Preços",D6205)))</formula>
    </cfRule>
  </conditionalFormatting>
  <conditionalFormatting sqref="D6208:D6210">
    <cfRule type="containsText" dxfId="657" priority="1684" operator="containsText" text="Pesquisa de Preços">
      <formula>NOT(ISERROR(SEARCH("Pesquisa de Preços",D6208)))</formula>
    </cfRule>
  </conditionalFormatting>
  <conditionalFormatting sqref="D6217">
    <cfRule type="containsText" dxfId="656" priority="1676" operator="containsText" text="Pesquisa de Preços">
      <formula>NOT(ISERROR(SEARCH("Pesquisa de Preços",D6217)))</formula>
    </cfRule>
  </conditionalFormatting>
  <conditionalFormatting sqref="D6212">
    <cfRule type="containsText" dxfId="655" priority="1674" operator="containsText" text="Pesquisa de Preços">
      <formula>NOT(ISERROR(SEARCH("Pesquisa de Preços",D6212)))</formula>
    </cfRule>
  </conditionalFormatting>
  <conditionalFormatting sqref="D6216">
    <cfRule type="containsText" dxfId="654" priority="1671" operator="containsText" text="Pesquisa de Preços">
      <formula>NOT(ISERROR(SEARCH("Pesquisa de Preços",D6216)))</formula>
    </cfRule>
  </conditionalFormatting>
  <conditionalFormatting sqref="D6214:D6215">
    <cfRule type="containsText" dxfId="653" priority="1668" operator="containsText" text="Pesquisa de Preços">
      <formula>NOT(ISERROR(SEARCH("Pesquisa de Preços",D6214)))</formula>
    </cfRule>
  </conditionalFormatting>
  <conditionalFormatting sqref="D6224">
    <cfRule type="containsText" dxfId="652" priority="1658" operator="containsText" text="Pesquisa de Preços">
      <formula>NOT(ISERROR(SEARCH("Pesquisa de Preços",D6224)))</formula>
    </cfRule>
  </conditionalFormatting>
  <conditionalFormatting sqref="D6220">
    <cfRule type="containsText" dxfId="651" priority="1657" operator="containsText" text="Pesquisa de Preços">
      <formula>NOT(ISERROR(SEARCH("Pesquisa de Preços",D6220)))</formula>
    </cfRule>
  </conditionalFormatting>
  <conditionalFormatting sqref="D6218">
    <cfRule type="containsText" dxfId="650" priority="1656" operator="containsText" text="Pesquisa de Preços">
      <formula>NOT(ISERROR(SEARCH("Pesquisa de Preços",D6218)))</formula>
    </cfRule>
  </conditionalFormatting>
  <conditionalFormatting sqref="D6221:D6223">
    <cfRule type="containsText" dxfId="649" priority="1653" operator="containsText" text="Pesquisa de Preços">
      <formula>NOT(ISERROR(SEARCH("Pesquisa de Preços",D6221)))</formula>
    </cfRule>
  </conditionalFormatting>
  <conditionalFormatting sqref="D6230">
    <cfRule type="containsText" dxfId="648" priority="1643" operator="containsText" text="Pesquisa de Preços">
      <formula>NOT(ISERROR(SEARCH("Pesquisa de Preços",D6230)))</formula>
    </cfRule>
  </conditionalFormatting>
  <conditionalFormatting sqref="D6228:D6229">
    <cfRule type="containsText" dxfId="647" priority="1641" operator="containsText" text="Pesquisa de Preços">
      <formula>NOT(ISERROR(SEARCH("Pesquisa de Preços",D6228)))</formula>
    </cfRule>
  </conditionalFormatting>
  <conditionalFormatting sqref="D6227">
    <cfRule type="containsText" dxfId="646" priority="1642" operator="containsText" text="Pesquisa de Preços">
      <formula>NOT(ISERROR(SEARCH("Pesquisa de Preços",D6227)))</formula>
    </cfRule>
  </conditionalFormatting>
  <conditionalFormatting sqref="D6225">
    <cfRule type="containsText" dxfId="645" priority="1640" operator="containsText" text="Pesquisa de Preços">
      <formula>NOT(ISERROR(SEARCH("Pesquisa de Preços",D6225)))</formula>
    </cfRule>
  </conditionalFormatting>
  <conditionalFormatting sqref="D5005 D4188 D640">
    <cfRule type="containsText" dxfId="644" priority="1639" operator="containsText" text="Pesquisa de Preços">
      <formula>NOT(ISERROR(SEARCH("Pesquisa de Preços",D640)))</formula>
    </cfRule>
  </conditionalFormatting>
  <conditionalFormatting sqref="E1234:E1235">
    <cfRule type="containsText" dxfId="643" priority="1624" operator="containsText" text="Pesquisa de Preços">
      <formula>NOT(ISERROR(SEARCH("Pesquisa de Preços",E1234)))</formula>
    </cfRule>
  </conditionalFormatting>
  <conditionalFormatting sqref="E1233">
    <cfRule type="containsText" dxfId="642" priority="1623" operator="containsText" text="Pesquisa de Preços">
      <formula>NOT(ISERROR(SEARCH("Pesquisa de Preços",E1233)))</formula>
    </cfRule>
  </conditionalFormatting>
  <conditionalFormatting sqref="D1239">
    <cfRule type="containsText" dxfId="641" priority="1622" operator="containsText" text="Pesquisa de Preços">
      <formula>NOT(ISERROR(SEARCH("Pesquisa de Preços",D1239)))</formula>
    </cfRule>
  </conditionalFormatting>
  <conditionalFormatting sqref="D1240:D1241">
    <cfRule type="containsText" dxfId="640" priority="1621" operator="containsText" text="Pesquisa de Preços">
      <formula>NOT(ISERROR(SEARCH("Pesquisa de Preços",D1240)))</formula>
    </cfRule>
  </conditionalFormatting>
  <conditionalFormatting sqref="E1240:E1241">
    <cfRule type="containsText" dxfId="639" priority="1620" operator="containsText" text="Pesquisa de Preços">
      <formula>NOT(ISERROR(SEARCH("Pesquisa de Preços",E1240)))</formula>
    </cfRule>
  </conditionalFormatting>
  <conditionalFormatting sqref="E1239">
    <cfRule type="containsText" dxfId="638" priority="1619" operator="containsText" text="Pesquisa de Preços">
      <formula>NOT(ISERROR(SEARCH("Pesquisa de Preços",E1239)))</formula>
    </cfRule>
  </conditionalFormatting>
  <conditionalFormatting sqref="E1980">
    <cfRule type="containsText" dxfId="637" priority="1617" operator="containsText" text="Pesquisa de Preços">
      <formula>NOT(ISERROR(SEARCH("Pesquisa de Preços",E1980)))</formula>
    </cfRule>
  </conditionalFormatting>
  <conditionalFormatting sqref="E1981">
    <cfRule type="containsText" dxfId="636" priority="1616" operator="containsText" text="Pesquisa de Preços">
      <formula>NOT(ISERROR(SEARCH("Pesquisa de Preços",E1981)))</formula>
    </cfRule>
  </conditionalFormatting>
  <conditionalFormatting sqref="E1982">
    <cfRule type="containsText" dxfId="635" priority="1615" operator="containsText" text="Pesquisa de Preços">
      <formula>NOT(ISERROR(SEARCH("Pesquisa de Preços",E1982)))</formula>
    </cfRule>
  </conditionalFormatting>
  <conditionalFormatting sqref="E1988">
    <cfRule type="containsText" dxfId="634" priority="1614" operator="containsText" text="Pesquisa de Preços">
      <formula>NOT(ISERROR(SEARCH("Pesquisa de Preços",E1988)))</formula>
    </cfRule>
  </conditionalFormatting>
  <conditionalFormatting sqref="E1989">
    <cfRule type="containsText" dxfId="633" priority="1613" operator="containsText" text="Pesquisa de Preços">
      <formula>NOT(ISERROR(SEARCH("Pesquisa de Preços",E1989)))</formula>
    </cfRule>
  </conditionalFormatting>
  <conditionalFormatting sqref="E1990">
    <cfRule type="containsText" dxfId="632" priority="1612" operator="containsText" text="Pesquisa de Preços">
      <formula>NOT(ISERROR(SEARCH("Pesquisa de Preços",E1990)))</formula>
    </cfRule>
  </conditionalFormatting>
  <conditionalFormatting sqref="E2006">
    <cfRule type="containsText" dxfId="631" priority="1611" operator="containsText" text="Pesquisa de Preços">
      <formula>NOT(ISERROR(SEARCH("Pesquisa de Preços",E2006)))</formula>
    </cfRule>
  </conditionalFormatting>
  <conditionalFormatting sqref="E2013">
    <cfRule type="containsText" dxfId="630" priority="1610" operator="containsText" text="Pesquisa de Preços">
      <formula>NOT(ISERROR(SEARCH("Pesquisa de Preços",E2013)))</formula>
    </cfRule>
  </conditionalFormatting>
  <conditionalFormatting sqref="E2020">
    <cfRule type="containsText" dxfId="629" priority="1609" operator="containsText" text="Pesquisa de Preços">
      <formula>NOT(ISERROR(SEARCH("Pesquisa de Preços",E2020)))</formula>
    </cfRule>
  </conditionalFormatting>
  <conditionalFormatting sqref="D1321">
    <cfRule type="containsText" dxfId="628" priority="1605" operator="containsText" text="Pesquisa de Preços">
      <formula>NOT(ISERROR(SEARCH("Pesquisa de Preços",D1321)))</formula>
    </cfRule>
  </conditionalFormatting>
  <conditionalFormatting sqref="E1321">
    <cfRule type="containsText" dxfId="627" priority="1604" operator="containsText" text="Pesquisa de Preços">
      <formula>NOT(ISERROR(SEARCH("Pesquisa de Preços",E1321)))</formula>
    </cfRule>
  </conditionalFormatting>
  <conditionalFormatting sqref="E1320">
    <cfRule type="containsText" dxfId="626" priority="1603" operator="containsText" text="Pesquisa de Preços">
      <formula>NOT(ISERROR(SEARCH("Pesquisa de Preços",E1320)))</formula>
    </cfRule>
  </conditionalFormatting>
  <conditionalFormatting sqref="E4880">
    <cfRule type="containsText" dxfId="625" priority="1564" operator="containsText" text="Pesquisa de Preços">
      <formula>NOT(ISERROR(SEARCH("Pesquisa de Preços",E4880)))</formula>
    </cfRule>
  </conditionalFormatting>
  <conditionalFormatting sqref="D4880">
    <cfRule type="containsText" dxfId="624" priority="1565" operator="containsText" text="Pesquisa de Preços">
      <formula>NOT(ISERROR(SEARCH("Pesquisa de Preços",D4880)))</formula>
    </cfRule>
  </conditionalFormatting>
  <conditionalFormatting sqref="E4949">
    <cfRule type="containsText" dxfId="623" priority="1561" operator="containsText" text="Pesquisa de Preços">
      <formula>NOT(ISERROR(SEARCH("Pesquisa de Preços",E4949)))</formula>
    </cfRule>
  </conditionalFormatting>
  <conditionalFormatting sqref="E5028">
    <cfRule type="containsText" dxfId="622" priority="1555" operator="containsText" text="Pesquisa de Preços">
      <formula>NOT(ISERROR(SEARCH("Pesquisa de Preços",E5028)))</formula>
    </cfRule>
  </conditionalFormatting>
  <conditionalFormatting sqref="D5028">
    <cfRule type="containsText" dxfId="621" priority="1556" operator="containsText" text="Pesquisa de Preços">
      <formula>NOT(ISERROR(SEARCH("Pesquisa de Preços",D5028)))</formula>
    </cfRule>
  </conditionalFormatting>
  <conditionalFormatting sqref="D5028:E5028">
    <cfRule type="containsText" dxfId="620" priority="1557" operator="containsText" text="Pesquisa de Preços">
      <formula>NOT(ISERROR(SEARCH("Pesquisa de Preços",D5028)))</formula>
    </cfRule>
  </conditionalFormatting>
  <conditionalFormatting sqref="D879:E880">
    <cfRule type="containsText" dxfId="619" priority="1554" operator="containsText" text="Pesquisa de Preços">
      <formula>NOT(ISERROR(SEARCH("Pesquisa de Preços",D879)))</formula>
    </cfRule>
  </conditionalFormatting>
  <conditionalFormatting sqref="D886:D887">
    <cfRule type="containsText" dxfId="618" priority="1551" operator="containsText" text="Pesquisa de Preços">
      <formula>NOT(ISERROR(SEARCH("Pesquisa de Preços",D886)))</formula>
    </cfRule>
  </conditionalFormatting>
  <conditionalFormatting sqref="E886:E887">
    <cfRule type="containsText" dxfId="617" priority="1548" operator="containsText" text="Pesquisa de Preços">
      <formula>NOT(ISERROR(SEARCH("Pesquisa de Preços",E886)))</formula>
    </cfRule>
  </conditionalFormatting>
  <conditionalFormatting sqref="D6408">
    <cfRule type="containsText" dxfId="616" priority="1538" operator="containsText" text="Pesquisa de Preços">
      <formula>NOT(ISERROR(SEARCH("Pesquisa de Preços",D6408)))</formula>
    </cfRule>
  </conditionalFormatting>
  <conditionalFormatting sqref="D6411">
    <cfRule type="containsText" dxfId="615" priority="1540" operator="containsText" text="Pesquisa de Preços">
      <formula>NOT(ISERROR(SEARCH("Pesquisa de Preços",D6411)))</formula>
    </cfRule>
  </conditionalFormatting>
  <conditionalFormatting sqref="D6407">
    <cfRule type="containsText" dxfId="614" priority="1539" operator="containsText" text="Pesquisa de Preços">
      <formula>NOT(ISERROR(SEARCH("Pesquisa de Preços",D6407)))</formula>
    </cfRule>
  </conditionalFormatting>
  <conditionalFormatting sqref="E6407">
    <cfRule type="containsText" dxfId="613" priority="1536" operator="containsText" text="Pesquisa de Preços">
      <formula>NOT(ISERROR(SEARCH("Pesquisa de Preços",E6407)))</formula>
    </cfRule>
  </conditionalFormatting>
  <conditionalFormatting sqref="E6408 E6411">
    <cfRule type="containsText" dxfId="612" priority="1537" operator="containsText" text="Pesquisa de Preços">
      <formula>NOT(ISERROR(SEARCH("Pesquisa de Preços",E6408)))</formula>
    </cfRule>
  </conditionalFormatting>
  <conditionalFormatting sqref="D6413:D6414">
    <cfRule type="containsText" dxfId="611" priority="1529" operator="containsText" text="Pesquisa de Preços">
      <formula>NOT(ISERROR(SEARCH("Pesquisa de Preços",D6413)))</formula>
    </cfRule>
  </conditionalFormatting>
  <conditionalFormatting sqref="E6414">
    <cfRule type="containsText" dxfId="610" priority="1526" operator="containsText" text="Pesquisa de Preços">
      <formula>NOT(ISERROR(SEARCH("Pesquisa de Preços",E6414)))</formula>
    </cfRule>
  </conditionalFormatting>
  <conditionalFormatting sqref="D6416">
    <cfRule type="containsText" dxfId="609" priority="1531" operator="containsText" text="Pesquisa de Preços">
      <formula>NOT(ISERROR(SEARCH("Pesquisa de Preços",D6416)))</formula>
    </cfRule>
  </conditionalFormatting>
  <conditionalFormatting sqref="D6412">
    <cfRule type="containsText" dxfId="608" priority="1530" operator="containsText" text="Pesquisa de Preços">
      <formula>NOT(ISERROR(SEARCH("Pesquisa de Preços",D6412)))</formula>
    </cfRule>
  </conditionalFormatting>
  <conditionalFormatting sqref="E6412">
    <cfRule type="containsText" dxfId="607" priority="1527" operator="containsText" text="Pesquisa de Preços">
      <formula>NOT(ISERROR(SEARCH("Pesquisa de Preços",E6412)))</formula>
    </cfRule>
  </conditionalFormatting>
  <conditionalFormatting sqref="E6413 E6416">
    <cfRule type="containsText" dxfId="606" priority="1528" operator="containsText" text="Pesquisa de Preços">
      <formula>NOT(ISERROR(SEARCH("Pesquisa de Preços",E6413)))</formula>
    </cfRule>
  </conditionalFormatting>
  <conditionalFormatting sqref="D6410">
    <cfRule type="containsText" dxfId="605" priority="1524" operator="containsText" text="Pesquisa de Preços">
      <formula>NOT(ISERROR(SEARCH("Pesquisa de Preços",D6410)))</formula>
    </cfRule>
  </conditionalFormatting>
  <conditionalFormatting sqref="D6409">
    <cfRule type="containsText" dxfId="604" priority="1525" operator="containsText" text="Pesquisa de Preços">
      <formula>NOT(ISERROR(SEARCH("Pesquisa de Preços",D6409)))</formula>
    </cfRule>
  </conditionalFormatting>
  <conditionalFormatting sqref="D6384:D6385">
    <cfRule type="containsText" dxfId="603" priority="1512" operator="containsText" text="Pesquisa de Preços">
      <formula>NOT(ISERROR(SEARCH("Pesquisa de Preços",D6384)))</formula>
    </cfRule>
  </conditionalFormatting>
  <conditionalFormatting sqref="E6385">
    <cfRule type="containsText" dxfId="602" priority="1509" operator="containsText" text="Pesquisa de Preços">
      <formula>NOT(ISERROR(SEARCH("Pesquisa de Preços",E6385)))</formula>
    </cfRule>
  </conditionalFormatting>
  <conditionalFormatting sqref="D6389">
    <cfRule type="containsText" dxfId="601" priority="1516" operator="containsText" text="Pesquisa de Preços">
      <formula>NOT(ISERROR(SEARCH("Pesquisa de Preços",D6389)))</formula>
    </cfRule>
  </conditionalFormatting>
  <conditionalFormatting sqref="D6383">
    <cfRule type="containsText" dxfId="600" priority="1513" operator="containsText" text="Pesquisa de Preços">
      <formula>NOT(ISERROR(SEARCH("Pesquisa de Preços",D6383)))</formula>
    </cfRule>
  </conditionalFormatting>
  <conditionalFormatting sqref="E6383">
    <cfRule type="containsText" dxfId="599" priority="1510" operator="containsText" text="Pesquisa de Preços">
      <formula>NOT(ISERROR(SEARCH("Pesquisa de Preços",E6383)))</formula>
    </cfRule>
  </conditionalFormatting>
  <conditionalFormatting sqref="E6384 E6389">
    <cfRule type="containsText" dxfId="598" priority="1511" operator="containsText" text="Pesquisa de Preços">
      <formula>NOT(ISERROR(SEARCH("Pesquisa de Preços",E6384)))</formula>
    </cfRule>
  </conditionalFormatting>
  <conditionalFormatting sqref="D6391">
    <cfRule type="containsText" dxfId="597" priority="1499" operator="containsText" text="Pesquisa de Preços">
      <formula>NOT(ISERROR(SEARCH("Pesquisa de Preços",D6391)))</formula>
    </cfRule>
  </conditionalFormatting>
  <conditionalFormatting sqref="D6393">
    <cfRule type="containsText" dxfId="596" priority="1501" operator="containsText" text="Pesquisa de Preços">
      <formula>NOT(ISERROR(SEARCH("Pesquisa de Preços",D6393)))</formula>
    </cfRule>
  </conditionalFormatting>
  <conditionalFormatting sqref="D6390">
    <cfRule type="containsText" dxfId="595" priority="1500" operator="containsText" text="Pesquisa de Preços">
      <formula>NOT(ISERROR(SEARCH("Pesquisa de Preços",D6390)))</formula>
    </cfRule>
  </conditionalFormatting>
  <conditionalFormatting sqref="E6390">
    <cfRule type="containsText" dxfId="594" priority="1497" operator="containsText" text="Pesquisa de Preços">
      <formula>NOT(ISERROR(SEARCH("Pesquisa de Preços",E6390)))</formula>
    </cfRule>
  </conditionalFormatting>
  <conditionalFormatting sqref="E6391 E6393">
    <cfRule type="containsText" dxfId="593" priority="1498" operator="containsText" text="Pesquisa de Preços">
      <formula>NOT(ISERROR(SEARCH("Pesquisa de Preços",E6391)))</formula>
    </cfRule>
  </conditionalFormatting>
  <conditionalFormatting sqref="D6395">
    <cfRule type="containsText" dxfId="592" priority="1485" operator="containsText" text="Pesquisa de Preços">
      <formula>NOT(ISERROR(SEARCH("Pesquisa de Preços",D6395)))</formula>
    </cfRule>
  </conditionalFormatting>
  <conditionalFormatting sqref="D6398">
    <cfRule type="containsText" dxfId="591" priority="1487" operator="containsText" text="Pesquisa de Preços">
      <formula>NOT(ISERROR(SEARCH("Pesquisa de Preços",D6398)))</formula>
    </cfRule>
  </conditionalFormatting>
  <conditionalFormatting sqref="D6394">
    <cfRule type="containsText" dxfId="590" priority="1486" operator="containsText" text="Pesquisa de Preços">
      <formula>NOT(ISERROR(SEARCH("Pesquisa de Preços",D6394)))</formula>
    </cfRule>
  </conditionalFormatting>
  <conditionalFormatting sqref="E6394">
    <cfRule type="containsText" dxfId="589" priority="1483" operator="containsText" text="Pesquisa de Preços">
      <formula>NOT(ISERROR(SEARCH("Pesquisa de Preços",E6394)))</formula>
    </cfRule>
  </conditionalFormatting>
  <conditionalFormatting sqref="E6395 E6398">
    <cfRule type="containsText" dxfId="588" priority="1484" operator="containsText" text="Pesquisa de Preços">
      <formula>NOT(ISERROR(SEARCH("Pesquisa de Preços",E6395)))</formula>
    </cfRule>
  </conditionalFormatting>
  <conditionalFormatting sqref="E6403">
    <cfRule type="containsText" dxfId="587" priority="1454" operator="containsText" text="Pesquisa de Preços">
      <formula>NOT(ISERROR(SEARCH("Pesquisa de Preços",E6403)))</formula>
    </cfRule>
  </conditionalFormatting>
  <conditionalFormatting sqref="D6400">
    <cfRule type="containsText" dxfId="586" priority="1466" operator="containsText" text="Pesquisa de Preços">
      <formula>NOT(ISERROR(SEARCH("Pesquisa de Preços",D6400)))</formula>
    </cfRule>
  </conditionalFormatting>
  <conditionalFormatting sqref="D6402">
    <cfRule type="containsText" dxfId="585" priority="1468" operator="containsText" text="Pesquisa de Preços">
      <formula>NOT(ISERROR(SEARCH("Pesquisa de Preços",D6402)))</formula>
    </cfRule>
  </conditionalFormatting>
  <conditionalFormatting sqref="D6399">
    <cfRule type="containsText" dxfId="584" priority="1467" operator="containsText" text="Pesquisa de Preços">
      <formula>NOT(ISERROR(SEARCH("Pesquisa de Preços",D6399)))</formula>
    </cfRule>
  </conditionalFormatting>
  <conditionalFormatting sqref="E6399">
    <cfRule type="containsText" dxfId="583" priority="1464" operator="containsText" text="Pesquisa de Preços">
      <formula>NOT(ISERROR(SEARCH("Pesquisa de Preços",E6399)))</formula>
    </cfRule>
  </conditionalFormatting>
  <conditionalFormatting sqref="E6400 E6402">
    <cfRule type="containsText" dxfId="582" priority="1465" operator="containsText" text="Pesquisa de Preços">
      <formula>NOT(ISERROR(SEARCH("Pesquisa de Preços",E6400)))</formula>
    </cfRule>
  </conditionalFormatting>
  <conditionalFormatting sqref="D6404">
    <cfRule type="containsText" dxfId="581" priority="1456" operator="containsText" text="Pesquisa de Preços">
      <formula>NOT(ISERROR(SEARCH("Pesquisa de Preços",D6404)))</formula>
    </cfRule>
  </conditionalFormatting>
  <conditionalFormatting sqref="D6406">
    <cfRule type="containsText" dxfId="580" priority="1458" operator="containsText" text="Pesquisa de Preços">
      <formula>NOT(ISERROR(SEARCH("Pesquisa de Preços",D6406)))</formula>
    </cfRule>
  </conditionalFormatting>
  <conditionalFormatting sqref="D6403">
    <cfRule type="containsText" dxfId="579" priority="1457" operator="containsText" text="Pesquisa de Preços">
      <formula>NOT(ISERROR(SEARCH("Pesquisa de Preços",D6403)))</formula>
    </cfRule>
  </conditionalFormatting>
  <conditionalFormatting sqref="E6404 E6406">
    <cfRule type="containsText" dxfId="578" priority="1455" operator="containsText" text="Pesquisa de Preços">
      <formula>NOT(ISERROR(SEARCH("Pesquisa de Preços",E6404)))</formula>
    </cfRule>
  </conditionalFormatting>
  <conditionalFormatting sqref="D1377">
    <cfRule type="containsText" dxfId="577" priority="1446" operator="containsText" text="Pesquisa de Preços">
      <formula>NOT(ISERROR(SEARCH("Pesquisa de Preços",D1377)))</formula>
    </cfRule>
  </conditionalFormatting>
  <conditionalFormatting sqref="D1378">
    <cfRule type="containsText" dxfId="576" priority="1443" operator="containsText" text="Pesquisa de Preços">
      <formula>NOT(ISERROR(SEARCH("Pesquisa de Preços",D1378)))</formula>
    </cfRule>
  </conditionalFormatting>
  <conditionalFormatting sqref="D1949">
    <cfRule type="containsText" dxfId="575" priority="1439" operator="containsText" text="Pesquisa de Preços">
      <formula>NOT(ISERROR(SEARCH("Pesquisa de Preços",D1949)))</formula>
    </cfRule>
  </conditionalFormatting>
  <conditionalFormatting sqref="E1949">
    <cfRule type="containsText" dxfId="574" priority="1438" operator="containsText" text="Pesquisa de Preços">
      <formula>NOT(ISERROR(SEARCH("Pesquisa de Preços",E1949)))</formula>
    </cfRule>
  </conditionalFormatting>
  <conditionalFormatting sqref="D1948">
    <cfRule type="containsText" dxfId="573" priority="1437" operator="containsText" text="Pesquisa de Preços">
      <formula>NOT(ISERROR(SEARCH("Pesquisa de Preços",D1948)))</formula>
    </cfRule>
  </conditionalFormatting>
  <conditionalFormatting sqref="E1948">
    <cfRule type="containsText" dxfId="572" priority="1436" operator="containsText" text="Pesquisa de Preços">
      <formula>NOT(ISERROR(SEARCH("Pesquisa de Preços",E1948)))</formula>
    </cfRule>
  </conditionalFormatting>
  <conditionalFormatting sqref="D2227">
    <cfRule type="containsText" dxfId="571" priority="1432" operator="containsText" text="Pesquisa de Preços">
      <formula>NOT(ISERROR(SEARCH("Pesquisa de Preços",D2227)))</formula>
    </cfRule>
  </conditionalFormatting>
  <conditionalFormatting sqref="D2226">
    <cfRule type="containsText" dxfId="570" priority="1431" operator="containsText" text="Pesquisa de Preços">
      <formula>NOT(ISERROR(SEARCH("Pesquisa de Preços",D2226)))</formula>
    </cfRule>
  </conditionalFormatting>
  <conditionalFormatting sqref="E2233">
    <cfRule type="containsText" dxfId="569" priority="1430" operator="containsText" text="Pesquisa de Preços">
      <formula>NOT(ISERROR(SEARCH("Pesquisa de Preços",E2233)))</formula>
    </cfRule>
  </conditionalFormatting>
  <conditionalFormatting sqref="D2233">
    <cfRule type="containsText" dxfId="568" priority="1429" operator="containsText" text="Pesquisa de Preços">
      <formula>NOT(ISERROR(SEARCH("Pesquisa de Preços",D2233)))</formula>
    </cfRule>
  </conditionalFormatting>
  <conditionalFormatting sqref="D6421">
    <cfRule type="containsText" dxfId="567" priority="1421" operator="containsText" text="Pesquisa de Preços">
      <formula>NOT(ISERROR(SEARCH("Pesquisa de Preços",D6421)))</formula>
    </cfRule>
  </conditionalFormatting>
  <conditionalFormatting sqref="D6418">
    <cfRule type="containsText" dxfId="566" priority="1419" operator="containsText" text="Pesquisa de Preços">
      <formula>NOT(ISERROR(SEARCH("Pesquisa de Preços",D6418)))</formula>
    </cfRule>
  </conditionalFormatting>
  <conditionalFormatting sqref="D6430">
    <cfRule type="containsText" dxfId="565" priority="1410" operator="containsText" text="Pesquisa de Preços">
      <formula>NOT(ISERROR(SEARCH("Pesquisa de Preços",D6430)))</formula>
    </cfRule>
  </conditionalFormatting>
  <conditionalFormatting sqref="D6417">
    <cfRule type="containsText" dxfId="564" priority="1420" operator="containsText" text="Pesquisa de Preços">
      <formula>NOT(ISERROR(SEARCH("Pesquisa de Preços",D6417)))</formula>
    </cfRule>
  </conditionalFormatting>
  <conditionalFormatting sqref="E6417">
    <cfRule type="containsText" dxfId="563" priority="1417" operator="containsText" text="Pesquisa de Preços">
      <formula>NOT(ISERROR(SEARCH("Pesquisa de Preços",E6417)))</formula>
    </cfRule>
  </conditionalFormatting>
  <conditionalFormatting sqref="E6418 E6421">
    <cfRule type="containsText" dxfId="562" priority="1418" operator="containsText" text="Pesquisa de Preços">
      <formula>NOT(ISERROR(SEARCH("Pesquisa de Preços",E6418)))</formula>
    </cfRule>
  </conditionalFormatting>
  <conditionalFormatting sqref="D6423:D6424">
    <cfRule type="containsText" dxfId="561" priority="1408" operator="containsText" text="Pesquisa de Preços">
      <formula>NOT(ISERROR(SEARCH("Pesquisa de Preços",D6423)))</formula>
    </cfRule>
  </conditionalFormatting>
  <conditionalFormatting sqref="E6424">
    <cfRule type="containsText" dxfId="560" priority="1405" operator="containsText" text="Pesquisa de Preços">
      <formula>NOT(ISERROR(SEARCH("Pesquisa de Preços",E6424)))</formula>
    </cfRule>
  </conditionalFormatting>
  <conditionalFormatting sqref="D6422">
    <cfRule type="containsText" dxfId="559" priority="1409" operator="containsText" text="Pesquisa de Preços">
      <formula>NOT(ISERROR(SEARCH("Pesquisa de Preços",D6422)))</formula>
    </cfRule>
  </conditionalFormatting>
  <conditionalFormatting sqref="E6422">
    <cfRule type="containsText" dxfId="558" priority="1406" operator="containsText" text="Pesquisa de Preços">
      <formula>NOT(ISERROR(SEARCH("Pesquisa de Preços",E6422)))</formula>
    </cfRule>
  </conditionalFormatting>
  <conditionalFormatting sqref="E6423 E6430">
    <cfRule type="containsText" dxfId="557" priority="1407" operator="containsText" text="Pesquisa de Preços">
      <formula>NOT(ISERROR(SEARCH("Pesquisa de Preços",E6423)))</formula>
    </cfRule>
  </conditionalFormatting>
  <conditionalFormatting sqref="D6420">
    <cfRule type="containsText" dxfId="556" priority="1402" operator="containsText" text="Pesquisa de Preços">
      <formula>NOT(ISERROR(SEARCH("Pesquisa de Preços",D6420)))</formula>
    </cfRule>
  </conditionalFormatting>
  <conditionalFormatting sqref="D6432">
    <cfRule type="containsText" dxfId="555" priority="1391" operator="containsText" text="Pesquisa de Preços">
      <formula>NOT(ISERROR(SEARCH("Pesquisa de Preços",D6432)))</formula>
    </cfRule>
  </conditionalFormatting>
  <conditionalFormatting sqref="E6433">
    <cfRule type="containsText" dxfId="554" priority="1382" operator="containsText" text="Pesquisa de Preços">
      <formula>NOT(ISERROR(SEARCH("Pesquisa de Preços",E6433)))</formula>
    </cfRule>
  </conditionalFormatting>
  <conditionalFormatting sqref="D6437">
    <cfRule type="containsText" dxfId="553" priority="1395" operator="containsText" text="Pesquisa de Preços">
      <formula>NOT(ISERROR(SEARCH("Pesquisa de Preços",D6437)))</formula>
    </cfRule>
  </conditionalFormatting>
  <conditionalFormatting sqref="D6431">
    <cfRule type="containsText" dxfId="552" priority="1392" operator="containsText" text="Pesquisa de Preços">
      <formula>NOT(ISERROR(SEARCH("Pesquisa de Preços",D6431)))</formula>
    </cfRule>
  </conditionalFormatting>
  <conditionalFormatting sqref="E6431">
    <cfRule type="containsText" dxfId="551" priority="1389" operator="containsText" text="Pesquisa de Preços">
      <formula>NOT(ISERROR(SEARCH("Pesquisa de Preços",E6431)))</formula>
    </cfRule>
  </conditionalFormatting>
  <conditionalFormatting sqref="E6432 E6437">
    <cfRule type="containsText" dxfId="550" priority="1390" operator="containsText" text="Pesquisa de Preços">
      <formula>NOT(ISERROR(SEARCH("Pesquisa de Preços",E6432)))</formula>
    </cfRule>
  </conditionalFormatting>
  <conditionalFormatting sqref="D6433">
    <cfRule type="containsText" dxfId="549" priority="1383" operator="containsText" text="Pesquisa de Preços">
      <formula>NOT(ISERROR(SEARCH("Pesquisa de Preços",D6433)))</formula>
    </cfRule>
  </conditionalFormatting>
  <conditionalFormatting sqref="D6439">
    <cfRule type="containsText" dxfId="548" priority="1372" operator="containsText" text="Pesquisa de Preços">
      <formula>NOT(ISERROR(SEARCH("Pesquisa de Preços",D6439)))</formula>
    </cfRule>
  </conditionalFormatting>
  <conditionalFormatting sqref="D6444">
    <cfRule type="containsText" dxfId="547" priority="1376" operator="containsText" text="Pesquisa de Preços">
      <formula>NOT(ISERROR(SEARCH("Pesquisa de Preços",D6444)))</formula>
    </cfRule>
  </conditionalFormatting>
  <conditionalFormatting sqref="D6438">
    <cfRule type="containsText" dxfId="546" priority="1373" operator="containsText" text="Pesquisa de Preços">
      <formula>NOT(ISERROR(SEARCH("Pesquisa de Preços",D6438)))</formula>
    </cfRule>
  </conditionalFormatting>
  <conditionalFormatting sqref="E6438">
    <cfRule type="containsText" dxfId="545" priority="1370" operator="containsText" text="Pesquisa de Preços">
      <formula>NOT(ISERROR(SEARCH("Pesquisa de Preços",E6438)))</formula>
    </cfRule>
  </conditionalFormatting>
  <conditionalFormatting sqref="E6439 E6444">
    <cfRule type="containsText" dxfId="544" priority="1371" operator="containsText" text="Pesquisa de Preços">
      <formula>NOT(ISERROR(SEARCH("Pesquisa de Preços",E6439)))</formula>
    </cfRule>
  </conditionalFormatting>
  <conditionalFormatting sqref="D6446">
    <cfRule type="containsText" dxfId="543" priority="1358" operator="containsText" text="Pesquisa de Preços">
      <formula>NOT(ISERROR(SEARCH("Pesquisa de Preços",D6446)))</formula>
    </cfRule>
  </conditionalFormatting>
  <conditionalFormatting sqref="D6445">
    <cfRule type="containsText" dxfId="542" priority="1359" operator="containsText" text="Pesquisa de Preços">
      <formula>NOT(ISERROR(SEARCH("Pesquisa de Preços",D6445)))</formula>
    </cfRule>
  </conditionalFormatting>
  <conditionalFormatting sqref="E6445">
    <cfRule type="containsText" dxfId="541" priority="1356" operator="containsText" text="Pesquisa de Preços">
      <formula>NOT(ISERROR(SEARCH("Pesquisa de Preços",E6445)))</formula>
    </cfRule>
  </conditionalFormatting>
  <conditionalFormatting sqref="E6446">
    <cfRule type="containsText" dxfId="540" priority="1357" operator="containsText" text="Pesquisa de Preços">
      <formula>NOT(ISERROR(SEARCH("Pesquisa de Preços",E6446)))</formula>
    </cfRule>
  </conditionalFormatting>
  <conditionalFormatting sqref="D6440">
    <cfRule type="containsText" dxfId="539" priority="1349" operator="containsText" text="Pesquisa de Preços">
      <formula>NOT(ISERROR(SEARCH("Pesquisa de Preços",D6440)))</formula>
    </cfRule>
  </conditionalFormatting>
  <conditionalFormatting sqref="E6440">
    <cfRule type="containsText" dxfId="538" priority="1348" operator="containsText" text="Pesquisa de Preços">
      <formula>NOT(ISERROR(SEARCH("Pesquisa de Preços",E6440)))</formula>
    </cfRule>
  </conditionalFormatting>
  <conditionalFormatting sqref="D6451">
    <cfRule type="containsText" dxfId="537" priority="1339" operator="containsText" text="Pesquisa de Preços">
      <formula>NOT(ISERROR(SEARCH("Pesquisa de Preços",D6451)))</formula>
    </cfRule>
  </conditionalFormatting>
  <conditionalFormatting sqref="E6451">
    <cfRule type="containsText" dxfId="536" priority="1336" operator="containsText" text="Pesquisa de Preços">
      <formula>NOT(ISERROR(SEARCH("Pesquisa de Preços",E6451)))</formula>
    </cfRule>
  </conditionalFormatting>
  <conditionalFormatting sqref="D373">
    <cfRule type="containsText" dxfId="535" priority="1335" operator="containsText" text="Pesquisa de Preços">
      <formula>NOT(ISERROR(SEARCH("Pesquisa de Preços",D373)))</formula>
    </cfRule>
  </conditionalFormatting>
  <conditionalFormatting sqref="D6459">
    <cfRule type="containsText" dxfId="534" priority="1318" operator="containsText" text="Pesquisa de Preços">
      <formula>NOT(ISERROR(SEARCH("Pesquisa de Preços",D6459)))</formula>
    </cfRule>
  </conditionalFormatting>
  <conditionalFormatting sqref="E6456">
    <cfRule type="containsText" dxfId="533" priority="1314" operator="containsText" text="Pesquisa de Preços">
      <formula>NOT(ISERROR(SEARCH("Pesquisa de Preços",E6456)))</formula>
    </cfRule>
  </conditionalFormatting>
  <conditionalFormatting sqref="D6457">
    <cfRule type="containsText" dxfId="532" priority="1316" operator="containsText" text="Pesquisa de Preços">
      <formula>NOT(ISERROR(SEARCH("Pesquisa de Preços",D6457)))</formula>
    </cfRule>
  </conditionalFormatting>
  <conditionalFormatting sqref="D6456">
    <cfRule type="containsText" dxfId="531" priority="1317" operator="containsText" text="Pesquisa de Preços">
      <formula>NOT(ISERROR(SEARCH("Pesquisa de Preços",D6456)))</formula>
    </cfRule>
  </conditionalFormatting>
  <conditionalFormatting sqref="E6457 E6459">
    <cfRule type="containsText" dxfId="530" priority="1315" operator="containsText" text="Pesquisa de Preços">
      <formula>NOT(ISERROR(SEARCH("Pesquisa de Preços",E6457)))</formula>
    </cfRule>
  </conditionalFormatting>
  <conditionalFormatting sqref="D6463">
    <cfRule type="containsText" dxfId="529" priority="1308" operator="containsText" text="Pesquisa de Preços">
      <formula>NOT(ISERROR(SEARCH("Pesquisa de Preços",D6463)))</formula>
    </cfRule>
  </conditionalFormatting>
  <conditionalFormatting sqref="E6460">
    <cfRule type="containsText" dxfId="528" priority="1304" operator="containsText" text="Pesquisa de Preços">
      <formula>NOT(ISERROR(SEARCH("Pesquisa de Preços",E6460)))</formula>
    </cfRule>
  </conditionalFormatting>
  <conditionalFormatting sqref="D6461">
    <cfRule type="containsText" dxfId="527" priority="1306" operator="containsText" text="Pesquisa de Preços">
      <formula>NOT(ISERROR(SEARCH("Pesquisa de Preços",D6461)))</formula>
    </cfRule>
  </conditionalFormatting>
  <conditionalFormatting sqref="D6460">
    <cfRule type="containsText" dxfId="526" priority="1307" operator="containsText" text="Pesquisa de Preços">
      <formula>NOT(ISERROR(SEARCH("Pesquisa de Preços",D6460)))</formula>
    </cfRule>
  </conditionalFormatting>
  <conditionalFormatting sqref="E6461 E6463">
    <cfRule type="containsText" dxfId="525" priority="1305" operator="containsText" text="Pesquisa de Preços">
      <formula>NOT(ISERROR(SEARCH("Pesquisa de Preços",E6461)))</formula>
    </cfRule>
  </conditionalFormatting>
  <conditionalFormatting sqref="D6467">
    <cfRule type="containsText" dxfId="524" priority="1298" operator="containsText" text="Pesquisa de Preços">
      <formula>NOT(ISERROR(SEARCH("Pesquisa de Preços",D6467)))</formula>
    </cfRule>
  </conditionalFormatting>
  <conditionalFormatting sqref="E6464">
    <cfRule type="containsText" dxfId="523" priority="1294" operator="containsText" text="Pesquisa de Preços">
      <formula>NOT(ISERROR(SEARCH("Pesquisa de Preços",E6464)))</formula>
    </cfRule>
  </conditionalFormatting>
  <conditionalFormatting sqref="D6465">
    <cfRule type="containsText" dxfId="522" priority="1296" operator="containsText" text="Pesquisa de Preços">
      <formula>NOT(ISERROR(SEARCH("Pesquisa de Preços",D6465)))</formula>
    </cfRule>
  </conditionalFormatting>
  <conditionalFormatting sqref="D6464">
    <cfRule type="containsText" dxfId="521" priority="1297" operator="containsText" text="Pesquisa de Preços">
      <formula>NOT(ISERROR(SEARCH("Pesquisa de Preços",D6464)))</formula>
    </cfRule>
  </conditionalFormatting>
  <conditionalFormatting sqref="E6465 E6467">
    <cfRule type="containsText" dxfId="520" priority="1295" operator="containsText" text="Pesquisa de Preços">
      <formula>NOT(ISERROR(SEARCH("Pesquisa de Preços",E6465)))</formula>
    </cfRule>
  </conditionalFormatting>
  <conditionalFormatting sqref="D6471">
    <cfRule type="containsText" dxfId="519" priority="1268" operator="containsText" text="Pesquisa de Preços">
      <formula>NOT(ISERROR(SEARCH("Pesquisa de Preços",D6471)))</formula>
    </cfRule>
  </conditionalFormatting>
  <conditionalFormatting sqref="E6468">
    <cfRule type="containsText" dxfId="518" priority="1264" operator="containsText" text="Pesquisa de Preços">
      <formula>NOT(ISERROR(SEARCH("Pesquisa de Preços",E6468)))</formula>
    </cfRule>
  </conditionalFormatting>
  <conditionalFormatting sqref="D6469">
    <cfRule type="containsText" dxfId="517" priority="1266" operator="containsText" text="Pesquisa de Preços">
      <formula>NOT(ISERROR(SEARCH("Pesquisa de Preços",D6469)))</formula>
    </cfRule>
  </conditionalFormatting>
  <conditionalFormatting sqref="D6468">
    <cfRule type="containsText" dxfId="516" priority="1267" operator="containsText" text="Pesquisa de Preços">
      <formula>NOT(ISERROR(SEARCH("Pesquisa de Preços",D6468)))</formula>
    </cfRule>
  </conditionalFormatting>
  <conditionalFormatting sqref="E6469 E6471">
    <cfRule type="containsText" dxfId="515" priority="1265" operator="containsText" text="Pesquisa de Preços">
      <formula>NOT(ISERROR(SEARCH("Pesquisa de Preços",E6469)))</formula>
    </cfRule>
  </conditionalFormatting>
  <conditionalFormatting sqref="D6475">
    <cfRule type="containsText" dxfId="514" priority="1258" operator="containsText" text="Pesquisa de Preços">
      <formula>NOT(ISERROR(SEARCH("Pesquisa de Preços",D6475)))</formula>
    </cfRule>
  </conditionalFormatting>
  <conditionalFormatting sqref="E6472">
    <cfRule type="containsText" dxfId="513" priority="1254" operator="containsText" text="Pesquisa de Preços">
      <formula>NOT(ISERROR(SEARCH("Pesquisa de Preços",E6472)))</formula>
    </cfRule>
  </conditionalFormatting>
  <conditionalFormatting sqref="D6473">
    <cfRule type="containsText" dxfId="512" priority="1256" operator="containsText" text="Pesquisa de Preços">
      <formula>NOT(ISERROR(SEARCH("Pesquisa de Preços",D6473)))</formula>
    </cfRule>
  </conditionalFormatting>
  <conditionalFormatting sqref="D6472">
    <cfRule type="containsText" dxfId="511" priority="1257" operator="containsText" text="Pesquisa de Preços">
      <formula>NOT(ISERROR(SEARCH("Pesquisa de Preços",D6472)))</formula>
    </cfRule>
  </conditionalFormatting>
  <conditionalFormatting sqref="E6473 E6475">
    <cfRule type="containsText" dxfId="510" priority="1255" operator="containsText" text="Pesquisa de Preços">
      <formula>NOT(ISERROR(SEARCH("Pesquisa de Preços",E6473)))</formula>
    </cfRule>
  </conditionalFormatting>
  <conditionalFormatting sqref="D6479">
    <cfRule type="containsText" dxfId="509" priority="1248" operator="containsText" text="Pesquisa de Preços">
      <formula>NOT(ISERROR(SEARCH("Pesquisa de Preços",D6479)))</formula>
    </cfRule>
  </conditionalFormatting>
  <conditionalFormatting sqref="E6476">
    <cfRule type="containsText" dxfId="508" priority="1244" operator="containsText" text="Pesquisa de Preços">
      <formula>NOT(ISERROR(SEARCH("Pesquisa de Preços",E6476)))</formula>
    </cfRule>
  </conditionalFormatting>
  <conditionalFormatting sqref="D6477">
    <cfRule type="containsText" dxfId="507" priority="1246" operator="containsText" text="Pesquisa de Preços">
      <formula>NOT(ISERROR(SEARCH("Pesquisa de Preços",D6477)))</formula>
    </cfRule>
  </conditionalFormatting>
  <conditionalFormatting sqref="D6476">
    <cfRule type="containsText" dxfId="506" priority="1247" operator="containsText" text="Pesquisa de Preços">
      <formula>NOT(ISERROR(SEARCH("Pesquisa de Preços",D6476)))</formula>
    </cfRule>
  </conditionalFormatting>
  <conditionalFormatting sqref="E6477 E6479">
    <cfRule type="containsText" dxfId="505" priority="1245" operator="containsText" text="Pesquisa de Preços">
      <formula>NOT(ISERROR(SEARCH("Pesquisa de Preços",E6477)))</formula>
    </cfRule>
  </conditionalFormatting>
  <conditionalFormatting sqref="D6483">
    <cfRule type="containsText" dxfId="504" priority="1238" operator="containsText" text="Pesquisa de Preços">
      <formula>NOT(ISERROR(SEARCH("Pesquisa de Preços",D6483)))</formula>
    </cfRule>
  </conditionalFormatting>
  <conditionalFormatting sqref="E6480">
    <cfRule type="containsText" dxfId="503" priority="1234" operator="containsText" text="Pesquisa de Preços">
      <formula>NOT(ISERROR(SEARCH("Pesquisa de Preços",E6480)))</formula>
    </cfRule>
  </conditionalFormatting>
  <conditionalFormatting sqref="D6481">
    <cfRule type="containsText" dxfId="502" priority="1236" operator="containsText" text="Pesquisa de Preços">
      <formula>NOT(ISERROR(SEARCH("Pesquisa de Preços",D6481)))</formula>
    </cfRule>
  </conditionalFormatting>
  <conditionalFormatting sqref="D6480">
    <cfRule type="containsText" dxfId="501" priority="1237" operator="containsText" text="Pesquisa de Preços">
      <formula>NOT(ISERROR(SEARCH("Pesquisa de Preços",D6480)))</formula>
    </cfRule>
  </conditionalFormatting>
  <conditionalFormatting sqref="E6481 E6483">
    <cfRule type="containsText" dxfId="500" priority="1235" operator="containsText" text="Pesquisa de Preços">
      <formula>NOT(ISERROR(SEARCH("Pesquisa de Preços",E6481)))</formula>
    </cfRule>
  </conditionalFormatting>
  <conditionalFormatting sqref="D6487">
    <cfRule type="containsText" dxfId="499" priority="1228" operator="containsText" text="Pesquisa de Preços">
      <formula>NOT(ISERROR(SEARCH("Pesquisa de Preços",D6487)))</formula>
    </cfRule>
  </conditionalFormatting>
  <conditionalFormatting sqref="E6484">
    <cfRule type="containsText" dxfId="498" priority="1224" operator="containsText" text="Pesquisa de Preços">
      <formula>NOT(ISERROR(SEARCH("Pesquisa de Preços",E6484)))</formula>
    </cfRule>
  </conditionalFormatting>
  <conditionalFormatting sqref="D6485">
    <cfRule type="containsText" dxfId="497" priority="1226" operator="containsText" text="Pesquisa de Preços">
      <formula>NOT(ISERROR(SEARCH("Pesquisa de Preços",D6485)))</formula>
    </cfRule>
  </conditionalFormatting>
  <conditionalFormatting sqref="D6484">
    <cfRule type="containsText" dxfId="496" priority="1227" operator="containsText" text="Pesquisa de Preços">
      <formula>NOT(ISERROR(SEARCH("Pesquisa de Preços",D6484)))</formula>
    </cfRule>
  </conditionalFormatting>
  <conditionalFormatting sqref="E6485 E6487">
    <cfRule type="containsText" dxfId="495" priority="1225" operator="containsText" text="Pesquisa de Preços">
      <formula>NOT(ISERROR(SEARCH("Pesquisa de Preços",E6485)))</formula>
    </cfRule>
  </conditionalFormatting>
  <conditionalFormatting sqref="D6491">
    <cfRule type="containsText" dxfId="494" priority="1208" operator="containsText" text="Pesquisa de Preços">
      <formula>NOT(ISERROR(SEARCH("Pesquisa de Preços",D6491)))</formula>
    </cfRule>
  </conditionalFormatting>
  <conditionalFormatting sqref="E6488">
    <cfRule type="containsText" dxfId="493" priority="1204" operator="containsText" text="Pesquisa de Preços">
      <formula>NOT(ISERROR(SEARCH("Pesquisa de Preços",E6488)))</formula>
    </cfRule>
  </conditionalFormatting>
  <conditionalFormatting sqref="D6489">
    <cfRule type="containsText" dxfId="492" priority="1206" operator="containsText" text="Pesquisa de Preços">
      <formula>NOT(ISERROR(SEARCH("Pesquisa de Preços",D6489)))</formula>
    </cfRule>
  </conditionalFormatting>
  <conditionalFormatting sqref="D6488">
    <cfRule type="containsText" dxfId="491" priority="1207" operator="containsText" text="Pesquisa de Preços">
      <formula>NOT(ISERROR(SEARCH("Pesquisa de Preços",D6488)))</formula>
    </cfRule>
  </conditionalFormatting>
  <conditionalFormatting sqref="E6489 E6491">
    <cfRule type="containsText" dxfId="490" priority="1205" operator="containsText" text="Pesquisa de Preços">
      <formula>NOT(ISERROR(SEARCH("Pesquisa de Preços",E6489)))</formula>
    </cfRule>
  </conditionalFormatting>
  <conditionalFormatting sqref="D6495">
    <cfRule type="containsText" dxfId="489" priority="1198" operator="containsText" text="Pesquisa de Preços">
      <formula>NOT(ISERROR(SEARCH("Pesquisa de Preços",D6495)))</formula>
    </cfRule>
  </conditionalFormatting>
  <conditionalFormatting sqref="E6492">
    <cfRule type="containsText" dxfId="488" priority="1194" operator="containsText" text="Pesquisa de Preços">
      <formula>NOT(ISERROR(SEARCH("Pesquisa de Preços",E6492)))</formula>
    </cfRule>
  </conditionalFormatting>
  <conditionalFormatting sqref="D6493">
    <cfRule type="containsText" dxfId="487" priority="1196" operator="containsText" text="Pesquisa de Preços">
      <formula>NOT(ISERROR(SEARCH("Pesquisa de Preços",D6493)))</formula>
    </cfRule>
  </conditionalFormatting>
  <conditionalFormatting sqref="D6492">
    <cfRule type="containsText" dxfId="486" priority="1197" operator="containsText" text="Pesquisa de Preços">
      <formula>NOT(ISERROR(SEARCH("Pesquisa de Preços",D6492)))</formula>
    </cfRule>
  </conditionalFormatting>
  <conditionalFormatting sqref="E6493 E6495">
    <cfRule type="containsText" dxfId="485" priority="1195" operator="containsText" text="Pesquisa de Preços">
      <formula>NOT(ISERROR(SEARCH("Pesquisa de Preços",E6493)))</formula>
    </cfRule>
  </conditionalFormatting>
  <conditionalFormatting sqref="D6503">
    <cfRule type="containsText" dxfId="484" priority="1188" operator="containsText" text="Pesquisa de Preços">
      <formula>NOT(ISERROR(SEARCH("Pesquisa de Preços",D6503)))</formula>
    </cfRule>
  </conditionalFormatting>
  <conditionalFormatting sqref="E6500">
    <cfRule type="containsText" dxfId="483" priority="1184" operator="containsText" text="Pesquisa de Preços">
      <formula>NOT(ISERROR(SEARCH("Pesquisa de Preços",E6500)))</formula>
    </cfRule>
  </conditionalFormatting>
  <conditionalFormatting sqref="D6501">
    <cfRule type="containsText" dxfId="482" priority="1186" operator="containsText" text="Pesquisa de Preços">
      <formula>NOT(ISERROR(SEARCH("Pesquisa de Preços",D6501)))</formula>
    </cfRule>
  </conditionalFormatting>
  <conditionalFormatting sqref="D6500">
    <cfRule type="containsText" dxfId="481" priority="1187" operator="containsText" text="Pesquisa de Preços">
      <formula>NOT(ISERROR(SEARCH("Pesquisa de Preços",D6500)))</formula>
    </cfRule>
  </conditionalFormatting>
  <conditionalFormatting sqref="E6501 E6503">
    <cfRule type="containsText" dxfId="480" priority="1185" operator="containsText" text="Pesquisa de Preços">
      <formula>NOT(ISERROR(SEARCH("Pesquisa de Preços",E6501)))</formula>
    </cfRule>
  </conditionalFormatting>
  <conditionalFormatting sqref="D6507">
    <cfRule type="containsText" dxfId="479" priority="1178" operator="containsText" text="Pesquisa de Preços">
      <formula>NOT(ISERROR(SEARCH("Pesquisa de Preços",D6507)))</formula>
    </cfRule>
  </conditionalFormatting>
  <conditionalFormatting sqref="E6504">
    <cfRule type="containsText" dxfId="478" priority="1174" operator="containsText" text="Pesquisa de Preços">
      <formula>NOT(ISERROR(SEARCH("Pesquisa de Preços",E6504)))</formula>
    </cfRule>
  </conditionalFormatting>
  <conditionalFormatting sqref="D6505">
    <cfRule type="containsText" dxfId="477" priority="1176" operator="containsText" text="Pesquisa de Preços">
      <formula>NOT(ISERROR(SEARCH("Pesquisa de Preços",D6505)))</formula>
    </cfRule>
  </conditionalFormatting>
  <conditionalFormatting sqref="D6504">
    <cfRule type="containsText" dxfId="476" priority="1177" operator="containsText" text="Pesquisa de Preços">
      <formula>NOT(ISERROR(SEARCH("Pesquisa de Preços",D6504)))</formula>
    </cfRule>
  </conditionalFormatting>
  <conditionalFormatting sqref="E6505 E6507">
    <cfRule type="containsText" dxfId="475" priority="1175" operator="containsText" text="Pesquisa de Preços">
      <formula>NOT(ISERROR(SEARCH("Pesquisa de Preços",E6505)))</formula>
    </cfRule>
  </conditionalFormatting>
  <conditionalFormatting sqref="D6511">
    <cfRule type="containsText" dxfId="474" priority="1168" operator="containsText" text="Pesquisa de Preços">
      <formula>NOT(ISERROR(SEARCH("Pesquisa de Preços",D6511)))</formula>
    </cfRule>
  </conditionalFormatting>
  <conditionalFormatting sqref="E6508">
    <cfRule type="containsText" dxfId="473" priority="1164" operator="containsText" text="Pesquisa de Preços">
      <formula>NOT(ISERROR(SEARCH("Pesquisa de Preços",E6508)))</formula>
    </cfRule>
  </conditionalFormatting>
  <conditionalFormatting sqref="D6509">
    <cfRule type="containsText" dxfId="472" priority="1166" operator="containsText" text="Pesquisa de Preços">
      <formula>NOT(ISERROR(SEARCH("Pesquisa de Preços",D6509)))</formula>
    </cfRule>
  </conditionalFormatting>
  <conditionalFormatting sqref="D6508">
    <cfRule type="containsText" dxfId="471" priority="1167" operator="containsText" text="Pesquisa de Preços">
      <formula>NOT(ISERROR(SEARCH("Pesquisa de Preços",D6508)))</formula>
    </cfRule>
  </conditionalFormatting>
  <conditionalFormatting sqref="E6509 E6511">
    <cfRule type="containsText" dxfId="470" priority="1165" operator="containsText" text="Pesquisa de Preços">
      <formula>NOT(ISERROR(SEARCH("Pesquisa de Preços",E6509)))</formula>
    </cfRule>
  </conditionalFormatting>
  <conditionalFormatting sqref="D6515">
    <cfRule type="containsText" dxfId="469" priority="1148" operator="containsText" text="Pesquisa de Preços">
      <formula>NOT(ISERROR(SEARCH("Pesquisa de Preços",D6515)))</formula>
    </cfRule>
  </conditionalFormatting>
  <conditionalFormatting sqref="E6512">
    <cfRule type="containsText" dxfId="468" priority="1144" operator="containsText" text="Pesquisa de Preços">
      <formula>NOT(ISERROR(SEARCH("Pesquisa de Preços",E6512)))</formula>
    </cfRule>
  </conditionalFormatting>
  <conditionalFormatting sqref="D6513">
    <cfRule type="containsText" dxfId="467" priority="1146" operator="containsText" text="Pesquisa de Preços">
      <formula>NOT(ISERROR(SEARCH("Pesquisa de Preços",D6513)))</formula>
    </cfRule>
  </conditionalFormatting>
  <conditionalFormatting sqref="D6512">
    <cfRule type="containsText" dxfId="466" priority="1147" operator="containsText" text="Pesquisa de Preços">
      <formula>NOT(ISERROR(SEARCH("Pesquisa de Preços",D6512)))</formula>
    </cfRule>
  </conditionalFormatting>
  <conditionalFormatting sqref="E6513 E6515">
    <cfRule type="containsText" dxfId="465" priority="1145" operator="containsText" text="Pesquisa de Preços">
      <formula>NOT(ISERROR(SEARCH("Pesquisa de Preços",E6513)))</formula>
    </cfRule>
  </conditionalFormatting>
  <conditionalFormatting sqref="D6523">
    <cfRule type="containsText" dxfId="464" priority="1088" operator="containsText" text="Pesquisa de Preços">
      <formula>NOT(ISERROR(SEARCH("Pesquisa de Preços",D6523)))</formula>
    </cfRule>
  </conditionalFormatting>
  <conditionalFormatting sqref="E6520">
    <cfRule type="containsText" dxfId="463" priority="1084" operator="containsText" text="Pesquisa de Preços">
      <formula>NOT(ISERROR(SEARCH("Pesquisa de Preços",E6520)))</formula>
    </cfRule>
  </conditionalFormatting>
  <conditionalFormatting sqref="D6521">
    <cfRule type="containsText" dxfId="462" priority="1086" operator="containsText" text="Pesquisa de Preços">
      <formula>NOT(ISERROR(SEARCH("Pesquisa de Preços",D6521)))</formula>
    </cfRule>
  </conditionalFormatting>
  <conditionalFormatting sqref="D6520">
    <cfRule type="containsText" dxfId="461" priority="1087" operator="containsText" text="Pesquisa de Preços">
      <formula>NOT(ISERROR(SEARCH("Pesquisa de Preços",D6520)))</formula>
    </cfRule>
  </conditionalFormatting>
  <conditionalFormatting sqref="E6521 E6523">
    <cfRule type="containsText" dxfId="460" priority="1085" operator="containsText" text="Pesquisa de Preços">
      <formula>NOT(ISERROR(SEARCH("Pesquisa de Preços",E6521)))</formula>
    </cfRule>
  </conditionalFormatting>
  <conditionalFormatting sqref="D6527">
    <cfRule type="containsText" dxfId="459" priority="1028" operator="containsText" text="Pesquisa de Preços">
      <formula>NOT(ISERROR(SEARCH("Pesquisa de Preços",D6527)))</formula>
    </cfRule>
  </conditionalFormatting>
  <conditionalFormatting sqref="E6524">
    <cfRule type="containsText" dxfId="458" priority="1024" operator="containsText" text="Pesquisa de Preços">
      <formula>NOT(ISERROR(SEARCH("Pesquisa de Preços",E6524)))</formula>
    </cfRule>
  </conditionalFormatting>
  <conditionalFormatting sqref="D6525">
    <cfRule type="containsText" dxfId="457" priority="1026" operator="containsText" text="Pesquisa de Preços">
      <formula>NOT(ISERROR(SEARCH("Pesquisa de Preços",D6525)))</formula>
    </cfRule>
  </conditionalFormatting>
  <conditionalFormatting sqref="D6524">
    <cfRule type="containsText" dxfId="456" priority="1027" operator="containsText" text="Pesquisa de Preços">
      <formula>NOT(ISERROR(SEARCH("Pesquisa de Preços",D6524)))</formula>
    </cfRule>
  </conditionalFormatting>
  <conditionalFormatting sqref="E6525 E6527">
    <cfRule type="containsText" dxfId="455" priority="1025" operator="containsText" text="Pesquisa de Preços">
      <formula>NOT(ISERROR(SEARCH("Pesquisa de Preços",E6525)))</formula>
    </cfRule>
  </conditionalFormatting>
  <conditionalFormatting sqref="D6531">
    <cfRule type="containsText" dxfId="454" priority="1018" operator="containsText" text="Pesquisa de Preços">
      <formula>NOT(ISERROR(SEARCH("Pesquisa de Preços",D6531)))</formula>
    </cfRule>
  </conditionalFormatting>
  <conditionalFormatting sqref="E6528">
    <cfRule type="containsText" dxfId="453" priority="1014" operator="containsText" text="Pesquisa de Preços">
      <formula>NOT(ISERROR(SEARCH("Pesquisa de Preços",E6528)))</formula>
    </cfRule>
  </conditionalFormatting>
  <conditionalFormatting sqref="D6529">
    <cfRule type="containsText" dxfId="452" priority="1016" operator="containsText" text="Pesquisa de Preços">
      <formula>NOT(ISERROR(SEARCH("Pesquisa de Preços",D6529)))</formula>
    </cfRule>
  </conditionalFormatting>
  <conditionalFormatting sqref="D6528">
    <cfRule type="containsText" dxfId="451" priority="1017" operator="containsText" text="Pesquisa de Preços">
      <formula>NOT(ISERROR(SEARCH("Pesquisa de Preços",D6528)))</formula>
    </cfRule>
  </conditionalFormatting>
  <conditionalFormatting sqref="E6529 E6531">
    <cfRule type="containsText" dxfId="450" priority="1015" operator="containsText" text="Pesquisa de Preços">
      <formula>NOT(ISERROR(SEARCH("Pesquisa de Preços",E6529)))</formula>
    </cfRule>
  </conditionalFormatting>
  <conditionalFormatting sqref="D6535">
    <cfRule type="containsText" dxfId="449" priority="1008" operator="containsText" text="Pesquisa de Preços">
      <formula>NOT(ISERROR(SEARCH("Pesquisa de Preços",D6535)))</formula>
    </cfRule>
  </conditionalFormatting>
  <conditionalFormatting sqref="E6532">
    <cfRule type="containsText" dxfId="448" priority="1004" operator="containsText" text="Pesquisa de Preços">
      <formula>NOT(ISERROR(SEARCH("Pesquisa de Preços",E6532)))</formula>
    </cfRule>
  </conditionalFormatting>
  <conditionalFormatting sqref="D6533">
    <cfRule type="containsText" dxfId="447" priority="1006" operator="containsText" text="Pesquisa de Preços">
      <formula>NOT(ISERROR(SEARCH("Pesquisa de Preços",D6533)))</formula>
    </cfRule>
  </conditionalFormatting>
  <conditionalFormatting sqref="D6532">
    <cfRule type="containsText" dxfId="446" priority="1007" operator="containsText" text="Pesquisa de Preços">
      <formula>NOT(ISERROR(SEARCH("Pesquisa de Preços",D6532)))</formula>
    </cfRule>
  </conditionalFormatting>
  <conditionalFormatting sqref="E6533 E6535">
    <cfRule type="containsText" dxfId="445" priority="1005" operator="containsText" text="Pesquisa de Preços">
      <formula>NOT(ISERROR(SEARCH("Pesquisa de Preços",E6533)))</formula>
    </cfRule>
  </conditionalFormatting>
  <conditionalFormatting sqref="D6539">
    <cfRule type="containsText" dxfId="444" priority="998" operator="containsText" text="Pesquisa de Preços">
      <formula>NOT(ISERROR(SEARCH("Pesquisa de Preços",D6539)))</formula>
    </cfRule>
  </conditionalFormatting>
  <conditionalFormatting sqref="E6536">
    <cfRule type="containsText" dxfId="443" priority="994" operator="containsText" text="Pesquisa de Preços">
      <formula>NOT(ISERROR(SEARCH("Pesquisa de Preços",E6536)))</formula>
    </cfRule>
  </conditionalFormatting>
  <conditionalFormatting sqref="D6537">
    <cfRule type="containsText" dxfId="442" priority="996" operator="containsText" text="Pesquisa de Preços">
      <formula>NOT(ISERROR(SEARCH("Pesquisa de Preços",D6537)))</formula>
    </cfRule>
  </conditionalFormatting>
  <conditionalFormatting sqref="D6536">
    <cfRule type="containsText" dxfId="441" priority="997" operator="containsText" text="Pesquisa de Preços">
      <formula>NOT(ISERROR(SEARCH("Pesquisa de Preços",D6536)))</formula>
    </cfRule>
  </conditionalFormatting>
  <conditionalFormatting sqref="E6537 E6539">
    <cfRule type="containsText" dxfId="440" priority="995" operator="containsText" text="Pesquisa de Preços">
      <formula>NOT(ISERROR(SEARCH("Pesquisa de Preços",E6537)))</formula>
    </cfRule>
  </conditionalFormatting>
  <conditionalFormatting sqref="D6543">
    <cfRule type="containsText" dxfId="439" priority="988" operator="containsText" text="Pesquisa de Preços">
      <formula>NOT(ISERROR(SEARCH("Pesquisa de Preços",D6543)))</formula>
    </cfRule>
  </conditionalFormatting>
  <conditionalFormatting sqref="E6540">
    <cfRule type="containsText" dxfId="438" priority="984" operator="containsText" text="Pesquisa de Preços">
      <formula>NOT(ISERROR(SEARCH("Pesquisa de Preços",E6540)))</formula>
    </cfRule>
  </conditionalFormatting>
  <conditionalFormatting sqref="D6541">
    <cfRule type="containsText" dxfId="437" priority="986" operator="containsText" text="Pesquisa de Preços">
      <formula>NOT(ISERROR(SEARCH("Pesquisa de Preços",D6541)))</formula>
    </cfRule>
  </conditionalFormatting>
  <conditionalFormatting sqref="D6540">
    <cfRule type="containsText" dxfId="436" priority="987" operator="containsText" text="Pesquisa de Preços">
      <formula>NOT(ISERROR(SEARCH("Pesquisa de Preços",D6540)))</formula>
    </cfRule>
  </conditionalFormatting>
  <conditionalFormatting sqref="E6541 E6543">
    <cfRule type="containsText" dxfId="435" priority="985" operator="containsText" text="Pesquisa de Preços">
      <formula>NOT(ISERROR(SEARCH("Pesquisa de Preços",E6541)))</formula>
    </cfRule>
  </conditionalFormatting>
  <conditionalFormatting sqref="D6551">
    <cfRule type="containsText" dxfId="434" priority="978" operator="containsText" text="Pesquisa de Preços">
      <formula>NOT(ISERROR(SEARCH("Pesquisa de Preços",D6551)))</formula>
    </cfRule>
  </conditionalFormatting>
  <conditionalFormatting sqref="E6548">
    <cfRule type="containsText" dxfId="433" priority="974" operator="containsText" text="Pesquisa de Preços">
      <formula>NOT(ISERROR(SEARCH("Pesquisa de Preços",E6548)))</formula>
    </cfRule>
  </conditionalFormatting>
  <conditionalFormatting sqref="D6549">
    <cfRule type="containsText" dxfId="432" priority="976" operator="containsText" text="Pesquisa de Preços">
      <formula>NOT(ISERROR(SEARCH("Pesquisa de Preços",D6549)))</formula>
    </cfRule>
  </conditionalFormatting>
  <conditionalFormatting sqref="D6548">
    <cfRule type="containsText" dxfId="431" priority="977" operator="containsText" text="Pesquisa de Preços">
      <formula>NOT(ISERROR(SEARCH("Pesquisa de Preços",D6548)))</formula>
    </cfRule>
  </conditionalFormatting>
  <conditionalFormatting sqref="E6549 E6551">
    <cfRule type="containsText" dxfId="430" priority="975" operator="containsText" text="Pesquisa de Preços">
      <formula>NOT(ISERROR(SEARCH("Pesquisa de Preços",E6549)))</formula>
    </cfRule>
  </conditionalFormatting>
  <conditionalFormatting sqref="D6555">
    <cfRule type="containsText" dxfId="429" priority="968" operator="containsText" text="Pesquisa de Preços">
      <formula>NOT(ISERROR(SEARCH("Pesquisa de Preços",D6555)))</formula>
    </cfRule>
  </conditionalFormatting>
  <conditionalFormatting sqref="E6552">
    <cfRule type="containsText" dxfId="428" priority="964" operator="containsText" text="Pesquisa de Preços">
      <formula>NOT(ISERROR(SEARCH("Pesquisa de Preços",E6552)))</formula>
    </cfRule>
  </conditionalFormatting>
  <conditionalFormatting sqref="D6553">
    <cfRule type="containsText" dxfId="427" priority="966" operator="containsText" text="Pesquisa de Preços">
      <formula>NOT(ISERROR(SEARCH("Pesquisa de Preços",D6553)))</formula>
    </cfRule>
  </conditionalFormatting>
  <conditionalFormatting sqref="D6552">
    <cfRule type="containsText" dxfId="426" priority="967" operator="containsText" text="Pesquisa de Preços">
      <formula>NOT(ISERROR(SEARCH("Pesquisa de Preços",D6552)))</formula>
    </cfRule>
  </conditionalFormatting>
  <conditionalFormatting sqref="E6553 E6555">
    <cfRule type="containsText" dxfId="425" priority="965" operator="containsText" text="Pesquisa de Preços">
      <formula>NOT(ISERROR(SEARCH("Pesquisa de Preços",E6553)))</formula>
    </cfRule>
  </conditionalFormatting>
  <conditionalFormatting sqref="D6559">
    <cfRule type="containsText" dxfId="424" priority="958" operator="containsText" text="Pesquisa de Preços">
      <formula>NOT(ISERROR(SEARCH("Pesquisa de Preços",D6559)))</formula>
    </cfRule>
  </conditionalFormatting>
  <conditionalFormatting sqref="E6556">
    <cfRule type="containsText" dxfId="423" priority="954" operator="containsText" text="Pesquisa de Preços">
      <formula>NOT(ISERROR(SEARCH("Pesquisa de Preços",E6556)))</formula>
    </cfRule>
  </conditionalFormatting>
  <conditionalFormatting sqref="D6557">
    <cfRule type="containsText" dxfId="422" priority="956" operator="containsText" text="Pesquisa de Preços">
      <formula>NOT(ISERROR(SEARCH("Pesquisa de Preços",D6557)))</formula>
    </cfRule>
  </conditionalFormatting>
  <conditionalFormatting sqref="D6556">
    <cfRule type="containsText" dxfId="421" priority="957" operator="containsText" text="Pesquisa de Preços">
      <formula>NOT(ISERROR(SEARCH("Pesquisa de Preços",D6556)))</formula>
    </cfRule>
  </conditionalFormatting>
  <conditionalFormatting sqref="E6557 E6559">
    <cfRule type="containsText" dxfId="420" priority="955" operator="containsText" text="Pesquisa de Preços">
      <formula>NOT(ISERROR(SEARCH("Pesquisa de Preços",E6557)))</formula>
    </cfRule>
  </conditionalFormatting>
  <conditionalFormatting sqref="D6563">
    <cfRule type="containsText" dxfId="419" priority="948" operator="containsText" text="Pesquisa de Preços">
      <formula>NOT(ISERROR(SEARCH("Pesquisa de Preços",D6563)))</formula>
    </cfRule>
  </conditionalFormatting>
  <conditionalFormatting sqref="E6560">
    <cfRule type="containsText" dxfId="418" priority="944" operator="containsText" text="Pesquisa de Preços">
      <formula>NOT(ISERROR(SEARCH("Pesquisa de Preços",E6560)))</formula>
    </cfRule>
  </conditionalFormatting>
  <conditionalFormatting sqref="D6561">
    <cfRule type="containsText" dxfId="417" priority="946" operator="containsText" text="Pesquisa de Preços">
      <formula>NOT(ISERROR(SEARCH("Pesquisa de Preços",D6561)))</formula>
    </cfRule>
  </conditionalFormatting>
  <conditionalFormatting sqref="D6560">
    <cfRule type="containsText" dxfId="416" priority="947" operator="containsText" text="Pesquisa de Preços">
      <formula>NOT(ISERROR(SEARCH("Pesquisa de Preços",D6560)))</formula>
    </cfRule>
  </conditionalFormatting>
  <conditionalFormatting sqref="E6561 E6563">
    <cfRule type="containsText" dxfId="415" priority="945" operator="containsText" text="Pesquisa de Preços">
      <formula>NOT(ISERROR(SEARCH("Pesquisa de Preços",E6561)))</formula>
    </cfRule>
  </conditionalFormatting>
  <conditionalFormatting sqref="D6567">
    <cfRule type="containsText" dxfId="414" priority="938" operator="containsText" text="Pesquisa de Preços">
      <formula>NOT(ISERROR(SEARCH("Pesquisa de Preços",D6567)))</formula>
    </cfRule>
  </conditionalFormatting>
  <conditionalFormatting sqref="E6564">
    <cfRule type="containsText" dxfId="413" priority="934" operator="containsText" text="Pesquisa de Preços">
      <formula>NOT(ISERROR(SEARCH("Pesquisa de Preços",E6564)))</formula>
    </cfRule>
  </conditionalFormatting>
  <conditionalFormatting sqref="D6565">
    <cfRule type="containsText" dxfId="412" priority="936" operator="containsText" text="Pesquisa de Preços">
      <formula>NOT(ISERROR(SEARCH("Pesquisa de Preços",D6565)))</formula>
    </cfRule>
  </conditionalFormatting>
  <conditionalFormatting sqref="D6564">
    <cfRule type="containsText" dxfId="411" priority="937" operator="containsText" text="Pesquisa de Preços">
      <formula>NOT(ISERROR(SEARCH("Pesquisa de Preços",D6564)))</formula>
    </cfRule>
  </conditionalFormatting>
  <conditionalFormatting sqref="E6565 E6567">
    <cfRule type="containsText" dxfId="410" priority="935" operator="containsText" text="Pesquisa de Preços">
      <formula>NOT(ISERROR(SEARCH("Pesquisa de Preços",E6565)))</formula>
    </cfRule>
  </conditionalFormatting>
  <conditionalFormatting sqref="D6571">
    <cfRule type="containsText" dxfId="409" priority="928" operator="containsText" text="Pesquisa de Preços">
      <formula>NOT(ISERROR(SEARCH("Pesquisa de Preços",D6571)))</formula>
    </cfRule>
  </conditionalFormatting>
  <conditionalFormatting sqref="E6568">
    <cfRule type="containsText" dxfId="408" priority="924" operator="containsText" text="Pesquisa de Preços">
      <formula>NOT(ISERROR(SEARCH("Pesquisa de Preços",E6568)))</formula>
    </cfRule>
  </conditionalFormatting>
  <conditionalFormatting sqref="D6569">
    <cfRule type="containsText" dxfId="407" priority="926" operator="containsText" text="Pesquisa de Preços">
      <formula>NOT(ISERROR(SEARCH("Pesquisa de Preços",D6569)))</formula>
    </cfRule>
  </conditionalFormatting>
  <conditionalFormatting sqref="D6568">
    <cfRule type="containsText" dxfId="406" priority="927" operator="containsText" text="Pesquisa de Preços">
      <formula>NOT(ISERROR(SEARCH("Pesquisa de Preços",D6568)))</formula>
    </cfRule>
  </conditionalFormatting>
  <conditionalFormatting sqref="E6569 E6571">
    <cfRule type="containsText" dxfId="405" priority="925" operator="containsText" text="Pesquisa de Preços">
      <formula>NOT(ISERROR(SEARCH("Pesquisa de Preços",E6569)))</formula>
    </cfRule>
  </conditionalFormatting>
  <conditionalFormatting sqref="D6575">
    <cfRule type="containsText" dxfId="404" priority="918" operator="containsText" text="Pesquisa de Preços">
      <formula>NOT(ISERROR(SEARCH("Pesquisa de Preços",D6575)))</formula>
    </cfRule>
  </conditionalFormatting>
  <conditionalFormatting sqref="E6572">
    <cfRule type="containsText" dxfId="403" priority="914" operator="containsText" text="Pesquisa de Preços">
      <formula>NOT(ISERROR(SEARCH("Pesquisa de Preços",E6572)))</formula>
    </cfRule>
  </conditionalFormatting>
  <conditionalFormatting sqref="D6573">
    <cfRule type="containsText" dxfId="402" priority="916" operator="containsText" text="Pesquisa de Preços">
      <formula>NOT(ISERROR(SEARCH("Pesquisa de Preços",D6573)))</formula>
    </cfRule>
  </conditionalFormatting>
  <conditionalFormatting sqref="D6572">
    <cfRule type="containsText" dxfId="401" priority="917" operator="containsText" text="Pesquisa de Preços">
      <formula>NOT(ISERROR(SEARCH("Pesquisa de Preços",D6572)))</formula>
    </cfRule>
  </conditionalFormatting>
  <conditionalFormatting sqref="E6573 E6575">
    <cfRule type="containsText" dxfId="400" priority="915" operator="containsText" text="Pesquisa de Preços">
      <formula>NOT(ISERROR(SEARCH("Pesquisa de Preços",E6573)))</formula>
    </cfRule>
  </conditionalFormatting>
  <conditionalFormatting sqref="D6579">
    <cfRule type="containsText" dxfId="399" priority="908" operator="containsText" text="Pesquisa de Preços">
      <formula>NOT(ISERROR(SEARCH("Pesquisa de Preços",D6579)))</formula>
    </cfRule>
  </conditionalFormatting>
  <conditionalFormatting sqref="E6576">
    <cfRule type="containsText" dxfId="398" priority="904" operator="containsText" text="Pesquisa de Preços">
      <formula>NOT(ISERROR(SEARCH("Pesquisa de Preços",E6576)))</formula>
    </cfRule>
  </conditionalFormatting>
  <conditionalFormatting sqref="D6577">
    <cfRule type="containsText" dxfId="397" priority="906" operator="containsText" text="Pesquisa de Preços">
      <formula>NOT(ISERROR(SEARCH("Pesquisa de Preços",D6577)))</formula>
    </cfRule>
  </conditionalFormatting>
  <conditionalFormatting sqref="D6576">
    <cfRule type="containsText" dxfId="396" priority="907" operator="containsText" text="Pesquisa de Preços">
      <formula>NOT(ISERROR(SEARCH("Pesquisa de Preços",D6576)))</formula>
    </cfRule>
  </conditionalFormatting>
  <conditionalFormatting sqref="E6577 E6579">
    <cfRule type="containsText" dxfId="395" priority="905" operator="containsText" text="Pesquisa de Preços">
      <formula>NOT(ISERROR(SEARCH("Pesquisa de Preços",E6577)))</formula>
    </cfRule>
  </conditionalFormatting>
  <conditionalFormatting sqref="D6583">
    <cfRule type="containsText" dxfId="394" priority="898" operator="containsText" text="Pesquisa de Preços">
      <formula>NOT(ISERROR(SEARCH("Pesquisa de Preços",D6583)))</formula>
    </cfRule>
  </conditionalFormatting>
  <conditionalFormatting sqref="E6580">
    <cfRule type="containsText" dxfId="393" priority="894" operator="containsText" text="Pesquisa de Preços">
      <formula>NOT(ISERROR(SEARCH("Pesquisa de Preços",E6580)))</formula>
    </cfRule>
  </conditionalFormatting>
  <conditionalFormatting sqref="D6581">
    <cfRule type="containsText" dxfId="392" priority="896" operator="containsText" text="Pesquisa de Preços">
      <formula>NOT(ISERROR(SEARCH("Pesquisa de Preços",D6581)))</formula>
    </cfRule>
  </conditionalFormatting>
  <conditionalFormatting sqref="D6580">
    <cfRule type="containsText" dxfId="391" priority="897" operator="containsText" text="Pesquisa de Preços">
      <formula>NOT(ISERROR(SEARCH("Pesquisa de Preços",D6580)))</formula>
    </cfRule>
  </conditionalFormatting>
  <conditionalFormatting sqref="E6581 E6583">
    <cfRule type="containsText" dxfId="390" priority="895" operator="containsText" text="Pesquisa de Preços">
      <formula>NOT(ISERROR(SEARCH("Pesquisa de Preços",E6581)))</formula>
    </cfRule>
  </conditionalFormatting>
  <conditionalFormatting sqref="D6599">
    <cfRule type="containsText" dxfId="389" priority="868" operator="containsText" text="Pesquisa de Preços">
      <formula>NOT(ISERROR(SEARCH("Pesquisa de Preços",D6599)))</formula>
    </cfRule>
  </conditionalFormatting>
  <conditionalFormatting sqref="E6596">
    <cfRule type="containsText" dxfId="388" priority="864" operator="containsText" text="Pesquisa de Preços">
      <formula>NOT(ISERROR(SEARCH("Pesquisa de Preços",E6596)))</formula>
    </cfRule>
  </conditionalFormatting>
  <conditionalFormatting sqref="D6597">
    <cfRule type="containsText" dxfId="387" priority="866" operator="containsText" text="Pesquisa de Preços">
      <formula>NOT(ISERROR(SEARCH("Pesquisa de Preços",D6597)))</formula>
    </cfRule>
  </conditionalFormatting>
  <conditionalFormatting sqref="D6596">
    <cfRule type="containsText" dxfId="386" priority="867" operator="containsText" text="Pesquisa de Preços">
      <formula>NOT(ISERROR(SEARCH("Pesquisa de Preços",D6596)))</formula>
    </cfRule>
  </conditionalFormatting>
  <conditionalFormatting sqref="E6597 E6599">
    <cfRule type="containsText" dxfId="385" priority="865" operator="containsText" text="Pesquisa de Preços">
      <formula>NOT(ISERROR(SEARCH("Pesquisa de Preços",E6597)))</formula>
    </cfRule>
  </conditionalFormatting>
  <conditionalFormatting sqref="D6603">
    <cfRule type="containsText" dxfId="384" priority="858" operator="containsText" text="Pesquisa de Preços">
      <formula>NOT(ISERROR(SEARCH("Pesquisa de Preços",D6603)))</formula>
    </cfRule>
  </conditionalFormatting>
  <conditionalFormatting sqref="E6600">
    <cfRule type="containsText" dxfId="383" priority="854" operator="containsText" text="Pesquisa de Preços">
      <formula>NOT(ISERROR(SEARCH("Pesquisa de Preços",E6600)))</formula>
    </cfRule>
  </conditionalFormatting>
  <conditionalFormatting sqref="D6601">
    <cfRule type="containsText" dxfId="382" priority="856" operator="containsText" text="Pesquisa de Preços">
      <formula>NOT(ISERROR(SEARCH("Pesquisa de Preços",D6601)))</formula>
    </cfRule>
  </conditionalFormatting>
  <conditionalFormatting sqref="D6600">
    <cfRule type="containsText" dxfId="381" priority="857" operator="containsText" text="Pesquisa de Preços">
      <formula>NOT(ISERROR(SEARCH("Pesquisa de Preços",D6600)))</formula>
    </cfRule>
  </conditionalFormatting>
  <conditionalFormatting sqref="E6601 E6603">
    <cfRule type="containsText" dxfId="380" priority="855" operator="containsText" text="Pesquisa de Preços">
      <formula>NOT(ISERROR(SEARCH("Pesquisa de Preços",E6601)))</formula>
    </cfRule>
  </conditionalFormatting>
  <conditionalFormatting sqref="D6607">
    <cfRule type="containsText" dxfId="379" priority="848" operator="containsText" text="Pesquisa de Preços">
      <formula>NOT(ISERROR(SEARCH("Pesquisa de Preços",D6607)))</formula>
    </cfRule>
  </conditionalFormatting>
  <conditionalFormatting sqref="E6604">
    <cfRule type="containsText" dxfId="378" priority="844" operator="containsText" text="Pesquisa de Preços">
      <formula>NOT(ISERROR(SEARCH("Pesquisa de Preços",E6604)))</formula>
    </cfRule>
  </conditionalFormatting>
  <conditionalFormatting sqref="D6605">
    <cfRule type="containsText" dxfId="377" priority="846" operator="containsText" text="Pesquisa de Preços">
      <formula>NOT(ISERROR(SEARCH("Pesquisa de Preços",D6605)))</formula>
    </cfRule>
  </conditionalFormatting>
  <conditionalFormatting sqref="D6604">
    <cfRule type="containsText" dxfId="376" priority="847" operator="containsText" text="Pesquisa de Preços">
      <formula>NOT(ISERROR(SEARCH("Pesquisa de Preços",D6604)))</formula>
    </cfRule>
  </conditionalFormatting>
  <conditionalFormatting sqref="E6605 E6607">
    <cfRule type="containsText" dxfId="375" priority="845" operator="containsText" text="Pesquisa de Preços">
      <formula>NOT(ISERROR(SEARCH("Pesquisa de Preços",E6605)))</formula>
    </cfRule>
  </conditionalFormatting>
  <conditionalFormatting sqref="D6623">
    <cfRule type="containsText" dxfId="374" priority="808" operator="containsText" text="Pesquisa de Preços">
      <formula>NOT(ISERROR(SEARCH("Pesquisa de Preços",D6623)))</formula>
    </cfRule>
  </conditionalFormatting>
  <conditionalFormatting sqref="E6620">
    <cfRule type="containsText" dxfId="373" priority="804" operator="containsText" text="Pesquisa de Preços">
      <formula>NOT(ISERROR(SEARCH("Pesquisa de Preços",E6620)))</formula>
    </cfRule>
  </conditionalFormatting>
  <conditionalFormatting sqref="D6621">
    <cfRule type="containsText" dxfId="372" priority="806" operator="containsText" text="Pesquisa de Preços">
      <formula>NOT(ISERROR(SEARCH("Pesquisa de Preços",D6621)))</formula>
    </cfRule>
  </conditionalFormatting>
  <conditionalFormatting sqref="D6620">
    <cfRule type="containsText" dxfId="371" priority="807" operator="containsText" text="Pesquisa de Preços">
      <formula>NOT(ISERROR(SEARCH("Pesquisa de Preços",D6620)))</formula>
    </cfRule>
  </conditionalFormatting>
  <conditionalFormatting sqref="E6621 E6623">
    <cfRule type="containsText" dxfId="370" priority="805" operator="containsText" text="Pesquisa de Preços">
      <formula>NOT(ISERROR(SEARCH("Pesquisa de Preços",E6621)))</formula>
    </cfRule>
  </conditionalFormatting>
  <conditionalFormatting sqref="D6627">
    <cfRule type="containsText" dxfId="369" priority="798" operator="containsText" text="Pesquisa de Preços">
      <formula>NOT(ISERROR(SEARCH("Pesquisa de Preços",D6627)))</formula>
    </cfRule>
  </conditionalFormatting>
  <conditionalFormatting sqref="E6624">
    <cfRule type="containsText" dxfId="368" priority="794" operator="containsText" text="Pesquisa de Preços">
      <formula>NOT(ISERROR(SEARCH("Pesquisa de Preços",E6624)))</formula>
    </cfRule>
  </conditionalFormatting>
  <conditionalFormatting sqref="D6625">
    <cfRule type="containsText" dxfId="367" priority="796" operator="containsText" text="Pesquisa de Preços">
      <formula>NOT(ISERROR(SEARCH("Pesquisa de Preços",D6625)))</formula>
    </cfRule>
  </conditionalFormatting>
  <conditionalFormatting sqref="D6624">
    <cfRule type="containsText" dxfId="366" priority="797" operator="containsText" text="Pesquisa de Preços">
      <formula>NOT(ISERROR(SEARCH("Pesquisa de Preços",D6624)))</formula>
    </cfRule>
  </conditionalFormatting>
  <conditionalFormatting sqref="E6625 E6627">
    <cfRule type="containsText" dxfId="365" priority="795" operator="containsText" text="Pesquisa de Preços">
      <formula>NOT(ISERROR(SEARCH("Pesquisa de Preços",E6625)))</formula>
    </cfRule>
  </conditionalFormatting>
  <conditionalFormatting sqref="D6631">
    <cfRule type="containsText" dxfId="364" priority="788" operator="containsText" text="Pesquisa de Preços">
      <formula>NOT(ISERROR(SEARCH("Pesquisa de Preços",D6631)))</formula>
    </cfRule>
  </conditionalFormatting>
  <conditionalFormatting sqref="E6628">
    <cfRule type="containsText" dxfId="363" priority="784" operator="containsText" text="Pesquisa de Preços">
      <formula>NOT(ISERROR(SEARCH("Pesquisa de Preços",E6628)))</formula>
    </cfRule>
  </conditionalFormatting>
  <conditionalFormatting sqref="D6629">
    <cfRule type="containsText" dxfId="362" priority="786" operator="containsText" text="Pesquisa de Preços">
      <formula>NOT(ISERROR(SEARCH("Pesquisa de Preços",D6629)))</formula>
    </cfRule>
  </conditionalFormatting>
  <conditionalFormatting sqref="D6628">
    <cfRule type="containsText" dxfId="361" priority="787" operator="containsText" text="Pesquisa de Preços">
      <formula>NOT(ISERROR(SEARCH("Pesquisa de Preços",D6628)))</formula>
    </cfRule>
  </conditionalFormatting>
  <conditionalFormatting sqref="E6629 E6631">
    <cfRule type="containsText" dxfId="360" priority="785" operator="containsText" text="Pesquisa de Preços">
      <formula>NOT(ISERROR(SEARCH("Pesquisa de Preços",E6629)))</formula>
    </cfRule>
  </conditionalFormatting>
  <conditionalFormatting sqref="D6635">
    <cfRule type="containsText" dxfId="359" priority="778" operator="containsText" text="Pesquisa de Preços">
      <formula>NOT(ISERROR(SEARCH("Pesquisa de Preços",D6635)))</formula>
    </cfRule>
  </conditionalFormatting>
  <conditionalFormatting sqref="E6632">
    <cfRule type="containsText" dxfId="358" priority="774" operator="containsText" text="Pesquisa de Preços">
      <formula>NOT(ISERROR(SEARCH("Pesquisa de Preços",E6632)))</formula>
    </cfRule>
  </conditionalFormatting>
  <conditionalFormatting sqref="D6633">
    <cfRule type="containsText" dxfId="357" priority="776" operator="containsText" text="Pesquisa de Preços">
      <formula>NOT(ISERROR(SEARCH("Pesquisa de Preços",D6633)))</formula>
    </cfRule>
  </conditionalFormatting>
  <conditionalFormatting sqref="D6632">
    <cfRule type="containsText" dxfId="356" priority="777" operator="containsText" text="Pesquisa de Preços">
      <formula>NOT(ISERROR(SEARCH("Pesquisa de Preços",D6632)))</formula>
    </cfRule>
  </conditionalFormatting>
  <conditionalFormatting sqref="E6633 E6635">
    <cfRule type="containsText" dxfId="355" priority="775" operator="containsText" text="Pesquisa de Preços">
      <formula>NOT(ISERROR(SEARCH("Pesquisa de Preços",E6633)))</formula>
    </cfRule>
  </conditionalFormatting>
  <conditionalFormatting sqref="D6639">
    <cfRule type="containsText" dxfId="354" priority="768" operator="containsText" text="Pesquisa de Preços">
      <formula>NOT(ISERROR(SEARCH("Pesquisa de Preços",D6639)))</formula>
    </cfRule>
  </conditionalFormatting>
  <conditionalFormatting sqref="E6636">
    <cfRule type="containsText" dxfId="353" priority="764" operator="containsText" text="Pesquisa de Preços">
      <formula>NOT(ISERROR(SEARCH("Pesquisa de Preços",E6636)))</formula>
    </cfRule>
  </conditionalFormatting>
  <conditionalFormatting sqref="D6637">
    <cfRule type="containsText" dxfId="352" priority="766" operator="containsText" text="Pesquisa de Preços">
      <formula>NOT(ISERROR(SEARCH("Pesquisa de Preços",D6637)))</formula>
    </cfRule>
  </conditionalFormatting>
  <conditionalFormatting sqref="D6636">
    <cfRule type="containsText" dxfId="351" priority="767" operator="containsText" text="Pesquisa de Preços">
      <formula>NOT(ISERROR(SEARCH("Pesquisa de Preços",D6636)))</formula>
    </cfRule>
  </conditionalFormatting>
  <conditionalFormatting sqref="E6637 E6639">
    <cfRule type="containsText" dxfId="350" priority="765" operator="containsText" text="Pesquisa de Preços">
      <formula>NOT(ISERROR(SEARCH("Pesquisa de Preços",E6637)))</formula>
    </cfRule>
  </conditionalFormatting>
  <conditionalFormatting sqref="D6831">
    <cfRule type="containsText" dxfId="349" priority="698" operator="containsText" text="Pesquisa de Preços">
      <formula>NOT(ISERROR(SEARCH("Pesquisa de Preços",D6831)))</formula>
    </cfRule>
  </conditionalFormatting>
  <conditionalFormatting sqref="E6828">
    <cfRule type="containsText" dxfId="348" priority="694" operator="containsText" text="Pesquisa de Preços">
      <formula>NOT(ISERROR(SEARCH("Pesquisa de Preços",E6828)))</formula>
    </cfRule>
  </conditionalFormatting>
  <conditionalFormatting sqref="D6829">
    <cfRule type="containsText" dxfId="347" priority="696" operator="containsText" text="Pesquisa de Preços">
      <formula>NOT(ISERROR(SEARCH("Pesquisa de Preços",D6829)))</formula>
    </cfRule>
  </conditionalFormatting>
  <conditionalFormatting sqref="D6828">
    <cfRule type="containsText" dxfId="346" priority="697" operator="containsText" text="Pesquisa de Preços">
      <formula>NOT(ISERROR(SEARCH("Pesquisa de Preços",D6828)))</formula>
    </cfRule>
  </conditionalFormatting>
  <conditionalFormatting sqref="E6829 E6831">
    <cfRule type="containsText" dxfId="345" priority="695" operator="containsText" text="Pesquisa de Preços">
      <formula>NOT(ISERROR(SEARCH("Pesquisa de Preços",E6829)))</formula>
    </cfRule>
  </conditionalFormatting>
  <conditionalFormatting sqref="D6835">
    <cfRule type="containsText" dxfId="344" priority="688" operator="containsText" text="Pesquisa de Preços">
      <formula>NOT(ISERROR(SEARCH("Pesquisa de Preços",D6835)))</formula>
    </cfRule>
  </conditionalFormatting>
  <conditionalFormatting sqref="E6832">
    <cfRule type="containsText" dxfId="343" priority="684" operator="containsText" text="Pesquisa de Preços">
      <formula>NOT(ISERROR(SEARCH("Pesquisa de Preços",E6832)))</formula>
    </cfRule>
  </conditionalFormatting>
  <conditionalFormatting sqref="D6833">
    <cfRule type="containsText" dxfId="342" priority="686" operator="containsText" text="Pesquisa de Preços">
      <formula>NOT(ISERROR(SEARCH("Pesquisa de Preços",D6833)))</formula>
    </cfRule>
  </conditionalFormatting>
  <conditionalFormatting sqref="D6832">
    <cfRule type="containsText" dxfId="341" priority="687" operator="containsText" text="Pesquisa de Preços">
      <formula>NOT(ISERROR(SEARCH("Pesquisa de Preços",D6832)))</formula>
    </cfRule>
  </conditionalFormatting>
  <conditionalFormatting sqref="E6833 E6835">
    <cfRule type="containsText" dxfId="340" priority="685" operator="containsText" text="Pesquisa de Preços">
      <formula>NOT(ISERROR(SEARCH("Pesquisa de Preços",E6833)))</formula>
    </cfRule>
  </conditionalFormatting>
  <conditionalFormatting sqref="D6839">
    <cfRule type="containsText" dxfId="339" priority="678" operator="containsText" text="Pesquisa de Preços">
      <formula>NOT(ISERROR(SEARCH("Pesquisa de Preços",D6839)))</formula>
    </cfRule>
  </conditionalFormatting>
  <conditionalFormatting sqref="E6836">
    <cfRule type="containsText" dxfId="338" priority="674" operator="containsText" text="Pesquisa de Preços">
      <formula>NOT(ISERROR(SEARCH("Pesquisa de Preços",E6836)))</formula>
    </cfRule>
  </conditionalFormatting>
  <conditionalFormatting sqref="D6837">
    <cfRule type="containsText" dxfId="337" priority="676" operator="containsText" text="Pesquisa de Preços">
      <formula>NOT(ISERROR(SEARCH("Pesquisa de Preços",D6837)))</formula>
    </cfRule>
  </conditionalFormatting>
  <conditionalFormatting sqref="D6836">
    <cfRule type="containsText" dxfId="336" priority="677" operator="containsText" text="Pesquisa de Preços">
      <formula>NOT(ISERROR(SEARCH("Pesquisa de Preços",D6836)))</formula>
    </cfRule>
  </conditionalFormatting>
  <conditionalFormatting sqref="E6837 E6839">
    <cfRule type="containsText" dxfId="335" priority="675" operator="containsText" text="Pesquisa de Preços">
      <formula>NOT(ISERROR(SEARCH("Pesquisa de Preços",E6837)))</formula>
    </cfRule>
  </conditionalFormatting>
  <conditionalFormatting sqref="D6843">
    <cfRule type="containsText" dxfId="334" priority="668" operator="containsText" text="Pesquisa de Preços">
      <formula>NOT(ISERROR(SEARCH("Pesquisa de Preços",D6843)))</formula>
    </cfRule>
  </conditionalFormatting>
  <conditionalFormatting sqref="E6840">
    <cfRule type="containsText" dxfId="333" priority="664" operator="containsText" text="Pesquisa de Preços">
      <formula>NOT(ISERROR(SEARCH("Pesquisa de Preços",E6840)))</formula>
    </cfRule>
  </conditionalFormatting>
  <conditionalFormatting sqref="D6841">
    <cfRule type="containsText" dxfId="332" priority="666" operator="containsText" text="Pesquisa de Preços">
      <formula>NOT(ISERROR(SEARCH("Pesquisa de Preços",D6841)))</formula>
    </cfRule>
  </conditionalFormatting>
  <conditionalFormatting sqref="D6840">
    <cfRule type="containsText" dxfId="331" priority="667" operator="containsText" text="Pesquisa de Preços">
      <formula>NOT(ISERROR(SEARCH("Pesquisa de Preços",D6840)))</formula>
    </cfRule>
  </conditionalFormatting>
  <conditionalFormatting sqref="E6841 E6843">
    <cfRule type="containsText" dxfId="330" priority="665" operator="containsText" text="Pesquisa de Preços">
      <formula>NOT(ISERROR(SEARCH("Pesquisa de Preços",E6841)))</formula>
    </cfRule>
  </conditionalFormatting>
  <conditionalFormatting sqref="D6847">
    <cfRule type="containsText" dxfId="329" priority="658" operator="containsText" text="Pesquisa de Preços">
      <formula>NOT(ISERROR(SEARCH("Pesquisa de Preços",D6847)))</formula>
    </cfRule>
  </conditionalFormatting>
  <conditionalFormatting sqref="E6844">
    <cfRule type="containsText" dxfId="328" priority="654" operator="containsText" text="Pesquisa de Preços">
      <formula>NOT(ISERROR(SEARCH("Pesquisa de Preços",E6844)))</formula>
    </cfRule>
  </conditionalFormatting>
  <conditionalFormatting sqref="D6845">
    <cfRule type="containsText" dxfId="327" priority="656" operator="containsText" text="Pesquisa de Preços">
      <formula>NOT(ISERROR(SEARCH("Pesquisa de Preços",D6845)))</formula>
    </cfRule>
  </conditionalFormatting>
  <conditionalFormatting sqref="D6844">
    <cfRule type="containsText" dxfId="326" priority="657" operator="containsText" text="Pesquisa de Preços">
      <formula>NOT(ISERROR(SEARCH("Pesquisa de Preços",D6844)))</formula>
    </cfRule>
  </conditionalFormatting>
  <conditionalFormatting sqref="E6845 E6847">
    <cfRule type="containsText" dxfId="325" priority="655" operator="containsText" text="Pesquisa de Preços">
      <formula>NOT(ISERROR(SEARCH("Pesquisa de Preços",E6845)))</formula>
    </cfRule>
  </conditionalFormatting>
  <conditionalFormatting sqref="D6851">
    <cfRule type="containsText" dxfId="324" priority="648" operator="containsText" text="Pesquisa de Preços">
      <formula>NOT(ISERROR(SEARCH("Pesquisa de Preços",D6851)))</formula>
    </cfRule>
  </conditionalFormatting>
  <conditionalFormatting sqref="E6848">
    <cfRule type="containsText" dxfId="323" priority="644" operator="containsText" text="Pesquisa de Preços">
      <formula>NOT(ISERROR(SEARCH("Pesquisa de Preços",E6848)))</formula>
    </cfRule>
  </conditionalFormatting>
  <conditionalFormatting sqref="D6849">
    <cfRule type="containsText" dxfId="322" priority="646" operator="containsText" text="Pesquisa de Preços">
      <formula>NOT(ISERROR(SEARCH("Pesquisa de Preços",D6849)))</formula>
    </cfRule>
  </conditionalFormatting>
  <conditionalFormatting sqref="D6848">
    <cfRule type="containsText" dxfId="321" priority="647" operator="containsText" text="Pesquisa de Preços">
      <formula>NOT(ISERROR(SEARCH("Pesquisa de Preços",D6848)))</formula>
    </cfRule>
  </conditionalFormatting>
  <conditionalFormatting sqref="E6849 E6851">
    <cfRule type="containsText" dxfId="320" priority="645" operator="containsText" text="Pesquisa de Preços">
      <formula>NOT(ISERROR(SEARCH("Pesquisa de Preços",E6849)))</formula>
    </cfRule>
  </conditionalFormatting>
  <conditionalFormatting sqref="D6859">
    <cfRule type="containsText" dxfId="319" priority="638" operator="containsText" text="Pesquisa de Preços">
      <formula>NOT(ISERROR(SEARCH("Pesquisa de Preços",D6859)))</formula>
    </cfRule>
  </conditionalFormatting>
  <conditionalFormatting sqref="E6880">
    <cfRule type="containsText" dxfId="318" priority="614" operator="containsText" text="Pesquisa de Preços">
      <formula>NOT(ISERROR(SEARCH("Pesquisa de Preços",E6880)))</formula>
    </cfRule>
  </conditionalFormatting>
  <conditionalFormatting sqref="E6860">
    <cfRule type="containsText" dxfId="317" priority="624" operator="containsText" text="Pesquisa de Preços">
      <formula>NOT(ISERROR(SEARCH("Pesquisa de Preços",E6860)))</formula>
    </cfRule>
  </conditionalFormatting>
  <conditionalFormatting sqref="E6861 E6863">
    <cfRule type="containsText" dxfId="316" priority="625" operator="containsText" text="Pesquisa de Preços">
      <formula>NOT(ISERROR(SEARCH("Pesquisa de Preços",E6861)))</formula>
    </cfRule>
  </conditionalFormatting>
  <conditionalFormatting sqref="E6859">
    <cfRule type="containsText" dxfId="315" priority="635" operator="containsText" text="Pesquisa de Preços">
      <formula>NOT(ISERROR(SEARCH("Pesquisa de Preços",E6859)))</formula>
    </cfRule>
  </conditionalFormatting>
  <conditionalFormatting sqref="D6863">
    <cfRule type="containsText" dxfId="314" priority="628" operator="containsText" text="Pesquisa de Preços">
      <formula>NOT(ISERROR(SEARCH("Pesquisa de Preços",D6863)))</formula>
    </cfRule>
  </conditionalFormatting>
  <conditionalFormatting sqref="D6881">
    <cfRule type="containsText" dxfId="313" priority="616" operator="containsText" text="Pesquisa de Preços">
      <formula>NOT(ISERROR(SEARCH("Pesquisa de Preços",D6881)))</formula>
    </cfRule>
  </conditionalFormatting>
  <conditionalFormatting sqref="D6861">
    <cfRule type="containsText" dxfId="312" priority="626" operator="containsText" text="Pesquisa de Preços">
      <formula>NOT(ISERROR(SEARCH("Pesquisa de Preços",D6861)))</formula>
    </cfRule>
  </conditionalFormatting>
  <conditionalFormatting sqref="D6860">
    <cfRule type="containsText" dxfId="311" priority="627" operator="containsText" text="Pesquisa de Preços">
      <formula>NOT(ISERROR(SEARCH("Pesquisa de Preços",D6860)))</formula>
    </cfRule>
  </conditionalFormatting>
  <conditionalFormatting sqref="D6880">
    <cfRule type="containsText" dxfId="310" priority="617" operator="containsText" text="Pesquisa de Preços">
      <formula>NOT(ISERROR(SEARCH("Pesquisa de Preços",D6880)))</formula>
    </cfRule>
  </conditionalFormatting>
  <conditionalFormatting sqref="D6883">
    <cfRule type="containsText" dxfId="309" priority="618" operator="containsText" text="Pesquisa de Preços">
      <formula>NOT(ISERROR(SEARCH("Pesquisa de Preços",D6883)))</formula>
    </cfRule>
  </conditionalFormatting>
  <conditionalFormatting sqref="D6899">
    <cfRule type="containsText" dxfId="308" priority="598" operator="containsText" text="Pesquisa de Preços">
      <formula>NOT(ISERROR(SEARCH("Pesquisa de Preços",D6899)))</formula>
    </cfRule>
  </conditionalFormatting>
  <conditionalFormatting sqref="E6900">
    <cfRule type="containsText" dxfId="307" priority="584" operator="containsText" text="Pesquisa de Preços">
      <formula>NOT(ISERROR(SEARCH("Pesquisa de Preços",E6900)))</formula>
    </cfRule>
  </conditionalFormatting>
  <conditionalFormatting sqref="E6881 E6883">
    <cfRule type="containsText" dxfId="306" priority="615" operator="containsText" text="Pesquisa de Preços">
      <formula>NOT(ISERROR(SEARCH("Pesquisa de Preços",E6881)))</formula>
    </cfRule>
  </conditionalFormatting>
  <conditionalFormatting sqref="D6895">
    <cfRule type="containsText" dxfId="305" priority="608" operator="containsText" text="Pesquisa de Preços">
      <formula>NOT(ISERROR(SEARCH("Pesquisa de Preços",D6895)))</formula>
    </cfRule>
  </conditionalFormatting>
  <conditionalFormatting sqref="E6892">
    <cfRule type="containsText" dxfId="304" priority="604" operator="containsText" text="Pesquisa de Preços">
      <formula>NOT(ISERROR(SEARCH("Pesquisa de Preços",E6892)))</formula>
    </cfRule>
  </conditionalFormatting>
  <conditionalFormatting sqref="D6893">
    <cfRule type="containsText" dxfId="303" priority="606" operator="containsText" text="Pesquisa de Preços">
      <formula>NOT(ISERROR(SEARCH("Pesquisa de Preços",D6893)))</formula>
    </cfRule>
  </conditionalFormatting>
  <conditionalFormatting sqref="D6892">
    <cfRule type="containsText" dxfId="302" priority="607" operator="containsText" text="Pesquisa de Preços">
      <formula>NOT(ISERROR(SEARCH("Pesquisa de Preços",D6892)))</formula>
    </cfRule>
  </conditionalFormatting>
  <conditionalFormatting sqref="E6893 E6895">
    <cfRule type="containsText" dxfId="301" priority="605" operator="containsText" text="Pesquisa de Preços">
      <formula>NOT(ISERROR(SEARCH("Pesquisa de Preços",E6893)))</formula>
    </cfRule>
  </conditionalFormatting>
  <conditionalFormatting sqref="E6901 E6903">
    <cfRule type="containsText" dxfId="300" priority="585" operator="containsText" text="Pesquisa de Preços">
      <formula>NOT(ISERROR(SEARCH("Pesquisa de Preços",E6901)))</formula>
    </cfRule>
  </conditionalFormatting>
  <conditionalFormatting sqref="E6896">
    <cfRule type="containsText" dxfId="299" priority="594" operator="containsText" text="Pesquisa de Preços">
      <formula>NOT(ISERROR(SEARCH("Pesquisa de Preços",E6896)))</formula>
    </cfRule>
  </conditionalFormatting>
  <conditionalFormatting sqref="D6897">
    <cfRule type="containsText" dxfId="298" priority="596" operator="containsText" text="Pesquisa de Preços">
      <formula>NOT(ISERROR(SEARCH("Pesquisa de Preços",D6897)))</formula>
    </cfRule>
  </conditionalFormatting>
  <conditionalFormatting sqref="D6593">
    <cfRule type="containsText" dxfId="297" priority="467" operator="containsText" text="Pesquisa de Preços">
      <formula>NOT(ISERROR(SEARCH("Pesquisa de Preços",D6593)))</formula>
    </cfRule>
  </conditionalFormatting>
  <conditionalFormatting sqref="D6896">
    <cfRule type="containsText" dxfId="296" priority="597" operator="containsText" text="Pesquisa de Preços">
      <formula>NOT(ISERROR(SEARCH("Pesquisa de Preços",D6896)))</formula>
    </cfRule>
  </conditionalFormatting>
  <conditionalFormatting sqref="E6897 E6899">
    <cfRule type="containsText" dxfId="295" priority="595" operator="containsText" text="Pesquisa de Preços">
      <formula>NOT(ISERROR(SEARCH("Pesquisa de Preços",E6897)))</formula>
    </cfRule>
  </conditionalFormatting>
  <conditionalFormatting sqref="D6903">
    <cfRule type="containsText" dxfId="294" priority="588" operator="containsText" text="Pesquisa de Preços">
      <formula>NOT(ISERROR(SEARCH("Pesquisa de Preços",D6903)))</formula>
    </cfRule>
  </conditionalFormatting>
  <conditionalFormatting sqref="E6916">
    <cfRule type="containsText" dxfId="293" priority="544" operator="containsText" text="Pesquisa de Preços">
      <formula>NOT(ISERROR(SEARCH("Pesquisa de Preços",E6916)))</formula>
    </cfRule>
  </conditionalFormatting>
  <conditionalFormatting sqref="D6901">
    <cfRule type="containsText" dxfId="292" priority="586" operator="containsText" text="Pesquisa de Preços">
      <formula>NOT(ISERROR(SEARCH("Pesquisa de Preços",D6901)))</formula>
    </cfRule>
  </conditionalFormatting>
  <conditionalFormatting sqref="D6900">
    <cfRule type="containsText" dxfId="291" priority="587" operator="containsText" text="Pesquisa de Preços">
      <formula>NOT(ISERROR(SEARCH("Pesquisa de Preços",D6900)))</formula>
    </cfRule>
  </conditionalFormatting>
  <conditionalFormatting sqref="E6917 E6919">
    <cfRule type="containsText" dxfId="290" priority="545" operator="containsText" text="Pesquisa de Preços">
      <formula>NOT(ISERROR(SEARCH("Pesquisa de Preços",E6917)))</formula>
    </cfRule>
  </conditionalFormatting>
  <conditionalFormatting sqref="D6907">
    <cfRule type="containsText" dxfId="289" priority="578" operator="containsText" text="Pesquisa de Preços">
      <formula>NOT(ISERROR(SEARCH("Pesquisa de Preços",D6907)))</formula>
    </cfRule>
  </conditionalFormatting>
  <conditionalFormatting sqref="E6904">
    <cfRule type="containsText" dxfId="288" priority="574" operator="containsText" text="Pesquisa de Preços">
      <formula>NOT(ISERROR(SEARCH("Pesquisa de Preços",E6904)))</formula>
    </cfRule>
  </conditionalFormatting>
  <conditionalFormatting sqref="D6905">
    <cfRule type="containsText" dxfId="287" priority="576" operator="containsText" text="Pesquisa de Preços">
      <formula>NOT(ISERROR(SEARCH("Pesquisa de Preços",D6905)))</formula>
    </cfRule>
  </conditionalFormatting>
  <conditionalFormatting sqref="D6904">
    <cfRule type="containsText" dxfId="286" priority="577" operator="containsText" text="Pesquisa de Preços">
      <formula>NOT(ISERROR(SEARCH("Pesquisa de Preços",D6904)))</formula>
    </cfRule>
  </conditionalFormatting>
  <conditionalFormatting sqref="E6905 E6907">
    <cfRule type="containsText" dxfId="285" priority="575" operator="containsText" text="Pesquisa de Preços">
      <formula>NOT(ISERROR(SEARCH("Pesquisa de Preços",E6905)))</formula>
    </cfRule>
  </conditionalFormatting>
  <conditionalFormatting sqref="D6911">
    <cfRule type="containsText" dxfId="284" priority="568" operator="containsText" text="Pesquisa de Preços">
      <formula>NOT(ISERROR(SEARCH("Pesquisa de Preços",D6911)))</formula>
    </cfRule>
  </conditionalFormatting>
  <conditionalFormatting sqref="E6908">
    <cfRule type="containsText" dxfId="283" priority="564" operator="containsText" text="Pesquisa de Preços">
      <formula>NOT(ISERROR(SEARCH("Pesquisa de Preços",E6908)))</formula>
    </cfRule>
  </conditionalFormatting>
  <conditionalFormatting sqref="D6909">
    <cfRule type="containsText" dxfId="282" priority="566" operator="containsText" text="Pesquisa de Preços">
      <formula>NOT(ISERROR(SEARCH("Pesquisa de Preços",D6909)))</formula>
    </cfRule>
  </conditionalFormatting>
  <conditionalFormatting sqref="D6908">
    <cfRule type="containsText" dxfId="281" priority="567" operator="containsText" text="Pesquisa de Preços">
      <formula>NOT(ISERROR(SEARCH("Pesquisa de Preços",D6908)))</formula>
    </cfRule>
  </conditionalFormatting>
  <conditionalFormatting sqref="E6909 E6911">
    <cfRule type="containsText" dxfId="280" priority="565" operator="containsText" text="Pesquisa de Preços">
      <formula>NOT(ISERROR(SEARCH("Pesquisa de Preços",E6909)))</formula>
    </cfRule>
  </conditionalFormatting>
  <conditionalFormatting sqref="D6915">
    <cfRule type="containsText" dxfId="279" priority="558" operator="containsText" text="Pesquisa de Preços">
      <formula>NOT(ISERROR(SEARCH("Pesquisa de Preços",D6915)))</formula>
    </cfRule>
  </conditionalFormatting>
  <conditionalFormatting sqref="E6912">
    <cfRule type="containsText" dxfId="278" priority="554" operator="containsText" text="Pesquisa de Preços">
      <formula>NOT(ISERROR(SEARCH("Pesquisa de Preços",E6912)))</formula>
    </cfRule>
  </conditionalFormatting>
  <conditionalFormatting sqref="D6913">
    <cfRule type="containsText" dxfId="277" priority="556" operator="containsText" text="Pesquisa de Preços">
      <formula>NOT(ISERROR(SEARCH("Pesquisa de Preços",D6913)))</formula>
    </cfRule>
  </conditionalFormatting>
  <conditionalFormatting sqref="D6912">
    <cfRule type="containsText" dxfId="276" priority="557" operator="containsText" text="Pesquisa de Preços">
      <formula>NOT(ISERROR(SEARCH("Pesquisa de Preços",D6912)))</formula>
    </cfRule>
  </conditionalFormatting>
  <conditionalFormatting sqref="E6913 E6915">
    <cfRule type="containsText" dxfId="275" priority="555" operator="containsText" text="Pesquisa de Preços">
      <formula>NOT(ISERROR(SEARCH("Pesquisa de Preços",E6913)))</formula>
    </cfRule>
  </conditionalFormatting>
  <conditionalFormatting sqref="D6919">
    <cfRule type="containsText" dxfId="274" priority="548" operator="containsText" text="Pesquisa de Preços">
      <formula>NOT(ISERROR(SEARCH("Pesquisa de Preços",D6919)))</formula>
    </cfRule>
  </conditionalFormatting>
  <conditionalFormatting sqref="D6595">
    <cfRule type="containsText" dxfId="273" priority="469" operator="containsText" text="Pesquisa de Preços">
      <formula>NOT(ISERROR(SEARCH("Pesquisa de Preços",D6595)))</formula>
    </cfRule>
  </conditionalFormatting>
  <conditionalFormatting sqref="D6917">
    <cfRule type="containsText" dxfId="272" priority="546" operator="containsText" text="Pesquisa de Preços">
      <formula>NOT(ISERROR(SEARCH("Pesquisa de Preços",D6917)))</formula>
    </cfRule>
  </conditionalFormatting>
  <conditionalFormatting sqref="D6916">
    <cfRule type="containsText" dxfId="271" priority="547" operator="containsText" text="Pesquisa de Preços">
      <formula>NOT(ISERROR(SEARCH("Pesquisa de Preços",D6916)))</formula>
    </cfRule>
  </conditionalFormatting>
  <conditionalFormatting sqref="D2742">
    <cfRule type="containsText" dxfId="270" priority="506" operator="containsText" text="Pesquisa de Preços">
      <formula>NOT(ISERROR(SEARCH("Pesquisa de Preços",D2742)))</formula>
    </cfRule>
  </conditionalFormatting>
  <conditionalFormatting sqref="D6923">
    <cfRule type="containsText" dxfId="269" priority="538" operator="containsText" text="Pesquisa de Preços">
      <formula>NOT(ISERROR(SEARCH("Pesquisa de Preços",D6923)))</formula>
    </cfRule>
  </conditionalFormatting>
  <conditionalFormatting sqref="E6920">
    <cfRule type="containsText" dxfId="268" priority="534" operator="containsText" text="Pesquisa de Preços">
      <formula>NOT(ISERROR(SEARCH("Pesquisa de Preços",E6920)))</formula>
    </cfRule>
  </conditionalFormatting>
  <conditionalFormatting sqref="D6921">
    <cfRule type="containsText" dxfId="267" priority="536" operator="containsText" text="Pesquisa de Preços">
      <formula>NOT(ISERROR(SEARCH("Pesquisa de Preços",D6921)))</formula>
    </cfRule>
  </conditionalFormatting>
  <conditionalFormatting sqref="D6920">
    <cfRule type="containsText" dxfId="266" priority="537" operator="containsText" text="Pesquisa de Preços">
      <formula>NOT(ISERROR(SEARCH("Pesquisa de Preços",D6920)))</formula>
    </cfRule>
  </conditionalFormatting>
  <conditionalFormatting sqref="E6921 E6923">
    <cfRule type="containsText" dxfId="265" priority="535" operator="containsText" text="Pesquisa de Preços">
      <formula>NOT(ISERROR(SEARCH("Pesquisa de Preços",E6921)))</formula>
    </cfRule>
  </conditionalFormatting>
  <conditionalFormatting sqref="D2738">
    <cfRule type="containsText" dxfId="264" priority="524" operator="containsText" text="Pesquisa de Preços">
      <formula>NOT(ISERROR(SEARCH("Pesquisa de Preços",D2738)))</formula>
    </cfRule>
  </conditionalFormatting>
  <conditionalFormatting sqref="D2736">
    <cfRule type="containsText" dxfId="263" priority="523" operator="containsText" text="Pesquisa de Preços">
      <formula>NOT(ISERROR(SEARCH("Pesquisa de Preços",D2736)))</formula>
    </cfRule>
  </conditionalFormatting>
  <conditionalFormatting sqref="D2732">
    <cfRule type="containsText" dxfId="262" priority="520" operator="containsText" text="Pesquisa de Preços">
      <formula>NOT(ISERROR(SEARCH("Pesquisa de Preços",D2732)))</formula>
    </cfRule>
  </conditionalFormatting>
  <conditionalFormatting sqref="D2734">
    <cfRule type="containsText" dxfId="261" priority="519" operator="containsText" text="Pesquisa de Preços">
      <formula>NOT(ISERROR(SEARCH("Pesquisa de Preços",D2734)))</formula>
    </cfRule>
  </conditionalFormatting>
  <conditionalFormatting sqref="D2746">
    <cfRule type="containsText" dxfId="260" priority="511" operator="containsText" text="Pesquisa de Preços">
      <formula>NOT(ISERROR(SEARCH("Pesquisa de Preços",D2746)))</formula>
    </cfRule>
  </conditionalFormatting>
  <conditionalFormatting sqref="D2744">
    <cfRule type="containsText" dxfId="259" priority="510" operator="containsText" text="Pesquisa de Preços">
      <formula>NOT(ISERROR(SEARCH("Pesquisa de Preços",D2744)))</formula>
    </cfRule>
  </conditionalFormatting>
  <conditionalFormatting sqref="D2740">
    <cfRule type="containsText" dxfId="258" priority="507" operator="containsText" text="Pesquisa de Preços">
      <formula>NOT(ISERROR(SEARCH("Pesquisa de Preços",D2740)))</formula>
    </cfRule>
  </conditionalFormatting>
  <conditionalFormatting sqref="D2758">
    <cfRule type="containsText" dxfId="257" priority="498" operator="containsText" text="Pesquisa de Preços">
      <formula>NOT(ISERROR(SEARCH("Pesquisa de Preços",D2758)))</formula>
    </cfRule>
  </conditionalFormatting>
  <conditionalFormatting sqref="D2756">
    <cfRule type="containsText" dxfId="256" priority="497" operator="containsText" text="Pesquisa de Preços">
      <formula>NOT(ISERROR(SEARCH("Pesquisa de Preços",D2756)))</formula>
    </cfRule>
  </conditionalFormatting>
  <conditionalFormatting sqref="D2752">
    <cfRule type="containsText" dxfId="255" priority="494" operator="containsText" text="Pesquisa de Preços">
      <formula>NOT(ISERROR(SEARCH("Pesquisa de Preços",D2752)))</formula>
    </cfRule>
  </conditionalFormatting>
  <conditionalFormatting sqref="D2754">
    <cfRule type="containsText" dxfId="254" priority="493" operator="containsText" text="Pesquisa de Preços">
      <formula>NOT(ISERROR(SEARCH("Pesquisa de Preços",D2754)))</formula>
    </cfRule>
  </conditionalFormatting>
  <conditionalFormatting sqref="D4736">
    <cfRule type="containsText" dxfId="253" priority="487" operator="containsText" text="Pesquisa de Preços">
      <formula>NOT(ISERROR(SEARCH("Pesquisa de Preços",D4736)))</formula>
    </cfRule>
  </conditionalFormatting>
  <conditionalFormatting sqref="D4740">
    <cfRule type="containsText" dxfId="252" priority="483" operator="containsText" text="Pesquisa de Preços">
      <formula>NOT(ISERROR(SEARCH("Pesquisa de Preços",D4740)))</formula>
    </cfRule>
  </conditionalFormatting>
  <conditionalFormatting sqref="D4748">
    <cfRule type="containsText" dxfId="251" priority="475" operator="containsText" text="Pesquisa de Preços">
      <formula>NOT(ISERROR(SEARCH("Pesquisa de Preços",D4748)))</formula>
    </cfRule>
  </conditionalFormatting>
  <conditionalFormatting sqref="E6592">
    <cfRule type="containsText" dxfId="250" priority="465" operator="containsText" text="Pesquisa de Preços">
      <formula>NOT(ISERROR(SEARCH("Pesquisa de Preços",E6592)))</formula>
    </cfRule>
  </conditionalFormatting>
  <conditionalFormatting sqref="D6592">
    <cfRule type="containsText" dxfId="249" priority="468" operator="containsText" text="Pesquisa de Preços">
      <formula>NOT(ISERROR(SEARCH("Pesquisa de Preços",D6592)))</formula>
    </cfRule>
  </conditionalFormatting>
  <conditionalFormatting sqref="E6593 E6595">
    <cfRule type="containsText" dxfId="248" priority="466" operator="containsText" text="Pesquisa de Preços">
      <formula>NOT(ISERROR(SEARCH("Pesquisa de Preços",E6593)))</formula>
    </cfRule>
  </conditionalFormatting>
  <conditionalFormatting sqref="D6455">
    <cfRule type="containsText" dxfId="247" priority="459" operator="containsText" text="Pesquisa de Preços">
      <formula>NOT(ISERROR(SEARCH("Pesquisa de Preços",D6455)))</formula>
    </cfRule>
  </conditionalFormatting>
  <conditionalFormatting sqref="E6452">
    <cfRule type="containsText" dxfId="246" priority="455" operator="containsText" text="Pesquisa de Preços">
      <formula>NOT(ISERROR(SEARCH("Pesquisa de Preços",E6452)))</formula>
    </cfRule>
  </conditionalFormatting>
  <conditionalFormatting sqref="D6453">
    <cfRule type="containsText" dxfId="245" priority="457" operator="containsText" text="Pesquisa de Preços">
      <formula>NOT(ISERROR(SEARCH("Pesquisa de Preços",D6453)))</formula>
    </cfRule>
  </conditionalFormatting>
  <conditionalFormatting sqref="D6452">
    <cfRule type="containsText" dxfId="244" priority="458" operator="containsText" text="Pesquisa de Preços">
      <formula>NOT(ISERROR(SEARCH("Pesquisa de Preços",D6452)))</formula>
    </cfRule>
  </conditionalFormatting>
  <conditionalFormatting sqref="E6453 E6455">
    <cfRule type="containsText" dxfId="243" priority="456" operator="containsText" text="Pesquisa de Preços">
      <formula>NOT(ISERROR(SEARCH("Pesquisa de Preços",E6453)))</formula>
    </cfRule>
  </conditionalFormatting>
  <conditionalFormatting sqref="D6497">
    <cfRule type="containsText" dxfId="242" priority="451" operator="containsText" text="Pesquisa de Preços">
      <formula>NOT(ISERROR(SEARCH("Pesquisa de Preços",D6497)))</formula>
    </cfRule>
  </conditionalFormatting>
  <conditionalFormatting sqref="E6496">
    <cfRule type="containsText" dxfId="241" priority="449" operator="containsText" text="Pesquisa de Preços">
      <formula>NOT(ISERROR(SEARCH("Pesquisa de Preços",E6496)))</formula>
    </cfRule>
  </conditionalFormatting>
  <conditionalFormatting sqref="D6499">
    <cfRule type="containsText" dxfId="240" priority="453" operator="containsText" text="Pesquisa de Preços">
      <formula>NOT(ISERROR(SEARCH("Pesquisa de Preços",D6499)))</formula>
    </cfRule>
  </conditionalFormatting>
  <conditionalFormatting sqref="D6496">
    <cfRule type="containsText" dxfId="239" priority="452" operator="containsText" text="Pesquisa de Preços">
      <formula>NOT(ISERROR(SEARCH("Pesquisa de Preços",D6496)))</formula>
    </cfRule>
  </conditionalFormatting>
  <conditionalFormatting sqref="E6497 E6499">
    <cfRule type="containsText" dxfId="238" priority="450" operator="containsText" text="Pesquisa de Preços">
      <formula>NOT(ISERROR(SEARCH("Pesquisa de Preços",E6497)))</formula>
    </cfRule>
  </conditionalFormatting>
  <conditionalFormatting sqref="D6545">
    <cfRule type="containsText" dxfId="237" priority="443" operator="containsText" text="Pesquisa de Preços">
      <formula>NOT(ISERROR(SEARCH("Pesquisa de Preços",D6545)))</formula>
    </cfRule>
  </conditionalFormatting>
  <conditionalFormatting sqref="E6544">
    <cfRule type="containsText" dxfId="236" priority="441" operator="containsText" text="Pesquisa de Preços">
      <formula>NOT(ISERROR(SEARCH("Pesquisa de Preços",E6544)))</formula>
    </cfRule>
  </conditionalFormatting>
  <conditionalFormatting sqref="D6547">
    <cfRule type="containsText" dxfId="235" priority="445" operator="containsText" text="Pesquisa de Preços">
      <formula>NOT(ISERROR(SEARCH("Pesquisa de Preços",D6547)))</formula>
    </cfRule>
  </conditionalFormatting>
  <conditionalFormatting sqref="D6544">
    <cfRule type="containsText" dxfId="234" priority="444" operator="containsText" text="Pesquisa de Preços">
      <formula>NOT(ISERROR(SEARCH("Pesquisa de Preços",D6544)))</formula>
    </cfRule>
  </conditionalFormatting>
  <conditionalFormatting sqref="E6545 E6547">
    <cfRule type="containsText" dxfId="233" priority="442" operator="containsText" text="Pesquisa de Preços">
      <formula>NOT(ISERROR(SEARCH("Pesquisa de Preços",E6545)))</formula>
    </cfRule>
  </conditionalFormatting>
  <conditionalFormatting sqref="D6609">
    <cfRule type="containsText" dxfId="232" priority="433" operator="containsText" text="Pesquisa de Preços">
      <formula>NOT(ISERROR(SEARCH("Pesquisa de Preços",D6609)))</formula>
    </cfRule>
  </conditionalFormatting>
  <conditionalFormatting sqref="E6608">
    <cfRule type="containsText" dxfId="231" priority="431" operator="containsText" text="Pesquisa de Preços">
      <formula>NOT(ISERROR(SEARCH("Pesquisa de Preços",E6608)))</formula>
    </cfRule>
  </conditionalFormatting>
  <conditionalFormatting sqref="D6611">
    <cfRule type="containsText" dxfId="230" priority="435" operator="containsText" text="Pesquisa de Preços">
      <formula>NOT(ISERROR(SEARCH("Pesquisa de Preços",D6611)))</formula>
    </cfRule>
  </conditionalFormatting>
  <conditionalFormatting sqref="D6608">
    <cfRule type="containsText" dxfId="229" priority="434" operator="containsText" text="Pesquisa de Preços">
      <formula>NOT(ISERROR(SEARCH("Pesquisa de Preços",D6608)))</formula>
    </cfRule>
  </conditionalFormatting>
  <conditionalFormatting sqref="E6609 E6611">
    <cfRule type="containsText" dxfId="228" priority="432" operator="containsText" text="Pesquisa de Preços">
      <formula>NOT(ISERROR(SEARCH("Pesquisa de Preços",E6609)))</formula>
    </cfRule>
  </conditionalFormatting>
  <conditionalFormatting sqref="D6613">
    <cfRule type="containsText" dxfId="227" priority="427" operator="containsText" text="Pesquisa de Preços">
      <formula>NOT(ISERROR(SEARCH("Pesquisa de Preços",D6613)))</formula>
    </cfRule>
  </conditionalFormatting>
  <conditionalFormatting sqref="E6612">
    <cfRule type="containsText" dxfId="226" priority="425" operator="containsText" text="Pesquisa de Preços">
      <formula>NOT(ISERROR(SEARCH("Pesquisa de Preços",E6612)))</formula>
    </cfRule>
  </conditionalFormatting>
  <conditionalFormatting sqref="D6615">
    <cfRule type="containsText" dxfId="225" priority="429" operator="containsText" text="Pesquisa de Preços">
      <formula>NOT(ISERROR(SEARCH("Pesquisa de Preços",D6615)))</formula>
    </cfRule>
  </conditionalFormatting>
  <conditionalFormatting sqref="D6612">
    <cfRule type="containsText" dxfId="224" priority="428" operator="containsText" text="Pesquisa de Preços">
      <formula>NOT(ISERROR(SEARCH("Pesquisa de Preços",D6612)))</formula>
    </cfRule>
  </conditionalFormatting>
  <conditionalFormatting sqref="E6613 E6615">
    <cfRule type="containsText" dxfId="223" priority="426" operator="containsText" text="Pesquisa de Preços">
      <formula>NOT(ISERROR(SEARCH("Pesquisa de Preços",E6613)))</formula>
    </cfRule>
  </conditionalFormatting>
  <conditionalFormatting sqref="D6617">
    <cfRule type="containsText" dxfId="222" priority="421" operator="containsText" text="Pesquisa de Preços">
      <formula>NOT(ISERROR(SEARCH("Pesquisa de Preços",D6617)))</formula>
    </cfRule>
  </conditionalFormatting>
  <conditionalFormatting sqref="E6616">
    <cfRule type="containsText" dxfId="221" priority="419" operator="containsText" text="Pesquisa de Preços">
      <formula>NOT(ISERROR(SEARCH("Pesquisa de Preços",E6616)))</formula>
    </cfRule>
  </conditionalFormatting>
  <conditionalFormatting sqref="D6619">
    <cfRule type="containsText" dxfId="220" priority="423" operator="containsText" text="Pesquisa de Preços">
      <formula>NOT(ISERROR(SEARCH("Pesquisa de Preços",D6619)))</formula>
    </cfRule>
  </conditionalFormatting>
  <conditionalFormatting sqref="D6616">
    <cfRule type="containsText" dxfId="219" priority="422" operator="containsText" text="Pesquisa de Preços">
      <formula>NOT(ISERROR(SEARCH("Pesquisa de Preços",D6616)))</formula>
    </cfRule>
  </conditionalFormatting>
  <conditionalFormatting sqref="E6617 E6619">
    <cfRule type="containsText" dxfId="218" priority="420" operator="containsText" text="Pesquisa de Preços">
      <formula>NOT(ISERROR(SEARCH("Pesquisa de Preços",E6617)))</formula>
    </cfRule>
  </conditionalFormatting>
  <conditionalFormatting sqref="D6589">
    <cfRule type="containsText" dxfId="217" priority="411" operator="containsText" text="Pesquisa de Preços">
      <formula>NOT(ISERROR(SEARCH("Pesquisa de Preços",D6589)))</formula>
    </cfRule>
  </conditionalFormatting>
  <conditionalFormatting sqref="E6588">
    <cfRule type="containsText" dxfId="216" priority="409" operator="containsText" text="Pesquisa de Preços">
      <formula>NOT(ISERROR(SEARCH("Pesquisa de Preços",E6588)))</formula>
    </cfRule>
  </conditionalFormatting>
  <conditionalFormatting sqref="D6591">
    <cfRule type="containsText" dxfId="215" priority="413" operator="containsText" text="Pesquisa de Preços">
      <formula>NOT(ISERROR(SEARCH("Pesquisa de Preços",D6591)))</formula>
    </cfRule>
  </conditionalFormatting>
  <conditionalFormatting sqref="D6588">
    <cfRule type="containsText" dxfId="214" priority="412" operator="containsText" text="Pesquisa de Preços">
      <formula>NOT(ISERROR(SEARCH("Pesquisa de Preços",D6588)))</formula>
    </cfRule>
  </conditionalFormatting>
  <conditionalFormatting sqref="E6589 E6591">
    <cfRule type="containsText" dxfId="213" priority="410" operator="containsText" text="Pesquisa de Preços">
      <formula>NOT(ISERROR(SEARCH("Pesquisa de Preços",E6589)))</formula>
    </cfRule>
  </conditionalFormatting>
  <conditionalFormatting sqref="D6585">
    <cfRule type="containsText" dxfId="212" priority="401" operator="containsText" text="Pesquisa de Preços">
      <formula>NOT(ISERROR(SEARCH("Pesquisa de Preços",D6585)))</formula>
    </cfRule>
  </conditionalFormatting>
  <conditionalFormatting sqref="E6584">
    <cfRule type="containsText" dxfId="211" priority="399" operator="containsText" text="Pesquisa de Preços">
      <formula>NOT(ISERROR(SEARCH("Pesquisa de Preços",E6584)))</formula>
    </cfRule>
  </conditionalFormatting>
  <conditionalFormatting sqref="D6587">
    <cfRule type="containsText" dxfId="210" priority="403" operator="containsText" text="Pesquisa de Preços">
      <formula>NOT(ISERROR(SEARCH("Pesquisa de Preços",D6587)))</formula>
    </cfRule>
  </conditionalFormatting>
  <conditionalFormatting sqref="D6584">
    <cfRule type="containsText" dxfId="209" priority="402" operator="containsText" text="Pesquisa de Preços">
      <formula>NOT(ISERROR(SEARCH("Pesquisa de Preços",D6584)))</formula>
    </cfRule>
  </conditionalFormatting>
  <conditionalFormatting sqref="E6585 E6587">
    <cfRule type="containsText" dxfId="208" priority="400" operator="containsText" text="Pesquisa de Preços">
      <formula>NOT(ISERROR(SEARCH("Pesquisa de Preços",E6585)))</formula>
    </cfRule>
  </conditionalFormatting>
  <conditionalFormatting sqref="D6641 D6645 D6649 D6653 D6657 D6661 D6665 D6669 D6673 D6677 D6685 D6689 D6693 D6697 D6701 D6705 D6709 D6713 D6717 D6721 D6725 D6729 D6733 D6737 D6741 D6745 D6749 D6753 D6757 D6761 D6765 D6769 D6773 D6777 D6781 D6785 D6789 D6793 D6797 D6801 D6805 D6821 D6825">
    <cfRule type="containsText" dxfId="207" priority="393" operator="containsText" text="Pesquisa de Preços">
      <formula>NOT(ISERROR(SEARCH("Pesquisa de Preços",D6641)))</formula>
    </cfRule>
  </conditionalFormatting>
  <conditionalFormatting sqref="E6640 E6644 E6648 E6652 E6656 E6660 E6664 E6668 E6672 E6676 E6684 E6688 E6692 E6696 E6700 E6704 E6708 E6712 E6716 E6720 E6724 E6728 E6732 E6736 E6740 E6744 E6748 E6752 E6756 E6760 E6764 E6768 E6772 E6776 E6780 E6784 E6788 E6792 E6796 E6800 E6804 E6820 E6824">
    <cfRule type="containsText" dxfId="206" priority="391" operator="containsText" text="Pesquisa de Preços">
      <formula>NOT(ISERROR(SEARCH("Pesquisa de Preços",E6640)))</formula>
    </cfRule>
  </conditionalFormatting>
  <conditionalFormatting sqref="D6643 D6647 D6651 D6655 D6659 D6663 D6667 D6671 D6675 D6679 D6687 D6691 D6695 D6699 D6703 D6707 D6711 D6715 D6719 D6723 D6727 D6731 D6735 D6739 D6743 D6747 D6751 D6755 D6759 D6763 D6767 D6771 D6775 D6779 D6783 D6787 D6791 D6795 D6799 D6803 D6807 D6823 D6827">
    <cfRule type="containsText" dxfId="205" priority="395" operator="containsText" text="Pesquisa de Preços">
      <formula>NOT(ISERROR(SEARCH("Pesquisa de Preços",D6643)))</formula>
    </cfRule>
  </conditionalFormatting>
  <conditionalFormatting sqref="D6640 D6644 D6648 D6652 D6656 D6660 D6664 D6668 D6672 D6676 D6684 D6688 D6692 D6696 D6700 D6704 D6708 D6712 D6716 D6720 D6724 D6728 D6732 D6736 D6740 D6744 D6748 D6752 D6756 D6760 D6764 D6768 D6772 D6776 D6780 D6784 D6788 D6792 D6796 D6800 D6804 D6820 D6824">
    <cfRule type="containsText" dxfId="204" priority="394" operator="containsText" text="Pesquisa de Preços">
      <formula>NOT(ISERROR(SEARCH("Pesquisa de Preços",D6640)))</formula>
    </cfRule>
  </conditionalFormatting>
  <conditionalFormatting sqref="E6641 E6645 E6649 E6653 E6657 E6661 E6665 E6669 E6673 E6677 E6685 E6689 E6693 E6697 E6701 E6705 E6709 E6713 E6717 E6721 E6725 E6729 E6733 E6737 E6741 E6745 E6749 E6753 E6757 E6761 E6765 E6769 E6773 E6777 E6781 E6785 E6789 E6793 E6797 E6801 E6805 E6821 E6825 E6643 E6647 E6651 E6655 E6659 E6663 E6667 E6671 E6675 E6679 E6687 E6691 E6695 E6699 E6703 E6707 E6711 E6715 E6719 E6723 E6727 E6731 E6735 E6739 E6743 E6747 E6751 E6755 E6759 E6763 E6767 E6771 E6775 E6779 E6783 E6787 E6791 E6795 E6799 E6803 E6807 E6823 E6827">
    <cfRule type="containsText" dxfId="203" priority="392" operator="containsText" text="Pesquisa de Preços">
      <formula>NOT(ISERROR(SEARCH("Pesquisa de Preços",E6641)))</formula>
    </cfRule>
  </conditionalFormatting>
  <conditionalFormatting sqref="D6865">
    <cfRule type="containsText" dxfId="202" priority="385" operator="containsText" text="Pesquisa de Preços">
      <formula>NOT(ISERROR(SEARCH("Pesquisa de Preços",D6865)))</formula>
    </cfRule>
  </conditionalFormatting>
  <conditionalFormatting sqref="E6864">
    <cfRule type="containsText" dxfId="201" priority="383" operator="containsText" text="Pesquisa de Preços">
      <formula>NOT(ISERROR(SEARCH("Pesquisa de Preços",E6864)))</formula>
    </cfRule>
  </conditionalFormatting>
  <conditionalFormatting sqref="D6867">
    <cfRule type="containsText" dxfId="200" priority="387" operator="containsText" text="Pesquisa de Preços">
      <formula>NOT(ISERROR(SEARCH("Pesquisa de Preços",D6867)))</formula>
    </cfRule>
  </conditionalFormatting>
  <conditionalFormatting sqref="D6864">
    <cfRule type="containsText" dxfId="199" priority="386" operator="containsText" text="Pesquisa de Preços">
      <formula>NOT(ISERROR(SEARCH("Pesquisa de Preços",D6864)))</formula>
    </cfRule>
  </conditionalFormatting>
  <conditionalFormatting sqref="E6865 E6867">
    <cfRule type="containsText" dxfId="198" priority="384" operator="containsText" text="Pesquisa de Preços">
      <formula>NOT(ISERROR(SEARCH("Pesquisa de Preços",E6865)))</formula>
    </cfRule>
  </conditionalFormatting>
  <conditionalFormatting sqref="D6869">
    <cfRule type="containsText" dxfId="197" priority="379" operator="containsText" text="Pesquisa de Preços">
      <formula>NOT(ISERROR(SEARCH("Pesquisa de Preços",D6869)))</formula>
    </cfRule>
  </conditionalFormatting>
  <conditionalFormatting sqref="E6868">
    <cfRule type="containsText" dxfId="196" priority="377" operator="containsText" text="Pesquisa de Preços">
      <formula>NOT(ISERROR(SEARCH("Pesquisa de Preços",E6868)))</formula>
    </cfRule>
  </conditionalFormatting>
  <conditionalFormatting sqref="D6871">
    <cfRule type="containsText" dxfId="195" priority="381" operator="containsText" text="Pesquisa de Preços">
      <formula>NOT(ISERROR(SEARCH("Pesquisa de Preços",D6871)))</formula>
    </cfRule>
  </conditionalFormatting>
  <conditionalFormatting sqref="D6868">
    <cfRule type="containsText" dxfId="194" priority="380" operator="containsText" text="Pesquisa de Preços">
      <formula>NOT(ISERROR(SEARCH("Pesquisa de Preços",D6868)))</formula>
    </cfRule>
  </conditionalFormatting>
  <conditionalFormatting sqref="E6869 E6871">
    <cfRule type="containsText" dxfId="193" priority="378" operator="containsText" text="Pesquisa de Preços">
      <formula>NOT(ISERROR(SEARCH("Pesquisa de Preços",E6869)))</formula>
    </cfRule>
  </conditionalFormatting>
  <conditionalFormatting sqref="D6873">
    <cfRule type="containsText" dxfId="192" priority="371" operator="containsText" text="Pesquisa de Preços">
      <formula>NOT(ISERROR(SEARCH("Pesquisa de Preços",D6873)))</formula>
    </cfRule>
  </conditionalFormatting>
  <conditionalFormatting sqref="E6872">
    <cfRule type="containsText" dxfId="191" priority="369" operator="containsText" text="Pesquisa de Preços">
      <formula>NOT(ISERROR(SEARCH("Pesquisa de Preços",E6872)))</formula>
    </cfRule>
  </conditionalFormatting>
  <conditionalFormatting sqref="D6875">
    <cfRule type="containsText" dxfId="190" priority="373" operator="containsText" text="Pesquisa de Preços">
      <formula>NOT(ISERROR(SEARCH("Pesquisa de Preços",D6875)))</formula>
    </cfRule>
  </conditionalFormatting>
  <conditionalFormatting sqref="D6872">
    <cfRule type="containsText" dxfId="189" priority="372" operator="containsText" text="Pesquisa de Preços">
      <formula>NOT(ISERROR(SEARCH("Pesquisa de Preços",D6872)))</formula>
    </cfRule>
  </conditionalFormatting>
  <conditionalFormatting sqref="E6873 E6875">
    <cfRule type="containsText" dxfId="188" priority="370" operator="containsText" text="Pesquisa de Preços">
      <formula>NOT(ISERROR(SEARCH("Pesquisa de Preços",E6873)))</formula>
    </cfRule>
  </conditionalFormatting>
  <conditionalFormatting sqref="D6889">
    <cfRule type="containsText" dxfId="187" priority="363" operator="containsText" text="Pesquisa de Preços">
      <formula>NOT(ISERROR(SEARCH("Pesquisa de Preços",D6889)))</formula>
    </cfRule>
  </conditionalFormatting>
  <conditionalFormatting sqref="E6888">
    <cfRule type="containsText" dxfId="186" priority="361" operator="containsText" text="Pesquisa de Preços">
      <formula>NOT(ISERROR(SEARCH("Pesquisa de Preços",E6888)))</formula>
    </cfRule>
  </conditionalFormatting>
  <conditionalFormatting sqref="D6891">
    <cfRule type="containsText" dxfId="185" priority="365" operator="containsText" text="Pesquisa de Preços">
      <formula>NOT(ISERROR(SEARCH("Pesquisa de Preços",D6891)))</formula>
    </cfRule>
  </conditionalFormatting>
  <conditionalFormatting sqref="D6888">
    <cfRule type="containsText" dxfId="184" priority="364" operator="containsText" text="Pesquisa de Preços">
      <formula>NOT(ISERROR(SEARCH("Pesquisa de Preços",D6888)))</formula>
    </cfRule>
  </conditionalFormatting>
  <conditionalFormatting sqref="E6889 E6891">
    <cfRule type="containsText" dxfId="183" priority="362" operator="containsText" text="Pesquisa de Preços">
      <formula>NOT(ISERROR(SEARCH("Pesquisa de Preços",E6889)))</formula>
    </cfRule>
  </conditionalFormatting>
  <conditionalFormatting sqref="D6885">
    <cfRule type="containsText" dxfId="182" priority="355" operator="containsText" text="Pesquisa de Preços">
      <formula>NOT(ISERROR(SEARCH("Pesquisa de Preços",D6885)))</formula>
    </cfRule>
  </conditionalFormatting>
  <conditionalFormatting sqref="E6884">
    <cfRule type="containsText" dxfId="181" priority="353" operator="containsText" text="Pesquisa de Preços">
      <formula>NOT(ISERROR(SEARCH("Pesquisa de Preços",E6884)))</formula>
    </cfRule>
  </conditionalFormatting>
  <conditionalFormatting sqref="D6887">
    <cfRule type="containsText" dxfId="180" priority="357" operator="containsText" text="Pesquisa de Preços">
      <formula>NOT(ISERROR(SEARCH("Pesquisa de Preços",D6887)))</formula>
    </cfRule>
  </conditionalFormatting>
  <conditionalFormatting sqref="D6884">
    <cfRule type="containsText" dxfId="179" priority="356" operator="containsText" text="Pesquisa de Preços">
      <formula>NOT(ISERROR(SEARCH("Pesquisa de Preços",D6884)))</formula>
    </cfRule>
  </conditionalFormatting>
  <conditionalFormatting sqref="E6885 E6887">
    <cfRule type="containsText" dxfId="178" priority="354" operator="containsText" text="Pesquisa de Preços">
      <formula>NOT(ISERROR(SEARCH("Pesquisa de Preços",E6885)))</formula>
    </cfRule>
  </conditionalFormatting>
  <conditionalFormatting sqref="E6924 E6928 E6936 E6940 E6944 E6948 E6952 E6956 E6960 E6964 E6968 E6972 E6980 E6984 E6988 E6992 E6996 E7000 E7016">
    <cfRule type="containsText" dxfId="177" priority="345" operator="containsText" text="Pesquisa de Preços">
      <formula>NOT(ISERROR(SEARCH("Pesquisa de Preços",E6924)))</formula>
    </cfRule>
  </conditionalFormatting>
  <conditionalFormatting sqref="D6925 D6929 D6937 D6941 D6945 D6949 D6953 D6957 D6961 D6965 D6969 D6973 D6981 D6985 D6989 D6993 D6997 D7001 D7017">
    <cfRule type="containsText" dxfId="176" priority="347" operator="containsText" text="Pesquisa de Preços">
      <formula>NOT(ISERROR(SEARCH("Pesquisa de Preços",D6925)))</formula>
    </cfRule>
  </conditionalFormatting>
  <conditionalFormatting sqref="D6927 D6931 D6939 D6943 D6947 D6951 D6955 D6959 D6963 D6967 D6971 D6975 D6983 D6987 D6991 D6995 D6999 D7003 D7019">
    <cfRule type="containsText" dxfId="175" priority="349" operator="containsText" text="Pesquisa de Preços">
      <formula>NOT(ISERROR(SEARCH("Pesquisa de Preços",D6927)))</formula>
    </cfRule>
  </conditionalFormatting>
  <conditionalFormatting sqref="D6924 D6928 D6936 D6940 D6944 D6948 D6952 D6956 D6960 D6964 D6968 D6972 D6980 D6984 D6988 D6992 D6996 D7000 D7016">
    <cfRule type="containsText" dxfId="174" priority="348" operator="containsText" text="Pesquisa de Preços">
      <formula>NOT(ISERROR(SEARCH("Pesquisa de Preços",D6924)))</formula>
    </cfRule>
  </conditionalFormatting>
  <conditionalFormatting sqref="E6925 E6929 E6937 E6941 E6945 E6949 E6953 E6957 E6961 E6965 E6969 E6973 E6981 E6985 E6989 E6993 E6997 E7001 E7017 E6927 E6931 E6939 E6943 E6947 E6951 E6955 E6959 E6963 E6967 E6971 E6975 E6983 E6987 E6991 E6995 E6999 E7003 E7019">
    <cfRule type="containsText" dxfId="173" priority="346" operator="containsText" text="Pesquisa de Preços">
      <formula>NOT(ISERROR(SEARCH("Pesquisa de Preços",E6925)))</formula>
    </cfRule>
  </conditionalFormatting>
  <conditionalFormatting sqref="D7021 D7025 D7029 D7033 D7037 D7041 D7045 D7049 D7053 D7057 D7061 D7065 D7069 D7073 D7077 D7081 D7085 D7089 D7093 D7097 D7101 D7105 D7109 D7181">
    <cfRule type="containsText" dxfId="172" priority="339" operator="containsText" text="Pesquisa de Preços">
      <formula>NOT(ISERROR(SEARCH("Pesquisa de Preços",D7021)))</formula>
    </cfRule>
  </conditionalFormatting>
  <conditionalFormatting sqref="E7020 E7024 E7028 E7032 E7036 E7040 E7044 E7048 E7052 E7056 E7060 E7064 E7068 E7072 E7076 E7080 E7084 E7088 E7092 E7096 E7100 E7104 E7108 E7180">
    <cfRule type="containsText" dxfId="171" priority="337" operator="containsText" text="Pesquisa de Preços">
      <formula>NOT(ISERROR(SEARCH("Pesquisa de Preços",E7020)))</formula>
    </cfRule>
  </conditionalFormatting>
  <conditionalFormatting sqref="D7023 D7027 D7031 D7035 D7039 D7043 D7047 D7051 D7055 D7059 D7063 D7067 D7071 D7075 D7079 D7083 D7087 D7091 D7095 D7099 D7103 D7107 D7111 D7183">
    <cfRule type="containsText" dxfId="170" priority="341" operator="containsText" text="Pesquisa de Preços">
      <formula>NOT(ISERROR(SEARCH("Pesquisa de Preços",D7023)))</formula>
    </cfRule>
  </conditionalFormatting>
  <conditionalFormatting sqref="D7020 D7024 D7028 D7032 D7036 D7040 D7044 D7048 D7052 D7056 D7060 D7064 D7068 D7072 D7076 D7080 D7084 D7088 D7092 D7096 D7100 D7104 D7108 D7180">
    <cfRule type="containsText" dxfId="169" priority="340" operator="containsText" text="Pesquisa de Preços">
      <formula>NOT(ISERROR(SEARCH("Pesquisa de Preços",D7020)))</formula>
    </cfRule>
  </conditionalFormatting>
  <conditionalFormatting sqref="E7021 E7025 E7029 E7033 E7037 E7041 E7045 E7049 E7053 E7057 E7061 E7065 E7069 E7073 E7077 E7081 E7085 E7089 E7093 E7097 E7101 E7105 E7109 E7181 E7023 E7027 E7031 E7035 E7039 E7043 E7047 E7051 E7055 E7059 E7063 E7067 E7071 E7075 E7079 E7083 E7087 E7091 E7095 E7099 E7103 E7107 E7111 E7183">
    <cfRule type="containsText" dxfId="168" priority="338" operator="containsText" text="Pesquisa de Preços">
      <formula>NOT(ISERROR(SEARCH("Pesquisa de Preços",E7021)))</formula>
    </cfRule>
  </conditionalFormatting>
  <conditionalFormatting sqref="D7005">
    <cfRule type="containsText" dxfId="167" priority="331" operator="containsText" text="Pesquisa de Preços">
      <formula>NOT(ISERROR(SEARCH("Pesquisa de Preços",D7005)))</formula>
    </cfRule>
  </conditionalFormatting>
  <conditionalFormatting sqref="E7004">
    <cfRule type="containsText" dxfId="166" priority="329" operator="containsText" text="Pesquisa de Preços">
      <formula>NOT(ISERROR(SEARCH("Pesquisa de Preços",E7004)))</formula>
    </cfRule>
  </conditionalFormatting>
  <conditionalFormatting sqref="D7007">
    <cfRule type="containsText" dxfId="165" priority="333" operator="containsText" text="Pesquisa de Preços">
      <formula>NOT(ISERROR(SEARCH("Pesquisa de Preços",D7007)))</formula>
    </cfRule>
  </conditionalFormatting>
  <conditionalFormatting sqref="D7004">
    <cfRule type="containsText" dxfId="164" priority="332" operator="containsText" text="Pesquisa de Preços">
      <formula>NOT(ISERROR(SEARCH("Pesquisa de Preços",D7004)))</formula>
    </cfRule>
  </conditionalFormatting>
  <conditionalFormatting sqref="E7005 E7007">
    <cfRule type="containsText" dxfId="163" priority="330" operator="containsText" text="Pesquisa de Preços">
      <formula>NOT(ISERROR(SEARCH("Pesquisa de Preços",E7005)))</formula>
    </cfRule>
  </conditionalFormatting>
  <conditionalFormatting sqref="D7009">
    <cfRule type="containsText" dxfId="162" priority="323" operator="containsText" text="Pesquisa de Preços">
      <formula>NOT(ISERROR(SEARCH("Pesquisa de Preços",D7009)))</formula>
    </cfRule>
  </conditionalFormatting>
  <conditionalFormatting sqref="E7008">
    <cfRule type="containsText" dxfId="161" priority="321" operator="containsText" text="Pesquisa de Preços">
      <formula>NOT(ISERROR(SEARCH("Pesquisa de Preços",E7008)))</formula>
    </cfRule>
  </conditionalFormatting>
  <conditionalFormatting sqref="D7011">
    <cfRule type="containsText" dxfId="160" priority="325" operator="containsText" text="Pesquisa de Preços">
      <formula>NOT(ISERROR(SEARCH("Pesquisa de Preços",D7011)))</formula>
    </cfRule>
  </conditionalFormatting>
  <conditionalFormatting sqref="D7008">
    <cfRule type="containsText" dxfId="159" priority="324" operator="containsText" text="Pesquisa de Preços">
      <formula>NOT(ISERROR(SEARCH("Pesquisa de Preços",D7008)))</formula>
    </cfRule>
  </conditionalFormatting>
  <conditionalFormatting sqref="E7009 E7011">
    <cfRule type="containsText" dxfId="158" priority="322" operator="containsText" text="Pesquisa de Preços">
      <formula>NOT(ISERROR(SEARCH("Pesquisa de Preços",E7009)))</formula>
    </cfRule>
  </conditionalFormatting>
  <conditionalFormatting sqref="D7013">
    <cfRule type="containsText" dxfId="157" priority="315" operator="containsText" text="Pesquisa de Preços">
      <formula>NOT(ISERROR(SEARCH("Pesquisa de Preços",D7013)))</formula>
    </cfRule>
  </conditionalFormatting>
  <conditionalFormatting sqref="E7012">
    <cfRule type="containsText" dxfId="156" priority="313" operator="containsText" text="Pesquisa de Preços">
      <formula>NOT(ISERROR(SEARCH("Pesquisa de Preços",E7012)))</formula>
    </cfRule>
  </conditionalFormatting>
  <conditionalFormatting sqref="D7015">
    <cfRule type="containsText" dxfId="155" priority="317" operator="containsText" text="Pesquisa de Preços">
      <formula>NOT(ISERROR(SEARCH("Pesquisa de Preços",D7015)))</formula>
    </cfRule>
  </conditionalFormatting>
  <conditionalFormatting sqref="D7012">
    <cfRule type="containsText" dxfId="154" priority="316" operator="containsText" text="Pesquisa de Preços">
      <formula>NOT(ISERROR(SEARCH("Pesquisa de Preços",D7012)))</formula>
    </cfRule>
  </conditionalFormatting>
  <conditionalFormatting sqref="E7013 E7015">
    <cfRule type="containsText" dxfId="153" priority="314" operator="containsText" text="Pesquisa de Preços">
      <formula>NOT(ISERROR(SEARCH("Pesquisa de Preços",E7013)))</formula>
    </cfRule>
  </conditionalFormatting>
  <conditionalFormatting sqref="D6809">
    <cfRule type="containsText" dxfId="152" priority="307" operator="containsText" text="Pesquisa de Preços">
      <formula>NOT(ISERROR(SEARCH("Pesquisa de Preços",D6809)))</formula>
    </cfRule>
  </conditionalFormatting>
  <conditionalFormatting sqref="E6808">
    <cfRule type="containsText" dxfId="151" priority="305" operator="containsText" text="Pesquisa de Preços">
      <formula>NOT(ISERROR(SEARCH("Pesquisa de Preços",E6808)))</formula>
    </cfRule>
  </conditionalFormatting>
  <conditionalFormatting sqref="D6811">
    <cfRule type="containsText" dxfId="150" priority="309" operator="containsText" text="Pesquisa de Preços">
      <formula>NOT(ISERROR(SEARCH("Pesquisa de Preços",D6811)))</formula>
    </cfRule>
  </conditionalFormatting>
  <conditionalFormatting sqref="D6808">
    <cfRule type="containsText" dxfId="149" priority="308" operator="containsText" text="Pesquisa de Preços">
      <formula>NOT(ISERROR(SEARCH("Pesquisa de Preços",D6808)))</formula>
    </cfRule>
  </conditionalFormatting>
  <conditionalFormatting sqref="E6809 E6811">
    <cfRule type="containsText" dxfId="148" priority="306" operator="containsText" text="Pesquisa de Preços">
      <formula>NOT(ISERROR(SEARCH("Pesquisa de Preços",E6809)))</formula>
    </cfRule>
  </conditionalFormatting>
  <conditionalFormatting sqref="D6681">
    <cfRule type="containsText" dxfId="147" priority="299" operator="containsText" text="Pesquisa de Preços">
      <formula>NOT(ISERROR(SEARCH("Pesquisa de Preços",D6681)))</formula>
    </cfRule>
  </conditionalFormatting>
  <conditionalFormatting sqref="E6680">
    <cfRule type="containsText" dxfId="146" priority="297" operator="containsText" text="Pesquisa de Preços">
      <formula>NOT(ISERROR(SEARCH("Pesquisa de Preços",E6680)))</formula>
    </cfRule>
  </conditionalFormatting>
  <conditionalFormatting sqref="D6683">
    <cfRule type="containsText" dxfId="145" priority="301" operator="containsText" text="Pesquisa de Preços">
      <formula>NOT(ISERROR(SEARCH("Pesquisa de Preços",D6683)))</formula>
    </cfRule>
  </conditionalFormatting>
  <conditionalFormatting sqref="D6680">
    <cfRule type="containsText" dxfId="144" priority="300" operator="containsText" text="Pesquisa de Preços">
      <formula>NOT(ISERROR(SEARCH("Pesquisa de Preços",D6680)))</formula>
    </cfRule>
  </conditionalFormatting>
  <conditionalFormatting sqref="E6681 E6683">
    <cfRule type="containsText" dxfId="143" priority="298" operator="containsText" text="Pesquisa de Preços">
      <formula>NOT(ISERROR(SEARCH("Pesquisa de Preços",E6681)))</formula>
    </cfRule>
  </conditionalFormatting>
  <conditionalFormatting sqref="D6517">
    <cfRule type="containsText" dxfId="142" priority="289" operator="containsText" text="Pesquisa de Preços">
      <formula>NOT(ISERROR(SEARCH("Pesquisa de Preços",D6517)))</formula>
    </cfRule>
  </conditionalFormatting>
  <conditionalFormatting sqref="E6516">
    <cfRule type="containsText" dxfId="141" priority="287" operator="containsText" text="Pesquisa de Preços">
      <formula>NOT(ISERROR(SEARCH("Pesquisa de Preços",E6516)))</formula>
    </cfRule>
  </conditionalFormatting>
  <conditionalFormatting sqref="D6519">
    <cfRule type="containsText" dxfId="140" priority="291" operator="containsText" text="Pesquisa de Preços">
      <formula>NOT(ISERROR(SEARCH("Pesquisa de Preços",D6519)))</formula>
    </cfRule>
  </conditionalFormatting>
  <conditionalFormatting sqref="D6516">
    <cfRule type="containsText" dxfId="139" priority="290" operator="containsText" text="Pesquisa de Preços">
      <formula>NOT(ISERROR(SEARCH("Pesquisa de Preços",D6516)))</formula>
    </cfRule>
  </conditionalFormatting>
  <conditionalFormatting sqref="E6517 E6519">
    <cfRule type="containsText" dxfId="138" priority="288" operator="containsText" text="Pesquisa de Preços">
      <formula>NOT(ISERROR(SEARCH("Pesquisa de Preços",E6517)))</formula>
    </cfRule>
  </conditionalFormatting>
  <conditionalFormatting sqref="D6853">
    <cfRule type="containsText" dxfId="137" priority="281" operator="containsText" text="Pesquisa de Preços">
      <formula>NOT(ISERROR(SEARCH("Pesquisa de Preços",D6853)))</formula>
    </cfRule>
  </conditionalFormatting>
  <conditionalFormatting sqref="E6852">
    <cfRule type="containsText" dxfId="136" priority="279" operator="containsText" text="Pesquisa de Preços">
      <formula>NOT(ISERROR(SEARCH("Pesquisa de Preços",E6852)))</formula>
    </cfRule>
  </conditionalFormatting>
  <conditionalFormatting sqref="D6855">
    <cfRule type="containsText" dxfId="135" priority="283" operator="containsText" text="Pesquisa de Preços">
      <formula>NOT(ISERROR(SEARCH("Pesquisa de Preços",D6855)))</formula>
    </cfRule>
  </conditionalFormatting>
  <conditionalFormatting sqref="D6852">
    <cfRule type="containsText" dxfId="134" priority="282" operator="containsText" text="Pesquisa de Preços">
      <formula>NOT(ISERROR(SEARCH("Pesquisa de Preços",D6852)))</formula>
    </cfRule>
  </conditionalFormatting>
  <conditionalFormatting sqref="E6853 E6855">
    <cfRule type="containsText" dxfId="133" priority="280" operator="containsText" text="Pesquisa de Preços">
      <formula>NOT(ISERROR(SEARCH("Pesquisa de Preços",E6853)))</formula>
    </cfRule>
  </conditionalFormatting>
  <conditionalFormatting sqref="E6856">
    <cfRule type="containsText" dxfId="132" priority="273" operator="containsText" text="Pesquisa de Preços">
      <formula>NOT(ISERROR(SEARCH("Pesquisa de Preços",E6856)))</formula>
    </cfRule>
  </conditionalFormatting>
  <conditionalFormatting sqref="D6857">
    <cfRule type="containsText" dxfId="131" priority="275" operator="containsText" text="Pesquisa de Preços">
      <formula>NOT(ISERROR(SEARCH("Pesquisa de Preços",D6857)))</formula>
    </cfRule>
  </conditionalFormatting>
  <conditionalFormatting sqref="D6856">
    <cfRule type="containsText" dxfId="130" priority="276" operator="containsText" text="Pesquisa de Preços">
      <formula>NOT(ISERROR(SEARCH("Pesquisa de Preços",D6856)))</formula>
    </cfRule>
  </conditionalFormatting>
  <conditionalFormatting sqref="E6857">
    <cfRule type="containsText" dxfId="129" priority="274" operator="containsText" text="Pesquisa de Preços">
      <formula>NOT(ISERROR(SEARCH("Pesquisa de Preços",E6857)))</formula>
    </cfRule>
  </conditionalFormatting>
  <conditionalFormatting sqref="D6977">
    <cfRule type="containsText" dxfId="128" priority="269" operator="containsText" text="Pesquisa de Preços">
      <formula>NOT(ISERROR(SEARCH("Pesquisa de Preços",D6977)))</formula>
    </cfRule>
  </conditionalFormatting>
  <conditionalFormatting sqref="E6976">
    <cfRule type="containsText" dxfId="127" priority="267" operator="containsText" text="Pesquisa de Preços">
      <formula>NOT(ISERROR(SEARCH("Pesquisa de Preços",E6976)))</formula>
    </cfRule>
  </conditionalFormatting>
  <conditionalFormatting sqref="D6979">
    <cfRule type="containsText" dxfId="126" priority="271" operator="containsText" text="Pesquisa de Preços">
      <formula>NOT(ISERROR(SEARCH("Pesquisa de Preços",D6979)))</formula>
    </cfRule>
  </conditionalFormatting>
  <conditionalFormatting sqref="D6976">
    <cfRule type="containsText" dxfId="125" priority="270" operator="containsText" text="Pesquisa de Preços">
      <formula>NOT(ISERROR(SEARCH("Pesquisa de Preços",D6976)))</formula>
    </cfRule>
  </conditionalFormatting>
  <conditionalFormatting sqref="E6977 E6979">
    <cfRule type="containsText" dxfId="124" priority="268" operator="containsText" text="Pesquisa de Preços">
      <formula>NOT(ISERROR(SEARCH("Pesquisa de Preços",E6977)))</formula>
    </cfRule>
  </conditionalFormatting>
  <conditionalFormatting sqref="D6813 D6817">
    <cfRule type="containsText" dxfId="123" priority="253" operator="containsText" text="Pesquisa de Preços">
      <formula>NOT(ISERROR(SEARCH("Pesquisa de Preços",D6813)))</formula>
    </cfRule>
  </conditionalFormatting>
  <conditionalFormatting sqref="E6812 E6816">
    <cfRule type="containsText" dxfId="122" priority="251" operator="containsText" text="Pesquisa de Preços">
      <formula>NOT(ISERROR(SEARCH("Pesquisa de Preços",E6812)))</formula>
    </cfRule>
  </conditionalFormatting>
  <conditionalFormatting sqref="D6815 D6819">
    <cfRule type="containsText" dxfId="121" priority="255" operator="containsText" text="Pesquisa de Preços">
      <formula>NOT(ISERROR(SEARCH("Pesquisa de Preços",D6815)))</formula>
    </cfRule>
  </conditionalFormatting>
  <conditionalFormatting sqref="D6812 D6816">
    <cfRule type="containsText" dxfId="120" priority="254" operator="containsText" text="Pesquisa de Preços">
      <formula>NOT(ISERROR(SEARCH("Pesquisa de Preços",D6812)))</formula>
    </cfRule>
  </conditionalFormatting>
  <conditionalFormatting sqref="E6813 E6817 E6815 E6819">
    <cfRule type="containsText" dxfId="119" priority="252" operator="containsText" text="Pesquisa de Preços">
      <formula>NOT(ISERROR(SEARCH("Pesquisa de Preços",E6813)))</formula>
    </cfRule>
  </conditionalFormatting>
  <conditionalFormatting sqref="D7130">
    <cfRule type="containsText" dxfId="118" priority="211" operator="containsText" text="Pesquisa de Preços">
      <formula>NOT(ISERROR(SEARCH("Pesquisa de Preços",D7130)))</formula>
    </cfRule>
  </conditionalFormatting>
  <conditionalFormatting sqref="D7124">
    <cfRule type="containsText" dxfId="117" priority="215" operator="containsText" text="Pesquisa de Preços">
      <formula>NOT(ISERROR(SEARCH("Pesquisa de Preços",D7124)))</formula>
    </cfRule>
  </conditionalFormatting>
  <conditionalFormatting sqref="D7185">
    <cfRule type="containsText" dxfId="116" priority="245" operator="containsText" text="Pesquisa de Preços">
      <formula>NOT(ISERROR(SEARCH("Pesquisa de Preços",D7185)))</formula>
    </cfRule>
  </conditionalFormatting>
  <conditionalFormatting sqref="E7184">
    <cfRule type="containsText" dxfId="115" priority="243" operator="containsText" text="Pesquisa de Preços">
      <formula>NOT(ISERROR(SEARCH("Pesquisa de Preços",E7184)))</formula>
    </cfRule>
  </conditionalFormatting>
  <conditionalFormatting sqref="D7187">
    <cfRule type="containsText" dxfId="114" priority="247" operator="containsText" text="Pesquisa de Preços">
      <formula>NOT(ISERROR(SEARCH("Pesquisa de Preços",D7187)))</formula>
    </cfRule>
  </conditionalFormatting>
  <conditionalFormatting sqref="D7184">
    <cfRule type="containsText" dxfId="113" priority="246" operator="containsText" text="Pesquisa de Preços">
      <formula>NOT(ISERROR(SEARCH("Pesquisa de Preços",D7184)))</formula>
    </cfRule>
  </conditionalFormatting>
  <conditionalFormatting sqref="E7185 E7187">
    <cfRule type="containsText" dxfId="112" priority="244" operator="containsText" text="Pesquisa de Preços">
      <formula>NOT(ISERROR(SEARCH("Pesquisa de Preços",E7185)))</formula>
    </cfRule>
  </conditionalFormatting>
  <conditionalFormatting sqref="D7173">
    <cfRule type="containsText" dxfId="111" priority="237" operator="containsText" text="Pesquisa de Preços">
      <formula>NOT(ISERROR(SEARCH("Pesquisa de Preços",D7173)))</formula>
    </cfRule>
  </conditionalFormatting>
  <conditionalFormatting sqref="E7172">
    <cfRule type="containsText" dxfId="110" priority="235" operator="containsText" text="Pesquisa de Preços">
      <formula>NOT(ISERROR(SEARCH("Pesquisa de Preços",E7172)))</formula>
    </cfRule>
  </conditionalFormatting>
  <conditionalFormatting sqref="D7175">
    <cfRule type="containsText" dxfId="109" priority="239" operator="containsText" text="Pesquisa de Preços">
      <formula>NOT(ISERROR(SEARCH("Pesquisa de Preços",D7175)))</formula>
    </cfRule>
  </conditionalFormatting>
  <conditionalFormatting sqref="D7172">
    <cfRule type="containsText" dxfId="108" priority="238" operator="containsText" text="Pesquisa de Preços">
      <formula>NOT(ISERROR(SEARCH("Pesquisa de Preços",D7172)))</formula>
    </cfRule>
  </conditionalFormatting>
  <conditionalFormatting sqref="E7173 E7175">
    <cfRule type="containsText" dxfId="107" priority="236" operator="containsText" text="Pesquisa de Preços">
      <formula>NOT(ISERROR(SEARCH("Pesquisa de Preços",E7173)))</formula>
    </cfRule>
  </conditionalFormatting>
  <conditionalFormatting sqref="D7177">
    <cfRule type="containsText" dxfId="106" priority="229" operator="containsText" text="Pesquisa de Preços">
      <formula>NOT(ISERROR(SEARCH("Pesquisa de Preços",D7177)))</formula>
    </cfRule>
  </conditionalFormatting>
  <conditionalFormatting sqref="E7176">
    <cfRule type="containsText" dxfId="105" priority="227" operator="containsText" text="Pesquisa de Preços">
      <formula>NOT(ISERROR(SEARCH("Pesquisa de Preços",E7176)))</formula>
    </cfRule>
  </conditionalFormatting>
  <conditionalFormatting sqref="D7179">
    <cfRule type="containsText" dxfId="104" priority="231" operator="containsText" text="Pesquisa de Preços">
      <formula>NOT(ISERROR(SEARCH("Pesquisa de Preços",D7179)))</formula>
    </cfRule>
  </conditionalFormatting>
  <conditionalFormatting sqref="D7176">
    <cfRule type="containsText" dxfId="103" priority="230" operator="containsText" text="Pesquisa de Preços">
      <formula>NOT(ISERROR(SEARCH("Pesquisa de Preços",D7176)))</formula>
    </cfRule>
  </conditionalFormatting>
  <conditionalFormatting sqref="E7177 E7179">
    <cfRule type="containsText" dxfId="102" priority="228" operator="containsText" text="Pesquisa de Preços">
      <formula>NOT(ISERROR(SEARCH("Pesquisa de Preços",E7177)))</formula>
    </cfRule>
  </conditionalFormatting>
  <conditionalFormatting sqref="D7112">
    <cfRule type="containsText" dxfId="101" priority="223" operator="containsText" text="Pesquisa de Preços">
      <formula>NOT(ISERROR(SEARCH("Pesquisa de Preços",D7112)))</formula>
    </cfRule>
  </conditionalFormatting>
  <conditionalFormatting sqref="D7118">
    <cfRule type="containsText" dxfId="100" priority="219" operator="containsText" text="Pesquisa de Preços">
      <formula>NOT(ISERROR(SEARCH("Pesquisa de Preços",D7118)))</formula>
    </cfRule>
  </conditionalFormatting>
  <conditionalFormatting sqref="D3779">
    <cfRule type="containsText" dxfId="99" priority="140" operator="containsText" text="Pesquisa de Preços">
      <formula>NOT(ISERROR(SEARCH("Pesquisa de Preços",D3779)))</formula>
    </cfRule>
  </conditionalFormatting>
  <conditionalFormatting sqref="D3785">
    <cfRule type="containsText" dxfId="98" priority="136" operator="containsText" text="Pesquisa de Preços">
      <formula>NOT(ISERROR(SEARCH("Pesquisa de Preços",D3785)))</formula>
    </cfRule>
  </conditionalFormatting>
  <conditionalFormatting sqref="D7136">
    <cfRule type="containsText" dxfId="97" priority="207" operator="containsText" text="Pesquisa de Preços">
      <formula>NOT(ISERROR(SEARCH("Pesquisa de Preços",D7136)))</formula>
    </cfRule>
  </conditionalFormatting>
  <conditionalFormatting sqref="D7142">
    <cfRule type="containsText" dxfId="96" priority="203" operator="containsText" text="Pesquisa de Preços">
      <formula>NOT(ISERROR(SEARCH("Pesquisa de Preços",D7142)))</formula>
    </cfRule>
  </conditionalFormatting>
  <conditionalFormatting sqref="D7148">
    <cfRule type="containsText" dxfId="95" priority="199" operator="containsText" text="Pesquisa de Preços">
      <formula>NOT(ISERROR(SEARCH("Pesquisa de Preços",D7148)))</formula>
    </cfRule>
  </conditionalFormatting>
  <conditionalFormatting sqref="D7154">
    <cfRule type="containsText" dxfId="94" priority="195" operator="containsText" text="Pesquisa de Preços">
      <formula>NOT(ISERROR(SEARCH("Pesquisa de Preços",D7154)))</formula>
    </cfRule>
  </conditionalFormatting>
  <conditionalFormatting sqref="D7160">
    <cfRule type="containsText" dxfId="93" priority="191" operator="containsText" text="Pesquisa de Preços">
      <formula>NOT(ISERROR(SEARCH("Pesquisa de Preços",D7160)))</formula>
    </cfRule>
  </conditionalFormatting>
  <conditionalFormatting sqref="D7166">
    <cfRule type="containsText" dxfId="92" priority="187" operator="containsText" text="Pesquisa de Preços">
      <formula>NOT(ISERROR(SEARCH("Pesquisa de Preços",D7166)))</formula>
    </cfRule>
  </conditionalFormatting>
  <conditionalFormatting sqref="D6877">
    <cfRule type="containsText" dxfId="91" priority="181" operator="containsText" text="Pesquisa de Preços">
      <formula>NOT(ISERROR(SEARCH("Pesquisa de Preços",D6877)))</formula>
    </cfRule>
  </conditionalFormatting>
  <conditionalFormatting sqref="E6876">
    <cfRule type="containsText" dxfId="90" priority="179" operator="containsText" text="Pesquisa de Preços">
      <formula>NOT(ISERROR(SEARCH("Pesquisa de Preços",E6876)))</formula>
    </cfRule>
  </conditionalFormatting>
  <conditionalFormatting sqref="D6879">
    <cfRule type="containsText" dxfId="89" priority="183" operator="containsText" text="Pesquisa de Preços">
      <formula>NOT(ISERROR(SEARCH("Pesquisa de Preços",D6879)))</formula>
    </cfRule>
  </conditionalFormatting>
  <conditionalFormatting sqref="D6876">
    <cfRule type="containsText" dxfId="88" priority="182" operator="containsText" text="Pesquisa de Preços">
      <formula>NOT(ISERROR(SEARCH("Pesquisa de Preços",D6876)))</formula>
    </cfRule>
  </conditionalFormatting>
  <conditionalFormatting sqref="E6877 E6879">
    <cfRule type="containsText" dxfId="87" priority="180" operator="containsText" text="Pesquisa de Preços">
      <formula>NOT(ISERROR(SEARCH("Pesquisa de Preços",E6877)))</formula>
    </cfRule>
  </conditionalFormatting>
  <conditionalFormatting sqref="D3773">
    <cfRule type="containsText" dxfId="86" priority="144" operator="containsText" text="Pesquisa de Preços">
      <formula>NOT(ISERROR(SEARCH("Pesquisa de Preços",D3773)))</formula>
    </cfRule>
  </conditionalFormatting>
  <conditionalFormatting sqref="D3791">
    <cfRule type="containsText" dxfId="85" priority="132" operator="containsText" text="Pesquisa de Preços">
      <formula>NOT(ISERROR(SEARCH("Pesquisa de Preços",D3791)))</formula>
    </cfRule>
  </conditionalFormatting>
  <conditionalFormatting sqref="D3797">
    <cfRule type="containsText" dxfId="84" priority="128" operator="containsText" text="Pesquisa de Preços">
      <formula>NOT(ISERROR(SEARCH("Pesquisa de Preços",D3797)))</formula>
    </cfRule>
  </conditionalFormatting>
  <conditionalFormatting sqref="D3803">
    <cfRule type="containsText" dxfId="83" priority="124" operator="containsText" text="Pesquisa de Preços">
      <formula>NOT(ISERROR(SEARCH("Pesquisa de Preços",D3803)))</formula>
    </cfRule>
  </conditionalFormatting>
  <conditionalFormatting sqref="D3809">
    <cfRule type="containsText" dxfId="82" priority="120" operator="containsText" text="Pesquisa de Preços">
      <formula>NOT(ISERROR(SEARCH("Pesquisa de Preços",D3809)))</formula>
    </cfRule>
  </conditionalFormatting>
  <conditionalFormatting sqref="D3815">
    <cfRule type="containsText" dxfId="81" priority="116" operator="containsText" text="Pesquisa de Preços">
      <formula>NOT(ISERROR(SEARCH("Pesquisa de Preços",D3815)))</formula>
    </cfRule>
  </conditionalFormatting>
  <conditionalFormatting sqref="D3821">
    <cfRule type="containsText" dxfId="80" priority="112" operator="containsText" text="Pesquisa de Preços">
      <formula>NOT(ISERROR(SEARCH("Pesquisa de Preços",D3821)))</formula>
    </cfRule>
  </conditionalFormatting>
  <conditionalFormatting sqref="D2720">
    <cfRule type="containsText" dxfId="79" priority="102" operator="containsText" text="Pesquisa de Preços">
      <formula>NOT(ISERROR(SEARCH("Pesquisa de Preços",D2720)))</formula>
    </cfRule>
  </conditionalFormatting>
  <conditionalFormatting sqref="D2722">
    <cfRule type="containsText" dxfId="78" priority="101" operator="containsText" text="Pesquisa de Preços">
      <formula>NOT(ISERROR(SEARCH("Pesquisa de Preços",D2722)))</formula>
    </cfRule>
  </conditionalFormatting>
  <conditionalFormatting sqref="D2724">
    <cfRule type="containsText" dxfId="77" priority="95" operator="containsText" text="Pesquisa de Preços">
      <formula>NOT(ISERROR(SEARCH("Pesquisa de Preços",D2724)))</formula>
    </cfRule>
  </conditionalFormatting>
  <conditionalFormatting sqref="D2726">
    <cfRule type="containsText" dxfId="76" priority="94" operator="containsText" text="Pesquisa de Preços">
      <formula>NOT(ISERROR(SEARCH("Pesquisa de Preços",D2726)))</formula>
    </cfRule>
  </conditionalFormatting>
  <conditionalFormatting sqref="D2728">
    <cfRule type="containsText" dxfId="75" priority="88" operator="containsText" text="Pesquisa de Preços">
      <formula>NOT(ISERROR(SEARCH("Pesquisa de Preços",D2728)))</formula>
    </cfRule>
  </conditionalFormatting>
  <conditionalFormatting sqref="D2730">
    <cfRule type="containsText" dxfId="74" priority="87" operator="containsText" text="Pesquisa de Preços">
      <formula>NOT(ISERROR(SEARCH("Pesquisa de Preços",D2730)))</formula>
    </cfRule>
  </conditionalFormatting>
  <conditionalFormatting sqref="D2750">
    <cfRule type="containsText" dxfId="73" priority="83" operator="containsText" text="Pesquisa de Preços">
      <formula>NOT(ISERROR(SEARCH("Pesquisa de Preços",D2750)))</formula>
    </cfRule>
  </conditionalFormatting>
  <conditionalFormatting sqref="D2748">
    <cfRule type="containsText" dxfId="72" priority="82" operator="containsText" text="Pesquisa de Preços">
      <formula>NOT(ISERROR(SEARCH("Pesquisa de Preços",D2748)))</formula>
    </cfRule>
  </conditionalFormatting>
  <conditionalFormatting sqref="D2760">
    <cfRule type="containsText" dxfId="71" priority="72" operator="containsText" text="Pesquisa de Preços">
      <formula>NOT(ISERROR(SEARCH("Pesquisa de Preços",D2760)))</formula>
    </cfRule>
  </conditionalFormatting>
  <conditionalFormatting sqref="D2762">
    <cfRule type="containsText" dxfId="70" priority="71" operator="containsText" text="Pesquisa de Preços">
      <formula>NOT(ISERROR(SEARCH("Pesquisa de Preços",D2762)))</formula>
    </cfRule>
  </conditionalFormatting>
  <conditionalFormatting sqref="D3467">
    <cfRule type="containsText" dxfId="69" priority="69" operator="containsText" text="Pesquisa de Preços">
      <formula>NOT(ISERROR(SEARCH("Pesquisa de Preços",D3467)))</formula>
    </cfRule>
  </conditionalFormatting>
  <conditionalFormatting sqref="D3538">
    <cfRule type="containsText" dxfId="68" priority="65" operator="containsText" text="Pesquisa de Preços">
      <formula>NOT(ISERROR(SEARCH("Pesquisa de Preços",D3538)))</formula>
    </cfRule>
  </conditionalFormatting>
  <conditionalFormatting sqref="D4732">
    <cfRule type="containsText" dxfId="67" priority="59" operator="containsText" text="Pesquisa de Preços">
      <formula>NOT(ISERROR(SEARCH("Pesquisa de Preços",D4732)))</formula>
    </cfRule>
  </conditionalFormatting>
  <conditionalFormatting sqref="D6025">
    <cfRule type="containsText" dxfId="66" priority="46" operator="containsText" text="Pesquisa de Preços">
      <formula>NOT(ISERROR(SEARCH("Pesquisa de Preços",D6025)))</formula>
    </cfRule>
  </conditionalFormatting>
  <conditionalFormatting sqref="D6045">
    <cfRule type="containsText" dxfId="65" priority="35" operator="containsText" text="Pesquisa de Preços">
      <formula>NOT(ISERROR(SEARCH("Pesquisa de Preços",D6045)))</formula>
    </cfRule>
  </conditionalFormatting>
  <conditionalFormatting sqref="D4744">
    <cfRule type="containsText" dxfId="64" priority="55" operator="containsText" text="Pesquisa de Preços">
      <formula>NOT(ISERROR(SEARCH("Pesquisa de Preços",D4744)))</formula>
    </cfRule>
  </conditionalFormatting>
  <conditionalFormatting sqref="D6027">
    <cfRule type="containsText" dxfId="63" priority="47" operator="containsText" text="Pesquisa de Preços">
      <formula>NOT(ISERROR(SEARCH("Pesquisa de Preços",D6027)))</formula>
    </cfRule>
  </conditionalFormatting>
  <conditionalFormatting sqref="D6109">
    <cfRule type="containsText" dxfId="62" priority="28" operator="containsText" text="Pesquisa de Preços">
      <formula>NOT(ISERROR(SEARCH("Pesquisa de Preços",D6109)))</formula>
    </cfRule>
  </conditionalFormatting>
  <conditionalFormatting sqref="D6043">
    <cfRule type="containsText" dxfId="61" priority="40" operator="containsText" text="Pesquisa de Preços">
      <formula>NOT(ISERROR(SEARCH("Pesquisa de Preços",D6043)))</formula>
    </cfRule>
  </conditionalFormatting>
  <conditionalFormatting sqref="D6047">
    <cfRule type="containsText" dxfId="60" priority="37" operator="containsText" text="Pesquisa de Preços">
      <formula>NOT(ISERROR(SEARCH("Pesquisa de Preços",D6047)))</formula>
    </cfRule>
  </conditionalFormatting>
  <conditionalFormatting sqref="D6041">
    <cfRule type="containsText" dxfId="59" priority="36" operator="containsText" text="Pesquisa de Preços">
      <formula>NOT(ISERROR(SEARCH("Pesquisa de Preços",D6041)))</formula>
    </cfRule>
  </conditionalFormatting>
  <conditionalFormatting sqref="D6111">
    <cfRule type="containsText" dxfId="58" priority="29" operator="containsText" text="Pesquisa de Preços">
      <formula>NOT(ISERROR(SEARCH("Pesquisa de Preços",D6111)))</formula>
    </cfRule>
  </conditionalFormatting>
  <conditionalFormatting sqref="D6113">
    <cfRule type="containsText" dxfId="57" priority="21" operator="containsText" text="Pesquisa de Preços">
      <formula>NOT(ISERROR(SEARCH("Pesquisa de Preços",D6113)))</formula>
    </cfRule>
  </conditionalFormatting>
  <conditionalFormatting sqref="D6115">
    <cfRule type="containsText" dxfId="56" priority="22" operator="containsText" text="Pesquisa de Preços">
      <formula>NOT(ISERROR(SEARCH("Pesquisa de Preços",D6115)))</formula>
    </cfRule>
  </conditionalFormatting>
  <conditionalFormatting sqref="D6117">
    <cfRule type="containsText" dxfId="55" priority="14" operator="containsText" text="Pesquisa de Preços">
      <formula>NOT(ISERROR(SEARCH("Pesquisa de Preços",D6117)))</formula>
    </cfRule>
  </conditionalFormatting>
  <conditionalFormatting sqref="D6119">
    <cfRule type="containsText" dxfId="54" priority="15" operator="containsText" text="Pesquisa de Preços">
      <formula>NOT(ISERROR(SEARCH("Pesquisa de Preços",D6119)))</formula>
    </cfRule>
  </conditionalFormatting>
  <conditionalFormatting sqref="D6935">
    <cfRule type="containsText" dxfId="53" priority="10" operator="containsText" text="Pesquisa de Preços">
      <formula>NOT(ISERROR(SEARCH("Pesquisa de Preços",D6935)))</formula>
    </cfRule>
  </conditionalFormatting>
  <conditionalFormatting sqref="E6932">
    <cfRule type="containsText" dxfId="52" priority="6" operator="containsText" text="Pesquisa de Preços">
      <formula>NOT(ISERROR(SEARCH("Pesquisa de Preços",E6932)))</formula>
    </cfRule>
  </conditionalFormatting>
  <conditionalFormatting sqref="D6933">
    <cfRule type="containsText" dxfId="51" priority="8" operator="containsText" text="Pesquisa de Preços">
      <formula>NOT(ISERROR(SEARCH("Pesquisa de Preços",D6933)))</formula>
    </cfRule>
  </conditionalFormatting>
  <conditionalFormatting sqref="D6932">
    <cfRule type="containsText" dxfId="50" priority="9" operator="containsText" text="Pesquisa de Preços">
      <formula>NOT(ISERROR(SEARCH("Pesquisa de Preços",D6932)))</formula>
    </cfRule>
  </conditionalFormatting>
  <conditionalFormatting sqref="E6933 E6935">
    <cfRule type="containsText" dxfId="49" priority="7" operator="containsText" text="Pesquisa de Preços">
      <formula>NOT(ISERROR(SEARCH("Pesquisa de Preços",E6933)))</formula>
    </cfRule>
  </conditionalFormatting>
  <conditionalFormatting sqref="E307">
    <cfRule type="containsText" dxfId="48" priority="1" operator="containsText" text="Pesquisa de Preços">
      <formula>NOT(ISERROR(SEARCH("Pesquisa de Preços",E307)))</formula>
    </cfRule>
  </conditionalFormatting>
  <hyperlinks>
    <hyperlink ref="C462" r:id="rId1"/>
    <hyperlink ref="C496" r:id="rId2"/>
    <hyperlink ref="C495" r:id="rId3"/>
    <hyperlink ref="C481" r:id="rId4"/>
    <hyperlink ref="C4649" r:id="rId5"/>
    <hyperlink ref="C4716" r:id="rId6"/>
    <hyperlink ref="C4695" r:id="rId7"/>
    <hyperlink ref="C3184" r:id="rId8"/>
    <hyperlink ref="C480" r:id="rId9"/>
  </hyperlinks>
  <printOptions horizontalCentered="1"/>
  <pageMargins left="0.19685039370078741" right="0.19685039370078741" top="0.98425196850393704" bottom="0.59055118110236227" header="0.19685039370078741" footer="0.19685039370078741"/>
  <pageSetup paperSize="9" scale="47" fitToHeight="0" orientation="landscape" horizontalDpi="4294967295" verticalDpi="4294967295" r:id="rId10"/>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rowBreaks count="16" manualBreakCount="16">
    <brk id="2735" max="10" man="1"/>
    <brk id="5102" max="10" man="1"/>
    <brk id="6451" max="10" man="1"/>
    <brk id="6539" max="10" man="1"/>
    <brk id="6587" max="10" man="1"/>
    <brk id="6627" max="10" man="1"/>
    <brk id="6671" max="10" man="1"/>
    <brk id="6715" max="10" man="1"/>
    <brk id="6767" max="10" man="1"/>
    <brk id="6819" max="10" man="1"/>
    <brk id="6907" max="10" man="1"/>
    <brk id="6951" max="10" man="1"/>
    <brk id="6995" max="10" man="1"/>
    <brk id="7043" max="10" man="1"/>
    <brk id="7141" max="10" man="1"/>
    <brk id="7183" max="10" man="1"/>
  </rowBreaks>
  <drawing r:id="rId11"/>
  <legacyDrawingHF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tabColor rgb="FFFFFF00"/>
    <pageSetUpPr fitToPage="1"/>
  </sheetPr>
  <dimension ref="A1:O528"/>
  <sheetViews>
    <sheetView tabSelected="1" zoomScale="85" zoomScaleNormal="85" workbookViewId="0">
      <pane xSplit="3" ySplit="5" topLeftCell="E492" activePane="bottomRight" state="frozen"/>
      <selection pane="topRight" activeCell="D1" sqref="D1"/>
      <selection pane="bottomLeft" activeCell="A6" sqref="A6"/>
      <selection pane="bottomRight" activeCell="J355" sqref="J355:J381"/>
    </sheetView>
  </sheetViews>
  <sheetFormatPr defaultColWidth="9.140625" defaultRowHeight="15" x14ac:dyDescent="0.25"/>
  <cols>
    <col min="1" max="2" width="14.7109375" style="119" customWidth="1"/>
    <col min="3" max="3" width="80.7109375" style="5" customWidth="1"/>
    <col min="4" max="8" width="15.7109375" style="119" customWidth="1"/>
    <col min="9" max="10" width="20.7109375" style="119" customWidth="1"/>
    <col min="11" max="11" width="15.7109375" style="119" customWidth="1"/>
    <col min="12" max="15" width="20.7109375" style="119" customWidth="1"/>
    <col min="16" max="16384" width="9.140625" style="119"/>
  </cols>
  <sheetData>
    <row r="1" spans="1:15" ht="24.95" customHeight="1" x14ac:dyDescent="0.25">
      <c r="A1" s="78" t="s">
        <v>3384</v>
      </c>
      <c r="B1" s="78"/>
      <c r="C1" s="83"/>
      <c r="D1" s="78"/>
      <c r="E1" s="78"/>
      <c r="F1" s="78"/>
      <c r="G1" s="78"/>
      <c r="H1" s="78"/>
      <c r="I1" s="78"/>
      <c r="J1" s="78"/>
      <c r="K1" s="78"/>
      <c r="L1" s="78"/>
      <c r="M1" s="78"/>
      <c r="N1" s="78"/>
      <c r="O1" s="78"/>
    </row>
    <row r="2" spans="1:15" ht="24.95" customHeight="1" x14ac:dyDescent="0.25">
      <c r="A2" s="79" t="s">
        <v>1418</v>
      </c>
      <c r="B2" s="79"/>
      <c r="C2" s="84"/>
      <c r="D2" s="79"/>
      <c r="E2" s="79"/>
      <c r="F2" s="79"/>
      <c r="G2" s="79"/>
      <c r="H2" s="79"/>
      <c r="I2" s="79"/>
      <c r="J2" s="79"/>
      <c r="K2" s="79"/>
      <c r="L2" s="79"/>
      <c r="M2" s="79"/>
      <c r="N2" s="79"/>
      <c r="O2" s="79"/>
    </row>
    <row r="3" spans="1:15" ht="20.100000000000001" customHeight="1" x14ac:dyDescent="0.25">
      <c r="A3" s="80" t="s">
        <v>3951</v>
      </c>
      <c r="B3" s="80"/>
      <c r="C3" s="80"/>
      <c r="D3" s="80"/>
      <c r="E3" s="80"/>
      <c r="F3" s="80"/>
      <c r="G3" s="80"/>
      <c r="H3" s="80"/>
      <c r="I3" s="80"/>
      <c r="J3" s="80"/>
      <c r="K3" s="80"/>
      <c r="L3" s="80"/>
      <c r="M3" s="80"/>
      <c r="N3" s="80"/>
      <c r="O3" s="80"/>
    </row>
    <row r="4" spans="1:15" ht="20.100000000000001" customHeight="1" thickBot="1" x14ac:dyDescent="0.3">
      <c r="A4" s="80"/>
      <c r="B4" s="80"/>
      <c r="C4" s="80"/>
      <c r="D4" s="80"/>
      <c r="E4" s="80"/>
      <c r="F4" s="80"/>
      <c r="G4" s="80"/>
      <c r="H4" s="80"/>
      <c r="I4" s="80"/>
      <c r="J4" s="80"/>
      <c r="K4" s="80"/>
      <c r="L4" s="80"/>
      <c r="M4" s="80"/>
      <c r="N4" s="80"/>
      <c r="O4" s="80"/>
    </row>
    <row r="5" spans="1:15" s="136" customFormat="1" ht="60" customHeight="1" x14ac:dyDescent="0.25">
      <c r="A5" s="190" t="s">
        <v>1</v>
      </c>
      <c r="B5" s="145" t="s">
        <v>3385</v>
      </c>
      <c r="C5" s="189" t="s">
        <v>2</v>
      </c>
      <c r="D5" s="189" t="s">
        <v>4</v>
      </c>
      <c r="E5" s="146" t="s">
        <v>1419</v>
      </c>
      <c r="F5" s="188" t="s">
        <v>3386</v>
      </c>
      <c r="G5" s="188" t="s">
        <v>3387</v>
      </c>
      <c r="H5" s="188" t="s">
        <v>3388</v>
      </c>
      <c r="I5" s="147" t="s">
        <v>3389</v>
      </c>
      <c r="J5" s="148" t="s">
        <v>1420</v>
      </c>
      <c r="K5" s="186" t="s">
        <v>1421</v>
      </c>
      <c r="L5" s="189" t="s">
        <v>3390</v>
      </c>
      <c r="M5" s="149" t="s">
        <v>3391</v>
      </c>
      <c r="N5" s="186" t="s">
        <v>1422</v>
      </c>
      <c r="O5" s="187" t="s">
        <v>7</v>
      </c>
    </row>
    <row r="6" spans="1:15" s="160" customFormat="1" x14ac:dyDescent="0.25">
      <c r="A6" s="132" t="s">
        <v>3436</v>
      </c>
      <c r="B6" s="156"/>
      <c r="C6" s="157" t="s">
        <v>3392</v>
      </c>
      <c r="D6" s="158"/>
      <c r="E6" s="158" t="s">
        <v>522</v>
      </c>
      <c r="F6" s="158"/>
      <c r="G6" s="158"/>
      <c r="H6" s="158"/>
      <c r="I6" s="158"/>
      <c r="J6" s="159">
        <f ca="1">SUBTOTAL(109,J7:J41)</f>
        <v>290889.11</v>
      </c>
      <c r="K6" s="158"/>
      <c r="L6" s="133"/>
      <c r="M6" s="133"/>
      <c r="N6" s="134"/>
      <c r="O6" s="170">
        <f ca="1">SUBTOTAL(109,O7:O41)</f>
        <v>330330.12000000005</v>
      </c>
    </row>
    <row r="7" spans="1:15" s="136" customFormat="1" x14ac:dyDescent="0.25">
      <c r="A7" s="128" t="s">
        <v>3397</v>
      </c>
      <c r="B7" s="152"/>
      <c r="C7" s="153" t="s">
        <v>3398</v>
      </c>
      <c r="D7" s="154"/>
      <c r="E7" s="155" t="s">
        <v>522</v>
      </c>
      <c r="F7" s="154"/>
      <c r="G7" s="154"/>
      <c r="H7" s="154"/>
      <c r="I7" s="154"/>
      <c r="J7" s="129">
        <f>SUBTOTAL(109,J8:J11)</f>
        <v>89234.4</v>
      </c>
      <c r="K7" s="154"/>
      <c r="L7" s="130"/>
      <c r="M7" s="130"/>
      <c r="N7" s="131"/>
      <c r="O7" s="169">
        <f>SUBTOTAL(109,O8:O11)</f>
        <v>99282.28</v>
      </c>
    </row>
    <row r="8" spans="1:15" s="136" customFormat="1" x14ac:dyDescent="0.25">
      <c r="A8" s="150" t="s">
        <v>3399</v>
      </c>
      <c r="B8" s="151" t="s">
        <v>3145</v>
      </c>
      <c r="C8" s="137" t="s">
        <v>3146</v>
      </c>
      <c r="D8" s="138" t="s">
        <v>20</v>
      </c>
      <c r="E8" s="138">
        <v>60</v>
      </c>
      <c r="F8" s="138">
        <v>0.8</v>
      </c>
      <c r="G8" s="138"/>
      <c r="H8" s="138"/>
      <c r="I8" s="120">
        <v>570</v>
      </c>
      <c r="J8" s="121">
        <f>IF(ISNUMBER(I8),ROUND(E8*I8*F8,2),"")</f>
        <v>27360</v>
      </c>
      <c r="K8" s="196">
        <f>BDI!$E$17</f>
        <v>0.11260000000000001</v>
      </c>
      <c r="L8" s="90"/>
      <c r="M8" s="90"/>
      <c r="N8" s="91">
        <f>IF(ISNUMBER(I8),ROUND(I8*(1+K8),2),"")</f>
        <v>634.17999999999995</v>
      </c>
      <c r="O8" s="168">
        <f>IF(ISNUMBER(I8),ROUND(E8*F8*N8,2),"")</f>
        <v>30440.639999999999</v>
      </c>
    </row>
    <row r="9" spans="1:15" s="136" customFormat="1" x14ac:dyDescent="0.25">
      <c r="A9" s="150" t="s">
        <v>3400</v>
      </c>
      <c r="B9" s="151" t="s">
        <v>1599</v>
      </c>
      <c r="C9" s="137" t="s">
        <v>1600</v>
      </c>
      <c r="D9" s="138" t="s">
        <v>1574</v>
      </c>
      <c r="E9" s="138">
        <v>10</v>
      </c>
      <c r="F9" s="138">
        <v>0.8</v>
      </c>
      <c r="G9" s="138"/>
      <c r="H9" s="138"/>
      <c r="I9" s="120">
        <v>2050</v>
      </c>
      <c r="J9" s="121">
        <f t="shared" ref="J9:J41" si="0">IF(ISNUMBER(I9),ROUND(E9*I9*F9,2),"")</f>
        <v>16400</v>
      </c>
      <c r="K9" s="196">
        <f>BDI!$E$17</f>
        <v>0.11260000000000001</v>
      </c>
      <c r="L9" s="90"/>
      <c r="M9" s="90"/>
      <c r="N9" s="91">
        <f>IF(ISNUMBER(I9),ROUND(I9*(1+K9),2),"")</f>
        <v>2280.83</v>
      </c>
      <c r="O9" s="168">
        <f>IF(ISNUMBER(I9),ROUND(E9*F9*N9,2),"")</f>
        <v>18246.64</v>
      </c>
    </row>
    <row r="10" spans="1:15" s="136" customFormat="1" x14ac:dyDescent="0.25">
      <c r="A10" s="150" t="s">
        <v>3401</v>
      </c>
      <c r="B10" s="151" t="s">
        <v>3149</v>
      </c>
      <c r="C10" s="137" t="s">
        <v>3150</v>
      </c>
      <c r="D10" s="138" t="s">
        <v>93</v>
      </c>
      <c r="E10" s="138">
        <v>70</v>
      </c>
      <c r="F10" s="138">
        <v>0.8</v>
      </c>
      <c r="G10" s="138"/>
      <c r="H10" s="138"/>
      <c r="I10" s="120">
        <v>79.900000000000006</v>
      </c>
      <c r="J10" s="121">
        <f t="shared" si="0"/>
        <v>4474.3999999999996</v>
      </c>
      <c r="K10" s="196">
        <f>BDI!$E$17</f>
        <v>0.11260000000000001</v>
      </c>
      <c r="L10" s="90"/>
      <c r="M10" s="90"/>
      <c r="N10" s="91">
        <f>IF(ISNUMBER(I10),ROUND(I10*(1+K10),2),"")</f>
        <v>88.9</v>
      </c>
      <c r="O10" s="168">
        <f>IF(ISNUMBER(I10),ROUND(E10*F10*N10,2),"")</f>
        <v>4978.3999999999996</v>
      </c>
    </row>
    <row r="11" spans="1:15" s="136" customFormat="1" x14ac:dyDescent="0.25">
      <c r="A11" s="150" t="s">
        <v>3402</v>
      </c>
      <c r="B11" s="151" t="s">
        <v>3147</v>
      </c>
      <c r="C11" s="137" t="s">
        <v>3148</v>
      </c>
      <c r="D11" s="138" t="s">
        <v>1574</v>
      </c>
      <c r="E11" s="138">
        <v>5</v>
      </c>
      <c r="F11" s="138">
        <v>0.8</v>
      </c>
      <c r="G11" s="138"/>
      <c r="H11" s="138"/>
      <c r="I11" s="120">
        <v>10250</v>
      </c>
      <c r="J11" s="121">
        <f t="shared" si="0"/>
        <v>41000</v>
      </c>
      <c r="K11" s="196">
        <f>BDI!$E$17</f>
        <v>0.11260000000000001</v>
      </c>
      <c r="L11" s="90"/>
      <c r="M11" s="90"/>
      <c r="N11" s="91">
        <f>IF(ISNUMBER(I11),ROUND(I11*(1+K11),2),"")</f>
        <v>11404.15</v>
      </c>
      <c r="O11" s="168">
        <f>IF(ISNUMBER(I11),ROUND(E11*F11*N11,2),"")</f>
        <v>45616.6</v>
      </c>
    </row>
    <row r="12" spans="1:15" s="136" customFormat="1" x14ac:dyDescent="0.25">
      <c r="A12" s="128" t="s">
        <v>3403</v>
      </c>
      <c r="B12" s="152"/>
      <c r="C12" s="153" t="s">
        <v>3404</v>
      </c>
      <c r="D12" s="154"/>
      <c r="E12" s="155" t="s">
        <v>522</v>
      </c>
      <c r="F12" s="154"/>
      <c r="G12" s="154"/>
      <c r="H12" s="154"/>
      <c r="I12" s="154"/>
      <c r="J12" s="129">
        <f>SUBTOTAL(109,J13:J14)</f>
        <v>39680</v>
      </c>
      <c r="K12" s="154"/>
      <c r="L12" s="130"/>
      <c r="M12" s="130"/>
      <c r="N12" s="131"/>
      <c r="O12" s="169">
        <f>SUBTOTAL(109,O13:O14)</f>
        <v>44148.159999999996</v>
      </c>
    </row>
    <row r="13" spans="1:15" s="136" customFormat="1" ht="25.5" x14ac:dyDescent="0.25">
      <c r="A13" s="150" t="s">
        <v>3405</v>
      </c>
      <c r="B13" s="151" t="s">
        <v>3141</v>
      </c>
      <c r="C13" s="137" t="s">
        <v>3142</v>
      </c>
      <c r="D13" s="138" t="s">
        <v>1574</v>
      </c>
      <c r="E13" s="138">
        <v>60</v>
      </c>
      <c r="F13" s="138">
        <v>0.8</v>
      </c>
      <c r="G13" s="138"/>
      <c r="H13" s="138"/>
      <c r="I13" s="120">
        <v>545</v>
      </c>
      <c r="J13" s="121">
        <f t="shared" si="0"/>
        <v>26160</v>
      </c>
      <c r="K13" s="196">
        <f>BDI!$E$17</f>
        <v>0.11260000000000001</v>
      </c>
      <c r="L13" s="90"/>
      <c r="M13" s="90"/>
      <c r="N13" s="91">
        <f>IF(ISNUMBER(I13),ROUND(I13*(1+K13),2),"")</f>
        <v>606.37</v>
      </c>
      <c r="O13" s="168">
        <f>IF(ISNUMBER(I13),ROUND(E13*F13*N13,2),"")</f>
        <v>29105.759999999998</v>
      </c>
    </row>
    <row r="14" spans="1:15" s="136" customFormat="1" x14ac:dyDescent="0.25">
      <c r="A14" s="150" t="s">
        <v>3406</v>
      </c>
      <c r="B14" s="151" t="s">
        <v>3143</v>
      </c>
      <c r="C14" s="137" t="s">
        <v>3144</v>
      </c>
      <c r="D14" s="138" t="s">
        <v>1574</v>
      </c>
      <c r="E14" s="138">
        <v>20</v>
      </c>
      <c r="F14" s="138">
        <v>0.8</v>
      </c>
      <c r="G14" s="138"/>
      <c r="H14" s="138"/>
      <c r="I14" s="120">
        <v>845</v>
      </c>
      <c r="J14" s="121">
        <f t="shared" si="0"/>
        <v>13520</v>
      </c>
      <c r="K14" s="196">
        <f>BDI!$E$17</f>
        <v>0.11260000000000001</v>
      </c>
      <c r="L14" s="90"/>
      <c r="M14" s="90"/>
      <c r="N14" s="91">
        <f>IF(ISNUMBER(I14),ROUND(I14*(1+K14),2),"")</f>
        <v>940.15</v>
      </c>
      <c r="O14" s="168">
        <f>IF(ISNUMBER(I14),ROUND(E14*F14*N14,2),"")</f>
        <v>15042.4</v>
      </c>
    </row>
    <row r="15" spans="1:15" s="136" customFormat="1" x14ac:dyDescent="0.25">
      <c r="A15" s="128" t="s">
        <v>3407</v>
      </c>
      <c r="B15" s="152"/>
      <c r="C15" s="153" t="s">
        <v>3408</v>
      </c>
      <c r="D15" s="154"/>
      <c r="E15" s="155" t="s">
        <v>522</v>
      </c>
      <c r="F15" s="154"/>
      <c r="G15" s="154"/>
      <c r="H15" s="154"/>
      <c r="I15" s="154"/>
      <c r="J15" s="129">
        <f ca="1">SUBTOTAL(109,J16:J37)</f>
        <v>85299.50999999998</v>
      </c>
      <c r="K15" s="154"/>
      <c r="L15" s="130"/>
      <c r="M15" s="130"/>
      <c r="N15" s="131"/>
      <c r="O15" s="169">
        <f ca="1">SUBTOTAL(109,O16:O37)</f>
        <v>101591.65</v>
      </c>
    </row>
    <row r="16" spans="1:15" s="136" customFormat="1" x14ac:dyDescent="0.25">
      <c r="A16" s="150" t="s">
        <v>3409</v>
      </c>
      <c r="B16" s="151" t="s">
        <v>1424</v>
      </c>
      <c r="C16" s="137" t="s">
        <v>1425</v>
      </c>
      <c r="D16" s="138" t="s">
        <v>20</v>
      </c>
      <c r="E16" s="138">
        <v>10</v>
      </c>
      <c r="F16" s="138">
        <v>0.8</v>
      </c>
      <c r="G16" s="138"/>
      <c r="H16" s="138"/>
      <c r="I16" s="120">
        <v>658.2</v>
      </c>
      <c r="J16" s="121">
        <f t="shared" si="0"/>
        <v>5265.6</v>
      </c>
      <c r="K16" s="196">
        <f>BDI!$B$17</f>
        <v>0.191</v>
      </c>
      <c r="L16" s="90"/>
      <c r="M16" s="90"/>
      <c r="N16" s="91">
        <f>IF(ISNUMBER(I16),ROUND(I16*(1+K16),2),"")</f>
        <v>783.92</v>
      </c>
      <c r="O16" s="168">
        <f>IF(ISNUMBER(I16),ROUND(E16*F16*N16,2),"")</f>
        <v>6271.36</v>
      </c>
    </row>
    <row r="17" spans="1:15" s="136" customFormat="1" x14ac:dyDescent="0.25">
      <c r="A17" s="150" t="s">
        <v>3410</v>
      </c>
      <c r="B17" s="151" t="s">
        <v>87</v>
      </c>
      <c r="C17" s="137" t="s">
        <v>1427</v>
      </c>
      <c r="D17" s="138" t="s">
        <v>1428</v>
      </c>
      <c r="E17" s="138">
        <v>6</v>
      </c>
      <c r="F17" s="138">
        <v>0.8</v>
      </c>
      <c r="G17" s="138"/>
      <c r="H17" s="138"/>
      <c r="I17" s="120">
        <v>17.099999999999998</v>
      </c>
      <c r="J17" s="121">
        <f t="shared" si="0"/>
        <v>82.08</v>
      </c>
      <c r="K17" s="196">
        <f>BDI!$B$17</f>
        <v>0.191</v>
      </c>
      <c r="L17" s="90"/>
      <c r="M17" s="90"/>
      <c r="N17" s="91">
        <f>IF(ISNUMBER(I17),ROUND(I17*(1+K17),2),"")</f>
        <v>20.37</v>
      </c>
      <c r="O17" s="168">
        <f>IF(ISNUMBER(I17),ROUND(E17*F17*N17,2),"")</f>
        <v>97.78</v>
      </c>
    </row>
    <row r="18" spans="1:15" s="136" customFormat="1" x14ac:dyDescent="0.25">
      <c r="A18" s="150" t="s">
        <v>3411</v>
      </c>
      <c r="B18" s="151" t="s">
        <v>1429</v>
      </c>
      <c r="C18" s="137" t="s">
        <v>1430</v>
      </c>
      <c r="D18" s="138" t="s">
        <v>93</v>
      </c>
      <c r="E18" s="138">
        <v>100</v>
      </c>
      <c r="F18" s="138">
        <v>0.8</v>
      </c>
      <c r="G18" s="138"/>
      <c r="H18" s="138"/>
      <c r="I18" s="120">
        <v>24.2</v>
      </c>
      <c r="J18" s="121">
        <f t="shared" si="0"/>
        <v>1936</v>
      </c>
      <c r="K18" s="196">
        <f>BDI!$B$17</f>
        <v>0.191</v>
      </c>
      <c r="L18" s="90"/>
      <c r="M18" s="90"/>
      <c r="N18" s="91">
        <f>IF(ISNUMBER(I18),ROUND(I18*(1+K18),2),"")</f>
        <v>28.82</v>
      </c>
      <c r="O18" s="168">
        <f>IF(ISNUMBER(I18),ROUND(E18*F18*N18,2),"")</f>
        <v>2305.6</v>
      </c>
    </row>
    <row r="19" spans="1:15" s="136" customFormat="1" x14ac:dyDescent="0.25">
      <c r="A19" s="150" t="s">
        <v>3412</v>
      </c>
      <c r="B19" s="151" t="s">
        <v>89</v>
      </c>
      <c r="C19" s="137" t="s">
        <v>1431</v>
      </c>
      <c r="D19" s="138" t="s">
        <v>93</v>
      </c>
      <c r="E19" s="138">
        <v>100</v>
      </c>
      <c r="F19" s="138">
        <v>0.8</v>
      </c>
      <c r="G19" s="138"/>
      <c r="H19" s="138"/>
      <c r="I19" s="120">
        <v>6.2444449999999998</v>
      </c>
      <c r="J19" s="121">
        <f t="shared" si="0"/>
        <v>499.56</v>
      </c>
      <c r="K19" s="196">
        <f>BDI!$B$17</f>
        <v>0.191</v>
      </c>
      <c r="L19" s="90"/>
      <c r="M19" s="90"/>
      <c r="N19" s="91">
        <f>IF(ISNUMBER(I19),ROUND(I19*(1+K19),2),"")</f>
        <v>7.44</v>
      </c>
      <c r="O19" s="168">
        <f>IF(ISNUMBER(I19),ROUND(E19*F19*N19,2),"")</f>
        <v>595.20000000000005</v>
      </c>
    </row>
    <row r="20" spans="1:15" s="136" customFormat="1" x14ac:dyDescent="0.25">
      <c r="A20" s="150" t="s">
        <v>3413</v>
      </c>
      <c r="B20" s="151" t="s">
        <v>1432</v>
      </c>
      <c r="C20" s="137" t="s">
        <v>1433</v>
      </c>
      <c r="D20" s="138" t="s">
        <v>20</v>
      </c>
      <c r="E20" s="138">
        <v>20</v>
      </c>
      <c r="F20" s="138">
        <v>0.8</v>
      </c>
      <c r="G20" s="138"/>
      <c r="H20" s="138"/>
      <c r="I20" s="120">
        <v>496.18</v>
      </c>
      <c r="J20" s="121">
        <f t="shared" si="0"/>
        <v>7938.88</v>
      </c>
      <c r="K20" s="196">
        <f>BDI!$B$17</f>
        <v>0.191</v>
      </c>
      <c r="L20" s="90"/>
      <c r="M20" s="90"/>
      <c r="N20" s="91">
        <f>IF(ISNUMBER(I20),ROUND(I20*(1+K20),2),"")</f>
        <v>590.95000000000005</v>
      </c>
      <c r="O20" s="168">
        <f>IF(ISNUMBER(I20),ROUND(E20*F20*N20,2),"")</f>
        <v>9455.2000000000007</v>
      </c>
    </row>
    <row r="21" spans="1:15" s="136" customFormat="1" x14ac:dyDescent="0.25">
      <c r="A21" s="150" t="s">
        <v>3414</v>
      </c>
      <c r="B21" s="151" t="s">
        <v>1434</v>
      </c>
      <c r="C21" s="137" t="s">
        <v>1435</v>
      </c>
      <c r="D21" s="138" t="s">
        <v>20</v>
      </c>
      <c r="E21" s="138">
        <v>10</v>
      </c>
      <c r="F21" s="138">
        <v>0.8</v>
      </c>
      <c r="G21" s="138"/>
      <c r="H21" s="138"/>
      <c r="I21" s="120">
        <v>286.98</v>
      </c>
      <c r="J21" s="121">
        <f t="shared" si="0"/>
        <v>2295.84</v>
      </c>
      <c r="K21" s="196">
        <f>BDI!$B$17</f>
        <v>0.191</v>
      </c>
      <c r="L21" s="90"/>
      <c r="M21" s="90"/>
      <c r="N21" s="91">
        <f>IF(ISNUMBER(I21),ROUND(I21*(1+K21),2),"")</f>
        <v>341.79</v>
      </c>
      <c r="O21" s="168">
        <f>IF(ISNUMBER(I21),ROUND(E21*F21*N21,2),"")</f>
        <v>2734.32</v>
      </c>
    </row>
    <row r="22" spans="1:15" s="136" customFormat="1" x14ac:dyDescent="0.25">
      <c r="A22" s="150" t="s">
        <v>3415</v>
      </c>
      <c r="B22" s="151" t="s">
        <v>1436</v>
      </c>
      <c r="C22" s="137" t="s">
        <v>1437</v>
      </c>
      <c r="D22" s="138" t="s">
        <v>20</v>
      </c>
      <c r="E22" s="138">
        <v>10</v>
      </c>
      <c r="F22" s="138">
        <v>0.8</v>
      </c>
      <c r="G22" s="138"/>
      <c r="H22" s="138"/>
      <c r="I22" s="120">
        <v>718.32</v>
      </c>
      <c r="J22" s="121">
        <f t="shared" si="0"/>
        <v>5746.56</v>
      </c>
      <c r="K22" s="196">
        <f>BDI!$B$17</f>
        <v>0.191</v>
      </c>
      <c r="L22" s="90"/>
      <c r="M22" s="90"/>
      <c r="N22" s="91">
        <f>IF(ISNUMBER(I22),ROUND(I22*(1+K22),2),"")</f>
        <v>855.52</v>
      </c>
      <c r="O22" s="168">
        <f>IF(ISNUMBER(I22),ROUND(E22*F22*N22,2),"")</f>
        <v>6844.16</v>
      </c>
    </row>
    <row r="23" spans="1:15" s="136" customFormat="1" ht="25.5" x14ac:dyDescent="0.25">
      <c r="A23" s="150" t="s">
        <v>3416</v>
      </c>
      <c r="B23" s="151" t="s">
        <v>92</v>
      </c>
      <c r="C23" s="137" t="s">
        <v>1438</v>
      </c>
      <c r="D23" s="138" t="s">
        <v>1985</v>
      </c>
      <c r="E23" s="138">
        <v>100</v>
      </c>
      <c r="F23" s="138">
        <v>0.8</v>
      </c>
      <c r="G23" s="138"/>
      <c r="H23" s="138"/>
      <c r="I23" s="121">
        <f ca="1">OFFSET(INDEX(Composições!A:J,MATCH(B23,Composições!A:A,0),8),2,0)</f>
        <v>27.085924999999996</v>
      </c>
      <c r="J23" s="121">
        <f t="shared" ca="1" si="0"/>
        <v>2166.87</v>
      </c>
      <c r="K23" s="196">
        <f>BDI!$B$17</f>
        <v>0.191</v>
      </c>
      <c r="L23" s="90"/>
      <c r="M23" s="90"/>
      <c r="N23" s="91">
        <f ca="1">IF(ISNUMBER(I23),ROUND(I23*(1+K23),2),"")</f>
        <v>32.26</v>
      </c>
      <c r="O23" s="168">
        <f ca="1">IF(ISNUMBER(I23),ROUND(E23*F23*N23,2),"")</f>
        <v>2580.8000000000002</v>
      </c>
    </row>
    <row r="24" spans="1:15" s="136" customFormat="1" x14ac:dyDescent="0.25">
      <c r="A24" s="150" t="s">
        <v>3417</v>
      </c>
      <c r="B24" s="151" t="s">
        <v>1441</v>
      </c>
      <c r="C24" s="137" t="s">
        <v>1442</v>
      </c>
      <c r="D24" s="138" t="s">
        <v>20</v>
      </c>
      <c r="E24" s="138">
        <v>5</v>
      </c>
      <c r="F24" s="138">
        <v>0.8</v>
      </c>
      <c r="G24" s="138"/>
      <c r="H24" s="138"/>
      <c r="I24" s="120">
        <v>1620.62</v>
      </c>
      <c r="J24" s="121">
        <f t="shared" si="0"/>
        <v>6482.48</v>
      </c>
      <c r="K24" s="196">
        <f>BDI!$B$17</f>
        <v>0.191</v>
      </c>
      <c r="L24" s="90"/>
      <c r="M24" s="90"/>
      <c r="N24" s="91">
        <f>IF(ISNUMBER(I24),ROUND(I24*(1+K24),2),"")</f>
        <v>1930.16</v>
      </c>
      <c r="O24" s="168">
        <f>IF(ISNUMBER(I24),ROUND(E24*F24*N24,2),"")</f>
        <v>7720.64</v>
      </c>
    </row>
    <row r="25" spans="1:15" s="136" customFormat="1" x14ac:dyDescent="0.25">
      <c r="A25" s="150" t="s">
        <v>3418</v>
      </c>
      <c r="B25" s="151" t="s">
        <v>1443</v>
      </c>
      <c r="C25" s="137" t="s">
        <v>1444</v>
      </c>
      <c r="D25" s="138" t="s">
        <v>20</v>
      </c>
      <c r="E25" s="138">
        <v>10</v>
      </c>
      <c r="F25" s="138">
        <v>0.8</v>
      </c>
      <c r="G25" s="138"/>
      <c r="H25" s="138"/>
      <c r="I25" s="120">
        <v>120</v>
      </c>
      <c r="J25" s="121">
        <f t="shared" si="0"/>
        <v>960</v>
      </c>
      <c r="K25" s="196">
        <f>BDI!$B$17</f>
        <v>0.191</v>
      </c>
      <c r="L25" s="90"/>
      <c r="M25" s="90"/>
      <c r="N25" s="91">
        <f>IF(ISNUMBER(I25),ROUND(I25*(1+K25),2),"")</f>
        <v>142.91999999999999</v>
      </c>
      <c r="O25" s="168">
        <f>IF(ISNUMBER(I25),ROUND(E25*F25*N25,2),"")</f>
        <v>1143.3599999999999</v>
      </c>
    </row>
    <row r="26" spans="1:15" s="136" customFormat="1" x14ac:dyDescent="0.25">
      <c r="A26" s="150" t="s">
        <v>3419</v>
      </c>
      <c r="B26" s="151" t="s">
        <v>1445</v>
      </c>
      <c r="C26" s="137" t="s">
        <v>1446</v>
      </c>
      <c r="D26" s="138" t="s">
        <v>20</v>
      </c>
      <c r="E26" s="138">
        <v>10</v>
      </c>
      <c r="F26" s="138">
        <v>0.8</v>
      </c>
      <c r="G26" s="138"/>
      <c r="H26" s="138"/>
      <c r="I26" s="120">
        <v>44.15</v>
      </c>
      <c r="J26" s="121">
        <f t="shared" si="0"/>
        <v>353.2</v>
      </c>
      <c r="K26" s="196">
        <f>BDI!$B$17</f>
        <v>0.191</v>
      </c>
      <c r="L26" s="90"/>
      <c r="M26" s="90"/>
      <c r="N26" s="91">
        <f>IF(ISNUMBER(I26),ROUND(I26*(1+K26),2),"")</f>
        <v>52.58</v>
      </c>
      <c r="O26" s="168">
        <f>IF(ISNUMBER(I26),ROUND(E26*F26*N26,2),"")</f>
        <v>420.64</v>
      </c>
    </row>
    <row r="27" spans="1:15" s="136" customFormat="1" x14ac:dyDescent="0.25">
      <c r="A27" s="150" t="s">
        <v>3420</v>
      </c>
      <c r="B27" s="151" t="s">
        <v>1603</v>
      </c>
      <c r="C27" s="137" t="s">
        <v>1604</v>
      </c>
      <c r="D27" s="138" t="s">
        <v>20</v>
      </c>
      <c r="E27" s="138">
        <v>5</v>
      </c>
      <c r="F27" s="138">
        <v>0.8</v>
      </c>
      <c r="G27" s="138"/>
      <c r="H27" s="138"/>
      <c r="I27" s="120">
        <v>2748.97</v>
      </c>
      <c r="J27" s="121">
        <f t="shared" si="0"/>
        <v>10995.88</v>
      </c>
      <c r="K27" s="196">
        <f>BDI!$B$17</f>
        <v>0.191</v>
      </c>
      <c r="L27" s="90"/>
      <c r="M27" s="90"/>
      <c r="N27" s="91">
        <f>IF(ISNUMBER(I27),ROUND(I27*(1+K27),2),"")</f>
        <v>3274.02</v>
      </c>
      <c r="O27" s="168">
        <f>IF(ISNUMBER(I27),ROUND(E27*F27*N27,2),"")</f>
        <v>13096.08</v>
      </c>
    </row>
    <row r="28" spans="1:15" s="136" customFormat="1" x14ac:dyDescent="0.25">
      <c r="A28" s="150" t="s">
        <v>3421</v>
      </c>
      <c r="B28" s="151" t="s">
        <v>1601</v>
      </c>
      <c r="C28" s="137" t="s">
        <v>1602</v>
      </c>
      <c r="D28" s="138" t="s">
        <v>20</v>
      </c>
      <c r="E28" s="138">
        <v>5</v>
      </c>
      <c r="F28" s="138">
        <v>0.8</v>
      </c>
      <c r="G28" s="138"/>
      <c r="H28" s="138"/>
      <c r="I28" s="120">
        <v>2312.9</v>
      </c>
      <c r="J28" s="121">
        <f t="shared" si="0"/>
        <v>9251.6</v>
      </c>
      <c r="K28" s="196">
        <f>BDI!$B$17</f>
        <v>0.191</v>
      </c>
      <c r="L28" s="90"/>
      <c r="M28" s="90"/>
      <c r="N28" s="91">
        <f>IF(ISNUMBER(I28),ROUND(I28*(1+K28),2),"")</f>
        <v>2754.66</v>
      </c>
      <c r="O28" s="168">
        <f>IF(ISNUMBER(I28),ROUND(E28*F28*N28,2),"")</f>
        <v>11018.64</v>
      </c>
    </row>
    <row r="29" spans="1:15" s="136" customFormat="1" x14ac:dyDescent="0.25">
      <c r="A29" s="150" t="s">
        <v>3422</v>
      </c>
      <c r="B29" s="151" t="s">
        <v>1447</v>
      </c>
      <c r="C29" s="137" t="s">
        <v>1448</v>
      </c>
      <c r="D29" s="138" t="s">
        <v>20</v>
      </c>
      <c r="E29" s="138">
        <v>10</v>
      </c>
      <c r="F29" s="138">
        <v>0.8</v>
      </c>
      <c r="G29" s="138"/>
      <c r="H29" s="138"/>
      <c r="I29" s="120">
        <v>810.31</v>
      </c>
      <c r="J29" s="121">
        <f t="shared" si="0"/>
        <v>6482.48</v>
      </c>
      <c r="K29" s="196">
        <f>BDI!$B$17</f>
        <v>0.191</v>
      </c>
      <c r="L29" s="90"/>
      <c r="M29" s="90"/>
      <c r="N29" s="91">
        <f>IF(ISNUMBER(I29),ROUND(I29*(1+K29),2),"")</f>
        <v>965.08</v>
      </c>
      <c r="O29" s="168">
        <f>IF(ISNUMBER(I29),ROUND(E29*F29*N29,2),"")</f>
        <v>7720.64</v>
      </c>
    </row>
    <row r="30" spans="1:15" s="136" customFormat="1" x14ac:dyDescent="0.25">
      <c r="A30" s="150" t="s">
        <v>3423</v>
      </c>
      <c r="B30" s="151" t="s">
        <v>1449</v>
      </c>
      <c r="C30" s="137" t="s">
        <v>1450</v>
      </c>
      <c r="D30" s="138" t="s">
        <v>20</v>
      </c>
      <c r="E30" s="138">
        <v>10</v>
      </c>
      <c r="F30" s="138">
        <v>0.8</v>
      </c>
      <c r="G30" s="138"/>
      <c r="H30" s="138"/>
      <c r="I30" s="120">
        <v>256.77999999999997</v>
      </c>
      <c r="J30" s="121">
        <f t="shared" si="0"/>
        <v>2054.2399999999998</v>
      </c>
      <c r="K30" s="196">
        <f>BDI!$B$17</f>
        <v>0.191</v>
      </c>
      <c r="L30" s="90"/>
      <c r="M30" s="90"/>
      <c r="N30" s="91">
        <f>IF(ISNUMBER(I30),ROUND(I30*(1+K30),2),"")</f>
        <v>305.82</v>
      </c>
      <c r="O30" s="168">
        <f>IF(ISNUMBER(I30),ROUND(E30*F30*N30,2),"")</f>
        <v>2446.56</v>
      </c>
    </row>
    <row r="31" spans="1:15" s="136" customFormat="1" x14ac:dyDescent="0.25">
      <c r="A31" s="150" t="s">
        <v>3424</v>
      </c>
      <c r="B31" s="151" t="s">
        <v>1451</v>
      </c>
      <c r="C31" s="137" t="s">
        <v>1452</v>
      </c>
      <c r="D31" s="138" t="s">
        <v>20</v>
      </c>
      <c r="E31" s="138">
        <v>10</v>
      </c>
      <c r="F31" s="138">
        <v>0.8</v>
      </c>
      <c r="G31" s="138"/>
      <c r="H31" s="138"/>
      <c r="I31" s="120">
        <v>165.93</v>
      </c>
      <c r="J31" s="121">
        <f t="shared" si="0"/>
        <v>1327.44</v>
      </c>
      <c r="K31" s="196">
        <f>BDI!$B$17</f>
        <v>0.191</v>
      </c>
      <c r="L31" s="90"/>
      <c r="M31" s="90"/>
      <c r="N31" s="91">
        <f>IF(ISNUMBER(I31),ROUND(I31*(1+K31),2),"")</f>
        <v>197.62</v>
      </c>
      <c r="O31" s="168">
        <f>IF(ISNUMBER(I31),ROUND(E31*F31*N31,2),"")</f>
        <v>1580.96</v>
      </c>
    </row>
    <row r="32" spans="1:15" s="136" customFormat="1" x14ac:dyDescent="0.25">
      <c r="A32" s="150" t="s">
        <v>3425</v>
      </c>
      <c r="B32" s="151" t="s">
        <v>1453</v>
      </c>
      <c r="C32" s="137" t="s">
        <v>1454</v>
      </c>
      <c r="D32" s="138" t="s">
        <v>20</v>
      </c>
      <c r="E32" s="138">
        <v>20</v>
      </c>
      <c r="F32" s="138">
        <v>0.8</v>
      </c>
      <c r="G32" s="138"/>
      <c r="H32" s="138"/>
      <c r="I32" s="120">
        <v>305</v>
      </c>
      <c r="J32" s="121">
        <f t="shared" si="0"/>
        <v>4880</v>
      </c>
      <c r="K32" s="196">
        <f>BDI!$B$17</f>
        <v>0.191</v>
      </c>
      <c r="L32" s="90"/>
      <c r="M32" s="90"/>
      <c r="N32" s="91">
        <f>IF(ISNUMBER(I32),ROUND(I32*(1+K32),2),"")</f>
        <v>363.26</v>
      </c>
      <c r="O32" s="168">
        <f>IF(ISNUMBER(I32),ROUND(E32*F32*N32,2),"")</f>
        <v>5812.16</v>
      </c>
    </row>
    <row r="33" spans="1:15" s="136" customFormat="1" x14ac:dyDescent="0.25">
      <c r="A33" s="150" t="s">
        <v>3426</v>
      </c>
      <c r="B33" s="151" t="s">
        <v>1439</v>
      </c>
      <c r="C33" s="137" t="s">
        <v>1440</v>
      </c>
      <c r="D33" s="138" t="s">
        <v>20</v>
      </c>
      <c r="E33" s="138">
        <v>10</v>
      </c>
      <c r="F33" s="138">
        <v>0.8</v>
      </c>
      <c r="G33" s="138"/>
      <c r="H33" s="138"/>
      <c r="I33" s="120">
        <v>414.01</v>
      </c>
      <c r="J33" s="121">
        <f t="shared" si="0"/>
        <v>3312.08</v>
      </c>
      <c r="K33" s="196">
        <f>BDI!$B$17</f>
        <v>0.191</v>
      </c>
      <c r="L33" s="90"/>
      <c r="M33" s="90"/>
      <c r="N33" s="91">
        <f>IF(ISNUMBER(I33),ROUND(I33*(1+K33),2),"")</f>
        <v>493.09</v>
      </c>
      <c r="O33" s="168">
        <f>IF(ISNUMBER(I33),ROUND(E33*F33*N33,2),"")</f>
        <v>3944.72</v>
      </c>
    </row>
    <row r="34" spans="1:15" s="136" customFormat="1" x14ac:dyDescent="0.25">
      <c r="A34" s="150" t="s">
        <v>3427</v>
      </c>
      <c r="B34" s="151" t="s">
        <v>1455</v>
      </c>
      <c r="C34" s="137" t="s">
        <v>2275</v>
      </c>
      <c r="D34" s="138" t="s">
        <v>20</v>
      </c>
      <c r="E34" s="138">
        <v>10</v>
      </c>
      <c r="F34" s="138">
        <v>0.8</v>
      </c>
      <c r="G34" s="138"/>
      <c r="H34" s="138"/>
      <c r="I34" s="120">
        <v>151.88</v>
      </c>
      <c r="J34" s="121">
        <f t="shared" si="0"/>
        <v>1215.04</v>
      </c>
      <c r="K34" s="196">
        <f>BDI!$B$17</f>
        <v>0.191</v>
      </c>
      <c r="L34" s="90"/>
      <c r="M34" s="90"/>
      <c r="N34" s="91">
        <f>IF(ISNUMBER(I34),ROUND(I34*(1+K34),2),"")</f>
        <v>180.89</v>
      </c>
      <c r="O34" s="168">
        <f>IF(ISNUMBER(I34),ROUND(E34*F34*N34,2),"")</f>
        <v>1447.12</v>
      </c>
    </row>
    <row r="35" spans="1:15" s="136" customFormat="1" x14ac:dyDescent="0.25">
      <c r="A35" s="150" t="s">
        <v>3428</v>
      </c>
      <c r="B35" s="151" t="s">
        <v>96</v>
      </c>
      <c r="C35" s="137" t="s">
        <v>1456</v>
      </c>
      <c r="D35" s="138" t="s">
        <v>1985</v>
      </c>
      <c r="E35" s="138">
        <v>100</v>
      </c>
      <c r="F35" s="138">
        <v>0.8</v>
      </c>
      <c r="G35" s="138"/>
      <c r="H35" s="138"/>
      <c r="I35" s="121">
        <f ca="1">OFFSET(INDEX(Composições!A:J,MATCH(B35,Composições!A:A,0),8),2,0)</f>
        <v>101.354265</v>
      </c>
      <c r="J35" s="121">
        <f t="shared" ca="1" si="0"/>
        <v>8108.34</v>
      </c>
      <c r="K35" s="196">
        <f>BDI!$B$17</f>
        <v>0.191</v>
      </c>
      <c r="L35" s="90"/>
      <c r="M35" s="90"/>
      <c r="N35" s="91">
        <f ca="1">IF(ISNUMBER(I35),ROUND(I35*(1+K35),2),"")</f>
        <v>120.71</v>
      </c>
      <c r="O35" s="168">
        <f ca="1">IF(ISNUMBER(I35),ROUND(E35*F35*N35,2),"")</f>
        <v>9656.7999999999993</v>
      </c>
    </row>
    <row r="36" spans="1:15" s="136" customFormat="1" x14ac:dyDescent="0.25">
      <c r="A36" s="150" t="s">
        <v>3429</v>
      </c>
      <c r="B36" s="151" t="s">
        <v>1457</v>
      </c>
      <c r="C36" s="137" t="s">
        <v>1458</v>
      </c>
      <c r="D36" s="138" t="s">
        <v>20</v>
      </c>
      <c r="E36" s="138">
        <v>5</v>
      </c>
      <c r="F36" s="138">
        <v>0.8</v>
      </c>
      <c r="G36" s="138"/>
      <c r="H36" s="138"/>
      <c r="I36" s="120">
        <v>498</v>
      </c>
      <c r="J36" s="121">
        <f t="shared" si="0"/>
        <v>1992</v>
      </c>
      <c r="K36" s="196">
        <f>BDI!$B$17</f>
        <v>0.191</v>
      </c>
      <c r="L36" s="90"/>
      <c r="M36" s="90"/>
      <c r="N36" s="91">
        <f>IF(ISNUMBER(I36),ROUND(I36*(1+K36),2),"")</f>
        <v>593.12</v>
      </c>
      <c r="O36" s="168">
        <f>IF(ISNUMBER(I36),ROUND(E36*F36*N36,2),"")</f>
        <v>2372.48</v>
      </c>
    </row>
    <row r="37" spans="1:15" s="136" customFormat="1" x14ac:dyDescent="0.25">
      <c r="A37" s="150" t="s">
        <v>3430</v>
      </c>
      <c r="B37" s="151" t="s">
        <v>1459</v>
      </c>
      <c r="C37" s="137" t="s">
        <v>1460</v>
      </c>
      <c r="D37" s="138" t="s">
        <v>20</v>
      </c>
      <c r="E37" s="138">
        <v>2</v>
      </c>
      <c r="F37" s="138">
        <v>0.8</v>
      </c>
      <c r="G37" s="138"/>
      <c r="H37" s="138"/>
      <c r="I37" s="120">
        <v>1220.8399999999999</v>
      </c>
      <c r="J37" s="121">
        <f t="shared" si="0"/>
        <v>1953.34</v>
      </c>
      <c r="K37" s="196">
        <f>BDI!$B$17</f>
        <v>0.191</v>
      </c>
      <c r="L37" s="90"/>
      <c r="M37" s="90"/>
      <c r="N37" s="91">
        <f>IF(ISNUMBER(I37),ROUND(I37*(1+K37),2),"")</f>
        <v>1454.02</v>
      </c>
      <c r="O37" s="168">
        <f>IF(ISNUMBER(I37),ROUND(E37*F37*N37,2),"")</f>
        <v>2326.4299999999998</v>
      </c>
    </row>
    <row r="38" spans="1:15" s="136" customFormat="1" x14ac:dyDescent="0.25">
      <c r="A38" s="128" t="s">
        <v>3431</v>
      </c>
      <c r="B38" s="152"/>
      <c r="C38" s="153" t="s">
        <v>3952</v>
      </c>
      <c r="D38" s="154"/>
      <c r="E38" s="155" t="s">
        <v>522</v>
      </c>
      <c r="F38" s="154"/>
      <c r="G38" s="154"/>
      <c r="H38" s="154"/>
      <c r="I38" s="154"/>
      <c r="J38" s="129">
        <f>SUBTOTAL(109,J39:J41)</f>
        <v>76675.199999999997</v>
      </c>
      <c r="K38" s="154"/>
      <c r="L38" s="130"/>
      <c r="M38" s="130"/>
      <c r="N38" s="131"/>
      <c r="O38" s="169">
        <f>SUBTOTAL(109,O39:O41)</f>
        <v>85308.03</v>
      </c>
    </row>
    <row r="39" spans="1:15" s="136" customFormat="1" x14ac:dyDescent="0.25">
      <c r="A39" s="150" t="s">
        <v>3432</v>
      </c>
      <c r="B39" s="151" t="s">
        <v>3153</v>
      </c>
      <c r="C39" s="137" t="s">
        <v>3154</v>
      </c>
      <c r="D39" s="138" t="s">
        <v>20</v>
      </c>
      <c r="E39" s="138">
        <v>23</v>
      </c>
      <c r="F39" s="138">
        <v>0.8</v>
      </c>
      <c r="G39" s="138"/>
      <c r="H39" s="138"/>
      <c r="I39" s="120">
        <v>1260</v>
      </c>
      <c r="J39" s="121">
        <f t="shared" si="0"/>
        <v>23184</v>
      </c>
      <c r="K39" s="196">
        <f>BDI!$E$17</f>
        <v>0.11260000000000001</v>
      </c>
      <c r="L39" s="90"/>
      <c r="M39" s="90"/>
      <c r="N39" s="91">
        <f>IF(ISNUMBER(I39),ROUND(I39*(1+K39),2),"")</f>
        <v>1401.88</v>
      </c>
      <c r="O39" s="168">
        <f>IF(ISNUMBER(I39),ROUND(E39*F39*N39,2),"")</f>
        <v>25794.59</v>
      </c>
    </row>
    <row r="40" spans="1:15" s="136" customFormat="1" x14ac:dyDescent="0.25">
      <c r="A40" s="150" t="s">
        <v>3433</v>
      </c>
      <c r="B40" s="151" t="s">
        <v>2829</v>
      </c>
      <c r="C40" s="137" t="s">
        <v>2830</v>
      </c>
      <c r="D40" s="138" t="s">
        <v>20</v>
      </c>
      <c r="E40" s="138">
        <v>20</v>
      </c>
      <c r="F40" s="138">
        <v>0.8</v>
      </c>
      <c r="G40" s="138"/>
      <c r="H40" s="138"/>
      <c r="I40" s="120">
        <v>1073.33</v>
      </c>
      <c r="J40" s="121">
        <f t="shared" si="0"/>
        <v>17173.28</v>
      </c>
      <c r="K40" s="196">
        <f>BDI!$E$17</f>
        <v>0.11260000000000001</v>
      </c>
      <c r="L40" s="90"/>
      <c r="M40" s="90"/>
      <c r="N40" s="91">
        <f>IF(ISNUMBER(I40),ROUND(I40*(1+K40),2),"")</f>
        <v>1194.19</v>
      </c>
      <c r="O40" s="168">
        <f>IF(ISNUMBER(I40),ROUND(E40*F40*N40,2),"")</f>
        <v>19107.04</v>
      </c>
    </row>
    <row r="41" spans="1:15" s="136" customFormat="1" x14ac:dyDescent="0.25">
      <c r="A41" s="150" t="s">
        <v>3434</v>
      </c>
      <c r="B41" s="151" t="s">
        <v>3151</v>
      </c>
      <c r="C41" s="137" t="s">
        <v>3152</v>
      </c>
      <c r="D41" s="138" t="s">
        <v>20</v>
      </c>
      <c r="E41" s="138">
        <v>230</v>
      </c>
      <c r="F41" s="138">
        <v>0.8</v>
      </c>
      <c r="G41" s="138"/>
      <c r="H41" s="138"/>
      <c r="I41" s="120">
        <v>197.38</v>
      </c>
      <c r="J41" s="121">
        <f t="shared" si="0"/>
        <v>36317.919999999998</v>
      </c>
      <c r="K41" s="196">
        <f>BDI!$E$17</f>
        <v>0.11260000000000001</v>
      </c>
      <c r="L41" s="90"/>
      <c r="M41" s="90"/>
      <c r="N41" s="91">
        <f>IF(ISNUMBER(I41),ROUND(I41*(1+K41),2),"")</f>
        <v>219.6</v>
      </c>
      <c r="O41" s="168">
        <f>IF(ISNUMBER(I41),ROUND(E41*F41*N41,2),"")</f>
        <v>40406.400000000001</v>
      </c>
    </row>
    <row r="42" spans="1:15" s="160" customFormat="1" x14ac:dyDescent="0.25">
      <c r="A42" s="132" t="s">
        <v>3435</v>
      </c>
      <c r="B42" s="156"/>
      <c r="C42" s="157" t="s">
        <v>3393</v>
      </c>
      <c r="D42" s="158"/>
      <c r="E42" s="158" t="s">
        <v>522</v>
      </c>
      <c r="F42" s="158"/>
      <c r="G42" s="158"/>
      <c r="H42" s="158"/>
      <c r="I42" s="158"/>
      <c r="J42" s="159">
        <f>SUBTOTAL(109,J43:J406)</f>
        <v>1727337.02</v>
      </c>
      <c r="K42" s="158"/>
      <c r="L42" s="133"/>
      <c r="M42" s="133"/>
      <c r="N42" s="134"/>
      <c r="O42" s="170">
        <f>SUBTOTAL(109,O43:O406)</f>
        <v>1921836.4100000008</v>
      </c>
    </row>
    <row r="43" spans="1:15" s="136" customFormat="1" x14ac:dyDescent="0.25">
      <c r="A43" s="128" t="s">
        <v>3437</v>
      </c>
      <c r="B43" s="152"/>
      <c r="C43" s="153" t="s">
        <v>3438</v>
      </c>
      <c r="D43" s="154"/>
      <c r="E43" s="155" t="s">
        <v>522</v>
      </c>
      <c r="F43" s="154"/>
      <c r="G43" s="154"/>
      <c r="H43" s="154"/>
      <c r="I43" s="154"/>
      <c r="J43" s="129">
        <f>SUBTOTAL(109,J44:J45)</f>
        <v>510.26</v>
      </c>
      <c r="K43" s="154"/>
      <c r="L43" s="130"/>
      <c r="M43" s="130"/>
      <c r="N43" s="131"/>
      <c r="O43" s="169">
        <f>SUBTOTAL(109,O44:O45)</f>
        <v>567.75</v>
      </c>
    </row>
    <row r="44" spans="1:15" s="136" customFormat="1" x14ac:dyDescent="0.25">
      <c r="A44" s="150" t="s">
        <v>3439</v>
      </c>
      <c r="B44" s="151" t="s">
        <v>2461</v>
      </c>
      <c r="C44" s="137" t="s">
        <v>2515</v>
      </c>
      <c r="D44" s="138" t="s">
        <v>42</v>
      </c>
      <c r="E44" s="138">
        <v>60</v>
      </c>
      <c r="F44" s="138">
        <v>0.5</v>
      </c>
      <c r="G44" s="138"/>
      <c r="H44" s="138"/>
      <c r="I44" s="120">
        <v>2.7835000000000001</v>
      </c>
      <c r="J44" s="121">
        <f t="shared" ref="J44:J45" si="1">IF(ISNUMBER(I44),ROUND(E44*I44*F44,2),"")</f>
        <v>83.51</v>
      </c>
      <c r="K44" s="196">
        <f>BDI!$E$17</f>
        <v>0.11260000000000001</v>
      </c>
      <c r="L44" s="90"/>
      <c r="M44" s="90"/>
      <c r="N44" s="91">
        <f>IF(ISNUMBER(I44),ROUND(I44*(1+K44),2),"")</f>
        <v>3.1</v>
      </c>
      <c r="O44" s="168">
        <f>IF(ISNUMBER(I44),ROUND(E44*F44*N44,2),"")</f>
        <v>93</v>
      </c>
    </row>
    <row r="45" spans="1:15" s="136" customFormat="1" x14ac:dyDescent="0.25">
      <c r="A45" s="150" t="s">
        <v>3440</v>
      </c>
      <c r="B45" s="151" t="s">
        <v>2462</v>
      </c>
      <c r="C45" s="137" t="s">
        <v>2516</v>
      </c>
      <c r="D45" s="138" t="s">
        <v>42</v>
      </c>
      <c r="E45" s="138">
        <v>30</v>
      </c>
      <c r="F45" s="138">
        <v>0.5</v>
      </c>
      <c r="G45" s="138"/>
      <c r="H45" s="138"/>
      <c r="I45" s="120">
        <v>28.45</v>
      </c>
      <c r="J45" s="121">
        <f t="shared" si="1"/>
        <v>426.75</v>
      </c>
      <c r="K45" s="196">
        <f>BDI!$E$17</f>
        <v>0.11260000000000001</v>
      </c>
      <c r="L45" s="90"/>
      <c r="M45" s="90"/>
      <c r="N45" s="91">
        <f>IF(ISNUMBER(I45),ROUND(I45*(1+K45),2),"")</f>
        <v>31.65</v>
      </c>
      <c r="O45" s="168">
        <f>IF(ISNUMBER(I45),ROUND(E45*F45*N45,2),"")</f>
        <v>474.75</v>
      </c>
    </row>
    <row r="46" spans="1:15" s="136" customFormat="1" x14ac:dyDescent="0.25">
      <c r="A46" s="128" t="s">
        <v>3441</v>
      </c>
      <c r="B46" s="152"/>
      <c r="C46" s="153" t="s">
        <v>3442</v>
      </c>
      <c r="D46" s="154"/>
      <c r="E46" s="155" t="s">
        <v>522</v>
      </c>
      <c r="F46" s="154"/>
      <c r="G46" s="154"/>
      <c r="H46" s="154"/>
      <c r="I46" s="154"/>
      <c r="J46" s="129">
        <f>SUBTOTAL(109,J47:J63)</f>
        <v>63359.259999999995</v>
      </c>
      <c r="K46" s="154"/>
      <c r="L46" s="130"/>
      <c r="M46" s="130"/>
      <c r="N46" s="131"/>
      <c r="O46" s="169">
        <f>SUBTOTAL(109,O47:O63)</f>
        <v>70492.760000000009</v>
      </c>
    </row>
    <row r="47" spans="1:15" s="136" customFormat="1" x14ac:dyDescent="0.25">
      <c r="A47" s="150" t="s">
        <v>3491</v>
      </c>
      <c r="B47" s="151" t="s">
        <v>2459</v>
      </c>
      <c r="C47" s="137" t="s">
        <v>2514</v>
      </c>
      <c r="D47" s="138" t="s">
        <v>20</v>
      </c>
      <c r="E47" s="138">
        <v>50</v>
      </c>
      <c r="F47" s="138">
        <v>0.5</v>
      </c>
      <c r="G47" s="138"/>
      <c r="H47" s="138"/>
      <c r="I47" s="120">
        <v>27.99</v>
      </c>
      <c r="J47" s="121">
        <f t="shared" ref="J47:J63" si="2">IF(ISNUMBER(I47),ROUND(E47*I47*F47,2),"")</f>
        <v>699.75</v>
      </c>
      <c r="K47" s="196">
        <f>BDI!$E$17</f>
        <v>0.11260000000000001</v>
      </c>
      <c r="L47" s="90"/>
      <c r="M47" s="90"/>
      <c r="N47" s="91">
        <f>IF(ISNUMBER(I47),ROUND(I47*(1+K47),2),"")</f>
        <v>31.14</v>
      </c>
      <c r="O47" s="168">
        <f>IF(ISNUMBER(I47),ROUND(E47*F47*N47,2),"")</f>
        <v>778.5</v>
      </c>
    </row>
    <row r="48" spans="1:15" s="136" customFormat="1" x14ac:dyDescent="0.25">
      <c r="A48" s="150" t="s">
        <v>3492</v>
      </c>
      <c r="B48" s="151" t="s">
        <v>2940</v>
      </c>
      <c r="C48" s="137" t="s">
        <v>2941</v>
      </c>
      <c r="D48" s="138" t="s">
        <v>20</v>
      </c>
      <c r="E48" s="138">
        <v>6</v>
      </c>
      <c r="F48" s="138">
        <v>0.5</v>
      </c>
      <c r="G48" s="138"/>
      <c r="H48" s="138"/>
      <c r="I48" s="120">
        <v>439.375</v>
      </c>
      <c r="J48" s="121">
        <f t="shared" si="2"/>
        <v>1318.13</v>
      </c>
      <c r="K48" s="196">
        <f>BDI!$E$17</f>
        <v>0.11260000000000001</v>
      </c>
      <c r="L48" s="90"/>
      <c r="M48" s="90"/>
      <c r="N48" s="91">
        <f>IF(ISNUMBER(I48),ROUND(I48*(1+K48),2),"")</f>
        <v>488.85</v>
      </c>
      <c r="O48" s="168">
        <f>IF(ISNUMBER(I48),ROUND(E48*F48*N48,2),"")</f>
        <v>1466.55</v>
      </c>
    </row>
    <row r="49" spans="1:15" s="136" customFormat="1" x14ac:dyDescent="0.25">
      <c r="A49" s="150" t="s">
        <v>3493</v>
      </c>
      <c r="B49" s="151" t="s">
        <v>2484</v>
      </c>
      <c r="C49" s="137" t="s">
        <v>2534</v>
      </c>
      <c r="D49" s="138" t="s">
        <v>20</v>
      </c>
      <c r="E49" s="138">
        <v>20</v>
      </c>
      <c r="F49" s="138">
        <v>0.5</v>
      </c>
      <c r="G49" s="138"/>
      <c r="H49" s="138"/>
      <c r="I49" s="120">
        <v>356.09799999999996</v>
      </c>
      <c r="J49" s="121">
        <f t="shared" si="2"/>
        <v>3560.98</v>
      </c>
      <c r="K49" s="196">
        <f>BDI!$E$17</f>
        <v>0.11260000000000001</v>
      </c>
      <c r="L49" s="90"/>
      <c r="M49" s="90"/>
      <c r="N49" s="91">
        <f>IF(ISNUMBER(I49),ROUND(I49*(1+K49),2),"")</f>
        <v>396.19</v>
      </c>
      <c r="O49" s="168">
        <f>IF(ISNUMBER(I49),ROUND(E49*F49*N49,2),"")</f>
        <v>3961.9</v>
      </c>
    </row>
    <row r="50" spans="1:15" s="136" customFormat="1" x14ac:dyDescent="0.25">
      <c r="A50" s="150" t="s">
        <v>3494</v>
      </c>
      <c r="B50" s="151" t="s">
        <v>2487</v>
      </c>
      <c r="C50" s="137" t="s">
        <v>2537</v>
      </c>
      <c r="D50" s="138" t="s">
        <v>20</v>
      </c>
      <c r="E50" s="138">
        <v>20</v>
      </c>
      <c r="F50" s="138">
        <v>0.5</v>
      </c>
      <c r="G50" s="138"/>
      <c r="H50" s="138"/>
      <c r="I50" s="120">
        <v>343.46</v>
      </c>
      <c r="J50" s="121">
        <f t="shared" si="2"/>
        <v>3434.6</v>
      </c>
      <c r="K50" s="196">
        <f>BDI!$E$17</f>
        <v>0.11260000000000001</v>
      </c>
      <c r="L50" s="90"/>
      <c r="M50" s="90"/>
      <c r="N50" s="91">
        <f>IF(ISNUMBER(I50),ROUND(I50*(1+K50),2),"")</f>
        <v>382.13</v>
      </c>
      <c r="O50" s="168">
        <f>IF(ISNUMBER(I50),ROUND(E50*F50*N50,2),"")</f>
        <v>3821.3</v>
      </c>
    </row>
    <row r="51" spans="1:15" s="136" customFormat="1" x14ac:dyDescent="0.25">
      <c r="A51" s="150" t="s">
        <v>3495</v>
      </c>
      <c r="B51" s="151" t="s">
        <v>2488</v>
      </c>
      <c r="C51" s="137" t="s">
        <v>2538</v>
      </c>
      <c r="D51" s="138" t="s">
        <v>20</v>
      </c>
      <c r="E51" s="138">
        <v>20</v>
      </c>
      <c r="F51" s="138">
        <v>0.5</v>
      </c>
      <c r="G51" s="138"/>
      <c r="H51" s="138"/>
      <c r="I51" s="120">
        <v>50.844000000000001</v>
      </c>
      <c r="J51" s="121">
        <f t="shared" si="2"/>
        <v>508.44</v>
      </c>
      <c r="K51" s="196">
        <f>BDI!$E$17</f>
        <v>0.11260000000000001</v>
      </c>
      <c r="L51" s="90"/>
      <c r="M51" s="90"/>
      <c r="N51" s="91">
        <f>IF(ISNUMBER(I51),ROUND(I51*(1+K51),2),"")</f>
        <v>56.57</v>
      </c>
      <c r="O51" s="168">
        <f>IF(ISNUMBER(I51),ROUND(E51*F51*N51,2),"")</f>
        <v>565.70000000000005</v>
      </c>
    </row>
    <row r="52" spans="1:15" s="136" customFormat="1" x14ac:dyDescent="0.25">
      <c r="A52" s="150" t="s">
        <v>3496</v>
      </c>
      <c r="B52" s="151" t="s">
        <v>2489</v>
      </c>
      <c r="C52" s="137" t="s">
        <v>2539</v>
      </c>
      <c r="D52" s="138" t="s">
        <v>20</v>
      </c>
      <c r="E52" s="138">
        <v>20</v>
      </c>
      <c r="F52" s="138">
        <v>0.5</v>
      </c>
      <c r="G52" s="138"/>
      <c r="H52" s="138"/>
      <c r="I52" s="120">
        <v>94.819499999999991</v>
      </c>
      <c r="J52" s="121">
        <f t="shared" si="2"/>
        <v>948.2</v>
      </c>
      <c r="K52" s="196">
        <f>BDI!$E$17</f>
        <v>0.11260000000000001</v>
      </c>
      <c r="L52" s="90"/>
      <c r="M52" s="90"/>
      <c r="N52" s="91">
        <f>IF(ISNUMBER(I52),ROUND(I52*(1+K52),2),"")</f>
        <v>105.5</v>
      </c>
      <c r="O52" s="168">
        <f>IF(ISNUMBER(I52),ROUND(E52*F52*N52,2),"")</f>
        <v>1055</v>
      </c>
    </row>
    <row r="53" spans="1:15" s="136" customFormat="1" x14ac:dyDescent="0.25">
      <c r="A53" s="150" t="s">
        <v>3497</v>
      </c>
      <c r="B53" s="151" t="s">
        <v>2573</v>
      </c>
      <c r="C53" s="137" t="s">
        <v>1461</v>
      </c>
      <c r="D53" s="138" t="s">
        <v>20</v>
      </c>
      <c r="E53" s="138">
        <v>100</v>
      </c>
      <c r="F53" s="138">
        <v>0.5</v>
      </c>
      <c r="G53" s="138"/>
      <c r="H53" s="138"/>
      <c r="I53" s="120">
        <v>29.9</v>
      </c>
      <c r="J53" s="121">
        <f t="shared" si="2"/>
        <v>1495</v>
      </c>
      <c r="K53" s="196">
        <f>BDI!$E$17</f>
        <v>0.11260000000000001</v>
      </c>
      <c r="L53" s="90"/>
      <c r="M53" s="90"/>
      <c r="N53" s="91">
        <f>IF(ISNUMBER(I53),ROUND(I53*(1+K53),2),"")</f>
        <v>33.270000000000003</v>
      </c>
      <c r="O53" s="168">
        <f>IF(ISNUMBER(I53),ROUND(E53*F53*N53,2),"")</f>
        <v>1663.5</v>
      </c>
    </row>
    <row r="54" spans="1:15" s="136" customFormat="1" x14ac:dyDescent="0.25">
      <c r="A54" s="150" t="s">
        <v>3498</v>
      </c>
      <c r="B54" s="151" t="s">
        <v>2572</v>
      </c>
      <c r="C54" s="137" t="s">
        <v>1462</v>
      </c>
      <c r="D54" s="138" t="s">
        <v>20</v>
      </c>
      <c r="E54" s="138">
        <v>300</v>
      </c>
      <c r="F54" s="138">
        <v>0.5</v>
      </c>
      <c r="G54" s="138"/>
      <c r="H54" s="138"/>
      <c r="I54" s="120">
        <v>70.27</v>
      </c>
      <c r="J54" s="121">
        <f t="shared" si="2"/>
        <v>10540.5</v>
      </c>
      <c r="K54" s="196">
        <f>BDI!$E$17</f>
        <v>0.11260000000000001</v>
      </c>
      <c r="L54" s="90"/>
      <c r="M54" s="90"/>
      <c r="N54" s="91">
        <f>IF(ISNUMBER(I54),ROUND(I54*(1+K54),2),"")</f>
        <v>78.180000000000007</v>
      </c>
      <c r="O54" s="168">
        <f>IF(ISNUMBER(I54),ROUND(E54*F54*N54,2),"")</f>
        <v>11727</v>
      </c>
    </row>
    <row r="55" spans="1:15" s="136" customFormat="1" x14ac:dyDescent="0.25">
      <c r="A55" s="150" t="s">
        <v>3499</v>
      </c>
      <c r="B55" s="151" t="s">
        <v>2568</v>
      </c>
      <c r="C55" s="137" t="s">
        <v>2569</v>
      </c>
      <c r="D55" s="138" t="s">
        <v>20</v>
      </c>
      <c r="E55" s="138">
        <v>40</v>
      </c>
      <c r="F55" s="138">
        <v>0.5</v>
      </c>
      <c r="G55" s="138"/>
      <c r="H55" s="138"/>
      <c r="I55" s="120">
        <v>27.14</v>
      </c>
      <c r="J55" s="121">
        <f t="shared" si="2"/>
        <v>542.79999999999995</v>
      </c>
      <c r="K55" s="196">
        <f>BDI!$E$17</f>
        <v>0.11260000000000001</v>
      </c>
      <c r="L55" s="90"/>
      <c r="M55" s="90"/>
      <c r="N55" s="91">
        <f>IF(ISNUMBER(I55),ROUND(I55*(1+K55),2),"")</f>
        <v>30.2</v>
      </c>
      <c r="O55" s="168">
        <f>IF(ISNUMBER(I55),ROUND(E55*F55*N55,2),"")</f>
        <v>604</v>
      </c>
    </row>
    <row r="56" spans="1:15" s="136" customFormat="1" x14ac:dyDescent="0.25">
      <c r="A56" s="150" t="s">
        <v>3500</v>
      </c>
      <c r="B56" s="151" t="s">
        <v>2570</v>
      </c>
      <c r="C56" s="137" t="s">
        <v>2571</v>
      </c>
      <c r="D56" s="138" t="s">
        <v>20</v>
      </c>
      <c r="E56" s="138">
        <v>40</v>
      </c>
      <c r="F56" s="138">
        <v>0.5</v>
      </c>
      <c r="G56" s="138"/>
      <c r="H56" s="138"/>
      <c r="I56" s="120">
        <v>30.99</v>
      </c>
      <c r="J56" s="121">
        <f t="shared" si="2"/>
        <v>619.79999999999995</v>
      </c>
      <c r="K56" s="196">
        <f>BDI!$E$17</f>
        <v>0.11260000000000001</v>
      </c>
      <c r="L56" s="90"/>
      <c r="M56" s="90"/>
      <c r="N56" s="91">
        <f>IF(ISNUMBER(I56),ROUND(I56*(1+K56),2),"")</f>
        <v>34.479999999999997</v>
      </c>
      <c r="O56" s="168">
        <f>IF(ISNUMBER(I56),ROUND(E56*F56*N56,2),"")</f>
        <v>689.6</v>
      </c>
    </row>
    <row r="57" spans="1:15" s="136" customFormat="1" x14ac:dyDescent="0.25">
      <c r="A57" s="150" t="s">
        <v>3501</v>
      </c>
      <c r="B57" s="151" t="s">
        <v>2485</v>
      </c>
      <c r="C57" s="137" t="s">
        <v>2535</v>
      </c>
      <c r="D57" s="138" t="s">
        <v>20</v>
      </c>
      <c r="E57" s="138">
        <v>4</v>
      </c>
      <c r="F57" s="138">
        <v>0.5</v>
      </c>
      <c r="G57" s="138"/>
      <c r="H57" s="138"/>
      <c r="I57" s="120">
        <v>79.13</v>
      </c>
      <c r="J57" s="121">
        <f t="shared" si="2"/>
        <v>158.26</v>
      </c>
      <c r="K57" s="196">
        <f>BDI!$E$17</f>
        <v>0.11260000000000001</v>
      </c>
      <c r="L57" s="90"/>
      <c r="M57" s="90"/>
      <c r="N57" s="91">
        <f>IF(ISNUMBER(I57),ROUND(I57*(1+K57),2),"")</f>
        <v>88.04</v>
      </c>
      <c r="O57" s="168">
        <f>IF(ISNUMBER(I57),ROUND(E57*F57*N57,2),"")</f>
        <v>176.08</v>
      </c>
    </row>
    <row r="58" spans="1:15" s="136" customFormat="1" x14ac:dyDescent="0.25">
      <c r="A58" s="150" t="s">
        <v>3502</v>
      </c>
      <c r="B58" s="151" t="s">
        <v>2620</v>
      </c>
      <c r="C58" s="137" t="s">
        <v>2621</v>
      </c>
      <c r="D58" s="138" t="s">
        <v>20</v>
      </c>
      <c r="E58" s="138">
        <v>6</v>
      </c>
      <c r="F58" s="138">
        <v>0.5</v>
      </c>
      <c r="G58" s="138"/>
      <c r="H58" s="138"/>
      <c r="I58" s="120">
        <v>333.82</v>
      </c>
      <c r="J58" s="121">
        <f t="shared" si="2"/>
        <v>1001.46</v>
      </c>
      <c r="K58" s="196">
        <f>BDI!$E$17</f>
        <v>0.11260000000000001</v>
      </c>
      <c r="L58" s="90"/>
      <c r="M58" s="90"/>
      <c r="N58" s="91">
        <f>IF(ISNUMBER(I58),ROUND(I58*(1+K58),2),"")</f>
        <v>371.41</v>
      </c>
      <c r="O58" s="168">
        <f>IF(ISNUMBER(I58),ROUND(E58*F58*N58,2),"")</f>
        <v>1114.23</v>
      </c>
    </row>
    <row r="59" spans="1:15" s="136" customFormat="1" x14ac:dyDescent="0.25">
      <c r="A59" s="150" t="s">
        <v>3503</v>
      </c>
      <c r="B59" s="151" t="s">
        <v>2622</v>
      </c>
      <c r="C59" s="137" t="s">
        <v>2623</v>
      </c>
      <c r="D59" s="138" t="s">
        <v>20</v>
      </c>
      <c r="E59" s="138">
        <v>400</v>
      </c>
      <c r="F59" s="138">
        <v>0.5</v>
      </c>
      <c r="G59" s="138"/>
      <c r="H59" s="138"/>
      <c r="I59" s="120">
        <v>20.244499999999999</v>
      </c>
      <c r="J59" s="121">
        <f t="shared" si="2"/>
        <v>4048.9</v>
      </c>
      <c r="K59" s="196">
        <f>BDI!$E$17</f>
        <v>0.11260000000000001</v>
      </c>
      <c r="L59" s="90"/>
      <c r="M59" s="90"/>
      <c r="N59" s="91">
        <f>IF(ISNUMBER(I59),ROUND(I59*(1+K59),2),"")</f>
        <v>22.52</v>
      </c>
      <c r="O59" s="168">
        <f>IF(ISNUMBER(I59),ROUND(E59*F59*N59,2),"")</f>
        <v>4504</v>
      </c>
    </row>
    <row r="60" spans="1:15" s="136" customFormat="1" x14ac:dyDescent="0.25">
      <c r="A60" s="150" t="s">
        <v>3504</v>
      </c>
      <c r="B60" s="151" t="s">
        <v>2703</v>
      </c>
      <c r="C60" s="137" t="s">
        <v>2704</v>
      </c>
      <c r="D60" s="138" t="s">
        <v>20</v>
      </c>
      <c r="E60" s="138">
        <v>20</v>
      </c>
      <c r="F60" s="138">
        <v>0.5</v>
      </c>
      <c r="G60" s="138"/>
      <c r="H60" s="138"/>
      <c r="I60" s="120">
        <v>110.77</v>
      </c>
      <c r="J60" s="121">
        <f t="shared" si="2"/>
        <v>1107.7</v>
      </c>
      <c r="K60" s="196">
        <f>BDI!$E$17</f>
        <v>0.11260000000000001</v>
      </c>
      <c r="L60" s="90"/>
      <c r="M60" s="90"/>
      <c r="N60" s="91">
        <f>IF(ISNUMBER(I60),ROUND(I60*(1+K60),2),"")</f>
        <v>123.24</v>
      </c>
      <c r="O60" s="168">
        <f>IF(ISNUMBER(I60),ROUND(E60*F60*N60,2),"")</f>
        <v>1232.4000000000001</v>
      </c>
    </row>
    <row r="61" spans="1:15" s="136" customFormat="1" x14ac:dyDescent="0.25">
      <c r="A61" s="150" t="s">
        <v>3505</v>
      </c>
      <c r="B61" s="151" t="s">
        <v>2861</v>
      </c>
      <c r="C61" s="137" t="s">
        <v>1598</v>
      </c>
      <c r="D61" s="138" t="s">
        <v>20</v>
      </c>
      <c r="E61" s="138">
        <v>20</v>
      </c>
      <c r="F61" s="138">
        <v>0.5</v>
      </c>
      <c r="G61" s="138"/>
      <c r="H61" s="138"/>
      <c r="I61" s="120">
        <v>82.478999999999985</v>
      </c>
      <c r="J61" s="121">
        <f t="shared" si="2"/>
        <v>824.79</v>
      </c>
      <c r="K61" s="196">
        <f>BDI!$E$17</f>
        <v>0.11260000000000001</v>
      </c>
      <c r="L61" s="90"/>
      <c r="M61" s="90"/>
      <c r="N61" s="91">
        <f>IF(ISNUMBER(I61),ROUND(I61*(1+K61),2),"")</f>
        <v>91.77</v>
      </c>
      <c r="O61" s="168">
        <f>IF(ISNUMBER(I61),ROUND(E61*F61*N61,2),"")</f>
        <v>917.7</v>
      </c>
    </row>
    <row r="62" spans="1:15" s="136" customFormat="1" x14ac:dyDescent="0.25">
      <c r="A62" s="150" t="s">
        <v>3506</v>
      </c>
      <c r="B62" s="151" t="s">
        <v>2232</v>
      </c>
      <c r="C62" s="137" t="s">
        <v>2069</v>
      </c>
      <c r="D62" s="138" t="s">
        <v>20</v>
      </c>
      <c r="E62" s="138">
        <v>20</v>
      </c>
      <c r="F62" s="138">
        <v>0.5</v>
      </c>
      <c r="G62" s="138"/>
      <c r="H62" s="138"/>
      <c r="I62" s="120">
        <v>640.68949999999995</v>
      </c>
      <c r="J62" s="121">
        <f t="shared" si="2"/>
        <v>6406.9</v>
      </c>
      <c r="K62" s="196">
        <f>BDI!$E$17</f>
        <v>0.11260000000000001</v>
      </c>
      <c r="L62" s="90"/>
      <c r="M62" s="90"/>
      <c r="N62" s="91">
        <f>IF(ISNUMBER(I62),ROUND(I62*(1+K62),2),"")</f>
        <v>712.83</v>
      </c>
      <c r="O62" s="168">
        <f>IF(ISNUMBER(I62),ROUND(E62*F62*N62,2),"")</f>
        <v>7128.3</v>
      </c>
    </row>
    <row r="63" spans="1:15" s="136" customFormat="1" x14ac:dyDescent="0.25">
      <c r="A63" s="150" t="s">
        <v>3507</v>
      </c>
      <c r="B63" s="151" t="s">
        <v>2233</v>
      </c>
      <c r="C63" s="137" t="s">
        <v>2070</v>
      </c>
      <c r="D63" s="138" t="s">
        <v>20</v>
      </c>
      <c r="E63" s="138">
        <v>100</v>
      </c>
      <c r="F63" s="138">
        <v>0.5</v>
      </c>
      <c r="G63" s="138"/>
      <c r="H63" s="138"/>
      <c r="I63" s="120">
        <v>522.86099999999999</v>
      </c>
      <c r="J63" s="121">
        <f t="shared" si="2"/>
        <v>26143.05</v>
      </c>
      <c r="K63" s="196">
        <f>BDI!$E$17</f>
        <v>0.11260000000000001</v>
      </c>
      <c r="L63" s="90"/>
      <c r="M63" s="90"/>
      <c r="N63" s="91">
        <f>IF(ISNUMBER(I63),ROUND(I63*(1+K63),2),"")</f>
        <v>581.74</v>
      </c>
      <c r="O63" s="168">
        <f>IF(ISNUMBER(I63),ROUND(E63*F63*N63,2),"")</f>
        <v>29087</v>
      </c>
    </row>
    <row r="64" spans="1:15" s="136" customFormat="1" x14ac:dyDescent="0.25">
      <c r="A64" s="128" t="s">
        <v>3465</v>
      </c>
      <c r="B64" s="152"/>
      <c r="C64" s="153" t="s">
        <v>3443</v>
      </c>
      <c r="D64" s="154"/>
      <c r="E64" s="155" t="s">
        <v>522</v>
      </c>
      <c r="F64" s="154"/>
      <c r="G64" s="154"/>
      <c r="H64" s="154"/>
      <c r="I64" s="154"/>
      <c r="J64" s="129">
        <f>SUBTOTAL(109,J65:J109)</f>
        <v>88625.469999999987</v>
      </c>
      <c r="K64" s="154"/>
      <c r="L64" s="130"/>
      <c r="M64" s="130"/>
      <c r="N64" s="131"/>
      <c r="O64" s="169">
        <f>SUBTOTAL(109,O65:O109)</f>
        <v>98604.489999999976</v>
      </c>
    </row>
    <row r="65" spans="1:15" s="136" customFormat="1" x14ac:dyDescent="0.25">
      <c r="A65" s="150" t="s">
        <v>3508</v>
      </c>
      <c r="B65" s="151" t="s">
        <v>2624</v>
      </c>
      <c r="C65" s="137" t="s">
        <v>2625</v>
      </c>
      <c r="D65" s="138" t="s">
        <v>20</v>
      </c>
      <c r="E65" s="138">
        <v>20</v>
      </c>
      <c r="F65" s="138">
        <v>0.5</v>
      </c>
      <c r="G65" s="138"/>
      <c r="H65" s="138"/>
      <c r="I65" s="120">
        <v>94.3</v>
      </c>
      <c r="J65" s="121">
        <f t="shared" ref="J65:J109" si="3">IF(ISNUMBER(I65),ROUND(E65*I65*F65,2),"")</f>
        <v>943</v>
      </c>
      <c r="K65" s="196">
        <f>BDI!$E$17</f>
        <v>0.11260000000000001</v>
      </c>
      <c r="L65" s="90"/>
      <c r="M65" s="90"/>
      <c r="N65" s="91">
        <f>IF(ISNUMBER(I65),ROUND(I65*(1+K65),2),"")</f>
        <v>104.92</v>
      </c>
      <c r="O65" s="168">
        <f>IF(ISNUMBER(I65),ROUND(E65*F65*N65,2),"")</f>
        <v>1049.2</v>
      </c>
    </row>
    <row r="66" spans="1:15" s="136" customFormat="1" x14ac:dyDescent="0.25">
      <c r="A66" s="150" t="s">
        <v>3509</v>
      </c>
      <c r="B66" s="151" t="s">
        <v>2626</v>
      </c>
      <c r="C66" s="137" t="s">
        <v>2627</v>
      </c>
      <c r="D66" s="138" t="s">
        <v>20</v>
      </c>
      <c r="E66" s="138">
        <v>20</v>
      </c>
      <c r="F66" s="138">
        <v>0.5</v>
      </c>
      <c r="G66" s="138"/>
      <c r="H66" s="138"/>
      <c r="I66" s="120">
        <v>89.58</v>
      </c>
      <c r="J66" s="121">
        <f t="shared" si="3"/>
        <v>895.8</v>
      </c>
      <c r="K66" s="196">
        <f>BDI!$E$17</f>
        <v>0.11260000000000001</v>
      </c>
      <c r="L66" s="90"/>
      <c r="M66" s="90"/>
      <c r="N66" s="91">
        <f>IF(ISNUMBER(I66),ROUND(I66*(1+K66),2),"")</f>
        <v>99.67</v>
      </c>
      <c r="O66" s="168">
        <f>IF(ISNUMBER(I66),ROUND(E66*F66*N66,2),"")</f>
        <v>996.7</v>
      </c>
    </row>
    <row r="67" spans="1:15" s="136" customFormat="1" x14ac:dyDescent="0.25">
      <c r="A67" s="150" t="s">
        <v>3510</v>
      </c>
      <c r="B67" s="151" t="s">
        <v>2630</v>
      </c>
      <c r="C67" s="137" t="s">
        <v>2631</v>
      </c>
      <c r="D67" s="138" t="s">
        <v>20</v>
      </c>
      <c r="E67" s="138">
        <v>20</v>
      </c>
      <c r="F67" s="138">
        <v>0.5</v>
      </c>
      <c r="G67" s="138"/>
      <c r="H67" s="138"/>
      <c r="I67" s="120">
        <v>39.14</v>
      </c>
      <c r="J67" s="121">
        <f t="shared" si="3"/>
        <v>391.4</v>
      </c>
      <c r="K67" s="196">
        <f>BDI!$E$17</f>
        <v>0.11260000000000001</v>
      </c>
      <c r="L67" s="90"/>
      <c r="M67" s="90"/>
      <c r="N67" s="91">
        <f>IF(ISNUMBER(I67),ROUND(I67*(1+K67),2),"")</f>
        <v>43.55</v>
      </c>
      <c r="O67" s="168">
        <f>IF(ISNUMBER(I67),ROUND(E67*F67*N67,2),"")</f>
        <v>435.5</v>
      </c>
    </row>
    <row r="68" spans="1:15" s="136" customFormat="1" x14ac:dyDescent="0.25">
      <c r="A68" s="150" t="s">
        <v>3511</v>
      </c>
      <c r="B68" s="151" t="s">
        <v>2628</v>
      </c>
      <c r="C68" s="137" t="s">
        <v>2629</v>
      </c>
      <c r="D68" s="138" t="s">
        <v>20</v>
      </c>
      <c r="E68" s="138">
        <v>20</v>
      </c>
      <c r="F68" s="138">
        <v>0.5</v>
      </c>
      <c r="G68" s="138"/>
      <c r="H68" s="138"/>
      <c r="I68" s="120">
        <v>68</v>
      </c>
      <c r="J68" s="121">
        <f t="shared" si="3"/>
        <v>680</v>
      </c>
      <c r="K68" s="196">
        <f>BDI!$E$17</f>
        <v>0.11260000000000001</v>
      </c>
      <c r="L68" s="90"/>
      <c r="M68" s="90"/>
      <c r="N68" s="91">
        <f>IF(ISNUMBER(I68),ROUND(I68*(1+K68),2),"")</f>
        <v>75.66</v>
      </c>
      <c r="O68" s="168">
        <f>IF(ISNUMBER(I68),ROUND(E68*F68*N68,2),"")</f>
        <v>756.6</v>
      </c>
    </row>
    <row r="69" spans="1:15" s="136" customFormat="1" x14ac:dyDescent="0.25">
      <c r="A69" s="150" t="s">
        <v>3512</v>
      </c>
      <c r="B69" s="151" t="s">
        <v>2632</v>
      </c>
      <c r="C69" s="137" t="s">
        <v>2633</v>
      </c>
      <c r="D69" s="138" t="s">
        <v>20</v>
      </c>
      <c r="E69" s="138">
        <v>60</v>
      </c>
      <c r="F69" s="138">
        <v>0.5</v>
      </c>
      <c r="G69" s="138"/>
      <c r="H69" s="138"/>
      <c r="I69" s="120">
        <v>47.73</v>
      </c>
      <c r="J69" s="121">
        <f t="shared" si="3"/>
        <v>1431.9</v>
      </c>
      <c r="K69" s="196">
        <f>BDI!$E$17</f>
        <v>0.11260000000000001</v>
      </c>
      <c r="L69" s="90"/>
      <c r="M69" s="90"/>
      <c r="N69" s="91">
        <f>IF(ISNUMBER(I69),ROUND(I69*(1+K69),2),"")</f>
        <v>53.1</v>
      </c>
      <c r="O69" s="168">
        <f>IF(ISNUMBER(I69),ROUND(E69*F69*N69,2),"")</f>
        <v>1593</v>
      </c>
    </row>
    <row r="70" spans="1:15" s="136" customFormat="1" x14ac:dyDescent="0.25">
      <c r="A70" s="150" t="s">
        <v>3513</v>
      </c>
      <c r="B70" s="151" t="s">
        <v>2661</v>
      </c>
      <c r="C70" s="137" t="s">
        <v>2662</v>
      </c>
      <c r="D70" s="138" t="s">
        <v>20</v>
      </c>
      <c r="E70" s="138">
        <v>10</v>
      </c>
      <c r="F70" s="138">
        <v>0.5</v>
      </c>
      <c r="G70" s="138"/>
      <c r="H70" s="138"/>
      <c r="I70" s="120">
        <v>52.98</v>
      </c>
      <c r="J70" s="121">
        <f t="shared" si="3"/>
        <v>264.89999999999998</v>
      </c>
      <c r="K70" s="196">
        <f>BDI!$E$17</f>
        <v>0.11260000000000001</v>
      </c>
      <c r="L70" s="90"/>
      <c r="M70" s="90"/>
      <c r="N70" s="91">
        <f>IF(ISNUMBER(I70),ROUND(I70*(1+K70),2),"")</f>
        <v>58.95</v>
      </c>
      <c r="O70" s="168">
        <f>IF(ISNUMBER(I70),ROUND(E70*F70*N70,2),"")</f>
        <v>294.75</v>
      </c>
    </row>
    <row r="71" spans="1:15" s="136" customFormat="1" x14ac:dyDescent="0.25">
      <c r="A71" s="150" t="s">
        <v>3514</v>
      </c>
      <c r="B71" s="151" t="s">
        <v>2663</v>
      </c>
      <c r="C71" s="137" t="s">
        <v>2664</v>
      </c>
      <c r="D71" s="138" t="s">
        <v>20</v>
      </c>
      <c r="E71" s="138">
        <v>30</v>
      </c>
      <c r="F71" s="138">
        <v>0.5</v>
      </c>
      <c r="G71" s="138"/>
      <c r="H71" s="138"/>
      <c r="I71" s="120">
        <v>47.9</v>
      </c>
      <c r="J71" s="121">
        <f t="shared" si="3"/>
        <v>718.5</v>
      </c>
      <c r="K71" s="196">
        <f>BDI!$E$17</f>
        <v>0.11260000000000001</v>
      </c>
      <c r="L71" s="90"/>
      <c r="M71" s="90"/>
      <c r="N71" s="91">
        <f>IF(ISNUMBER(I71),ROUND(I71*(1+K71),2),"")</f>
        <v>53.29</v>
      </c>
      <c r="O71" s="168">
        <f>IF(ISNUMBER(I71),ROUND(E71*F71*N71,2),"")</f>
        <v>799.35</v>
      </c>
    </row>
    <row r="72" spans="1:15" s="136" customFormat="1" x14ac:dyDescent="0.25">
      <c r="A72" s="150" t="s">
        <v>3515</v>
      </c>
      <c r="B72" s="151" t="s">
        <v>2643</v>
      </c>
      <c r="C72" s="137" t="s">
        <v>2644</v>
      </c>
      <c r="D72" s="138" t="s">
        <v>20</v>
      </c>
      <c r="E72" s="138">
        <v>20</v>
      </c>
      <c r="F72" s="138">
        <v>0.5</v>
      </c>
      <c r="G72" s="138"/>
      <c r="H72" s="138"/>
      <c r="I72" s="120">
        <v>73.928999999999988</v>
      </c>
      <c r="J72" s="121">
        <f t="shared" si="3"/>
        <v>739.29</v>
      </c>
      <c r="K72" s="196">
        <f>BDI!$E$17</f>
        <v>0.11260000000000001</v>
      </c>
      <c r="L72" s="90"/>
      <c r="M72" s="90"/>
      <c r="N72" s="91">
        <f>IF(ISNUMBER(I72),ROUND(I72*(1+K72),2),"")</f>
        <v>82.25</v>
      </c>
      <c r="O72" s="168">
        <f>IF(ISNUMBER(I72),ROUND(E72*F72*N72,2),"")</f>
        <v>822.5</v>
      </c>
    </row>
    <row r="73" spans="1:15" s="136" customFormat="1" x14ac:dyDescent="0.25">
      <c r="A73" s="150" t="s">
        <v>3516</v>
      </c>
      <c r="B73" s="151" t="s">
        <v>2645</v>
      </c>
      <c r="C73" s="137" t="s">
        <v>2646</v>
      </c>
      <c r="D73" s="138" t="s">
        <v>20</v>
      </c>
      <c r="E73" s="138">
        <v>20</v>
      </c>
      <c r="F73" s="138">
        <v>0.5</v>
      </c>
      <c r="G73" s="138"/>
      <c r="H73" s="138"/>
      <c r="I73" s="120">
        <v>58.558</v>
      </c>
      <c r="J73" s="121">
        <f t="shared" si="3"/>
        <v>585.58000000000004</v>
      </c>
      <c r="K73" s="196">
        <f>BDI!$E$17</f>
        <v>0.11260000000000001</v>
      </c>
      <c r="L73" s="90"/>
      <c r="M73" s="90"/>
      <c r="N73" s="91">
        <f>IF(ISNUMBER(I73),ROUND(I73*(1+K73),2),"")</f>
        <v>65.150000000000006</v>
      </c>
      <c r="O73" s="168">
        <f>IF(ISNUMBER(I73),ROUND(E73*F73*N73,2),"")</f>
        <v>651.5</v>
      </c>
    </row>
    <row r="74" spans="1:15" s="136" customFormat="1" x14ac:dyDescent="0.25">
      <c r="A74" s="150" t="s">
        <v>3517</v>
      </c>
      <c r="B74" s="151" t="s">
        <v>2649</v>
      </c>
      <c r="C74" s="137" t="s">
        <v>2650</v>
      </c>
      <c r="D74" s="138" t="s">
        <v>20</v>
      </c>
      <c r="E74" s="138">
        <v>20</v>
      </c>
      <c r="F74" s="138">
        <v>0.5</v>
      </c>
      <c r="G74" s="138"/>
      <c r="H74" s="138"/>
      <c r="I74" s="120">
        <v>25.802</v>
      </c>
      <c r="J74" s="121">
        <f t="shared" si="3"/>
        <v>258.02</v>
      </c>
      <c r="K74" s="196">
        <f>BDI!$E$17</f>
        <v>0.11260000000000001</v>
      </c>
      <c r="L74" s="90"/>
      <c r="M74" s="90"/>
      <c r="N74" s="91">
        <f>IF(ISNUMBER(I74),ROUND(I74*(1+K74),2),"")</f>
        <v>28.71</v>
      </c>
      <c r="O74" s="168">
        <f>IF(ISNUMBER(I74),ROUND(E74*F74*N74,2),"")</f>
        <v>287.10000000000002</v>
      </c>
    </row>
    <row r="75" spans="1:15" s="136" customFormat="1" x14ac:dyDescent="0.25">
      <c r="A75" s="150" t="s">
        <v>3518</v>
      </c>
      <c r="B75" s="151" t="s">
        <v>2647</v>
      </c>
      <c r="C75" s="137" t="s">
        <v>2648</v>
      </c>
      <c r="D75" s="138" t="s">
        <v>20</v>
      </c>
      <c r="E75" s="138">
        <v>20</v>
      </c>
      <c r="F75" s="138">
        <v>0.5</v>
      </c>
      <c r="G75" s="138"/>
      <c r="H75" s="138"/>
      <c r="I75" s="120">
        <v>42.958999999999996</v>
      </c>
      <c r="J75" s="121">
        <f t="shared" si="3"/>
        <v>429.59</v>
      </c>
      <c r="K75" s="196">
        <f>BDI!$E$17</f>
        <v>0.11260000000000001</v>
      </c>
      <c r="L75" s="90"/>
      <c r="M75" s="90"/>
      <c r="N75" s="91">
        <f>IF(ISNUMBER(I75),ROUND(I75*(1+K75),2),"")</f>
        <v>47.8</v>
      </c>
      <c r="O75" s="168">
        <f>IF(ISNUMBER(I75),ROUND(E75*F75*N75,2),"")</f>
        <v>478</v>
      </c>
    </row>
    <row r="76" spans="1:15" s="136" customFormat="1" x14ac:dyDescent="0.25">
      <c r="A76" s="150" t="s">
        <v>3519</v>
      </c>
      <c r="B76" s="151" t="s">
        <v>2651</v>
      </c>
      <c r="C76" s="137" t="s">
        <v>2652</v>
      </c>
      <c r="D76" s="138" t="s">
        <v>20</v>
      </c>
      <c r="E76" s="138">
        <v>20</v>
      </c>
      <c r="F76" s="138">
        <v>0.5</v>
      </c>
      <c r="G76" s="138"/>
      <c r="H76" s="138"/>
      <c r="I76" s="120">
        <v>213.55049999999997</v>
      </c>
      <c r="J76" s="121">
        <f t="shared" si="3"/>
        <v>2135.5100000000002</v>
      </c>
      <c r="K76" s="196">
        <f>BDI!$E$17</f>
        <v>0.11260000000000001</v>
      </c>
      <c r="L76" s="90"/>
      <c r="M76" s="90"/>
      <c r="N76" s="91">
        <f>IF(ISNUMBER(I76),ROUND(I76*(1+K76),2),"")</f>
        <v>237.6</v>
      </c>
      <c r="O76" s="168">
        <f>IF(ISNUMBER(I76),ROUND(E76*F76*N76,2),"")</f>
        <v>2376</v>
      </c>
    </row>
    <row r="77" spans="1:15" s="136" customFormat="1" x14ac:dyDescent="0.25">
      <c r="A77" s="150" t="s">
        <v>3520</v>
      </c>
      <c r="B77" s="151" t="s">
        <v>2653</v>
      </c>
      <c r="C77" s="137" t="s">
        <v>2654</v>
      </c>
      <c r="D77" s="138" t="s">
        <v>20</v>
      </c>
      <c r="E77" s="138">
        <v>30</v>
      </c>
      <c r="F77" s="138">
        <v>0.5</v>
      </c>
      <c r="G77" s="138"/>
      <c r="H77" s="138"/>
      <c r="I77" s="120">
        <v>102.9705</v>
      </c>
      <c r="J77" s="121">
        <f t="shared" si="3"/>
        <v>1544.56</v>
      </c>
      <c r="K77" s="196">
        <f>BDI!$E$17</f>
        <v>0.11260000000000001</v>
      </c>
      <c r="L77" s="90"/>
      <c r="M77" s="90"/>
      <c r="N77" s="91">
        <f>IF(ISNUMBER(I77),ROUND(I77*(1+K77),2),"")</f>
        <v>114.56</v>
      </c>
      <c r="O77" s="168">
        <f>IF(ISNUMBER(I77),ROUND(E77*F77*N77,2),"")</f>
        <v>1718.4</v>
      </c>
    </row>
    <row r="78" spans="1:15" s="136" customFormat="1" x14ac:dyDescent="0.25">
      <c r="A78" s="150" t="s">
        <v>3521</v>
      </c>
      <c r="B78" s="151" t="s">
        <v>2657</v>
      </c>
      <c r="C78" s="137" t="s">
        <v>2658</v>
      </c>
      <c r="D78" s="138" t="s">
        <v>20</v>
      </c>
      <c r="E78" s="138">
        <v>30</v>
      </c>
      <c r="F78" s="138">
        <v>0.5</v>
      </c>
      <c r="G78" s="138"/>
      <c r="H78" s="138"/>
      <c r="I78" s="120">
        <v>27.217499999999998</v>
      </c>
      <c r="J78" s="121">
        <f t="shared" si="3"/>
        <v>408.26</v>
      </c>
      <c r="K78" s="196">
        <f>BDI!$E$17</f>
        <v>0.11260000000000001</v>
      </c>
      <c r="L78" s="90"/>
      <c r="M78" s="90"/>
      <c r="N78" s="91">
        <f>IF(ISNUMBER(I78),ROUND(I78*(1+K78),2),"")</f>
        <v>30.28</v>
      </c>
      <c r="O78" s="168">
        <f>IF(ISNUMBER(I78),ROUND(E78*F78*N78,2),"")</f>
        <v>454.2</v>
      </c>
    </row>
    <row r="79" spans="1:15" s="136" customFormat="1" x14ac:dyDescent="0.25">
      <c r="A79" s="150" t="s">
        <v>3522</v>
      </c>
      <c r="B79" s="151" t="s">
        <v>2655</v>
      </c>
      <c r="C79" s="137" t="s">
        <v>2656</v>
      </c>
      <c r="D79" s="138" t="s">
        <v>20</v>
      </c>
      <c r="E79" s="138">
        <v>20</v>
      </c>
      <c r="F79" s="138">
        <v>0.5</v>
      </c>
      <c r="G79" s="138"/>
      <c r="H79" s="138"/>
      <c r="I79" s="120">
        <v>258.53299999999996</v>
      </c>
      <c r="J79" s="121">
        <f t="shared" si="3"/>
        <v>2585.33</v>
      </c>
      <c r="K79" s="196">
        <f>BDI!$E$17</f>
        <v>0.11260000000000001</v>
      </c>
      <c r="L79" s="90"/>
      <c r="M79" s="90"/>
      <c r="N79" s="91">
        <f>IF(ISNUMBER(I79),ROUND(I79*(1+K79),2),"")</f>
        <v>287.64</v>
      </c>
      <c r="O79" s="168">
        <f>IF(ISNUMBER(I79),ROUND(E79*F79*N79,2),"")</f>
        <v>2876.4</v>
      </c>
    </row>
    <row r="80" spans="1:15" s="136" customFormat="1" x14ac:dyDescent="0.25">
      <c r="A80" s="150" t="s">
        <v>3523</v>
      </c>
      <c r="B80" s="151" t="s">
        <v>2659</v>
      </c>
      <c r="C80" s="137" t="s">
        <v>2660</v>
      </c>
      <c r="D80" s="138" t="s">
        <v>20</v>
      </c>
      <c r="E80" s="138">
        <v>10</v>
      </c>
      <c r="F80" s="138">
        <v>0.5</v>
      </c>
      <c r="G80" s="138"/>
      <c r="H80" s="138"/>
      <c r="I80" s="120">
        <v>538.69749999999988</v>
      </c>
      <c r="J80" s="121">
        <f t="shared" si="3"/>
        <v>2693.49</v>
      </c>
      <c r="K80" s="196">
        <f>BDI!$E$17</f>
        <v>0.11260000000000001</v>
      </c>
      <c r="L80" s="90"/>
      <c r="M80" s="90"/>
      <c r="N80" s="91">
        <f>IF(ISNUMBER(I80),ROUND(I80*(1+K80),2),"")</f>
        <v>599.35</v>
      </c>
      <c r="O80" s="168">
        <f>IF(ISNUMBER(I80),ROUND(E80*F80*N80,2),"")</f>
        <v>2996.75</v>
      </c>
    </row>
    <row r="81" spans="1:15" s="136" customFormat="1" x14ac:dyDescent="0.25">
      <c r="A81" s="150" t="s">
        <v>3524</v>
      </c>
      <c r="B81" s="151" t="s">
        <v>2665</v>
      </c>
      <c r="C81" s="137" t="s">
        <v>2666</v>
      </c>
      <c r="D81" s="138" t="s">
        <v>20</v>
      </c>
      <c r="E81" s="138">
        <v>20</v>
      </c>
      <c r="F81" s="138">
        <v>0.5</v>
      </c>
      <c r="G81" s="138"/>
      <c r="H81" s="138"/>
      <c r="I81" s="120">
        <v>18.287499999999998</v>
      </c>
      <c r="J81" s="121">
        <f t="shared" si="3"/>
        <v>182.88</v>
      </c>
      <c r="K81" s="196">
        <f>BDI!$E$17</f>
        <v>0.11260000000000001</v>
      </c>
      <c r="L81" s="90"/>
      <c r="M81" s="90"/>
      <c r="N81" s="91">
        <f>IF(ISNUMBER(I81),ROUND(I81*(1+K81),2),"")</f>
        <v>20.350000000000001</v>
      </c>
      <c r="O81" s="168">
        <f>IF(ISNUMBER(I81),ROUND(E81*F81*N81,2),"")</f>
        <v>203.5</v>
      </c>
    </row>
    <row r="82" spans="1:15" s="136" customFormat="1" x14ac:dyDescent="0.25">
      <c r="A82" s="150" t="s">
        <v>3525</v>
      </c>
      <c r="B82" s="151" t="s">
        <v>2667</v>
      </c>
      <c r="C82" s="137" t="s">
        <v>2668</v>
      </c>
      <c r="D82" s="138" t="s">
        <v>20</v>
      </c>
      <c r="E82" s="138">
        <v>20</v>
      </c>
      <c r="F82" s="138">
        <v>0.5</v>
      </c>
      <c r="G82" s="138"/>
      <c r="H82" s="138"/>
      <c r="I82" s="120">
        <v>21.831</v>
      </c>
      <c r="J82" s="121">
        <f t="shared" si="3"/>
        <v>218.31</v>
      </c>
      <c r="K82" s="196">
        <f>BDI!$E$17</f>
        <v>0.11260000000000001</v>
      </c>
      <c r="L82" s="90"/>
      <c r="M82" s="90"/>
      <c r="N82" s="91">
        <f>IF(ISNUMBER(I82),ROUND(I82*(1+K82),2),"")</f>
        <v>24.29</v>
      </c>
      <c r="O82" s="168">
        <f>IF(ISNUMBER(I82),ROUND(E82*F82*N82,2),"")</f>
        <v>242.9</v>
      </c>
    </row>
    <row r="83" spans="1:15" s="136" customFormat="1" x14ac:dyDescent="0.25">
      <c r="A83" s="150" t="s">
        <v>3526</v>
      </c>
      <c r="B83" s="151" t="s">
        <v>2671</v>
      </c>
      <c r="C83" s="137" t="s">
        <v>2672</v>
      </c>
      <c r="D83" s="138" t="s">
        <v>20</v>
      </c>
      <c r="E83" s="138">
        <v>10</v>
      </c>
      <c r="F83" s="138">
        <v>0.5</v>
      </c>
      <c r="G83" s="138"/>
      <c r="H83" s="138"/>
      <c r="I83" s="120">
        <v>82.29849999999999</v>
      </c>
      <c r="J83" s="121">
        <f t="shared" si="3"/>
        <v>411.49</v>
      </c>
      <c r="K83" s="196">
        <f>BDI!$E$17</f>
        <v>0.11260000000000001</v>
      </c>
      <c r="L83" s="90"/>
      <c r="M83" s="90"/>
      <c r="N83" s="91">
        <f>IF(ISNUMBER(I83),ROUND(I83*(1+K83),2),"")</f>
        <v>91.57</v>
      </c>
      <c r="O83" s="168">
        <f>IF(ISNUMBER(I83),ROUND(E83*F83*N83,2),"")</f>
        <v>457.85</v>
      </c>
    </row>
    <row r="84" spans="1:15" s="136" customFormat="1" x14ac:dyDescent="0.25">
      <c r="A84" s="150" t="s">
        <v>3527</v>
      </c>
      <c r="B84" s="151" t="s">
        <v>2669</v>
      </c>
      <c r="C84" s="137" t="s">
        <v>2670</v>
      </c>
      <c r="D84" s="138" t="s">
        <v>20</v>
      </c>
      <c r="E84" s="138">
        <v>6</v>
      </c>
      <c r="F84" s="138">
        <v>0.5</v>
      </c>
      <c r="G84" s="138"/>
      <c r="H84" s="138"/>
      <c r="I84" s="120">
        <v>30.02</v>
      </c>
      <c r="J84" s="121">
        <f t="shared" si="3"/>
        <v>90.06</v>
      </c>
      <c r="K84" s="196">
        <f>BDI!$E$17</f>
        <v>0.11260000000000001</v>
      </c>
      <c r="L84" s="90"/>
      <c r="M84" s="90"/>
      <c r="N84" s="91">
        <f>IF(ISNUMBER(I84),ROUND(I84*(1+K84),2),"")</f>
        <v>33.4</v>
      </c>
      <c r="O84" s="168">
        <f>IF(ISNUMBER(I84),ROUND(E84*F84*N84,2),"")</f>
        <v>100.2</v>
      </c>
    </row>
    <row r="85" spans="1:15" s="136" customFormat="1" x14ac:dyDescent="0.25">
      <c r="A85" s="150" t="s">
        <v>3528</v>
      </c>
      <c r="B85" s="151" t="s">
        <v>2673</v>
      </c>
      <c r="C85" s="137" t="s">
        <v>2674</v>
      </c>
      <c r="D85" s="138" t="s">
        <v>20</v>
      </c>
      <c r="E85" s="138">
        <v>10</v>
      </c>
      <c r="F85" s="138">
        <v>0.5</v>
      </c>
      <c r="G85" s="138"/>
      <c r="H85" s="138"/>
      <c r="I85" s="120">
        <v>146.51849999999999</v>
      </c>
      <c r="J85" s="121">
        <f t="shared" si="3"/>
        <v>732.59</v>
      </c>
      <c r="K85" s="196">
        <f>BDI!$E$17</f>
        <v>0.11260000000000001</v>
      </c>
      <c r="L85" s="90"/>
      <c r="M85" s="90"/>
      <c r="N85" s="91">
        <f>IF(ISNUMBER(I85),ROUND(I85*(1+K85),2),"")</f>
        <v>163.02000000000001</v>
      </c>
      <c r="O85" s="168">
        <f>IF(ISNUMBER(I85),ROUND(E85*F85*N85,2),"")</f>
        <v>815.1</v>
      </c>
    </row>
    <row r="86" spans="1:15" s="136" customFormat="1" x14ac:dyDescent="0.25">
      <c r="A86" s="150" t="s">
        <v>3529</v>
      </c>
      <c r="B86" s="151" t="s">
        <v>2675</v>
      </c>
      <c r="C86" s="137" t="s">
        <v>2676</v>
      </c>
      <c r="D86" s="138" t="s">
        <v>20</v>
      </c>
      <c r="E86" s="138">
        <v>20</v>
      </c>
      <c r="F86" s="138">
        <v>0.5</v>
      </c>
      <c r="G86" s="138"/>
      <c r="H86" s="138"/>
      <c r="I86" s="120">
        <v>147.25</v>
      </c>
      <c r="J86" s="121">
        <f t="shared" si="3"/>
        <v>1472.5</v>
      </c>
      <c r="K86" s="196">
        <f>BDI!$E$17</f>
        <v>0.11260000000000001</v>
      </c>
      <c r="L86" s="90"/>
      <c r="M86" s="90"/>
      <c r="N86" s="91">
        <f>IF(ISNUMBER(I86),ROUND(I86*(1+K86),2),"")</f>
        <v>163.83000000000001</v>
      </c>
      <c r="O86" s="168">
        <f>IF(ISNUMBER(I86),ROUND(E86*F86*N86,2),"")</f>
        <v>1638.3</v>
      </c>
    </row>
    <row r="87" spans="1:15" s="136" customFormat="1" x14ac:dyDescent="0.25">
      <c r="A87" s="150" t="s">
        <v>3530</v>
      </c>
      <c r="B87" s="151" t="s">
        <v>2677</v>
      </c>
      <c r="C87" s="137" t="s">
        <v>2678</v>
      </c>
      <c r="D87" s="138" t="s">
        <v>20</v>
      </c>
      <c r="E87" s="138">
        <v>40</v>
      </c>
      <c r="F87" s="138">
        <v>0.5</v>
      </c>
      <c r="G87" s="138"/>
      <c r="H87" s="138"/>
      <c r="I87" s="120">
        <v>78.52</v>
      </c>
      <c r="J87" s="121">
        <f t="shared" si="3"/>
        <v>1570.4</v>
      </c>
      <c r="K87" s="196">
        <f>BDI!$E$17</f>
        <v>0.11260000000000001</v>
      </c>
      <c r="L87" s="90"/>
      <c r="M87" s="90"/>
      <c r="N87" s="91">
        <f>IF(ISNUMBER(I87),ROUND(I87*(1+K87),2),"")</f>
        <v>87.36</v>
      </c>
      <c r="O87" s="168">
        <f>IF(ISNUMBER(I87),ROUND(E87*F87*N87,2),"")</f>
        <v>1747.2</v>
      </c>
    </row>
    <row r="88" spans="1:15" s="136" customFormat="1" x14ac:dyDescent="0.25">
      <c r="A88" s="150" t="s">
        <v>3531</v>
      </c>
      <c r="B88" s="151" t="s">
        <v>2679</v>
      </c>
      <c r="C88" s="137" t="s">
        <v>2680</v>
      </c>
      <c r="D88" s="138" t="s">
        <v>20</v>
      </c>
      <c r="E88" s="138">
        <v>20</v>
      </c>
      <c r="F88" s="138">
        <v>0.5</v>
      </c>
      <c r="G88" s="138"/>
      <c r="H88" s="138"/>
      <c r="I88" s="120">
        <v>77.209999999999994</v>
      </c>
      <c r="J88" s="121">
        <f t="shared" si="3"/>
        <v>772.1</v>
      </c>
      <c r="K88" s="196">
        <f>BDI!$E$17</f>
        <v>0.11260000000000001</v>
      </c>
      <c r="L88" s="90"/>
      <c r="M88" s="90"/>
      <c r="N88" s="91">
        <f>IF(ISNUMBER(I88),ROUND(I88*(1+K88),2),"")</f>
        <v>85.9</v>
      </c>
      <c r="O88" s="168">
        <f>IF(ISNUMBER(I88),ROUND(E88*F88*N88,2),"")</f>
        <v>859</v>
      </c>
    </row>
    <row r="89" spans="1:15" s="136" customFormat="1" x14ac:dyDescent="0.25">
      <c r="A89" s="150" t="s">
        <v>3532</v>
      </c>
      <c r="B89" s="151" t="s">
        <v>2720</v>
      </c>
      <c r="C89" s="137" t="s">
        <v>2721</v>
      </c>
      <c r="D89" s="138" t="s">
        <v>20</v>
      </c>
      <c r="E89" s="138">
        <v>60</v>
      </c>
      <c r="F89" s="138">
        <v>0.5</v>
      </c>
      <c r="G89" s="138"/>
      <c r="H89" s="138"/>
      <c r="I89" s="120">
        <v>344.03299999999996</v>
      </c>
      <c r="J89" s="121">
        <f t="shared" si="3"/>
        <v>10320.99</v>
      </c>
      <c r="K89" s="196">
        <f>BDI!$E$17</f>
        <v>0.11260000000000001</v>
      </c>
      <c r="L89" s="90"/>
      <c r="M89" s="90"/>
      <c r="N89" s="91">
        <f>IF(ISNUMBER(I89),ROUND(I89*(1+K89),2),"")</f>
        <v>382.77</v>
      </c>
      <c r="O89" s="168">
        <f>IF(ISNUMBER(I89),ROUND(E89*F89*N89,2),"")</f>
        <v>11483.1</v>
      </c>
    </row>
    <row r="90" spans="1:15" s="136" customFormat="1" x14ac:dyDescent="0.25">
      <c r="A90" s="150" t="s">
        <v>3533</v>
      </c>
      <c r="B90" s="151" t="s">
        <v>2722</v>
      </c>
      <c r="C90" s="137" t="s">
        <v>2723</v>
      </c>
      <c r="D90" s="138" t="s">
        <v>20</v>
      </c>
      <c r="E90" s="138">
        <v>20</v>
      </c>
      <c r="F90" s="138">
        <v>0.5</v>
      </c>
      <c r="G90" s="138"/>
      <c r="H90" s="138"/>
      <c r="I90" s="120">
        <v>282.26400000000001</v>
      </c>
      <c r="J90" s="121">
        <f t="shared" si="3"/>
        <v>2822.64</v>
      </c>
      <c r="K90" s="196">
        <f>BDI!$E$17</f>
        <v>0.11260000000000001</v>
      </c>
      <c r="L90" s="90"/>
      <c r="M90" s="90"/>
      <c r="N90" s="91">
        <f>IF(ISNUMBER(I90),ROUND(I90*(1+K90),2),"")</f>
        <v>314.05</v>
      </c>
      <c r="O90" s="168">
        <f>IF(ISNUMBER(I90),ROUND(E90*F90*N90,2),"")</f>
        <v>3140.5</v>
      </c>
    </row>
    <row r="91" spans="1:15" s="136" customFormat="1" x14ac:dyDescent="0.25">
      <c r="A91" s="150" t="s">
        <v>3534</v>
      </c>
      <c r="B91" s="151" t="s">
        <v>2724</v>
      </c>
      <c r="C91" s="137" t="s">
        <v>2725</v>
      </c>
      <c r="D91" s="138" t="s">
        <v>20</v>
      </c>
      <c r="E91" s="138">
        <v>20</v>
      </c>
      <c r="F91" s="138">
        <v>0.5</v>
      </c>
      <c r="G91" s="138"/>
      <c r="H91" s="138"/>
      <c r="I91" s="120">
        <v>165.72749999999999</v>
      </c>
      <c r="J91" s="121">
        <f t="shared" si="3"/>
        <v>1657.28</v>
      </c>
      <c r="K91" s="196">
        <f>BDI!$E$17</f>
        <v>0.11260000000000001</v>
      </c>
      <c r="L91" s="90"/>
      <c r="M91" s="90"/>
      <c r="N91" s="91">
        <f>IF(ISNUMBER(I91),ROUND(I91*(1+K91),2),"")</f>
        <v>184.39</v>
      </c>
      <c r="O91" s="168">
        <f>IF(ISNUMBER(I91),ROUND(E91*F91*N91,2),"")</f>
        <v>1843.9</v>
      </c>
    </row>
    <row r="92" spans="1:15" s="136" customFormat="1" x14ac:dyDescent="0.25">
      <c r="A92" s="150" t="s">
        <v>3535</v>
      </c>
      <c r="B92" s="151" t="s">
        <v>2726</v>
      </c>
      <c r="C92" s="137" t="s">
        <v>2727</v>
      </c>
      <c r="D92" s="138" t="s">
        <v>20</v>
      </c>
      <c r="E92" s="138">
        <v>80</v>
      </c>
      <c r="F92" s="138">
        <v>0.5</v>
      </c>
      <c r="G92" s="138"/>
      <c r="H92" s="138"/>
      <c r="I92" s="120">
        <v>441.41749999999996</v>
      </c>
      <c r="J92" s="121">
        <f t="shared" si="3"/>
        <v>17656.7</v>
      </c>
      <c r="K92" s="196">
        <f>BDI!$E$17</f>
        <v>0.11260000000000001</v>
      </c>
      <c r="L92" s="90"/>
      <c r="M92" s="90"/>
      <c r="N92" s="91">
        <f>IF(ISNUMBER(I92),ROUND(I92*(1+K92),2),"")</f>
        <v>491.12</v>
      </c>
      <c r="O92" s="168">
        <f>IF(ISNUMBER(I92),ROUND(E92*F92*N92,2),"")</f>
        <v>19644.8</v>
      </c>
    </row>
    <row r="93" spans="1:15" s="136" customFormat="1" x14ac:dyDescent="0.25">
      <c r="A93" s="150" t="s">
        <v>3536</v>
      </c>
      <c r="B93" s="151" t="s">
        <v>2728</v>
      </c>
      <c r="C93" s="137" t="s">
        <v>2729</v>
      </c>
      <c r="D93" s="138" t="s">
        <v>20</v>
      </c>
      <c r="E93" s="138">
        <v>40</v>
      </c>
      <c r="F93" s="138">
        <v>0.5</v>
      </c>
      <c r="G93" s="138"/>
      <c r="H93" s="138"/>
      <c r="I93" s="120">
        <v>73.672499999999999</v>
      </c>
      <c r="J93" s="121">
        <f t="shared" si="3"/>
        <v>1473.45</v>
      </c>
      <c r="K93" s="196">
        <f>BDI!$E$17</f>
        <v>0.11260000000000001</v>
      </c>
      <c r="L93" s="90"/>
      <c r="M93" s="90"/>
      <c r="N93" s="91">
        <f>IF(ISNUMBER(I93),ROUND(I93*(1+K93),2),"")</f>
        <v>81.97</v>
      </c>
      <c r="O93" s="168">
        <f>IF(ISNUMBER(I93),ROUND(E93*F93*N93,2),"")</f>
        <v>1639.4</v>
      </c>
    </row>
    <row r="94" spans="1:15" s="136" customFormat="1" x14ac:dyDescent="0.25">
      <c r="A94" s="150" t="s">
        <v>3537</v>
      </c>
      <c r="B94" s="151" t="s">
        <v>2882</v>
      </c>
      <c r="C94" s="137" t="s">
        <v>2883</v>
      </c>
      <c r="D94" s="138" t="s">
        <v>20</v>
      </c>
      <c r="E94" s="138">
        <v>20</v>
      </c>
      <c r="F94" s="138">
        <v>0.5</v>
      </c>
      <c r="G94" s="138"/>
      <c r="H94" s="138"/>
      <c r="I94" s="120">
        <v>51.8</v>
      </c>
      <c r="J94" s="121">
        <f t="shared" si="3"/>
        <v>518</v>
      </c>
      <c r="K94" s="196">
        <f>BDI!$E$17</f>
        <v>0.11260000000000001</v>
      </c>
      <c r="L94" s="90"/>
      <c r="M94" s="90"/>
      <c r="N94" s="91">
        <f>IF(ISNUMBER(I94),ROUND(I94*(1+K94),2),"")</f>
        <v>57.63</v>
      </c>
      <c r="O94" s="168">
        <f>IF(ISNUMBER(I94),ROUND(E94*F94*N94,2),"")</f>
        <v>576.29999999999995</v>
      </c>
    </row>
    <row r="95" spans="1:15" s="136" customFormat="1" x14ac:dyDescent="0.25">
      <c r="A95" s="150" t="s">
        <v>3538</v>
      </c>
      <c r="B95" s="151" t="s">
        <v>2637</v>
      </c>
      <c r="C95" s="137" t="s">
        <v>2638</v>
      </c>
      <c r="D95" s="138" t="s">
        <v>20</v>
      </c>
      <c r="E95" s="138">
        <v>6</v>
      </c>
      <c r="F95" s="138">
        <v>0.5</v>
      </c>
      <c r="G95" s="138"/>
      <c r="H95" s="138"/>
      <c r="I95" s="120">
        <v>108.26199999999999</v>
      </c>
      <c r="J95" s="121">
        <f t="shared" si="3"/>
        <v>324.79000000000002</v>
      </c>
      <c r="K95" s="196">
        <f>BDI!$E$17</f>
        <v>0.11260000000000001</v>
      </c>
      <c r="L95" s="90"/>
      <c r="M95" s="90"/>
      <c r="N95" s="91">
        <f>IF(ISNUMBER(I95),ROUND(I95*(1+K95),2),"")</f>
        <v>120.45</v>
      </c>
      <c r="O95" s="168">
        <f>IF(ISNUMBER(I95),ROUND(E95*F95*N95,2),"")</f>
        <v>361.35</v>
      </c>
    </row>
    <row r="96" spans="1:15" s="136" customFormat="1" x14ac:dyDescent="0.25">
      <c r="A96" s="150" t="s">
        <v>3539</v>
      </c>
      <c r="B96" s="151" t="s">
        <v>2634</v>
      </c>
      <c r="C96" s="137" t="s">
        <v>1975</v>
      </c>
      <c r="D96" s="138" t="s">
        <v>20</v>
      </c>
      <c r="E96" s="138">
        <v>10</v>
      </c>
      <c r="F96" s="138">
        <v>0.5</v>
      </c>
      <c r="G96" s="138"/>
      <c r="H96" s="138"/>
      <c r="I96" s="120">
        <v>38.683999999999997</v>
      </c>
      <c r="J96" s="121">
        <f t="shared" si="3"/>
        <v>193.42</v>
      </c>
      <c r="K96" s="196">
        <f>BDI!$E$17</f>
        <v>0.11260000000000001</v>
      </c>
      <c r="L96" s="90"/>
      <c r="M96" s="90"/>
      <c r="N96" s="91">
        <f>IF(ISNUMBER(I96),ROUND(I96*(1+K96),2),"")</f>
        <v>43.04</v>
      </c>
      <c r="O96" s="168">
        <f>IF(ISNUMBER(I96),ROUND(E96*F96*N96,2),"")</f>
        <v>215.2</v>
      </c>
    </row>
    <row r="97" spans="1:15" s="136" customFormat="1" x14ac:dyDescent="0.25">
      <c r="A97" s="150" t="s">
        <v>3540</v>
      </c>
      <c r="B97" s="151" t="s">
        <v>2639</v>
      </c>
      <c r="C97" s="137" t="s">
        <v>2640</v>
      </c>
      <c r="D97" s="138" t="s">
        <v>20</v>
      </c>
      <c r="E97" s="138">
        <v>10</v>
      </c>
      <c r="F97" s="138">
        <v>0.5</v>
      </c>
      <c r="G97" s="138"/>
      <c r="H97" s="138"/>
      <c r="I97" s="120">
        <v>166.94349999999997</v>
      </c>
      <c r="J97" s="121">
        <f t="shared" si="3"/>
        <v>834.72</v>
      </c>
      <c r="K97" s="196">
        <f>BDI!$E$17</f>
        <v>0.11260000000000001</v>
      </c>
      <c r="L97" s="90"/>
      <c r="M97" s="90"/>
      <c r="N97" s="91">
        <f>IF(ISNUMBER(I97),ROUND(I97*(1+K97),2),"")</f>
        <v>185.74</v>
      </c>
      <c r="O97" s="168">
        <f>IF(ISNUMBER(I97),ROUND(E97*F97*N97,2),"")</f>
        <v>928.7</v>
      </c>
    </row>
    <row r="98" spans="1:15" s="136" customFormat="1" x14ac:dyDescent="0.25">
      <c r="A98" s="150" t="s">
        <v>3541</v>
      </c>
      <c r="B98" s="151" t="s">
        <v>2635</v>
      </c>
      <c r="C98" s="137" t="s">
        <v>2636</v>
      </c>
      <c r="D98" s="138" t="s">
        <v>20</v>
      </c>
      <c r="E98" s="138">
        <v>40</v>
      </c>
      <c r="F98" s="138">
        <v>0.5</v>
      </c>
      <c r="G98" s="138"/>
      <c r="H98" s="138"/>
      <c r="I98" s="120">
        <v>44.65</v>
      </c>
      <c r="J98" s="121">
        <f t="shared" si="3"/>
        <v>893</v>
      </c>
      <c r="K98" s="196">
        <f>BDI!$E$17</f>
        <v>0.11260000000000001</v>
      </c>
      <c r="L98" s="90"/>
      <c r="M98" s="90"/>
      <c r="N98" s="91">
        <f>IF(ISNUMBER(I98),ROUND(I98*(1+K98),2),"")</f>
        <v>49.68</v>
      </c>
      <c r="O98" s="168">
        <f>IF(ISNUMBER(I98),ROUND(E98*F98*N98,2),"")</f>
        <v>993.6</v>
      </c>
    </row>
    <row r="99" spans="1:15" s="136" customFormat="1" x14ac:dyDescent="0.25">
      <c r="A99" s="150" t="s">
        <v>3542</v>
      </c>
      <c r="B99" s="151" t="s">
        <v>2641</v>
      </c>
      <c r="C99" s="137" t="s">
        <v>2642</v>
      </c>
      <c r="D99" s="138" t="s">
        <v>20</v>
      </c>
      <c r="E99" s="138">
        <v>20</v>
      </c>
      <c r="F99" s="138">
        <v>0.5</v>
      </c>
      <c r="G99" s="138"/>
      <c r="H99" s="138"/>
      <c r="I99" s="120">
        <v>38.683999999999997</v>
      </c>
      <c r="J99" s="121">
        <f t="shared" si="3"/>
        <v>386.84</v>
      </c>
      <c r="K99" s="196">
        <f>BDI!$E$17</f>
        <v>0.11260000000000001</v>
      </c>
      <c r="L99" s="90"/>
      <c r="M99" s="90"/>
      <c r="N99" s="91">
        <f>IF(ISNUMBER(I99),ROUND(I99*(1+K99),2),"")</f>
        <v>43.04</v>
      </c>
      <c r="O99" s="168">
        <f>IF(ISNUMBER(I99),ROUND(E99*F99*N99,2),"")</f>
        <v>430.4</v>
      </c>
    </row>
    <row r="100" spans="1:15" s="136" customFormat="1" x14ac:dyDescent="0.25">
      <c r="A100" s="150" t="s">
        <v>3543</v>
      </c>
      <c r="B100" s="151" t="s">
        <v>2858</v>
      </c>
      <c r="C100" s="137" t="s">
        <v>3953</v>
      </c>
      <c r="D100" s="138" t="s">
        <v>20</v>
      </c>
      <c r="E100" s="138">
        <v>4</v>
      </c>
      <c r="F100" s="138">
        <v>0.5</v>
      </c>
      <c r="G100" s="138"/>
      <c r="H100" s="138"/>
      <c r="I100" s="120">
        <v>3775.29</v>
      </c>
      <c r="J100" s="121">
        <f t="shared" si="3"/>
        <v>7550.58</v>
      </c>
      <c r="K100" s="196">
        <f>BDI!$E$17</f>
        <v>0.11260000000000001</v>
      </c>
      <c r="L100" s="90"/>
      <c r="M100" s="90"/>
      <c r="N100" s="91">
        <f>IF(ISNUMBER(I100),ROUND(I100*(1+K100),2),"")</f>
        <v>4200.3900000000003</v>
      </c>
      <c r="O100" s="168">
        <f>IF(ISNUMBER(I100),ROUND(E100*F100*N100,2),"")</f>
        <v>8400.7800000000007</v>
      </c>
    </row>
    <row r="101" spans="1:15" s="136" customFormat="1" x14ac:dyDescent="0.25">
      <c r="A101" s="150" t="s">
        <v>3544</v>
      </c>
      <c r="B101" s="151" t="s">
        <v>2849</v>
      </c>
      <c r="C101" s="137" t="s">
        <v>3549</v>
      </c>
      <c r="D101" s="138" t="s">
        <v>20</v>
      </c>
      <c r="E101" s="138">
        <v>40</v>
      </c>
      <c r="F101" s="138">
        <v>0.5</v>
      </c>
      <c r="G101" s="138"/>
      <c r="H101" s="138"/>
      <c r="I101" s="120">
        <v>271.03500000000003</v>
      </c>
      <c r="J101" s="121">
        <f t="shared" si="3"/>
        <v>5420.7</v>
      </c>
      <c r="K101" s="196">
        <f>BDI!$E$17</f>
        <v>0.11260000000000001</v>
      </c>
      <c r="L101" s="90"/>
      <c r="M101" s="90"/>
      <c r="N101" s="91">
        <f>IF(ISNUMBER(I101),ROUND(I101*(1+K101),2),"")</f>
        <v>301.55</v>
      </c>
      <c r="O101" s="168">
        <f>IF(ISNUMBER(I101),ROUND(E101*F101*N101,2),"")</f>
        <v>6031</v>
      </c>
    </row>
    <row r="102" spans="1:15" s="136" customFormat="1" x14ac:dyDescent="0.25">
      <c r="A102" s="150" t="s">
        <v>3545</v>
      </c>
      <c r="B102" s="151" t="s">
        <v>2848</v>
      </c>
      <c r="C102" s="137" t="s">
        <v>3551</v>
      </c>
      <c r="D102" s="138" t="s">
        <v>20</v>
      </c>
      <c r="E102" s="138">
        <v>12</v>
      </c>
      <c r="F102" s="138">
        <v>0.5</v>
      </c>
      <c r="G102" s="138"/>
      <c r="H102" s="138"/>
      <c r="I102" s="120">
        <v>85.072499999999991</v>
      </c>
      <c r="J102" s="121">
        <f t="shared" si="3"/>
        <v>510.44</v>
      </c>
      <c r="K102" s="196">
        <f>BDI!$E$17</f>
        <v>0.11260000000000001</v>
      </c>
      <c r="L102" s="90"/>
      <c r="M102" s="90"/>
      <c r="N102" s="91">
        <f>IF(ISNUMBER(I102),ROUND(I102*(1+K102),2),"")</f>
        <v>94.65</v>
      </c>
      <c r="O102" s="168">
        <f>IF(ISNUMBER(I102),ROUND(E102*F102*N102,2),"")</f>
        <v>567.9</v>
      </c>
    </row>
    <row r="103" spans="1:15" s="136" customFormat="1" x14ac:dyDescent="0.25">
      <c r="A103" s="150" t="s">
        <v>3546</v>
      </c>
      <c r="B103" s="151" t="s">
        <v>2856</v>
      </c>
      <c r="C103" s="137" t="s">
        <v>2857</v>
      </c>
      <c r="D103" s="138" t="s">
        <v>20</v>
      </c>
      <c r="E103" s="138">
        <v>20</v>
      </c>
      <c r="F103" s="138">
        <v>0.5</v>
      </c>
      <c r="G103" s="138"/>
      <c r="H103" s="138"/>
      <c r="I103" s="120">
        <v>240.464</v>
      </c>
      <c r="J103" s="121">
        <f t="shared" si="3"/>
        <v>2404.64</v>
      </c>
      <c r="K103" s="196">
        <f>BDI!$E$17</f>
        <v>0.11260000000000001</v>
      </c>
      <c r="L103" s="90"/>
      <c r="M103" s="90"/>
      <c r="N103" s="91">
        <f>IF(ISNUMBER(I103),ROUND(I103*(1+K103),2),"")</f>
        <v>267.54000000000002</v>
      </c>
      <c r="O103" s="168">
        <f>IF(ISNUMBER(I103),ROUND(E103*F103*N103,2),"")</f>
        <v>2675.4</v>
      </c>
    </row>
    <row r="104" spans="1:15" s="136" customFormat="1" x14ac:dyDescent="0.25">
      <c r="A104" s="150" t="s">
        <v>3547</v>
      </c>
      <c r="B104" s="151" t="s">
        <v>2854</v>
      </c>
      <c r="C104" s="137" t="s">
        <v>2855</v>
      </c>
      <c r="D104" s="138" t="s">
        <v>20</v>
      </c>
      <c r="E104" s="138">
        <v>40</v>
      </c>
      <c r="F104" s="138">
        <v>0.5</v>
      </c>
      <c r="G104" s="138"/>
      <c r="H104" s="138"/>
      <c r="I104" s="120">
        <v>150.06200000000001</v>
      </c>
      <c r="J104" s="121">
        <f t="shared" si="3"/>
        <v>3001.24</v>
      </c>
      <c r="K104" s="196">
        <f>BDI!$E$17</f>
        <v>0.11260000000000001</v>
      </c>
      <c r="L104" s="90"/>
      <c r="M104" s="90"/>
      <c r="N104" s="91">
        <f>IF(ISNUMBER(I104),ROUND(I104*(1+K104),2),"")</f>
        <v>166.96</v>
      </c>
      <c r="O104" s="168">
        <f>IF(ISNUMBER(I104),ROUND(E104*F104*N104,2),"")</f>
        <v>3339.2</v>
      </c>
    </row>
    <row r="105" spans="1:15" s="136" customFormat="1" x14ac:dyDescent="0.25">
      <c r="A105" s="150" t="s">
        <v>3548</v>
      </c>
      <c r="B105" s="151" t="s">
        <v>2850</v>
      </c>
      <c r="C105" s="137" t="s">
        <v>2851</v>
      </c>
      <c r="D105" s="138" t="s">
        <v>20</v>
      </c>
      <c r="E105" s="138">
        <v>20</v>
      </c>
      <c r="F105" s="138">
        <v>0.5</v>
      </c>
      <c r="G105" s="138"/>
      <c r="H105" s="138"/>
      <c r="I105" s="120">
        <v>328.36749999999995</v>
      </c>
      <c r="J105" s="121">
        <f t="shared" si="3"/>
        <v>3283.68</v>
      </c>
      <c r="K105" s="196">
        <f>BDI!$E$17</f>
        <v>0.11260000000000001</v>
      </c>
      <c r="L105" s="90"/>
      <c r="M105" s="90"/>
      <c r="N105" s="91">
        <f>IF(ISNUMBER(I105),ROUND(I105*(1+K105),2),"")</f>
        <v>365.34</v>
      </c>
      <c r="O105" s="168">
        <f>IF(ISNUMBER(I105),ROUND(E105*F105*N105,2),"")</f>
        <v>3653.4</v>
      </c>
    </row>
    <row r="106" spans="1:15" s="136" customFormat="1" x14ac:dyDescent="0.25">
      <c r="A106" s="150" t="s">
        <v>3550</v>
      </c>
      <c r="B106" s="151" t="s">
        <v>2852</v>
      </c>
      <c r="C106" s="137" t="s">
        <v>2853</v>
      </c>
      <c r="D106" s="138" t="s">
        <v>20</v>
      </c>
      <c r="E106" s="138">
        <v>12</v>
      </c>
      <c r="F106" s="138">
        <v>0.5</v>
      </c>
      <c r="G106" s="138"/>
      <c r="H106" s="138"/>
      <c r="I106" s="120">
        <v>569.89549999999997</v>
      </c>
      <c r="J106" s="121">
        <f t="shared" si="3"/>
        <v>3419.37</v>
      </c>
      <c r="K106" s="196">
        <f>BDI!$E$17</f>
        <v>0.11260000000000001</v>
      </c>
      <c r="L106" s="90"/>
      <c r="M106" s="90"/>
      <c r="N106" s="91">
        <f>IF(ISNUMBER(I106),ROUND(I106*(1+K106),2),"")</f>
        <v>634.07000000000005</v>
      </c>
      <c r="O106" s="168">
        <f>IF(ISNUMBER(I106),ROUND(E106*F106*N106,2),"")</f>
        <v>3804.42</v>
      </c>
    </row>
    <row r="107" spans="1:15" s="136" customFormat="1" x14ac:dyDescent="0.25">
      <c r="A107" s="150" t="s">
        <v>3552</v>
      </c>
      <c r="B107" s="151" t="s">
        <v>2846</v>
      </c>
      <c r="C107" s="137" t="s">
        <v>2847</v>
      </c>
      <c r="D107" s="138" t="s">
        <v>20</v>
      </c>
      <c r="E107" s="138">
        <v>12</v>
      </c>
      <c r="F107" s="138">
        <v>0.5</v>
      </c>
      <c r="G107" s="138"/>
      <c r="H107" s="138"/>
      <c r="I107" s="120">
        <v>493</v>
      </c>
      <c r="J107" s="121">
        <f t="shared" si="3"/>
        <v>2958</v>
      </c>
      <c r="K107" s="196">
        <f>BDI!$E$17</f>
        <v>0.11260000000000001</v>
      </c>
      <c r="L107" s="90"/>
      <c r="M107" s="90"/>
      <c r="N107" s="91">
        <f>IF(ISNUMBER(I107),ROUND(I107*(1+K107),2),"")</f>
        <v>548.51</v>
      </c>
      <c r="O107" s="168">
        <f>IF(ISNUMBER(I107),ROUND(E107*F107*N107,2),"")</f>
        <v>3291.06</v>
      </c>
    </row>
    <row r="108" spans="1:15" s="136" customFormat="1" x14ac:dyDescent="0.25">
      <c r="A108" s="150" t="s">
        <v>3553</v>
      </c>
      <c r="B108" s="151" t="s">
        <v>2842</v>
      </c>
      <c r="C108" s="137" t="s">
        <v>2843</v>
      </c>
      <c r="D108" s="138" t="s">
        <v>20</v>
      </c>
      <c r="E108" s="138">
        <v>8</v>
      </c>
      <c r="F108" s="138">
        <v>0.5</v>
      </c>
      <c r="G108" s="138"/>
      <c r="H108" s="138"/>
      <c r="I108" s="120">
        <v>58.852499999999999</v>
      </c>
      <c r="J108" s="121">
        <f t="shared" si="3"/>
        <v>235.41</v>
      </c>
      <c r="K108" s="196">
        <f>BDI!$E$17</f>
        <v>0.11260000000000001</v>
      </c>
      <c r="L108" s="90"/>
      <c r="M108" s="90"/>
      <c r="N108" s="91">
        <f>IF(ISNUMBER(I108),ROUND(I108*(1+K108),2),"")</f>
        <v>65.48</v>
      </c>
      <c r="O108" s="168">
        <f>IF(ISNUMBER(I108),ROUND(E108*F108*N108,2),"")</f>
        <v>261.92</v>
      </c>
    </row>
    <row r="109" spans="1:15" s="136" customFormat="1" x14ac:dyDescent="0.25">
      <c r="A109" s="150" t="s">
        <v>3554</v>
      </c>
      <c r="B109" s="151" t="s">
        <v>2844</v>
      </c>
      <c r="C109" s="137" t="s">
        <v>2845</v>
      </c>
      <c r="D109" s="138" t="s">
        <v>20</v>
      </c>
      <c r="E109" s="138">
        <v>8</v>
      </c>
      <c r="F109" s="138">
        <v>0.5</v>
      </c>
      <c r="G109" s="138"/>
      <c r="H109" s="138"/>
      <c r="I109" s="120">
        <v>151.03099999999998</v>
      </c>
      <c r="J109" s="121">
        <f t="shared" si="3"/>
        <v>604.12</v>
      </c>
      <c r="K109" s="196">
        <f>BDI!$E$17</f>
        <v>0.11260000000000001</v>
      </c>
      <c r="L109" s="90"/>
      <c r="M109" s="90"/>
      <c r="N109" s="91">
        <f>IF(ISNUMBER(I109),ROUND(I109*(1+K109),2),"")</f>
        <v>168.04</v>
      </c>
      <c r="O109" s="168">
        <f>IF(ISNUMBER(I109),ROUND(E109*F109*N109,2),"")</f>
        <v>672.16</v>
      </c>
    </row>
    <row r="110" spans="1:15" s="136" customFormat="1" x14ac:dyDescent="0.25">
      <c r="A110" s="128" t="s">
        <v>3466</v>
      </c>
      <c r="B110" s="152"/>
      <c r="C110" s="153" t="s">
        <v>3444</v>
      </c>
      <c r="D110" s="154"/>
      <c r="E110" s="155" t="s">
        <v>522</v>
      </c>
      <c r="F110" s="154"/>
      <c r="G110" s="154"/>
      <c r="H110" s="154"/>
      <c r="I110" s="154"/>
      <c r="J110" s="129">
        <f>SUBTOTAL(109,J111:J256)</f>
        <v>110633.70000000003</v>
      </c>
      <c r="K110" s="154"/>
      <c r="L110" s="130"/>
      <c r="M110" s="130"/>
      <c r="N110" s="131"/>
      <c r="O110" s="169">
        <f>SUBTOTAL(109,O111:O256)</f>
        <v>123091.97</v>
      </c>
    </row>
    <row r="111" spans="1:15" s="136" customFormat="1" x14ac:dyDescent="0.25">
      <c r="A111" s="150" t="s">
        <v>3555</v>
      </c>
      <c r="B111" s="151" t="s">
        <v>2452</v>
      </c>
      <c r="C111" s="137" t="s">
        <v>2509</v>
      </c>
      <c r="D111" s="138" t="s">
        <v>20</v>
      </c>
      <c r="E111" s="138">
        <v>200</v>
      </c>
      <c r="F111" s="138">
        <v>0.5</v>
      </c>
      <c r="G111" s="138"/>
      <c r="H111" s="138"/>
      <c r="I111" s="120">
        <v>26.6</v>
      </c>
      <c r="J111" s="121">
        <f t="shared" ref="J111:J174" si="4">IF(ISNUMBER(I111),ROUND(E111*I111*F111,2),"")</f>
        <v>2660</v>
      </c>
      <c r="K111" s="196">
        <f>BDI!$E$17</f>
        <v>0.11260000000000001</v>
      </c>
      <c r="L111" s="90"/>
      <c r="M111" s="90"/>
      <c r="N111" s="91">
        <f>IF(ISNUMBER(I111),ROUND(I111*(1+K111),2),"")</f>
        <v>29.6</v>
      </c>
      <c r="O111" s="168">
        <f>IF(ISNUMBER(I111),ROUND(E111*F111*N111,2),"")</f>
        <v>2960</v>
      </c>
    </row>
    <row r="112" spans="1:15" s="136" customFormat="1" x14ac:dyDescent="0.25">
      <c r="A112" s="150" t="s">
        <v>3556</v>
      </c>
      <c r="B112" s="151" t="s">
        <v>2222</v>
      </c>
      <c r="C112" s="137" t="s">
        <v>3557</v>
      </c>
      <c r="D112" s="138" t="s">
        <v>20</v>
      </c>
      <c r="E112" s="138">
        <v>160</v>
      </c>
      <c r="F112" s="138">
        <v>0.5</v>
      </c>
      <c r="G112" s="138"/>
      <c r="H112" s="138"/>
      <c r="I112" s="120">
        <v>2.9354999999999998</v>
      </c>
      <c r="J112" s="121">
        <f t="shared" si="4"/>
        <v>234.84</v>
      </c>
      <c r="K112" s="196">
        <f>BDI!$E$17</f>
        <v>0.11260000000000001</v>
      </c>
      <c r="L112" s="90"/>
      <c r="M112" s="90"/>
      <c r="N112" s="91">
        <f>IF(ISNUMBER(I112),ROUND(I112*(1+K112),2),"")</f>
        <v>3.27</v>
      </c>
      <c r="O112" s="168">
        <f>IF(ISNUMBER(I112),ROUND(E112*F112*N112,2),"")</f>
        <v>261.60000000000002</v>
      </c>
    </row>
    <row r="113" spans="1:15" s="136" customFormat="1" x14ac:dyDescent="0.25">
      <c r="A113" s="150" t="s">
        <v>3558</v>
      </c>
      <c r="B113" s="151" t="s">
        <v>2862</v>
      </c>
      <c r="C113" s="137" t="s">
        <v>2863</v>
      </c>
      <c r="D113" s="138" t="s">
        <v>20</v>
      </c>
      <c r="E113" s="138">
        <v>10</v>
      </c>
      <c r="F113" s="138">
        <v>0.5</v>
      </c>
      <c r="G113" s="138"/>
      <c r="H113" s="138"/>
      <c r="I113" s="120">
        <v>4.75</v>
      </c>
      <c r="J113" s="121">
        <f t="shared" si="4"/>
        <v>23.75</v>
      </c>
      <c r="K113" s="196">
        <f>BDI!$E$17</f>
        <v>0.11260000000000001</v>
      </c>
      <c r="L113" s="90"/>
      <c r="M113" s="90"/>
      <c r="N113" s="91">
        <f>IF(ISNUMBER(I113),ROUND(I113*(1+K113),2),"")</f>
        <v>5.28</v>
      </c>
      <c r="O113" s="168">
        <f>IF(ISNUMBER(I113),ROUND(E113*F113*N113,2),"")</f>
        <v>26.4</v>
      </c>
    </row>
    <row r="114" spans="1:15" s="136" customFormat="1" x14ac:dyDescent="0.25">
      <c r="A114" s="150" t="s">
        <v>3559</v>
      </c>
      <c r="B114" s="151" t="s">
        <v>2864</v>
      </c>
      <c r="C114" s="137" t="s">
        <v>2865</v>
      </c>
      <c r="D114" s="138" t="s">
        <v>20</v>
      </c>
      <c r="E114" s="138">
        <v>10</v>
      </c>
      <c r="F114" s="138">
        <v>0.5</v>
      </c>
      <c r="G114" s="138"/>
      <c r="H114" s="138"/>
      <c r="I114" s="120">
        <v>292.46699999999998</v>
      </c>
      <c r="J114" s="121">
        <f t="shared" si="4"/>
        <v>1462.34</v>
      </c>
      <c r="K114" s="196">
        <f>BDI!$E$17</f>
        <v>0.11260000000000001</v>
      </c>
      <c r="L114" s="90"/>
      <c r="M114" s="90"/>
      <c r="N114" s="91">
        <f>IF(ISNUMBER(I114),ROUND(I114*(1+K114),2),"")</f>
        <v>325.39999999999998</v>
      </c>
      <c r="O114" s="168">
        <f>IF(ISNUMBER(I114),ROUND(E114*F114*N114,2),"")</f>
        <v>1627</v>
      </c>
    </row>
    <row r="115" spans="1:15" s="136" customFormat="1" x14ac:dyDescent="0.25">
      <c r="A115" s="150" t="s">
        <v>3560</v>
      </c>
      <c r="B115" s="151" t="s">
        <v>2870</v>
      </c>
      <c r="C115" s="137" t="s">
        <v>2871</v>
      </c>
      <c r="D115" s="138" t="s">
        <v>20</v>
      </c>
      <c r="E115" s="138">
        <v>30</v>
      </c>
      <c r="F115" s="138">
        <v>0.5</v>
      </c>
      <c r="G115" s="138"/>
      <c r="H115" s="138"/>
      <c r="I115" s="120">
        <v>60.55</v>
      </c>
      <c r="J115" s="121">
        <f t="shared" si="4"/>
        <v>908.25</v>
      </c>
      <c r="K115" s="196">
        <f>BDI!$E$17</f>
        <v>0.11260000000000001</v>
      </c>
      <c r="L115" s="90"/>
      <c r="M115" s="90"/>
      <c r="N115" s="91">
        <f>IF(ISNUMBER(I115),ROUND(I115*(1+K115),2),"")</f>
        <v>67.37</v>
      </c>
      <c r="O115" s="168">
        <f>IF(ISNUMBER(I115),ROUND(E115*F115*N115,2),"")</f>
        <v>1010.55</v>
      </c>
    </row>
    <row r="116" spans="1:15" s="136" customFormat="1" x14ac:dyDescent="0.25">
      <c r="A116" s="150" t="s">
        <v>3561</v>
      </c>
      <c r="B116" s="151" t="s">
        <v>2866</v>
      </c>
      <c r="C116" s="137" t="s">
        <v>2867</v>
      </c>
      <c r="D116" s="138" t="s">
        <v>20</v>
      </c>
      <c r="E116" s="138">
        <v>30</v>
      </c>
      <c r="F116" s="138">
        <v>0.5</v>
      </c>
      <c r="G116" s="138"/>
      <c r="H116" s="138"/>
      <c r="I116" s="120">
        <v>73</v>
      </c>
      <c r="J116" s="121">
        <f t="shared" si="4"/>
        <v>1095</v>
      </c>
      <c r="K116" s="196">
        <f>BDI!$E$17</f>
        <v>0.11260000000000001</v>
      </c>
      <c r="L116" s="90"/>
      <c r="M116" s="90"/>
      <c r="N116" s="91">
        <f>IF(ISNUMBER(I116),ROUND(I116*(1+K116),2),"")</f>
        <v>81.22</v>
      </c>
      <c r="O116" s="168">
        <f>IF(ISNUMBER(I116),ROUND(E116*F116*N116,2),"")</f>
        <v>1218.3</v>
      </c>
    </row>
    <row r="117" spans="1:15" s="136" customFormat="1" x14ac:dyDescent="0.25">
      <c r="A117" s="150" t="s">
        <v>3562</v>
      </c>
      <c r="B117" s="151" t="s">
        <v>2868</v>
      </c>
      <c r="C117" s="137" t="s">
        <v>2869</v>
      </c>
      <c r="D117" s="138" t="s">
        <v>20</v>
      </c>
      <c r="E117" s="138">
        <v>30</v>
      </c>
      <c r="F117" s="138">
        <v>0.5</v>
      </c>
      <c r="G117" s="138"/>
      <c r="H117" s="138"/>
      <c r="I117" s="120">
        <v>394.88</v>
      </c>
      <c r="J117" s="121">
        <f t="shared" si="4"/>
        <v>5923.2</v>
      </c>
      <c r="K117" s="196">
        <f>BDI!$E$17</f>
        <v>0.11260000000000001</v>
      </c>
      <c r="L117" s="90"/>
      <c r="M117" s="90"/>
      <c r="N117" s="91">
        <f>IF(ISNUMBER(I117),ROUND(I117*(1+K117),2),"")</f>
        <v>439.34</v>
      </c>
      <c r="O117" s="168">
        <f>IF(ISNUMBER(I117),ROUND(E117*F117*N117,2),"")</f>
        <v>6590.1</v>
      </c>
    </row>
    <row r="118" spans="1:15" s="136" customFormat="1" x14ac:dyDescent="0.25">
      <c r="A118" s="150" t="s">
        <v>3563</v>
      </c>
      <c r="B118" s="151" t="s">
        <v>2872</v>
      </c>
      <c r="C118" s="137" t="s">
        <v>2873</v>
      </c>
      <c r="D118" s="138" t="s">
        <v>20</v>
      </c>
      <c r="E118" s="138">
        <v>20</v>
      </c>
      <c r="F118" s="138">
        <v>0.5</v>
      </c>
      <c r="G118" s="138"/>
      <c r="H118" s="138"/>
      <c r="I118" s="120">
        <v>81.36</v>
      </c>
      <c r="J118" s="121">
        <f t="shared" si="4"/>
        <v>813.6</v>
      </c>
      <c r="K118" s="196">
        <f>BDI!$E$17</f>
        <v>0.11260000000000001</v>
      </c>
      <c r="L118" s="90"/>
      <c r="M118" s="90"/>
      <c r="N118" s="91">
        <f>IF(ISNUMBER(I118),ROUND(I118*(1+K118),2),"")</f>
        <v>90.52</v>
      </c>
      <c r="O118" s="168">
        <f>IF(ISNUMBER(I118),ROUND(E118*F118*N118,2),"")</f>
        <v>905.2</v>
      </c>
    </row>
    <row r="119" spans="1:15" s="136" customFormat="1" x14ac:dyDescent="0.25">
      <c r="A119" s="150" t="s">
        <v>3564</v>
      </c>
      <c r="B119" s="151" t="s">
        <v>2878</v>
      </c>
      <c r="C119" s="137" t="s">
        <v>2879</v>
      </c>
      <c r="D119" s="138" t="s">
        <v>20</v>
      </c>
      <c r="E119" s="138">
        <v>30</v>
      </c>
      <c r="F119" s="138">
        <v>0.5</v>
      </c>
      <c r="G119" s="138"/>
      <c r="H119" s="138"/>
      <c r="I119" s="120">
        <v>37.909999999999997</v>
      </c>
      <c r="J119" s="121">
        <f t="shared" si="4"/>
        <v>568.65</v>
      </c>
      <c r="K119" s="196">
        <f>BDI!$E$17</f>
        <v>0.11260000000000001</v>
      </c>
      <c r="L119" s="90"/>
      <c r="M119" s="90"/>
      <c r="N119" s="91">
        <f>IF(ISNUMBER(I119),ROUND(I119*(1+K119),2),"")</f>
        <v>42.18</v>
      </c>
      <c r="O119" s="168">
        <f>IF(ISNUMBER(I119),ROUND(E119*F119*N119,2),"")</f>
        <v>632.70000000000005</v>
      </c>
    </row>
    <row r="120" spans="1:15" s="136" customFormat="1" x14ac:dyDescent="0.25">
      <c r="A120" s="150" t="s">
        <v>3565</v>
      </c>
      <c r="B120" s="151" t="s">
        <v>2874</v>
      </c>
      <c r="C120" s="137" t="s">
        <v>2875</v>
      </c>
      <c r="D120" s="138" t="s">
        <v>20</v>
      </c>
      <c r="E120" s="138">
        <v>40</v>
      </c>
      <c r="F120" s="138">
        <v>0.5</v>
      </c>
      <c r="G120" s="138"/>
      <c r="H120" s="138"/>
      <c r="I120" s="120">
        <v>14.3925</v>
      </c>
      <c r="J120" s="121">
        <f t="shared" si="4"/>
        <v>287.85000000000002</v>
      </c>
      <c r="K120" s="196">
        <f>BDI!$E$17</f>
        <v>0.11260000000000001</v>
      </c>
      <c r="L120" s="90"/>
      <c r="M120" s="90"/>
      <c r="N120" s="91">
        <f>IF(ISNUMBER(I120),ROUND(I120*(1+K120),2),"")</f>
        <v>16.010000000000002</v>
      </c>
      <c r="O120" s="168">
        <f>IF(ISNUMBER(I120),ROUND(E120*F120*N120,2),"")</f>
        <v>320.2</v>
      </c>
    </row>
    <row r="121" spans="1:15" s="136" customFormat="1" x14ac:dyDescent="0.25">
      <c r="A121" s="150" t="s">
        <v>3566</v>
      </c>
      <c r="B121" s="151" t="s">
        <v>2458</v>
      </c>
      <c r="C121" s="137" t="s">
        <v>2513</v>
      </c>
      <c r="D121" s="138" t="s">
        <v>20</v>
      </c>
      <c r="E121" s="138">
        <v>500</v>
      </c>
      <c r="F121" s="138">
        <v>0.5</v>
      </c>
      <c r="G121" s="138"/>
      <c r="H121" s="138"/>
      <c r="I121" s="120">
        <v>10.849</v>
      </c>
      <c r="J121" s="121">
        <f t="shared" si="4"/>
        <v>2712.25</v>
      </c>
      <c r="K121" s="196">
        <f>BDI!$E$17</f>
        <v>0.11260000000000001</v>
      </c>
      <c r="L121" s="90"/>
      <c r="M121" s="90"/>
      <c r="N121" s="91">
        <f>IF(ISNUMBER(I121),ROUND(I121*(1+K121),2),"")</f>
        <v>12.07</v>
      </c>
      <c r="O121" s="168">
        <f>IF(ISNUMBER(I121),ROUND(E121*F121*N121,2),"")</f>
        <v>3017.5</v>
      </c>
    </row>
    <row r="122" spans="1:15" s="136" customFormat="1" x14ac:dyDescent="0.25">
      <c r="A122" s="150" t="s">
        <v>3567</v>
      </c>
      <c r="B122" s="151" t="s">
        <v>3095</v>
      </c>
      <c r="C122" s="137" t="s">
        <v>3096</v>
      </c>
      <c r="D122" s="138" t="s">
        <v>20</v>
      </c>
      <c r="E122" s="138">
        <v>20</v>
      </c>
      <c r="F122" s="138">
        <v>0.5</v>
      </c>
      <c r="G122" s="138"/>
      <c r="H122" s="138"/>
      <c r="I122" s="120">
        <v>24.6</v>
      </c>
      <c r="J122" s="121">
        <f t="shared" si="4"/>
        <v>246</v>
      </c>
      <c r="K122" s="196">
        <f>BDI!$E$17</f>
        <v>0.11260000000000001</v>
      </c>
      <c r="L122" s="90"/>
      <c r="M122" s="90"/>
      <c r="N122" s="91">
        <f>IF(ISNUMBER(I122),ROUND(I122*(1+K122),2),"")</f>
        <v>27.37</v>
      </c>
      <c r="O122" s="168">
        <f>IF(ISNUMBER(I122),ROUND(E122*F122*N122,2),"")</f>
        <v>273.7</v>
      </c>
    </row>
    <row r="123" spans="1:15" s="136" customFormat="1" x14ac:dyDescent="0.25">
      <c r="A123" s="150" t="s">
        <v>3568</v>
      </c>
      <c r="B123" s="151" t="s">
        <v>2932</v>
      </c>
      <c r="C123" s="137" t="s">
        <v>2933</v>
      </c>
      <c r="D123" s="138" t="s">
        <v>20</v>
      </c>
      <c r="E123" s="138">
        <v>40</v>
      </c>
      <c r="F123" s="138">
        <v>0.5</v>
      </c>
      <c r="G123" s="138"/>
      <c r="H123" s="138"/>
      <c r="I123" s="120">
        <v>1.7384999999999999</v>
      </c>
      <c r="J123" s="121">
        <f t="shared" si="4"/>
        <v>34.770000000000003</v>
      </c>
      <c r="K123" s="196">
        <f>BDI!$E$17</f>
        <v>0.11260000000000001</v>
      </c>
      <c r="L123" s="90"/>
      <c r="M123" s="90"/>
      <c r="N123" s="91">
        <f>IF(ISNUMBER(I123),ROUND(I123*(1+K123),2),"")</f>
        <v>1.93</v>
      </c>
      <c r="O123" s="168">
        <f>IF(ISNUMBER(I123),ROUND(E123*F123*N123,2),"")</f>
        <v>38.6</v>
      </c>
    </row>
    <row r="124" spans="1:15" s="136" customFormat="1" x14ac:dyDescent="0.25">
      <c r="A124" s="150" t="s">
        <v>3569</v>
      </c>
      <c r="B124" s="151" t="s">
        <v>3196</v>
      </c>
      <c r="C124" s="137" t="s">
        <v>3197</v>
      </c>
      <c r="D124" s="138" t="s">
        <v>20</v>
      </c>
      <c r="E124" s="138">
        <v>20</v>
      </c>
      <c r="F124" s="138">
        <v>0.5</v>
      </c>
      <c r="G124" s="138"/>
      <c r="H124" s="138"/>
      <c r="I124" s="120">
        <v>63.440999999999995</v>
      </c>
      <c r="J124" s="121">
        <f t="shared" si="4"/>
        <v>634.41</v>
      </c>
      <c r="K124" s="196">
        <f>BDI!$E$17</f>
        <v>0.11260000000000001</v>
      </c>
      <c r="L124" s="90"/>
      <c r="M124" s="90"/>
      <c r="N124" s="91">
        <f>IF(ISNUMBER(I124),ROUND(I124*(1+K124),2),"")</f>
        <v>70.58</v>
      </c>
      <c r="O124" s="168">
        <f>IF(ISNUMBER(I124),ROUND(E124*F124*N124,2),"")</f>
        <v>705.8</v>
      </c>
    </row>
    <row r="125" spans="1:15" s="136" customFormat="1" ht="25.5" x14ac:dyDescent="0.25">
      <c r="A125" s="150" t="s">
        <v>3570</v>
      </c>
      <c r="B125" s="151" t="s">
        <v>2934</v>
      </c>
      <c r="C125" s="137" t="s">
        <v>2935</v>
      </c>
      <c r="D125" s="138" t="s">
        <v>20</v>
      </c>
      <c r="E125" s="138">
        <v>8</v>
      </c>
      <c r="F125" s="138">
        <v>0.5</v>
      </c>
      <c r="G125" s="138"/>
      <c r="H125" s="138"/>
      <c r="I125" s="120">
        <v>43.06</v>
      </c>
      <c r="J125" s="121">
        <f t="shared" si="4"/>
        <v>172.24</v>
      </c>
      <c r="K125" s="196">
        <f>BDI!$E$17</f>
        <v>0.11260000000000001</v>
      </c>
      <c r="L125" s="90"/>
      <c r="M125" s="90"/>
      <c r="N125" s="91">
        <f>IF(ISNUMBER(I125),ROUND(I125*(1+K125),2),"")</f>
        <v>47.91</v>
      </c>
      <c r="O125" s="168">
        <f>IF(ISNUMBER(I125),ROUND(E125*F125*N125,2),"")</f>
        <v>191.64</v>
      </c>
    </row>
    <row r="126" spans="1:15" s="136" customFormat="1" x14ac:dyDescent="0.25">
      <c r="A126" s="150" t="s">
        <v>3571</v>
      </c>
      <c r="B126" s="151" t="s">
        <v>2946</v>
      </c>
      <c r="C126" s="137" t="s">
        <v>2947</v>
      </c>
      <c r="D126" s="138" t="s">
        <v>20</v>
      </c>
      <c r="E126" s="138">
        <v>12</v>
      </c>
      <c r="F126" s="138">
        <v>0.5</v>
      </c>
      <c r="G126" s="138"/>
      <c r="H126" s="138"/>
      <c r="I126" s="120">
        <v>14.116999999999999</v>
      </c>
      <c r="J126" s="121">
        <f t="shared" si="4"/>
        <v>84.7</v>
      </c>
      <c r="K126" s="196">
        <f>BDI!$E$17</f>
        <v>0.11260000000000001</v>
      </c>
      <c r="L126" s="90"/>
      <c r="M126" s="90"/>
      <c r="N126" s="91">
        <f>IF(ISNUMBER(I126),ROUND(I126*(1+K126),2),"")</f>
        <v>15.71</v>
      </c>
      <c r="O126" s="168">
        <f>IF(ISNUMBER(I126),ROUND(E126*F126*N126,2),"")</f>
        <v>94.26</v>
      </c>
    </row>
    <row r="127" spans="1:15" s="136" customFormat="1" x14ac:dyDescent="0.25">
      <c r="A127" s="150" t="s">
        <v>3572</v>
      </c>
      <c r="B127" s="151" t="s">
        <v>2948</v>
      </c>
      <c r="C127" s="137" t="s">
        <v>2949</v>
      </c>
      <c r="D127" s="138" t="s">
        <v>20</v>
      </c>
      <c r="E127" s="138">
        <v>12</v>
      </c>
      <c r="F127" s="138">
        <v>0.5</v>
      </c>
      <c r="G127" s="138"/>
      <c r="H127" s="138"/>
      <c r="I127" s="120">
        <v>19.54</v>
      </c>
      <c r="J127" s="121">
        <f t="shared" si="4"/>
        <v>117.24</v>
      </c>
      <c r="K127" s="196">
        <f>BDI!$E$17</f>
        <v>0.11260000000000001</v>
      </c>
      <c r="L127" s="90"/>
      <c r="M127" s="90"/>
      <c r="N127" s="91">
        <f>IF(ISNUMBER(I127),ROUND(I127*(1+K127),2),"")</f>
        <v>21.74</v>
      </c>
      <c r="O127" s="168">
        <f>IF(ISNUMBER(I127),ROUND(E127*F127*N127,2),"")</f>
        <v>130.44</v>
      </c>
    </row>
    <row r="128" spans="1:15" s="136" customFormat="1" x14ac:dyDescent="0.25">
      <c r="A128" s="150" t="s">
        <v>3573</v>
      </c>
      <c r="B128" s="151" t="s">
        <v>2952</v>
      </c>
      <c r="C128" s="137" t="s">
        <v>2953</v>
      </c>
      <c r="D128" s="138" t="s">
        <v>20</v>
      </c>
      <c r="E128" s="138">
        <v>20</v>
      </c>
      <c r="F128" s="138">
        <v>0.5</v>
      </c>
      <c r="G128" s="138"/>
      <c r="H128" s="138"/>
      <c r="I128" s="120">
        <v>19.066499999999998</v>
      </c>
      <c r="J128" s="121">
        <f t="shared" si="4"/>
        <v>190.67</v>
      </c>
      <c r="K128" s="196">
        <f>BDI!$E$17</f>
        <v>0.11260000000000001</v>
      </c>
      <c r="L128" s="90"/>
      <c r="M128" s="90"/>
      <c r="N128" s="91">
        <f>IF(ISNUMBER(I128),ROUND(I128*(1+K128),2),"")</f>
        <v>21.21</v>
      </c>
      <c r="O128" s="168">
        <f>IF(ISNUMBER(I128),ROUND(E128*F128*N128,2),"")</f>
        <v>212.1</v>
      </c>
    </row>
    <row r="129" spans="1:15" s="136" customFormat="1" x14ac:dyDescent="0.25">
      <c r="A129" s="150" t="s">
        <v>3574</v>
      </c>
      <c r="B129" s="151" t="s">
        <v>2954</v>
      </c>
      <c r="C129" s="137" t="s">
        <v>2955</v>
      </c>
      <c r="D129" s="138" t="s">
        <v>20</v>
      </c>
      <c r="E129" s="138">
        <v>32</v>
      </c>
      <c r="F129" s="138">
        <v>0.5</v>
      </c>
      <c r="G129" s="138"/>
      <c r="H129" s="138"/>
      <c r="I129" s="120">
        <v>11.18</v>
      </c>
      <c r="J129" s="121">
        <f t="shared" si="4"/>
        <v>178.88</v>
      </c>
      <c r="K129" s="196">
        <f>BDI!$E$17</f>
        <v>0.11260000000000001</v>
      </c>
      <c r="L129" s="90"/>
      <c r="M129" s="90"/>
      <c r="N129" s="91">
        <f>IF(ISNUMBER(I129),ROUND(I129*(1+K129),2),"")</f>
        <v>12.44</v>
      </c>
      <c r="O129" s="168">
        <f>IF(ISNUMBER(I129),ROUND(E129*F129*N129,2),"")</f>
        <v>199.04</v>
      </c>
    </row>
    <row r="130" spans="1:15" s="136" customFormat="1" x14ac:dyDescent="0.25">
      <c r="A130" s="150" t="s">
        <v>3575</v>
      </c>
      <c r="B130" s="151" t="s">
        <v>2956</v>
      </c>
      <c r="C130" s="137" t="s">
        <v>2957</v>
      </c>
      <c r="D130" s="138" t="s">
        <v>20</v>
      </c>
      <c r="E130" s="138">
        <v>32</v>
      </c>
      <c r="F130" s="138">
        <v>0.5</v>
      </c>
      <c r="G130" s="138"/>
      <c r="H130" s="138"/>
      <c r="I130" s="120">
        <v>18.46</v>
      </c>
      <c r="J130" s="121">
        <f t="shared" si="4"/>
        <v>295.36</v>
      </c>
      <c r="K130" s="196">
        <f>BDI!$E$17</f>
        <v>0.11260000000000001</v>
      </c>
      <c r="L130" s="90"/>
      <c r="M130" s="90"/>
      <c r="N130" s="91">
        <f>IF(ISNUMBER(I130),ROUND(I130*(1+K130),2),"")</f>
        <v>20.54</v>
      </c>
      <c r="O130" s="168">
        <f>IF(ISNUMBER(I130),ROUND(E130*F130*N130,2),"")</f>
        <v>328.64</v>
      </c>
    </row>
    <row r="131" spans="1:15" s="136" customFormat="1" x14ac:dyDescent="0.25">
      <c r="A131" s="150" t="s">
        <v>3576</v>
      </c>
      <c r="B131" s="151" t="s">
        <v>2553</v>
      </c>
      <c r="C131" s="137" t="s">
        <v>2554</v>
      </c>
      <c r="D131" s="138" t="s">
        <v>20</v>
      </c>
      <c r="E131" s="138">
        <v>60</v>
      </c>
      <c r="F131" s="138">
        <v>0.5</v>
      </c>
      <c r="G131" s="138"/>
      <c r="H131" s="138"/>
      <c r="I131" s="120">
        <v>153.80000000000001</v>
      </c>
      <c r="J131" s="121">
        <f t="shared" si="4"/>
        <v>4614</v>
      </c>
      <c r="K131" s="196">
        <f>BDI!$E$17</f>
        <v>0.11260000000000001</v>
      </c>
      <c r="L131" s="90"/>
      <c r="M131" s="90"/>
      <c r="N131" s="91">
        <f>IF(ISNUMBER(I131),ROUND(I131*(1+K131),2),"")</f>
        <v>171.12</v>
      </c>
      <c r="O131" s="168">
        <f>IF(ISNUMBER(I131),ROUND(E131*F131*N131,2),"")</f>
        <v>5133.6000000000004</v>
      </c>
    </row>
    <row r="132" spans="1:15" s="136" customFormat="1" x14ac:dyDescent="0.25">
      <c r="A132" s="150" t="s">
        <v>3577</v>
      </c>
      <c r="B132" s="151" t="s">
        <v>2964</v>
      </c>
      <c r="C132" s="137" t="s">
        <v>2965</v>
      </c>
      <c r="D132" s="138" t="s">
        <v>20</v>
      </c>
      <c r="E132" s="138">
        <v>8</v>
      </c>
      <c r="F132" s="138">
        <v>0.5</v>
      </c>
      <c r="G132" s="138"/>
      <c r="H132" s="138"/>
      <c r="I132" s="120">
        <v>53.133499999999998</v>
      </c>
      <c r="J132" s="121">
        <f t="shared" si="4"/>
        <v>212.53</v>
      </c>
      <c r="K132" s="196">
        <f>BDI!$E$17</f>
        <v>0.11260000000000001</v>
      </c>
      <c r="L132" s="90"/>
      <c r="M132" s="90"/>
      <c r="N132" s="91">
        <f>IF(ISNUMBER(I132),ROUND(I132*(1+K132),2),"")</f>
        <v>59.12</v>
      </c>
      <c r="O132" s="168">
        <f>IF(ISNUMBER(I132),ROUND(E132*F132*N132,2),"")</f>
        <v>236.48</v>
      </c>
    </row>
    <row r="133" spans="1:15" s="136" customFormat="1" x14ac:dyDescent="0.25">
      <c r="A133" s="150" t="s">
        <v>3578</v>
      </c>
      <c r="B133" s="151" t="s">
        <v>2966</v>
      </c>
      <c r="C133" s="137" t="s">
        <v>2967</v>
      </c>
      <c r="D133" s="138" t="s">
        <v>20</v>
      </c>
      <c r="E133" s="138">
        <v>8</v>
      </c>
      <c r="F133" s="138">
        <v>0.5</v>
      </c>
      <c r="G133" s="138"/>
      <c r="H133" s="138"/>
      <c r="I133" s="120">
        <v>305.12099999999998</v>
      </c>
      <c r="J133" s="121">
        <f t="shared" si="4"/>
        <v>1220.48</v>
      </c>
      <c r="K133" s="196">
        <f>BDI!$E$17</f>
        <v>0.11260000000000001</v>
      </c>
      <c r="L133" s="90"/>
      <c r="M133" s="90"/>
      <c r="N133" s="91">
        <f>IF(ISNUMBER(I133),ROUND(I133*(1+K133),2),"")</f>
        <v>339.48</v>
      </c>
      <c r="O133" s="168">
        <f>IF(ISNUMBER(I133),ROUND(E133*F133*N133,2),"")</f>
        <v>1357.92</v>
      </c>
    </row>
    <row r="134" spans="1:15" s="136" customFormat="1" x14ac:dyDescent="0.25">
      <c r="A134" s="150" t="s">
        <v>3579</v>
      </c>
      <c r="B134" s="151" t="s">
        <v>2968</v>
      </c>
      <c r="C134" s="137" t="s">
        <v>2969</v>
      </c>
      <c r="D134" s="138" t="s">
        <v>20</v>
      </c>
      <c r="E134" s="138">
        <v>8</v>
      </c>
      <c r="F134" s="138">
        <v>0.5</v>
      </c>
      <c r="G134" s="138"/>
      <c r="H134" s="138"/>
      <c r="I134" s="120">
        <v>68.361999999999995</v>
      </c>
      <c r="J134" s="121">
        <f t="shared" si="4"/>
        <v>273.45</v>
      </c>
      <c r="K134" s="196">
        <f>BDI!$E$17</f>
        <v>0.11260000000000001</v>
      </c>
      <c r="L134" s="90"/>
      <c r="M134" s="90"/>
      <c r="N134" s="91">
        <f>IF(ISNUMBER(I134),ROUND(I134*(1+K134),2),"")</f>
        <v>76.06</v>
      </c>
      <c r="O134" s="168">
        <f>IF(ISNUMBER(I134),ROUND(E134*F134*N134,2),"")</f>
        <v>304.24</v>
      </c>
    </row>
    <row r="135" spans="1:15" s="136" customFormat="1" x14ac:dyDescent="0.25">
      <c r="A135" s="150" t="s">
        <v>3580</v>
      </c>
      <c r="B135" s="151" t="s">
        <v>2962</v>
      </c>
      <c r="C135" s="137" t="s">
        <v>2963</v>
      </c>
      <c r="D135" s="138" t="s">
        <v>20</v>
      </c>
      <c r="E135" s="138">
        <v>20</v>
      </c>
      <c r="F135" s="138">
        <v>0.5</v>
      </c>
      <c r="G135" s="138"/>
      <c r="H135" s="138"/>
      <c r="I135" s="120">
        <v>130.25450000000001</v>
      </c>
      <c r="J135" s="121">
        <f t="shared" si="4"/>
        <v>1302.55</v>
      </c>
      <c r="K135" s="196">
        <f>BDI!$E$17</f>
        <v>0.11260000000000001</v>
      </c>
      <c r="L135" s="90"/>
      <c r="M135" s="90"/>
      <c r="N135" s="91">
        <f>IF(ISNUMBER(I135),ROUND(I135*(1+K135),2),"")</f>
        <v>144.91999999999999</v>
      </c>
      <c r="O135" s="168">
        <f>IF(ISNUMBER(I135),ROUND(E135*F135*N135,2),"")</f>
        <v>1449.2</v>
      </c>
    </row>
    <row r="136" spans="1:15" s="136" customFormat="1" x14ac:dyDescent="0.25">
      <c r="A136" s="150" t="s">
        <v>3581</v>
      </c>
      <c r="B136" s="151" t="s">
        <v>2970</v>
      </c>
      <c r="C136" s="137" t="s">
        <v>2971</v>
      </c>
      <c r="D136" s="138" t="s">
        <v>20</v>
      </c>
      <c r="E136" s="138">
        <v>2</v>
      </c>
      <c r="F136" s="138">
        <v>0.5</v>
      </c>
      <c r="G136" s="138"/>
      <c r="H136" s="138"/>
      <c r="I136" s="120">
        <v>40.907000000000004</v>
      </c>
      <c r="J136" s="121">
        <f t="shared" si="4"/>
        <v>40.909999999999997</v>
      </c>
      <c r="K136" s="196">
        <f>BDI!$E$17</f>
        <v>0.11260000000000001</v>
      </c>
      <c r="L136" s="90"/>
      <c r="M136" s="90"/>
      <c r="N136" s="91">
        <f>IF(ISNUMBER(I136),ROUND(I136*(1+K136),2),"")</f>
        <v>45.51</v>
      </c>
      <c r="O136" s="168">
        <f>IF(ISNUMBER(I136),ROUND(E136*F136*N136,2),"")</f>
        <v>45.51</v>
      </c>
    </row>
    <row r="137" spans="1:15" s="136" customFormat="1" x14ac:dyDescent="0.25">
      <c r="A137" s="150" t="s">
        <v>3582</v>
      </c>
      <c r="B137" s="151" t="s">
        <v>2974</v>
      </c>
      <c r="C137" s="137" t="s">
        <v>2975</v>
      </c>
      <c r="D137" s="138" t="s">
        <v>20</v>
      </c>
      <c r="E137" s="138">
        <v>6</v>
      </c>
      <c r="F137" s="138">
        <v>0.5</v>
      </c>
      <c r="G137" s="138"/>
      <c r="H137" s="138"/>
      <c r="I137" s="120">
        <v>13.375999999999999</v>
      </c>
      <c r="J137" s="121">
        <f t="shared" si="4"/>
        <v>40.130000000000003</v>
      </c>
      <c r="K137" s="196">
        <f>BDI!$E$17</f>
        <v>0.11260000000000001</v>
      </c>
      <c r="L137" s="90"/>
      <c r="M137" s="90"/>
      <c r="N137" s="91">
        <f>IF(ISNUMBER(I137),ROUND(I137*(1+K137),2),"")</f>
        <v>14.88</v>
      </c>
      <c r="O137" s="168">
        <f>IF(ISNUMBER(I137),ROUND(E137*F137*N137,2),"")</f>
        <v>44.64</v>
      </c>
    </row>
    <row r="138" spans="1:15" s="136" customFormat="1" x14ac:dyDescent="0.25">
      <c r="A138" s="150" t="s">
        <v>3583</v>
      </c>
      <c r="B138" s="151" t="s">
        <v>2972</v>
      </c>
      <c r="C138" s="137" t="s">
        <v>2973</v>
      </c>
      <c r="D138" s="138" t="s">
        <v>20</v>
      </c>
      <c r="E138" s="138">
        <v>6</v>
      </c>
      <c r="F138" s="138">
        <v>0.5</v>
      </c>
      <c r="G138" s="138"/>
      <c r="H138" s="138"/>
      <c r="I138" s="120">
        <v>39.605499999999999</v>
      </c>
      <c r="J138" s="121">
        <f t="shared" si="4"/>
        <v>118.82</v>
      </c>
      <c r="K138" s="196">
        <f>BDI!$E$17</f>
        <v>0.11260000000000001</v>
      </c>
      <c r="L138" s="90"/>
      <c r="M138" s="90"/>
      <c r="N138" s="91">
        <f>IF(ISNUMBER(I138),ROUND(I138*(1+K138),2),"")</f>
        <v>44.07</v>
      </c>
      <c r="O138" s="168">
        <f>IF(ISNUMBER(I138),ROUND(E138*F138*N138,2),"")</f>
        <v>132.21</v>
      </c>
    </row>
    <row r="139" spans="1:15" s="136" customFormat="1" x14ac:dyDescent="0.25">
      <c r="A139" s="150" t="s">
        <v>3584</v>
      </c>
      <c r="B139" s="151" t="s">
        <v>2976</v>
      </c>
      <c r="C139" s="137" t="s">
        <v>2977</v>
      </c>
      <c r="D139" s="138" t="s">
        <v>20</v>
      </c>
      <c r="E139" s="138">
        <v>12</v>
      </c>
      <c r="F139" s="138">
        <v>0.5</v>
      </c>
      <c r="G139" s="138"/>
      <c r="H139" s="138"/>
      <c r="I139" s="120">
        <v>345</v>
      </c>
      <c r="J139" s="121">
        <f t="shared" si="4"/>
        <v>2070</v>
      </c>
      <c r="K139" s="196">
        <f>BDI!$E$17</f>
        <v>0.11260000000000001</v>
      </c>
      <c r="L139" s="90"/>
      <c r="M139" s="90"/>
      <c r="N139" s="91">
        <f>IF(ISNUMBER(I139),ROUND(I139*(1+K139),2),"")</f>
        <v>383.85</v>
      </c>
      <c r="O139" s="168">
        <f>IF(ISNUMBER(I139),ROUND(E139*F139*N139,2),"")</f>
        <v>2303.1</v>
      </c>
    </row>
    <row r="140" spans="1:15" s="136" customFormat="1" x14ac:dyDescent="0.25">
      <c r="A140" s="150" t="s">
        <v>3585</v>
      </c>
      <c r="B140" s="151" t="s">
        <v>2988</v>
      </c>
      <c r="C140" s="137" t="s">
        <v>2989</v>
      </c>
      <c r="D140" s="138" t="s">
        <v>20</v>
      </c>
      <c r="E140" s="138">
        <v>20</v>
      </c>
      <c r="F140" s="138">
        <v>0.5</v>
      </c>
      <c r="G140" s="138"/>
      <c r="H140" s="138"/>
      <c r="I140" s="120">
        <v>5.6144999999999996</v>
      </c>
      <c r="J140" s="121">
        <f t="shared" si="4"/>
        <v>56.15</v>
      </c>
      <c r="K140" s="196">
        <f>BDI!$E$17</f>
        <v>0.11260000000000001</v>
      </c>
      <c r="L140" s="90"/>
      <c r="M140" s="90"/>
      <c r="N140" s="91">
        <f>IF(ISNUMBER(I140),ROUND(I140*(1+K140),2),"")</f>
        <v>6.25</v>
      </c>
      <c r="O140" s="168">
        <f>IF(ISNUMBER(I140),ROUND(E140*F140*N140,2),"")</f>
        <v>62.5</v>
      </c>
    </row>
    <row r="141" spans="1:15" s="136" customFormat="1" x14ac:dyDescent="0.25">
      <c r="A141" s="150" t="s">
        <v>3586</v>
      </c>
      <c r="B141" s="151" t="s">
        <v>2984</v>
      </c>
      <c r="C141" s="137" t="s">
        <v>2985</v>
      </c>
      <c r="D141" s="138" t="s">
        <v>20</v>
      </c>
      <c r="E141" s="138">
        <v>20</v>
      </c>
      <c r="F141" s="138">
        <v>0.5</v>
      </c>
      <c r="G141" s="138"/>
      <c r="H141" s="138"/>
      <c r="I141" s="120">
        <v>8.1415000000000006</v>
      </c>
      <c r="J141" s="121">
        <f t="shared" si="4"/>
        <v>81.42</v>
      </c>
      <c r="K141" s="196">
        <f>BDI!$E$17</f>
        <v>0.11260000000000001</v>
      </c>
      <c r="L141" s="90"/>
      <c r="M141" s="90"/>
      <c r="N141" s="91">
        <f>IF(ISNUMBER(I141),ROUND(I141*(1+K141),2),"")</f>
        <v>9.06</v>
      </c>
      <c r="O141" s="168">
        <f>IF(ISNUMBER(I141),ROUND(E141*F141*N141,2),"")</f>
        <v>90.6</v>
      </c>
    </row>
    <row r="142" spans="1:15" s="136" customFormat="1" x14ac:dyDescent="0.25">
      <c r="A142" s="150" t="s">
        <v>3587</v>
      </c>
      <c r="B142" s="151" t="s">
        <v>2978</v>
      </c>
      <c r="C142" s="137" t="s">
        <v>2979</v>
      </c>
      <c r="D142" s="138" t="s">
        <v>20</v>
      </c>
      <c r="E142" s="138">
        <v>20</v>
      </c>
      <c r="F142" s="138">
        <v>0.5</v>
      </c>
      <c r="G142" s="138"/>
      <c r="H142" s="138"/>
      <c r="I142" s="120">
        <v>39.86</v>
      </c>
      <c r="J142" s="121">
        <f t="shared" si="4"/>
        <v>398.6</v>
      </c>
      <c r="K142" s="196">
        <f>BDI!$E$17</f>
        <v>0.11260000000000001</v>
      </c>
      <c r="L142" s="90"/>
      <c r="M142" s="90"/>
      <c r="N142" s="91">
        <f>IF(ISNUMBER(I142),ROUND(I142*(1+K142),2),"")</f>
        <v>44.35</v>
      </c>
      <c r="O142" s="168">
        <f>IF(ISNUMBER(I142),ROUND(E142*F142*N142,2),"")</f>
        <v>443.5</v>
      </c>
    </row>
    <row r="143" spans="1:15" s="136" customFormat="1" x14ac:dyDescent="0.25">
      <c r="A143" s="150" t="s">
        <v>3588</v>
      </c>
      <c r="B143" s="151" t="s">
        <v>2980</v>
      </c>
      <c r="C143" s="137" t="s">
        <v>2981</v>
      </c>
      <c r="D143" s="138" t="s">
        <v>20</v>
      </c>
      <c r="E143" s="138">
        <v>20</v>
      </c>
      <c r="F143" s="138">
        <v>0.5</v>
      </c>
      <c r="G143" s="138"/>
      <c r="H143" s="138"/>
      <c r="I143" s="120">
        <v>41.09</v>
      </c>
      <c r="J143" s="121">
        <f t="shared" si="4"/>
        <v>410.9</v>
      </c>
      <c r="K143" s="196">
        <f>BDI!$E$17</f>
        <v>0.11260000000000001</v>
      </c>
      <c r="L143" s="90"/>
      <c r="M143" s="90"/>
      <c r="N143" s="91">
        <f>IF(ISNUMBER(I143),ROUND(I143*(1+K143),2),"")</f>
        <v>45.72</v>
      </c>
      <c r="O143" s="168">
        <f>IF(ISNUMBER(I143),ROUND(E143*F143*N143,2),"")</f>
        <v>457.2</v>
      </c>
    </row>
    <row r="144" spans="1:15" s="136" customFormat="1" x14ac:dyDescent="0.25">
      <c r="A144" s="150" t="s">
        <v>3589</v>
      </c>
      <c r="B144" s="151" t="s">
        <v>2982</v>
      </c>
      <c r="C144" s="137" t="s">
        <v>2983</v>
      </c>
      <c r="D144" s="138" t="s">
        <v>20</v>
      </c>
      <c r="E144" s="138">
        <v>20</v>
      </c>
      <c r="F144" s="138">
        <v>0.5</v>
      </c>
      <c r="G144" s="138"/>
      <c r="H144" s="138"/>
      <c r="I144" s="120">
        <v>137.9</v>
      </c>
      <c r="J144" s="121">
        <f t="shared" si="4"/>
        <v>1379</v>
      </c>
      <c r="K144" s="196">
        <f>BDI!$E$17</f>
        <v>0.11260000000000001</v>
      </c>
      <c r="L144" s="90"/>
      <c r="M144" s="90"/>
      <c r="N144" s="91">
        <f>IF(ISNUMBER(I144),ROUND(I144*(1+K144),2),"")</f>
        <v>153.43</v>
      </c>
      <c r="O144" s="168">
        <f>IF(ISNUMBER(I144),ROUND(E144*F144*N144,2),"")</f>
        <v>1534.3</v>
      </c>
    </row>
    <row r="145" spans="1:15" s="136" customFormat="1" x14ac:dyDescent="0.25">
      <c r="A145" s="150" t="s">
        <v>3590</v>
      </c>
      <c r="B145" s="151" t="s">
        <v>2990</v>
      </c>
      <c r="C145" s="137" t="s">
        <v>2991</v>
      </c>
      <c r="D145" s="138" t="s">
        <v>20</v>
      </c>
      <c r="E145" s="138">
        <v>20</v>
      </c>
      <c r="F145" s="138">
        <v>0.5</v>
      </c>
      <c r="G145" s="138"/>
      <c r="H145" s="138"/>
      <c r="I145" s="120">
        <v>3.7334999999999998</v>
      </c>
      <c r="J145" s="121">
        <f t="shared" si="4"/>
        <v>37.340000000000003</v>
      </c>
      <c r="K145" s="196">
        <f>BDI!$E$17</f>
        <v>0.11260000000000001</v>
      </c>
      <c r="L145" s="90"/>
      <c r="M145" s="90"/>
      <c r="N145" s="91">
        <f>IF(ISNUMBER(I145),ROUND(I145*(1+K145),2),"")</f>
        <v>4.1500000000000004</v>
      </c>
      <c r="O145" s="168">
        <f>IF(ISNUMBER(I145),ROUND(E145*F145*N145,2),"")</f>
        <v>41.5</v>
      </c>
    </row>
    <row r="146" spans="1:15" s="136" customFormat="1" x14ac:dyDescent="0.25">
      <c r="A146" s="150" t="s">
        <v>3591</v>
      </c>
      <c r="B146" s="151" t="s">
        <v>2986</v>
      </c>
      <c r="C146" s="137" t="s">
        <v>2987</v>
      </c>
      <c r="D146" s="138" t="s">
        <v>20</v>
      </c>
      <c r="E146" s="138">
        <v>20</v>
      </c>
      <c r="F146" s="138">
        <v>0.5</v>
      </c>
      <c r="G146" s="138"/>
      <c r="H146" s="138"/>
      <c r="I146" s="120">
        <v>34.295000000000002</v>
      </c>
      <c r="J146" s="121">
        <f t="shared" si="4"/>
        <v>342.95</v>
      </c>
      <c r="K146" s="196">
        <f>BDI!$E$17</f>
        <v>0.11260000000000001</v>
      </c>
      <c r="L146" s="90"/>
      <c r="M146" s="90"/>
      <c r="N146" s="91">
        <f>IF(ISNUMBER(I146),ROUND(I146*(1+K146),2),"")</f>
        <v>38.159999999999997</v>
      </c>
      <c r="O146" s="168">
        <f>IF(ISNUMBER(I146),ROUND(E146*F146*N146,2),"")</f>
        <v>381.6</v>
      </c>
    </row>
    <row r="147" spans="1:15" s="136" customFormat="1" x14ac:dyDescent="0.25">
      <c r="A147" s="150" t="s">
        <v>3592</v>
      </c>
      <c r="B147" s="151" t="s">
        <v>3004</v>
      </c>
      <c r="C147" s="137" t="s">
        <v>3005</v>
      </c>
      <c r="D147" s="138" t="s">
        <v>20</v>
      </c>
      <c r="E147" s="138">
        <v>40</v>
      </c>
      <c r="F147" s="138">
        <v>0.5</v>
      </c>
      <c r="G147" s="138"/>
      <c r="H147" s="138"/>
      <c r="I147" s="120">
        <v>4.0279999999999996</v>
      </c>
      <c r="J147" s="121">
        <f t="shared" si="4"/>
        <v>80.56</v>
      </c>
      <c r="K147" s="196">
        <f>BDI!$E$17</f>
        <v>0.11260000000000001</v>
      </c>
      <c r="L147" s="90"/>
      <c r="M147" s="90"/>
      <c r="N147" s="91">
        <f>IF(ISNUMBER(I147),ROUND(I147*(1+K147),2),"")</f>
        <v>4.4800000000000004</v>
      </c>
      <c r="O147" s="168">
        <f>IF(ISNUMBER(I147),ROUND(E147*F147*N147,2),"")</f>
        <v>89.6</v>
      </c>
    </row>
    <row r="148" spans="1:15" s="136" customFormat="1" x14ac:dyDescent="0.25">
      <c r="A148" s="150" t="s">
        <v>3593</v>
      </c>
      <c r="B148" s="151" t="s">
        <v>3006</v>
      </c>
      <c r="C148" s="137" t="s">
        <v>3007</v>
      </c>
      <c r="D148" s="138" t="s">
        <v>20</v>
      </c>
      <c r="E148" s="138">
        <v>40</v>
      </c>
      <c r="F148" s="138">
        <v>0.5</v>
      </c>
      <c r="G148" s="138"/>
      <c r="H148" s="138"/>
      <c r="I148" s="120">
        <v>8.5024999999999995</v>
      </c>
      <c r="J148" s="121">
        <f t="shared" si="4"/>
        <v>170.05</v>
      </c>
      <c r="K148" s="196">
        <f>BDI!$E$17</f>
        <v>0.11260000000000001</v>
      </c>
      <c r="L148" s="90"/>
      <c r="M148" s="90"/>
      <c r="N148" s="91">
        <f>IF(ISNUMBER(I148),ROUND(I148*(1+K148),2),"")</f>
        <v>9.4600000000000009</v>
      </c>
      <c r="O148" s="168">
        <f>IF(ISNUMBER(I148),ROUND(E148*F148*N148,2),"")</f>
        <v>189.2</v>
      </c>
    </row>
    <row r="149" spans="1:15" s="136" customFormat="1" x14ac:dyDescent="0.25">
      <c r="A149" s="150" t="s">
        <v>3594</v>
      </c>
      <c r="B149" s="151" t="s">
        <v>2992</v>
      </c>
      <c r="C149" s="137" t="s">
        <v>2993</v>
      </c>
      <c r="D149" s="138" t="s">
        <v>20</v>
      </c>
      <c r="E149" s="138">
        <v>20</v>
      </c>
      <c r="F149" s="138">
        <v>0.5</v>
      </c>
      <c r="G149" s="138"/>
      <c r="H149" s="138"/>
      <c r="I149" s="120">
        <v>26.84</v>
      </c>
      <c r="J149" s="121">
        <f t="shared" si="4"/>
        <v>268.39999999999998</v>
      </c>
      <c r="K149" s="196">
        <f>BDI!$E$17</f>
        <v>0.11260000000000001</v>
      </c>
      <c r="L149" s="90"/>
      <c r="M149" s="90"/>
      <c r="N149" s="91">
        <f>IF(ISNUMBER(I149),ROUND(I149*(1+K149),2),"")</f>
        <v>29.86</v>
      </c>
      <c r="O149" s="168">
        <f>IF(ISNUMBER(I149),ROUND(E149*F149*N149,2),"")</f>
        <v>298.60000000000002</v>
      </c>
    </row>
    <row r="150" spans="1:15" s="136" customFormat="1" x14ac:dyDescent="0.25">
      <c r="A150" s="150" t="s">
        <v>3595</v>
      </c>
      <c r="B150" s="151" t="s">
        <v>2994</v>
      </c>
      <c r="C150" s="137" t="s">
        <v>2995</v>
      </c>
      <c r="D150" s="138" t="s">
        <v>20</v>
      </c>
      <c r="E150" s="138">
        <v>40</v>
      </c>
      <c r="F150" s="138">
        <v>0.5</v>
      </c>
      <c r="G150" s="138"/>
      <c r="H150" s="138"/>
      <c r="I150" s="120">
        <v>6.77</v>
      </c>
      <c r="J150" s="121">
        <f t="shared" si="4"/>
        <v>135.4</v>
      </c>
      <c r="K150" s="196">
        <f>BDI!$E$17</f>
        <v>0.11260000000000001</v>
      </c>
      <c r="L150" s="90"/>
      <c r="M150" s="90"/>
      <c r="N150" s="91">
        <f>IF(ISNUMBER(I150),ROUND(I150*(1+K150),2),"")</f>
        <v>7.53</v>
      </c>
      <c r="O150" s="168">
        <f>IF(ISNUMBER(I150),ROUND(E150*F150*N150,2),"")</f>
        <v>150.6</v>
      </c>
    </row>
    <row r="151" spans="1:15" s="136" customFormat="1" x14ac:dyDescent="0.25">
      <c r="A151" s="150" t="s">
        <v>3596</v>
      </c>
      <c r="B151" s="151" t="s">
        <v>2998</v>
      </c>
      <c r="C151" s="137" t="s">
        <v>2999</v>
      </c>
      <c r="D151" s="138" t="s">
        <v>20</v>
      </c>
      <c r="E151" s="138">
        <v>20</v>
      </c>
      <c r="F151" s="138">
        <v>0.5</v>
      </c>
      <c r="G151" s="138"/>
      <c r="H151" s="138"/>
      <c r="I151" s="120">
        <v>51.82</v>
      </c>
      <c r="J151" s="121">
        <f t="shared" si="4"/>
        <v>518.20000000000005</v>
      </c>
      <c r="K151" s="196">
        <f>BDI!$E$17</f>
        <v>0.11260000000000001</v>
      </c>
      <c r="L151" s="90"/>
      <c r="M151" s="90"/>
      <c r="N151" s="91">
        <f>IF(ISNUMBER(I151),ROUND(I151*(1+K151),2),"")</f>
        <v>57.65</v>
      </c>
      <c r="O151" s="168">
        <f>IF(ISNUMBER(I151),ROUND(E151*F151*N151,2),"")</f>
        <v>576.5</v>
      </c>
    </row>
    <row r="152" spans="1:15" s="136" customFormat="1" x14ac:dyDescent="0.25">
      <c r="A152" s="150" t="s">
        <v>3597</v>
      </c>
      <c r="B152" s="151" t="s">
        <v>2996</v>
      </c>
      <c r="C152" s="137" t="s">
        <v>2997</v>
      </c>
      <c r="D152" s="138" t="s">
        <v>20</v>
      </c>
      <c r="E152" s="138">
        <v>40</v>
      </c>
      <c r="F152" s="138">
        <v>0.5</v>
      </c>
      <c r="G152" s="138"/>
      <c r="H152" s="138"/>
      <c r="I152" s="120">
        <v>31.75</v>
      </c>
      <c r="J152" s="121">
        <f t="shared" si="4"/>
        <v>635</v>
      </c>
      <c r="K152" s="196">
        <f>BDI!$E$17</f>
        <v>0.11260000000000001</v>
      </c>
      <c r="L152" s="90"/>
      <c r="M152" s="90"/>
      <c r="N152" s="91">
        <f>IF(ISNUMBER(I152),ROUND(I152*(1+K152),2),"")</f>
        <v>35.33</v>
      </c>
      <c r="O152" s="168">
        <f>IF(ISNUMBER(I152),ROUND(E152*F152*N152,2),"")</f>
        <v>706.6</v>
      </c>
    </row>
    <row r="153" spans="1:15" s="136" customFormat="1" x14ac:dyDescent="0.25">
      <c r="A153" s="150" t="s">
        <v>3598</v>
      </c>
      <c r="B153" s="151" t="s">
        <v>3000</v>
      </c>
      <c r="C153" s="137" t="s">
        <v>3001</v>
      </c>
      <c r="D153" s="138" t="s">
        <v>20</v>
      </c>
      <c r="E153" s="138">
        <v>20</v>
      </c>
      <c r="F153" s="138">
        <v>0.5</v>
      </c>
      <c r="G153" s="138"/>
      <c r="H153" s="138"/>
      <c r="I153" s="120">
        <v>14.04</v>
      </c>
      <c r="J153" s="121">
        <f t="shared" si="4"/>
        <v>140.4</v>
      </c>
      <c r="K153" s="196">
        <f>BDI!$E$17</f>
        <v>0.11260000000000001</v>
      </c>
      <c r="L153" s="90"/>
      <c r="M153" s="90"/>
      <c r="N153" s="91">
        <f>IF(ISNUMBER(I153),ROUND(I153*(1+K153),2),"")</f>
        <v>15.62</v>
      </c>
      <c r="O153" s="168">
        <f>IF(ISNUMBER(I153),ROUND(E153*F153*N153,2),"")</f>
        <v>156.19999999999999</v>
      </c>
    </row>
    <row r="154" spans="1:15" s="136" customFormat="1" x14ac:dyDescent="0.25">
      <c r="A154" s="150" t="s">
        <v>3599</v>
      </c>
      <c r="B154" s="151" t="s">
        <v>3002</v>
      </c>
      <c r="C154" s="137" t="s">
        <v>3003</v>
      </c>
      <c r="D154" s="138" t="s">
        <v>20</v>
      </c>
      <c r="E154" s="138">
        <v>20</v>
      </c>
      <c r="F154" s="138">
        <v>0.5</v>
      </c>
      <c r="G154" s="138"/>
      <c r="H154" s="138"/>
      <c r="I154" s="120">
        <v>15.61</v>
      </c>
      <c r="J154" s="121">
        <f t="shared" si="4"/>
        <v>156.1</v>
      </c>
      <c r="K154" s="196">
        <f>BDI!$E$17</f>
        <v>0.11260000000000001</v>
      </c>
      <c r="L154" s="90"/>
      <c r="M154" s="90"/>
      <c r="N154" s="91">
        <f>IF(ISNUMBER(I154),ROUND(I154*(1+K154),2),"")</f>
        <v>17.37</v>
      </c>
      <c r="O154" s="168">
        <f>IF(ISNUMBER(I154),ROUND(E154*F154*N154,2),"")</f>
        <v>173.7</v>
      </c>
    </row>
    <row r="155" spans="1:15" s="136" customFormat="1" x14ac:dyDescent="0.25">
      <c r="A155" s="150" t="s">
        <v>3600</v>
      </c>
      <c r="B155" s="151" t="s">
        <v>3008</v>
      </c>
      <c r="C155" s="137" t="s">
        <v>3009</v>
      </c>
      <c r="D155" s="138" t="s">
        <v>20</v>
      </c>
      <c r="E155" s="138">
        <v>20</v>
      </c>
      <c r="F155" s="138">
        <v>0.5</v>
      </c>
      <c r="G155" s="138"/>
      <c r="H155" s="138"/>
      <c r="I155" s="120">
        <v>29.222000000000001</v>
      </c>
      <c r="J155" s="121">
        <f t="shared" si="4"/>
        <v>292.22000000000003</v>
      </c>
      <c r="K155" s="196">
        <f>BDI!$E$17</f>
        <v>0.11260000000000001</v>
      </c>
      <c r="L155" s="90"/>
      <c r="M155" s="90"/>
      <c r="N155" s="91">
        <f>IF(ISNUMBER(I155),ROUND(I155*(1+K155),2),"")</f>
        <v>32.51</v>
      </c>
      <c r="O155" s="168">
        <f>IF(ISNUMBER(I155),ROUND(E155*F155*N155,2),"")</f>
        <v>325.10000000000002</v>
      </c>
    </row>
    <row r="156" spans="1:15" s="136" customFormat="1" x14ac:dyDescent="0.25">
      <c r="A156" s="150" t="s">
        <v>3601</v>
      </c>
      <c r="B156" s="151" t="s">
        <v>3014</v>
      </c>
      <c r="C156" s="137" t="s">
        <v>3015</v>
      </c>
      <c r="D156" s="138" t="s">
        <v>20</v>
      </c>
      <c r="E156" s="138">
        <v>4</v>
      </c>
      <c r="F156" s="138">
        <v>0.5</v>
      </c>
      <c r="G156" s="138"/>
      <c r="H156" s="138"/>
      <c r="I156" s="120">
        <v>18.329999999999998</v>
      </c>
      <c r="J156" s="121">
        <f t="shared" si="4"/>
        <v>36.659999999999997</v>
      </c>
      <c r="K156" s="196">
        <f>BDI!$E$17</f>
        <v>0.11260000000000001</v>
      </c>
      <c r="L156" s="90"/>
      <c r="M156" s="90"/>
      <c r="N156" s="91">
        <f>IF(ISNUMBER(I156),ROUND(I156*(1+K156),2),"")</f>
        <v>20.39</v>
      </c>
      <c r="O156" s="168">
        <f>IF(ISNUMBER(I156),ROUND(E156*F156*N156,2),"")</f>
        <v>40.78</v>
      </c>
    </row>
    <row r="157" spans="1:15" s="136" customFormat="1" x14ac:dyDescent="0.25">
      <c r="A157" s="150" t="s">
        <v>3602</v>
      </c>
      <c r="B157" s="151" t="s">
        <v>3016</v>
      </c>
      <c r="C157" s="137" t="s">
        <v>3603</v>
      </c>
      <c r="D157" s="138" t="s">
        <v>95</v>
      </c>
      <c r="E157" s="138">
        <v>12</v>
      </c>
      <c r="F157" s="138">
        <v>0.5</v>
      </c>
      <c r="G157" s="138"/>
      <c r="H157" s="138"/>
      <c r="I157" s="120">
        <v>280.81</v>
      </c>
      <c r="J157" s="121">
        <f t="shared" si="4"/>
        <v>1684.86</v>
      </c>
      <c r="K157" s="196">
        <f>BDI!$E$17</f>
        <v>0.11260000000000001</v>
      </c>
      <c r="L157" s="90"/>
      <c r="M157" s="90"/>
      <c r="N157" s="91">
        <f>IF(ISNUMBER(I157),ROUND(I157*(1+K157),2),"")</f>
        <v>312.43</v>
      </c>
      <c r="O157" s="168">
        <f>IF(ISNUMBER(I157),ROUND(E157*F157*N157,2),"")</f>
        <v>1874.58</v>
      </c>
    </row>
    <row r="158" spans="1:15" s="136" customFormat="1" x14ac:dyDescent="0.25">
      <c r="A158" s="150" t="s">
        <v>3604</v>
      </c>
      <c r="B158" s="151" t="s">
        <v>3074</v>
      </c>
      <c r="C158" s="137" t="s">
        <v>3075</v>
      </c>
      <c r="D158" s="138" t="s">
        <v>20</v>
      </c>
      <c r="E158" s="138">
        <v>20</v>
      </c>
      <c r="F158" s="138">
        <v>0.5</v>
      </c>
      <c r="G158" s="138"/>
      <c r="H158" s="138"/>
      <c r="I158" s="120">
        <v>2.242</v>
      </c>
      <c r="J158" s="121">
        <f t="shared" si="4"/>
        <v>22.42</v>
      </c>
      <c r="K158" s="196">
        <f>BDI!$E$17</f>
        <v>0.11260000000000001</v>
      </c>
      <c r="L158" s="90"/>
      <c r="M158" s="90"/>
      <c r="N158" s="91">
        <f>IF(ISNUMBER(I158),ROUND(I158*(1+K158),2),"")</f>
        <v>2.4900000000000002</v>
      </c>
      <c r="O158" s="168">
        <f>IF(ISNUMBER(I158),ROUND(E158*F158*N158,2),"")</f>
        <v>24.9</v>
      </c>
    </row>
    <row r="159" spans="1:15" s="136" customFormat="1" x14ac:dyDescent="0.25">
      <c r="A159" s="150" t="s">
        <v>3605</v>
      </c>
      <c r="B159" s="151" t="s">
        <v>3076</v>
      </c>
      <c r="C159" s="137" t="s">
        <v>3077</v>
      </c>
      <c r="D159" s="138" t="s">
        <v>20</v>
      </c>
      <c r="E159" s="138">
        <v>20</v>
      </c>
      <c r="F159" s="138">
        <v>0.5</v>
      </c>
      <c r="G159" s="138"/>
      <c r="H159" s="138"/>
      <c r="I159" s="120">
        <v>4.5599999999999996</v>
      </c>
      <c r="J159" s="121">
        <f t="shared" si="4"/>
        <v>45.6</v>
      </c>
      <c r="K159" s="196">
        <f>BDI!$E$17</f>
        <v>0.11260000000000001</v>
      </c>
      <c r="L159" s="90"/>
      <c r="M159" s="90"/>
      <c r="N159" s="91">
        <f>IF(ISNUMBER(I159),ROUND(I159*(1+K159),2),"")</f>
        <v>5.07</v>
      </c>
      <c r="O159" s="168">
        <f>IF(ISNUMBER(I159),ROUND(E159*F159*N159,2),"")</f>
        <v>50.7</v>
      </c>
    </row>
    <row r="160" spans="1:15" s="136" customFormat="1" x14ac:dyDescent="0.25">
      <c r="A160" s="150" t="s">
        <v>3606</v>
      </c>
      <c r="B160" s="151" t="s">
        <v>3020</v>
      </c>
      <c r="C160" s="137" t="s">
        <v>3021</v>
      </c>
      <c r="D160" s="138" t="s">
        <v>20</v>
      </c>
      <c r="E160" s="138">
        <v>20</v>
      </c>
      <c r="F160" s="138">
        <v>0.5</v>
      </c>
      <c r="G160" s="138"/>
      <c r="H160" s="138"/>
      <c r="I160" s="120">
        <v>30.703999999999997</v>
      </c>
      <c r="J160" s="121">
        <f t="shared" si="4"/>
        <v>307.04000000000002</v>
      </c>
      <c r="K160" s="196">
        <f>BDI!$E$17</f>
        <v>0.11260000000000001</v>
      </c>
      <c r="L160" s="90"/>
      <c r="M160" s="90"/>
      <c r="N160" s="91">
        <f>IF(ISNUMBER(I160),ROUND(I160*(1+K160),2),"")</f>
        <v>34.159999999999997</v>
      </c>
      <c r="O160" s="168">
        <f>IF(ISNUMBER(I160),ROUND(E160*F160*N160,2),"")</f>
        <v>341.6</v>
      </c>
    </row>
    <row r="161" spans="1:15" s="136" customFormat="1" x14ac:dyDescent="0.25">
      <c r="A161" s="150" t="s">
        <v>3607</v>
      </c>
      <c r="B161" s="151" t="s">
        <v>3082</v>
      </c>
      <c r="C161" s="137" t="s">
        <v>3608</v>
      </c>
      <c r="D161" s="138" t="s">
        <v>20</v>
      </c>
      <c r="E161" s="138">
        <v>12</v>
      </c>
      <c r="F161" s="138">
        <v>0.5</v>
      </c>
      <c r="G161" s="138"/>
      <c r="H161" s="138"/>
      <c r="I161" s="120">
        <v>14.3735</v>
      </c>
      <c r="J161" s="121">
        <f t="shared" si="4"/>
        <v>86.24</v>
      </c>
      <c r="K161" s="196">
        <f>BDI!$E$17</f>
        <v>0.11260000000000001</v>
      </c>
      <c r="L161" s="90"/>
      <c r="M161" s="90"/>
      <c r="N161" s="91">
        <f>IF(ISNUMBER(I161),ROUND(I161*(1+K161),2),"")</f>
        <v>15.99</v>
      </c>
      <c r="O161" s="168">
        <f>IF(ISNUMBER(I161),ROUND(E161*F161*N161,2),"")</f>
        <v>95.94</v>
      </c>
    </row>
    <row r="162" spans="1:15" s="136" customFormat="1" x14ac:dyDescent="0.25">
      <c r="A162" s="150" t="s">
        <v>3609</v>
      </c>
      <c r="B162" s="151" t="s">
        <v>3024</v>
      </c>
      <c r="C162" s="137" t="s">
        <v>3025</v>
      </c>
      <c r="D162" s="138" t="s">
        <v>20</v>
      </c>
      <c r="E162" s="138">
        <v>20</v>
      </c>
      <c r="F162" s="138">
        <v>0.5</v>
      </c>
      <c r="G162" s="138"/>
      <c r="H162" s="138"/>
      <c r="I162" s="120">
        <v>8.8350000000000009</v>
      </c>
      <c r="J162" s="121">
        <f t="shared" si="4"/>
        <v>88.35</v>
      </c>
      <c r="K162" s="196">
        <f>BDI!$E$17</f>
        <v>0.11260000000000001</v>
      </c>
      <c r="L162" s="90"/>
      <c r="M162" s="90"/>
      <c r="N162" s="91">
        <f>IF(ISNUMBER(I162),ROUND(I162*(1+K162),2),"")</f>
        <v>9.83</v>
      </c>
      <c r="O162" s="168">
        <f>IF(ISNUMBER(I162),ROUND(E162*F162*N162,2),"")</f>
        <v>98.3</v>
      </c>
    </row>
    <row r="163" spans="1:15" s="136" customFormat="1" x14ac:dyDescent="0.25">
      <c r="A163" s="150" t="s">
        <v>3610</v>
      </c>
      <c r="B163" s="151" t="s">
        <v>3022</v>
      </c>
      <c r="C163" s="137" t="s">
        <v>3023</v>
      </c>
      <c r="D163" s="138" t="s">
        <v>20</v>
      </c>
      <c r="E163" s="138">
        <v>20</v>
      </c>
      <c r="F163" s="138">
        <v>0.5</v>
      </c>
      <c r="G163" s="138"/>
      <c r="H163" s="138"/>
      <c r="I163" s="120">
        <v>25.9</v>
      </c>
      <c r="J163" s="121">
        <f t="shared" si="4"/>
        <v>259</v>
      </c>
      <c r="K163" s="196">
        <f>BDI!$E$17</f>
        <v>0.11260000000000001</v>
      </c>
      <c r="L163" s="90"/>
      <c r="M163" s="90"/>
      <c r="N163" s="91">
        <f>IF(ISNUMBER(I163),ROUND(I163*(1+K163),2),"")</f>
        <v>28.82</v>
      </c>
      <c r="O163" s="168">
        <f>IF(ISNUMBER(I163),ROUND(E163*F163*N163,2),"")</f>
        <v>288.2</v>
      </c>
    </row>
    <row r="164" spans="1:15" s="136" customFormat="1" x14ac:dyDescent="0.25">
      <c r="A164" s="150" t="s">
        <v>3611</v>
      </c>
      <c r="B164" s="151" t="s">
        <v>3026</v>
      </c>
      <c r="C164" s="137" t="s">
        <v>3027</v>
      </c>
      <c r="D164" s="138" t="s">
        <v>20</v>
      </c>
      <c r="E164" s="138">
        <v>20</v>
      </c>
      <c r="F164" s="138">
        <v>0.5</v>
      </c>
      <c r="G164" s="138"/>
      <c r="H164" s="138"/>
      <c r="I164" s="120">
        <v>11.17</v>
      </c>
      <c r="J164" s="121">
        <f t="shared" si="4"/>
        <v>111.7</v>
      </c>
      <c r="K164" s="196">
        <f>BDI!$E$17</f>
        <v>0.11260000000000001</v>
      </c>
      <c r="L164" s="90"/>
      <c r="M164" s="90"/>
      <c r="N164" s="91">
        <f>IF(ISNUMBER(I164),ROUND(I164*(1+K164),2),"")</f>
        <v>12.43</v>
      </c>
      <c r="O164" s="168">
        <f>IF(ISNUMBER(I164),ROUND(E164*F164*N164,2),"")</f>
        <v>124.3</v>
      </c>
    </row>
    <row r="165" spans="1:15" s="136" customFormat="1" x14ac:dyDescent="0.25">
      <c r="A165" s="150" t="s">
        <v>3612</v>
      </c>
      <c r="B165" s="151" t="s">
        <v>3028</v>
      </c>
      <c r="C165" s="137" t="s">
        <v>3029</v>
      </c>
      <c r="D165" s="138" t="s">
        <v>20</v>
      </c>
      <c r="E165" s="138">
        <v>6</v>
      </c>
      <c r="F165" s="138">
        <v>0.5</v>
      </c>
      <c r="G165" s="138"/>
      <c r="H165" s="138"/>
      <c r="I165" s="120">
        <v>13.281000000000001</v>
      </c>
      <c r="J165" s="121">
        <f t="shared" si="4"/>
        <v>39.840000000000003</v>
      </c>
      <c r="K165" s="196">
        <f>BDI!$E$17</f>
        <v>0.11260000000000001</v>
      </c>
      <c r="L165" s="90"/>
      <c r="M165" s="90"/>
      <c r="N165" s="91">
        <f>IF(ISNUMBER(I165),ROUND(I165*(1+K165),2),"")</f>
        <v>14.78</v>
      </c>
      <c r="O165" s="168">
        <f>IF(ISNUMBER(I165),ROUND(E165*F165*N165,2),"")</f>
        <v>44.34</v>
      </c>
    </row>
    <row r="166" spans="1:15" s="136" customFormat="1" x14ac:dyDescent="0.25">
      <c r="A166" s="150" t="s">
        <v>3613</v>
      </c>
      <c r="B166" s="151" t="s">
        <v>3030</v>
      </c>
      <c r="C166" s="137" t="s">
        <v>3031</v>
      </c>
      <c r="D166" s="138" t="s">
        <v>20</v>
      </c>
      <c r="E166" s="138">
        <v>20</v>
      </c>
      <c r="F166" s="138">
        <v>0.5</v>
      </c>
      <c r="G166" s="138"/>
      <c r="H166" s="138"/>
      <c r="I166" s="120">
        <v>9.1009999999999991</v>
      </c>
      <c r="J166" s="121">
        <f t="shared" si="4"/>
        <v>91.01</v>
      </c>
      <c r="K166" s="196">
        <f>BDI!$E$17</f>
        <v>0.11260000000000001</v>
      </c>
      <c r="L166" s="90"/>
      <c r="M166" s="90"/>
      <c r="N166" s="91">
        <f>IF(ISNUMBER(I166),ROUND(I166*(1+K166),2),"")</f>
        <v>10.130000000000001</v>
      </c>
      <c r="O166" s="168">
        <f>IF(ISNUMBER(I166),ROUND(E166*F166*N166,2),"")</f>
        <v>101.3</v>
      </c>
    </row>
    <row r="167" spans="1:15" s="136" customFormat="1" x14ac:dyDescent="0.25">
      <c r="A167" s="150" t="s">
        <v>3614</v>
      </c>
      <c r="B167" s="151" t="s">
        <v>3032</v>
      </c>
      <c r="C167" s="137" t="s">
        <v>3033</v>
      </c>
      <c r="D167" s="138" t="s">
        <v>20</v>
      </c>
      <c r="E167" s="138">
        <v>40</v>
      </c>
      <c r="F167" s="138">
        <v>0.5</v>
      </c>
      <c r="G167" s="138"/>
      <c r="H167" s="138"/>
      <c r="I167" s="120">
        <v>20.225499999999997</v>
      </c>
      <c r="J167" s="121">
        <f t="shared" si="4"/>
        <v>404.51</v>
      </c>
      <c r="K167" s="196">
        <f>BDI!$E$17</f>
        <v>0.11260000000000001</v>
      </c>
      <c r="L167" s="90"/>
      <c r="M167" s="90"/>
      <c r="N167" s="91">
        <f>IF(ISNUMBER(I167),ROUND(I167*(1+K167),2),"")</f>
        <v>22.5</v>
      </c>
      <c r="O167" s="168">
        <f>IF(ISNUMBER(I167),ROUND(E167*F167*N167,2),"")</f>
        <v>450</v>
      </c>
    </row>
    <row r="168" spans="1:15" s="136" customFormat="1" x14ac:dyDescent="0.25">
      <c r="A168" s="150" t="s">
        <v>3615</v>
      </c>
      <c r="B168" s="151" t="s">
        <v>3078</v>
      </c>
      <c r="C168" s="137" t="s">
        <v>3079</v>
      </c>
      <c r="D168" s="138" t="s">
        <v>20</v>
      </c>
      <c r="E168" s="138">
        <v>20</v>
      </c>
      <c r="F168" s="138">
        <v>0.5</v>
      </c>
      <c r="G168" s="138"/>
      <c r="H168" s="138"/>
      <c r="I168" s="120">
        <v>8.7874999999999996</v>
      </c>
      <c r="J168" s="121">
        <f t="shared" si="4"/>
        <v>87.88</v>
      </c>
      <c r="K168" s="196">
        <f>BDI!$E$17</f>
        <v>0.11260000000000001</v>
      </c>
      <c r="L168" s="90"/>
      <c r="M168" s="90"/>
      <c r="N168" s="91">
        <f>IF(ISNUMBER(I168),ROUND(I168*(1+K168),2),"")</f>
        <v>9.7799999999999994</v>
      </c>
      <c r="O168" s="168">
        <f>IF(ISNUMBER(I168),ROUND(E168*F168*N168,2),"")</f>
        <v>97.8</v>
      </c>
    </row>
    <row r="169" spans="1:15" s="136" customFormat="1" x14ac:dyDescent="0.25">
      <c r="A169" s="150" t="s">
        <v>3616</v>
      </c>
      <c r="B169" s="151" t="s">
        <v>3080</v>
      </c>
      <c r="C169" s="137" t="s">
        <v>3081</v>
      </c>
      <c r="D169" s="138" t="s">
        <v>20</v>
      </c>
      <c r="E169" s="138">
        <v>20</v>
      </c>
      <c r="F169" s="138">
        <v>0.5</v>
      </c>
      <c r="G169" s="138"/>
      <c r="H169" s="138"/>
      <c r="I169" s="120">
        <v>17.736499999999999</v>
      </c>
      <c r="J169" s="121">
        <f t="shared" si="4"/>
        <v>177.37</v>
      </c>
      <c r="K169" s="196">
        <f>BDI!$E$17</f>
        <v>0.11260000000000001</v>
      </c>
      <c r="L169" s="90"/>
      <c r="M169" s="90"/>
      <c r="N169" s="91">
        <f>IF(ISNUMBER(I169),ROUND(I169*(1+K169),2),"")</f>
        <v>19.73</v>
      </c>
      <c r="O169" s="168">
        <f>IF(ISNUMBER(I169),ROUND(E169*F169*N169,2),"")</f>
        <v>197.3</v>
      </c>
    </row>
    <row r="170" spans="1:15" s="136" customFormat="1" x14ac:dyDescent="0.25">
      <c r="A170" s="150" t="s">
        <v>3617</v>
      </c>
      <c r="B170" s="151" t="s">
        <v>3087</v>
      </c>
      <c r="C170" s="137" t="s">
        <v>3088</v>
      </c>
      <c r="D170" s="138" t="s">
        <v>93</v>
      </c>
      <c r="E170" s="138">
        <v>20</v>
      </c>
      <c r="F170" s="138">
        <v>0.5</v>
      </c>
      <c r="G170" s="138"/>
      <c r="H170" s="138"/>
      <c r="I170" s="120">
        <v>90</v>
      </c>
      <c r="J170" s="121">
        <f t="shared" si="4"/>
        <v>900</v>
      </c>
      <c r="K170" s="196">
        <f>BDI!$E$17</f>
        <v>0.11260000000000001</v>
      </c>
      <c r="L170" s="90"/>
      <c r="M170" s="90"/>
      <c r="N170" s="91">
        <f>IF(ISNUMBER(I170),ROUND(I170*(1+K170),2),"")</f>
        <v>100.13</v>
      </c>
      <c r="O170" s="168">
        <f>IF(ISNUMBER(I170),ROUND(E170*F170*N170,2),"")</f>
        <v>1001.3</v>
      </c>
    </row>
    <row r="171" spans="1:15" s="136" customFormat="1" x14ac:dyDescent="0.25">
      <c r="A171" s="150" t="s">
        <v>3618</v>
      </c>
      <c r="B171" s="151" t="s">
        <v>3089</v>
      </c>
      <c r="C171" s="137" t="s">
        <v>3090</v>
      </c>
      <c r="D171" s="138" t="s">
        <v>93</v>
      </c>
      <c r="E171" s="138">
        <v>20</v>
      </c>
      <c r="F171" s="138">
        <v>0.5</v>
      </c>
      <c r="G171" s="138"/>
      <c r="H171" s="138"/>
      <c r="I171" s="120">
        <v>107</v>
      </c>
      <c r="J171" s="121">
        <f t="shared" si="4"/>
        <v>1070</v>
      </c>
      <c r="K171" s="196">
        <f>BDI!$E$17</f>
        <v>0.11260000000000001</v>
      </c>
      <c r="L171" s="90"/>
      <c r="M171" s="90"/>
      <c r="N171" s="91">
        <f>IF(ISNUMBER(I171),ROUND(I171*(1+K171),2),"")</f>
        <v>119.05</v>
      </c>
      <c r="O171" s="168">
        <f>IF(ISNUMBER(I171),ROUND(E171*F171*N171,2),"")</f>
        <v>1190.5</v>
      </c>
    </row>
    <row r="172" spans="1:15" s="136" customFormat="1" x14ac:dyDescent="0.25">
      <c r="A172" s="150" t="s">
        <v>3619</v>
      </c>
      <c r="B172" s="151" t="s">
        <v>3091</v>
      </c>
      <c r="C172" s="137" t="s">
        <v>3092</v>
      </c>
      <c r="D172" s="138" t="s">
        <v>20</v>
      </c>
      <c r="E172" s="138">
        <v>6</v>
      </c>
      <c r="F172" s="138">
        <v>0.5</v>
      </c>
      <c r="G172" s="138"/>
      <c r="H172" s="138"/>
      <c r="I172" s="120">
        <v>4.82</v>
      </c>
      <c r="J172" s="121">
        <f t="shared" si="4"/>
        <v>14.46</v>
      </c>
      <c r="K172" s="196">
        <f>BDI!$E$17</f>
        <v>0.11260000000000001</v>
      </c>
      <c r="L172" s="90"/>
      <c r="M172" s="90"/>
      <c r="N172" s="91">
        <f>IF(ISNUMBER(I172),ROUND(I172*(1+K172),2),"")</f>
        <v>5.36</v>
      </c>
      <c r="O172" s="168">
        <f>IF(ISNUMBER(I172),ROUND(E172*F172*N172,2),"")</f>
        <v>16.079999999999998</v>
      </c>
    </row>
    <row r="173" spans="1:15" s="136" customFormat="1" x14ac:dyDescent="0.25">
      <c r="A173" s="150" t="s">
        <v>3620</v>
      </c>
      <c r="B173" s="151" t="s">
        <v>3093</v>
      </c>
      <c r="C173" s="137" t="s">
        <v>3094</v>
      </c>
      <c r="D173" s="138" t="s">
        <v>93</v>
      </c>
      <c r="E173" s="138">
        <v>12</v>
      </c>
      <c r="F173" s="138">
        <v>0.5</v>
      </c>
      <c r="G173" s="138"/>
      <c r="H173" s="138"/>
      <c r="I173" s="120">
        <v>1.94</v>
      </c>
      <c r="J173" s="121">
        <f t="shared" si="4"/>
        <v>11.64</v>
      </c>
      <c r="K173" s="196">
        <f>BDI!$E$17</f>
        <v>0.11260000000000001</v>
      </c>
      <c r="L173" s="90"/>
      <c r="M173" s="90"/>
      <c r="N173" s="91">
        <f>IF(ISNUMBER(I173),ROUND(I173*(1+K173),2),"")</f>
        <v>2.16</v>
      </c>
      <c r="O173" s="168">
        <f>IF(ISNUMBER(I173),ROUND(E173*F173*N173,2),"")</f>
        <v>12.96</v>
      </c>
    </row>
    <row r="174" spans="1:15" s="136" customFormat="1" x14ac:dyDescent="0.25">
      <c r="A174" s="150" t="s">
        <v>3621</v>
      </c>
      <c r="B174" s="151" t="s">
        <v>2876</v>
      </c>
      <c r="C174" s="137" t="s">
        <v>2877</v>
      </c>
      <c r="D174" s="138" t="s">
        <v>20</v>
      </c>
      <c r="E174" s="138">
        <v>20</v>
      </c>
      <c r="F174" s="138">
        <v>0.5</v>
      </c>
      <c r="G174" s="138"/>
      <c r="H174" s="138"/>
      <c r="I174" s="120">
        <v>264.04300000000001</v>
      </c>
      <c r="J174" s="121">
        <f t="shared" si="4"/>
        <v>2640.43</v>
      </c>
      <c r="K174" s="196">
        <f>BDI!$E$17</f>
        <v>0.11260000000000001</v>
      </c>
      <c r="L174" s="90"/>
      <c r="M174" s="90"/>
      <c r="N174" s="91">
        <f>IF(ISNUMBER(I174),ROUND(I174*(1+K174),2),"")</f>
        <v>293.77</v>
      </c>
      <c r="O174" s="168">
        <f>IF(ISNUMBER(I174),ROUND(E174*F174*N174,2),"")</f>
        <v>2937.7</v>
      </c>
    </row>
    <row r="175" spans="1:15" s="136" customFormat="1" x14ac:dyDescent="0.25">
      <c r="A175" s="150" t="s">
        <v>3622</v>
      </c>
      <c r="B175" s="151" t="s">
        <v>2772</v>
      </c>
      <c r="C175" s="137" t="s">
        <v>2773</v>
      </c>
      <c r="D175" s="138" t="s">
        <v>20</v>
      </c>
      <c r="E175" s="138">
        <v>12</v>
      </c>
      <c r="F175" s="138">
        <v>0.5</v>
      </c>
      <c r="G175" s="138"/>
      <c r="H175" s="138"/>
      <c r="I175" s="120">
        <v>53.019500000000001</v>
      </c>
      <c r="J175" s="121">
        <f t="shared" ref="J175:J238" si="5">IF(ISNUMBER(I175),ROUND(E175*I175*F175,2),"")</f>
        <v>318.12</v>
      </c>
      <c r="K175" s="196">
        <f>BDI!$E$17</f>
        <v>0.11260000000000001</v>
      </c>
      <c r="L175" s="90"/>
      <c r="M175" s="90"/>
      <c r="N175" s="91">
        <f>IF(ISNUMBER(I175),ROUND(I175*(1+K175),2),"")</f>
        <v>58.99</v>
      </c>
      <c r="O175" s="168">
        <f>IF(ISNUMBER(I175),ROUND(E175*F175*N175,2),"")</f>
        <v>353.94</v>
      </c>
    </row>
    <row r="176" spans="1:15" s="136" customFormat="1" x14ac:dyDescent="0.25">
      <c r="A176" s="150" t="s">
        <v>3623</v>
      </c>
      <c r="B176" s="151" t="s">
        <v>2770</v>
      </c>
      <c r="C176" s="137" t="s">
        <v>2771</v>
      </c>
      <c r="D176" s="138" t="s">
        <v>20</v>
      </c>
      <c r="E176" s="138">
        <v>20</v>
      </c>
      <c r="F176" s="138">
        <v>0.5</v>
      </c>
      <c r="G176" s="138"/>
      <c r="H176" s="138"/>
      <c r="I176" s="120">
        <v>34.637</v>
      </c>
      <c r="J176" s="121">
        <f t="shared" si="5"/>
        <v>346.37</v>
      </c>
      <c r="K176" s="196">
        <f>BDI!$E$17</f>
        <v>0.11260000000000001</v>
      </c>
      <c r="L176" s="90"/>
      <c r="M176" s="90"/>
      <c r="N176" s="91">
        <f>IF(ISNUMBER(I176),ROUND(I176*(1+K176),2),"")</f>
        <v>38.54</v>
      </c>
      <c r="O176" s="168">
        <f>IF(ISNUMBER(I176),ROUND(E176*F176*N176,2),"")</f>
        <v>385.4</v>
      </c>
    </row>
    <row r="177" spans="1:15" s="136" customFormat="1" x14ac:dyDescent="0.25">
      <c r="A177" s="150" t="s">
        <v>3624</v>
      </c>
      <c r="B177" s="151" t="s">
        <v>2774</v>
      </c>
      <c r="C177" s="137" t="s">
        <v>2775</v>
      </c>
      <c r="D177" s="138" t="s">
        <v>20</v>
      </c>
      <c r="E177" s="138">
        <v>60</v>
      </c>
      <c r="F177" s="138">
        <v>0.5</v>
      </c>
      <c r="G177" s="138"/>
      <c r="H177" s="138"/>
      <c r="I177" s="120">
        <v>86.250500000000002</v>
      </c>
      <c r="J177" s="121">
        <f t="shared" si="5"/>
        <v>2587.52</v>
      </c>
      <c r="K177" s="196">
        <f>BDI!$E$17</f>
        <v>0.11260000000000001</v>
      </c>
      <c r="L177" s="90"/>
      <c r="M177" s="90"/>
      <c r="N177" s="91">
        <f>IF(ISNUMBER(I177),ROUND(I177*(1+K177),2),"")</f>
        <v>95.96</v>
      </c>
      <c r="O177" s="168">
        <f>IF(ISNUMBER(I177),ROUND(E177*F177*N177,2),"")</f>
        <v>2878.8</v>
      </c>
    </row>
    <row r="178" spans="1:15" s="136" customFormat="1" x14ac:dyDescent="0.25">
      <c r="A178" s="150" t="s">
        <v>3625</v>
      </c>
      <c r="B178" s="151" t="s">
        <v>2938</v>
      </c>
      <c r="C178" s="137" t="s">
        <v>2939</v>
      </c>
      <c r="D178" s="138" t="s">
        <v>20</v>
      </c>
      <c r="E178" s="138">
        <v>20</v>
      </c>
      <c r="F178" s="138">
        <v>0.5</v>
      </c>
      <c r="G178" s="138"/>
      <c r="H178" s="138"/>
      <c r="I178" s="120">
        <v>106.92249999999999</v>
      </c>
      <c r="J178" s="121">
        <f t="shared" si="5"/>
        <v>1069.23</v>
      </c>
      <c r="K178" s="196">
        <f>BDI!$E$17</f>
        <v>0.11260000000000001</v>
      </c>
      <c r="L178" s="90"/>
      <c r="M178" s="90"/>
      <c r="N178" s="91">
        <f>IF(ISNUMBER(I178),ROUND(I178*(1+K178),2),"")</f>
        <v>118.96</v>
      </c>
      <c r="O178" s="168">
        <f>IF(ISNUMBER(I178),ROUND(E178*F178*N178,2),"")</f>
        <v>1189.5999999999999</v>
      </c>
    </row>
    <row r="179" spans="1:15" s="136" customFormat="1" x14ac:dyDescent="0.25">
      <c r="A179" s="150" t="s">
        <v>3626</v>
      </c>
      <c r="B179" s="151" t="s">
        <v>2618</v>
      </c>
      <c r="C179" s="137" t="s">
        <v>2619</v>
      </c>
      <c r="D179" s="138" t="s">
        <v>20</v>
      </c>
      <c r="E179" s="138">
        <v>40</v>
      </c>
      <c r="F179" s="138">
        <v>0.5</v>
      </c>
      <c r="G179" s="138"/>
      <c r="H179" s="138"/>
      <c r="I179" s="120">
        <v>17.059999999999999</v>
      </c>
      <c r="J179" s="121">
        <f t="shared" si="5"/>
        <v>341.2</v>
      </c>
      <c r="K179" s="196">
        <f>BDI!$E$17</f>
        <v>0.11260000000000001</v>
      </c>
      <c r="L179" s="90"/>
      <c r="M179" s="90"/>
      <c r="N179" s="91">
        <f>IF(ISNUMBER(I179),ROUND(I179*(1+K179),2),"")</f>
        <v>18.98</v>
      </c>
      <c r="O179" s="168">
        <f>IF(ISNUMBER(I179),ROUND(E179*F179*N179,2),"")</f>
        <v>379.6</v>
      </c>
    </row>
    <row r="180" spans="1:15" s="136" customFormat="1" x14ac:dyDescent="0.25">
      <c r="A180" s="150" t="s">
        <v>3627</v>
      </c>
      <c r="B180" s="151" t="s">
        <v>3034</v>
      </c>
      <c r="C180" s="137" t="s">
        <v>3035</v>
      </c>
      <c r="D180" s="138" t="s">
        <v>20</v>
      </c>
      <c r="E180" s="138">
        <v>12</v>
      </c>
      <c r="F180" s="138">
        <v>0.5</v>
      </c>
      <c r="G180" s="138"/>
      <c r="H180" s="138"/>
      <c r="I180" s="120">
        <v>254.34350000000001</v>
      </c>
      <c r="J180" s="121">
        <f t="shared" si="5"/>
        <v>1526.06</v>
      </c>
      <c r="K180" s="196">
        <f>BDI!$E$17</f>
        <v>0.11260000000000001</v>
      </c>
      <c r="L180" s="90"/>
      <c r="M180" s="90"/>
      <c r="N180" s="91">
        <f>IF(ISNUMBER(I180),ROUND(I180*(1+K180),2),"")</f>
        <v>282.98</v>
      </c>
      <c r="O180" s="168">
        <f>IF(ISNUMBER(I180),ROUND(E180*F180*N180,2),"")</f>
        <v>1697.88</v>
      </c>
    </row>
    <row r="181" spans="1:15" s="136" customFormat="1" x14ac:dyDescent="0.25">
      <c r="A181" s="150" t="s">
        <v>3628</v>
      </c>
      <c r="B181" s="151" t="s">
        <v>3036</v>
      </c>
      <c r="C181" s="137" t="s">
        <v>3037</v>
      </c>
      <c r="D181" s="138" t="s">
        <v>20</v>
      </c>
      <c r="E181" s="138">
        <v>12</v>
      </c>
      <c r="F181" s="138">
        <v>0.5</v>
      </c>
      <c r="G181" s="138"/>
      <c r="H181" s="138"/>
      <c r="I181" s="120">
        <v>136.51499999999999</v>
      </c>
      <c r="J181" s="121">
        <f t="shared" si="5"/>
        <v>819.09</v>
      </c>
      <c r="K181" s="196">
        <f>BDI!$E$17</f>
        <v>0.11260000000000001</v>
      </c>
      <c r="L181" s="90"/>
      <c r="M181" s="90"/>
      <c r="N181" s="91">
        <f>IF(ISNUMBER(I181),ROUND(I181*(1+K181),2),"")</f>
        <v>151.88999999999999</v>
      </c>
      <c r="O181" s="168">
        <f>IF(ISNUMBER(I181),ROUND(E181*F181*N181,2),"")</f>
        <v>911.34</v>
      </c>
    </row>
    <row r="182" spans="1:15" s="136" customFormat="1" x14ac:dyDescent="0.25">
      <c r="A182" s="150" t="s">
        <v>3629</v>
      </c>
      <c r="B182" s="151" t="s">
        <v>3038</v>
      </c>
      <c r="C182" s="137" t="s">
        <v>3039</v>
      </c>
      <c r="D182" s="138" t="s">
        <v>20</v>
      </c>
      <c r="E182" s="138">
        <v>8</v>
      </c>
      <c r="F182" s="138">
        <v>0.5</v>
      </c>
      <c r="G182" s="138"/>
      <c r="H182" s="138"/>
      <c r="I182" s="120">
        <v>402.03999999999996</v>
      </c>
      <c r="J182" s="121">
        <f t="shared" si="5"/>
        <v>1608.16</v>
      </c>
      <c r="K182" s="196">
        <f>BDI!$E$17</f>
        <v>0.11260000000000001</v>
      </c>
      <c r="L182" s="90"/>
      <c r="M182" s="90"/>
      <c r="N182" s="91">
        <f>IF(ISNUMBER(I182),ROUND(I182*(1+K182),2),"")</f>
        <v>447.31</v>
      </c>
      <c r="O182" s="168">
        <f>IF(ISNUMBER(I182),ROUND(E182*F182*N182,2),"")</f>
        <v>1789.24</v>
      </c>
    </row>
    <row r="183" spans="1:15" s="136" customFormat="1" x14ac:dyDescent="0.25">
      <c r="A183" s="150" t="s">
        <v>3630</v>
      </c>
      <c r="B183" s="151" t="s">
        <v>3040</v>
      </c>
      <c r="C183" s="137" t="s">
        <v>3041</v>
      </c>
      <c r="D183" s="138" t="s">
        <v>20</v>
      </c>
      <c r="E183" s="138">
        <v>8</v>
      </c>
      <c r="F183" s="138">
        <v>0.5</v>
      </c>
      <c r="G183" s="138"/>
      <c r="H183" s="138"/>
      <c r="I183" s="120">
        <v>44.630999999999993</v>
      </c>
      <c r="J183" s="121">
        <f t="shared" si="5"/>
        <v>178.52</v>
      </c>
      <c r="K183" s="196">
        <f>BDI!$E$17</f>
        <v>0.11260000000000001</v>
      </c>
      <c r="L183" s="90"/>
      <c r="M183" s="90"/>
      <c r="N183" s="91">
        <f>IF(ISNUMBER(I183),ROUND(I183*(1+K183),2),"")</f>
        <v>49.66</v>
      </c>
      <c r="O183" s="168">
        <f>IF(ISNUMBER(I183),ROUND(E183*F183*N183,2),"")</f>
        <v>198.64</v>
      </c>
    </row>
    <row r="184" spans="1:15" s="136" customFormat="1" x14ac:dyDescent="0.25">
      <c r="A184" s="150" t="s">
        <v>3631</v>
      </c>
      <c r="B184" s="151" t="s">
        <v>3070</v>
      </c>
      <c r="C184" s="137" t="s">
        <v>3071</v>
      </c>
      <c r="D184" s="138" t="s">
        <v>20</v>
      </c>
      <c r="E184" s="138">
        <v>20</v>
      </c>
      <c r="F184" s="138">
        <v>0.5</v>
      </c>
      <c r="G184" s="138"/>
      <c r="H184" s="138"/>
      <c r="I184" s="120">
        <v>4.7214999999999998</v>
      </c>
      <c r="J184" s="121">
        <f t="shared" si="5"/>
        <v>47.22</v>
      </c>
      <c r="K184" s="196">
        <f>BDI!$E$17</f>
        <v>0.11260000000000001</v>
      </c>
      <c r="L184" s="90"/>
      <c r="M184" s="90"/>
      <c r="N184" s="91">
        <f>IF(ISNUMBER(I184),ROUND(I184*(1+K184),2),"")</f>
        <v>5.25</v>
      </c>
      <c r="O184" s="168">
        <f>IF(ISNUMBER(I184),ROUND(E184*F184*N184,2),"")</f>
        <v>52.5</v>
      </c>
    </row>
    <row r="185" spans="1:15" s="136" customFormat="1" x14ac:dyDescent="0.25">
      <c r="A185" s="150" t="s">
        <v>3632</v>
      </c>
      <c r="B185" s="151" t="s">
        <v>3072</v>
      </c>
      <c r="C185" s="137" t="s">
        <v>3073</v>
      </c>
      <c r="D185" s="138" t="s">
        <v>20</v>
      </c>
      <c r="E185" s="138">
        <v>20</v>
      </c>
      <c r="F185" s="138">
        <v>0.5</v>
      </c>
      <c r="G185" s="138"/>
      <c r="H185" s="138"/>
      <c r="I185" s="120">
        <v>8.7114999999999991</v>
      </c>
      <c r="J185" s="121">
        <f t="shared" si="5"/>
        <v>87.12</v>
      </c>
      <c r="K185" s="196">
        <f>BDI!$E$17</f>
        <v>0.11260000000000001</v>
      </c>
      <c r="L185" s="90"/>
      <c r="M185" s="90"/>
      <c r="N185" s="91">
        <f>IF(ISNUMBER(I185),ROUND(I185*(1+K185),2),"")</f>
        <v>9.69</v>
      </c>
      <c r="O185" s="168">
        <f>IF(ISNUMBER(I185),ROUND(E185*F185*N185,2),"")</f>
        <v>96.9</v>
      </c>
    </row>
    <row r="186" spans="1:15" s="136" customFormat="1" x14ac:dyDescent="0.25">
      <c r="A186" s="150" t="s">
        <v>3633</v>
      </c>
      <c r="B186" s="151" t="s">
        <v>3060</v>
      </c>
      <c r="C186" s="137" t="s">
        <v>3061</v>
      </c>
      <c r="D186" s="138" t="s">
        <v>20</v>
      </c>
      <c r="E186" s="138">
        <v>40</v>
      </c>
      <c r="F186" s="138">
        <v>0.5</v>
      </c>
      <c r="G186" s="138"/>
      <c r="H186" s="138"/>
      <c r="I186" s="120">
        <v>41.277500000000003</v>
      </c>
      <c r="J186" s="121">
        <f t="shared" si="5"/>
        <v>825.55</v>
      </c>
      <c r="K186" s="196">
        <f>BDI!$E$17</f>
        <v>0.11260000000000001</v>
      </c>
      <c r="L186" s="90"/>
      <c r="M186" s="90"/>
      <c r="N186" s="91">
        <f>IF(ISNUMBER(I186),ROUND(I186*(1+K186),2),"")</f>
        <v>45.93</v>
      </c>
      <c r="O186" s="168">
        <f>IF(ISNUMBER(I186),ROUND(E186*F186*N186,2),"")</f>
        <v>918.6</v>
      </c>
    </row>
    <row r="187" spans="1:15" s="136" customFormat="1" x14ac:dyDescent="0.25">
      <c r="A187" s="150" t="s">
        <v>3634</v>
      </c>
      <c r="B187" s="151" t="s">
        <v>3062</v>
      </c>
      <c r="C187" s="137" t="s">
        <v>3063</v>
      </c>
      <c r="D187" s="138" t="s">
        <v>20</v>
      </c>
      <c r="E187" s="138">
        <v>8</v>
      </c>
      <c r="F187" s="138">
        <v>0.5</v>
      </c>
      <c r="G187" s="138"/>
      <c r="H187" s="138"/>
      <c r="I187" s="120">
        <v>9.2909999999999986</v>
      </c>
      <c r="J187" s="121">
        <f t="shared" si="5"/>
        <v>37.159999999999997</v>
      </c>
      <c r="K187" s="196">
        <f>BDI!$E$17</f>
        <v>0.11260000000000001</v>
      </c>
      <c r="L187" s="90"/>
      <c r="M187" s="90"/>
      <c r="N187" s="91">
        <f>IF(ISNUMBER(I187),ROUND(I187*(1+K187),2),"")</f>
        <v>10.34</v>
      </c>
      <c r="O187" s="168">
        <f>IF(ISNUMBER(I187),ROUND(E187*F187*N187,2),"")</f>
        <v>41.36</v>
      </c>
    </row>
    <row r="188" spans="1:15" s="136" customFormat="1" x14ac:dyDescent="0.25">
      <c r="A188" s="150" t="s">
        <v>3635</v>
      </c>
      <c r="B188" s="151" t="s">
        <v>3064</v>
      </c>
      <c r="C188" s="137" t="s">
        <v>3065</v>
      </c>
      <c r="D188" s="138" t="s">
        <v>20</v>
      </c>
      <c r="E188" s="138">
        <v>8</v>
      </c>
      <c r="F188" s="138">
        <v>0.5</v>
      </c>
      <c r="G188" s="138"/>
      <c r="H188" s="138"/>
      <c r="I188" s="120">
        <v>124.13649999999998</v>
      </c>
      <c r="J188" s="121">
        <f t="shared" si="5"/>
        <v>496.55</v>
      </c>
      <c r="K188" s="196">
        <f>BDI!$E$17</f>
        <v>0.11260000000000001</v>
      </c>
      <c r="L188" s="90"/>
      <c r="M188" s="90"/>
      <c r="N188" s="91">
        <f>IF(ISNUMBER(I188),ROUND(I188*(1+K188),2),"")</f>
        <v>138.11000000000001</v>
      </c>
      <c r="O188" s="168">
        <f>IF(ISNUMBER(I188),ROUND(E188*F188*N188,2),"")</f>
        <v>552.44000000000005</v>
      </c>
    </row>
    <row r="189" spans="1:15" s="136" customFormat="1" x14ac:dyDescent="0.25">
      <c r="A189" s="150" t="s">
        <v>3636</v>
      </c>
      <c r="B189" s="151" t="s">
        <v>3066</v>
      </c>
      <c r="C189" s="137" t="s">
        <v>3067</v>
      </c>
      <c r="D189" s="138" t="s">
        <v>20</v>
      </c>
      <c r="E189" s="138">
        <v>8</v>
      </c>
      <c r="F189" s="138">
        <v>0.5</v>
      </c>
      <c r="G189" s="138"/>
      <c r="H189" s="138"/>
      <c r="I189" s="120">
        <v>65.378999999999991</v>
      </c>
      <c r="J189" s="121">
        <f t="shared" si="5"/>
        <v>261.52</v>
      </c>
      <c r="K189" s="196">
        <f>BDI!$E$17</f>
        <v>0.11260000000000001</v>
      </c>
      <c r="L189" s="90"/>
      <c r="M189" s="90"/>
      <c r="N189" s="91">
        <f>IF(ISNUMBER(I189),ROUND(I189*(1+K189),2),"")</f>
        <v>72.739999999999995</v>
      </c>
      <c r="O189" s="168">
        <f>IF(ISNUMBER(I189),ROUND(E189*F189*N189,2),"")</f>
        <v>290.95999999999998</v>
      </c>
    </row>
    <row r="190" spans="1:15" s="136" customFormat="1" x14ac:dyDescent="0.25">
      <c r="A190" s="150" t="s">
        <v>3637</v>
      </c>
      <c r="B190" s="151" t="s">
        <v>2950</v>
      </c>
      <c r="C190" s="137" t="s">
        <v>2951</v>
      </c>
      <c r="D190" s="138" t="s">
        <v>20</v>
      </c>
      <c r="E190" s="138">
        <v>8</v>
      </c>
      <c r="F190" s="138">
        <v>0.5</v>
      </c>
      <c r="G190" s="138"/>
      <c r="H190" s="138"/>
      <c r="I190" s="120">
        <v>16.330500000000001</v>
      </c>
      <c r="J190" s="121">
        <f t="shared" si="5"/>
        <v>65.319999999999993</v>
      </c>
      <c r="K190" s="196">
        <f>BDI!$E$17</f>
        <v>0.11260000000000001</v>
      </c>
      <c r="L190" s="90"/>
      <c r="M190" s="90"/>
      <c r="N190" s="91">
        <f>IF(ISNUMBER(I190),ROUND(I190*(1+K190),2),"")</f>
        <v>18.170000000000002</v>
      </c>
      <c r="O190" s="168">
        <f>IF(ISNUMBER(I190),ROUND(E190*F190*N190,2),"")</f>
        <v>72.680000000000007</v>
      </c>
    </row>
    <row r="191" spans="1:15" s="136" customFormat="1" x14ac:dyDescent="0.25">
      <c r="A191" s="150" t="s">
        <v>3638</v>
      </c>
      <c r="B191" s="151" t="s">
        <v>3010</v>
      </c>
      <c r="C191" s="137" t="s">
        <v>3011</v>
      </c>
      <c r="D191" s="138" t="s">
        <v>20</v>
      </c>
      <c r="E191" s="138">
        <v>8</v>
      </c>
      <c r="F191" s="138">
        <v>0.5</v>
      </c>
      <c r="G191" s="138"/>
      <c r="H191" s="138"/>
      <c r="I191" s="120">
        <v>36.128500000000003</v>
      </c>
      <c r="J191" s="121">
        <f t="shared" si="5"/>
        <v>144.51</v>
      </c>
      <c r="K191" s="196">
        <f>BDI!$E$17</f>
        <v>0.11260000000000001</v>
      </c>
      <c r="L191" s="90"/>
      <c r="M191" s="90"/>
      <c r="N191" s="91">
        <f>IF(ISNUMBER(I191),ROUND(I191*(1+K191),2),"")</f>
        <v>40.200000000000003</v>
      </c>
      <c r="O191" s="168">
        <f>IF(ISNUMBER(I191),ROUND(E191*F191*N191,2),"")</f>
        <v>160.80000000000001</v>
      </c>
    </row>
    <row r="192" spans="1:15" s="136" customFormat="1" x14ac:dyDescent="0.25">
      <c r="A192" s="150" t="s">
        <v>3639</v>
      </c>
      <c r="B192" s="151" t="s">
        <v>2936</v>
      </c>
      <c r="C192" s="137" t="s">
        <v>2937</v>
      </c>
      <c r="D192" s="138" t="s">
        <v>20</v>
      </c>
      <c r="E192" s="138">
        <v>8</v>
      </c>
      <c r="F192" s="138">
        <v>0.5</v>
      </c>
      <c r="G192" s="138"/>
      <c r="H192" s="138"/>
      <c r="I192" s="120">
        <v>36.9</v>
      </c>
      <c r="J192" s="121">
        <f t="shared" si="5"/>
        <v>147.6</v>
      </c>
      <c r="K192" s="196">
        <f>BDI!$E$17</f>
        <v>0.11260000000000001</v>
      </c>
      <c r="L192" s="90"/>
      <c r="M192" s="90"/>
      <c r="N192" s="91">
        <f>IF(ISNUMBER(I192),ROUND(I192*(1+K192),2),"")</f>
        <v>41.05</v>
      </c>
      <c r="O192" s="168">
        <f>IF(ISNUMBER(I192),ROUND(E192*F192*N192,2),"")</f>
        <v>164.2</v>
      </c>
    </row>
    <row r="193" spans="1:15" s="136" customFormat="1" x14ac:dyDescent="0.25">
      <c r="A193" s="150" t="s">
        <v>3640</v>
      </c>
      <c r="B193" s="151" t="s">
        <v>3068</v>
      </c>
      <c r="C193" s="137" t="s">
        <v>3069</v>
      </c>
      <c r="D193" s="138" t="s">
        <v>20</v>
      </c>
      <c r="E193" s="138">
        <v>8</v>
      </c>
      <c r="F193" s="138">
        <v>0.5</v>
      </c>
      <c r="G193" s="138"/>
      <c r="H193" s="138"/>
      <c r="I193" s="120">
        <v>72.380499999999998</v>
      </c>
      <c r="J193" s="121">
        <f t="shared" si="5"/>
        <v>289.52</v>
      </c>
      <c r="K193" s="196">
        <f>BDI!$E$17</f>
        <v>0.11260000000000001</v>
      </c>
      <c r="L193" s="90"/>
      <c r="M193" s="90"/>
      <c r="N193" s="91">
        <f>IF(ISNUMBER(I193),ROUND(I193*(1+K193),2),"")</f>
        <v>80.53</v>
      </c>
      <c r="O193" s="168">
        <f>IF(ISNUMBER(I193),ROUND(E193*F193*N193,2),"")</f>
        <v>322.12</v>
      </c>
    </row>
    <row r="194" spans="1:15" s="136" customFormat="1" x14ac:dyDescent="0.25">
      <c r="A194" s="150" t="s">
        <v>3641</v>
      </c>
      <c r="B194" s="151" t="s">
        <v>3012</v>
      </c>
      <c r="C194" s="137" t="s">
        <v>3013</v>
      </c>
      <c r="D194" s="138" t="s">
        <v>20</v>
      </c>
      <c r="E194" s="138">
        <v>8</v>
      </c>
      <c r="F194" s="138">
        <v>0.5</v>
      </c>
      <c r="G194" s="138"/>
      <c r="H194" s="138"/>
      <c r="I194" s="120">
        <v>50.74</v>
      </c>
      <c r="J194" s="121">
        <f t="shared" si="5"/>
        <v>202.96</v>
      </c>
      <c r="K194" s="196">
        <f>BDI!$E$17</f>
        <v>0.11260000000000001</v>
      </c>
      <c r="L194" s="90"/>
      <c r="M194" s="90"/>
      <c r="N194" s="91">
        <f>IF(ISNUMBER(I194),ROUND(I194*(1+K194),2),"")</f>
        <v>56.45</v>
      </c>
      <c r="O194" s="168">
        <f>IF(ISNUMBER(I194),ROUND(E194*F194*N194,2),"")</f>
        <v>225.8</v>
      </c>
    </row>
    <row r="195" spans="1:15" s="136" customFormat="1" x14ac:dyDescent="0.25">
      <c r="A195" s="150" t="s">
        <v>3642</v>
      </c>
      <c r="B195" s="151" t="s">
        <v>2597</v>
      </c>
      <c r="C195" s="137" t="s">
        <v>1890</v>
      </c>
      <c r="D195" s="138" t="s">
        <v>20</v>
      </c>
      <c r="E195" s="138">
        <v>20</v>
      </c>
      <c r="F195" s="138">
        <v>0.5</v>
      </c>
      <c r="G195" s="138"/>
      <c r="H195" s="138"/>
      <c r="I195" s="120">
        <v>194.00899999999999</v>
      </c>
      <c r="J195" s="121">
        <f t="shared" si="5"/>
        <v>1940.09</v>
      </c>
      <c r="K195" s="196">
        <f>BDI!$E$17</f>
        <v>0.11260000000000001</v>
      </c>
      <c r="L195" s="90"/>
      <c r="M195" s="90"/>
      <c r="N195" s="91">
        <f>IF(ISNUMBER(I195),ROUND(I195*(1+K195),2),"")</f>
        <v>215.85</v>
      </c>
      <c r="O195" s="168">
        <f>IF(ISNUMBER(I195),ROUND(E195*F195*N195,2),"")</f>
        <v>2158.5</v>
      </c>
    </row>
    <row r="196" spans="1:15" s="136" customFormat="1" x14ac:dyDescent="0.25">
      <c r="A196" s="150" t="s">
        <v>3643</v>
      </c>
      <c r="B196" s="151" t="s">
        <v>2712</v>
      </c>
      <c r="C196" s="137" t="s">
        <v>2713</v>
      </c>
      <c r="D196" s="138" t="s">
        <v>20</v>
      </c>
      <c r="E196" s="138">
        <v>20</v>
      </c>
      <c r="F196" s="138">
        <v>0.5</v>
      </c>
      <c r="G196" s="138"/>
      <c r="H196" s="138"/>
      <c r="I196" s="120">
        <v>20.9285</v>
      </c>
      <c r="J196" s="121">
        <f t="shared" si="5"/>
        <v>209.29</v>
      </c>
      <c r="K196" s="196">
        <f>BDI!$E$17</f>
        <v>0.11260000000000001</v>
      </c>
      <c r="L196" s="90"/>
      <c r="M196" s="90"/>
      <c r="N196" s="91">
        <f>IF(ISNUMBER(I196),ROUND(I196*(1+K196),2),"")</f>
        <v>23.29</v>
      </c>
      <c r="O196" s="168">
        <f>IF(ISNUMBER(I196),ROUND(E196*F196*N196,2),"")</f>
        <v>232.9</v>
      </c>
    </row>
    <row r="197" spans="1:15" s="136" customFormat="1" x14ac:dyDescent="0.25">
      <c r="A197" s="150" t="s">
        <v>3644</v>
      </c>
      <c r="B197" s="151" t="s">
        <v>2714</v>
      </c>
      <c r="C197" s="137" t="s">
        <v>2715</v>
      </c>
      <c r="D197" s="138" t="s">
        <v>20</v>
      </c>
      <c r="E197" s="138">
        <v>40</v>
      </c>
      <c r="F197" s="138">
        <v>0.5</v>
      </c>
      <c r="G197" s="138"/>
      <c r="H197" s="138"/>
      <c r="I197" s="120">
        <v>8.17</v>
      </c>
      <c r="J197" s="121">
        <f t="shared" si="5"/>
        <v>163.4</v>
      </c>
      <c r="K197" s="196">
        <f>BDI!$E$17</f>
        <v>0.11260000000000001</v>
      </c>
      <c r="L197" s="90"/>
      <c r="M197" s="90"/>
      <c r="N197" s="91">
        <f>IF(ISNUMBER(I197),ROUND(I197*(1+K197),2),"")</f>
        <v>9.09</v>
      </c>
      <c r="O197" s="168">
        <f>IF(ISNUMBER(I197),ROUND(E197*F197*N197,2),"")</f>
        <v>181.8</v>
      </c>
    </row>
    <row r="198" spans="1:15" s="136" customFormat="1" x14ac:dyDescent="0.25">
      <c r="A198" s="150" t="s">
        <v>3645</v>
      </c>
      <c r="B198" s="151" t="s">
        <v>2716</v>
      </c>
      <c r="C198" s="137" t="s">
        <v>2717</v>
      </c>
      <c r="D198" s="138" t="s">
        <v>20</v>
      </c>
      <c r="E198" s="138">
        <v>40</v>
      </c>
      <c r="F198" s="138">
        <v>0.5</v>
      </c>
      <c r="G198" s="138"/>
      <c r="H198" s="138"/>
      <c r="I198" s="120">
        <v>13.585000000000001</v>
      </c>
      <c r="J198" s="121">
        <f t="shared" si="5"/>
        <v>271.7</v>
      </c>
      <c r="K198" s="196">
        <f>BDI!$E$17</f>
        <v>0.11260000000000001</v>
      </c>
      <c r="L198" s="90"/>
      <c r="M198" s="90"/>
      <c r="N198" s="91">
        <f>IF(ISNUMBER(I198),ROUND(I198*(1+K198),2),"")</f>
        <v>15.11</v>
      </c>
      <c r="O198" s="168">
        <f>IF(ISNUMBER(I198),ROUND(E198*F198*N198,2),"")</f>
        <v>302.2</v>
      </c>
    </row>
    <row r="199" spans="1:15" s="136" customFormat="1" x14ac:dyDescent="0.25">
      <c r="A199" s="150" t="s">
        <v>3646</v>
      </c>
      <c r="B199" s="151" t="s">
        <v>2752</v>
      </c>
      <c r="C199" s="137" t="s">
        <v>2753</v>
      </c>
      <c r="D199" s="138" t="s">
        <v>93</v>
      </c>
      <c r="E199" s="138">
        <v>20</v>
      </c>
      <c r="F199" s="138">
        <v>0.5</v>
      </c>
      <c r="G199" s="138"/>
      <c r="H199" s="138"/>
      <c r="I199" s="120">
        <v>16.795999999999999</v>
      </c>
      <c r="J199" s="121">
        <f t="shared" si="5"/>
        <v>167.96</v>
      </c>
      <c r="K199" s="196">
        <f>BDI!$E$17</f>
        <v>0.11260000000000001</v>
      </c>
      <c r="L199" s="90"/>
      <c r="M199" s="90"/>
      <c r="N199" s="91">
        <f>IF(ISNUMBER(I199),ROUND(I199*(1+K199),2),"")</f>
        <v>18.690000000000001</v>
      </c>
      <c r="O199" s="168">
        <f>IF(ISNUMBER(I199),ROUND(E199*F199*N199,2),"")</f>
        <v>186.9</v>
      </c>
    </row>
    <row r="200" spans="1:15" s="136" customFormat="1" x14ac:dyDescent="0.25">
      <c r="A200" s="150" t="s">
        <v>3647</v>
      </c>
      <c r="B200" s="151" t="s">
        <v>2754</v>
      </c>
      <c r="C200" s="137" t="s">
        <v>2755</v>
      </c>
      <c r="D200" s="138" t="s">
        <v>93</v>
      </c>
      <c r="E200" s="138">
        <v>12</v>
      </c>
      <c r="F200" s="138">
        <v>0.5</v>
      </c>
      <c r="G200" s="138"/>
      <c r="H200" s="138"/>
      <c r="I200" s="120">
        <v>26.951499999999999</v>
      </c>
      <c r="J200" s="121">
        <f t="shared" si="5"/>
        <v>161.71</v>
      </c>
      <c r="K200" s="196">
        <f>BDI!$E$17</f>
        <v>0.11260000000000001</v>
      </c>
      <c r="L200" s="90"/>
      <c r="M200" s="90"/>
      <c r="N200" s="91">
        <f>IF(ISNUMBER(I200),ROUND(I200*(1+K200),2),"")</f>
        <v>29.99</v>
      </c>
      <c r="O200" s="168">
        <f>IF(ISNUMBER(I200),ROUND(E200*F200*N200,2),"")</f>
        <v>179.94</v>
      </c>
    </row>
    <row r="201" spans="1:15" s="136" customFormat="1" x14ac:dyDescent="0.25">
      <c r="A201" s="150" t="s">
        <v>3648</v>
      </c>
      <c r="B201" s="151" t="s">
        <v>2756</v>
      </c>
      <c r="C201" s="137" t="s">
        <v>2757</v>
      </c>
      <c r="D201" s="138" t="s">
        <v>93</v>
      </c>
      <c r="E201" s="138">
        <v>12</v>
      </c>
      <c r="F201" s="138">
        <v>0.5</v>
      </c>
      <c r="G201" s="138"/>
      <c r="H201" s="138"/>
      <c r="I201" s="120">
        <v>51.945999999999998</v>
      </c>
      <c r="J201" s="121">
        <f t="shared" si="5"/>
        <v>311.68</v>
      </c>
      <c r="K201" s="196">
        <f>BDI!$E$17</f>
        <v>0.11260000000000001</v>
      </c>
      <c r="L201" s="90"/>
      <c r="M201" s="90"/>
      <c r="N201" s="91">
        <f>IF(ISNUMBER(I201),ROUND(I201*(1+K201),2),"")</f>
        <v>57.8</v>
      </c>
      <c r="O201" s="168">
        <f>IF(ISNUMBER(I201),ROUND(E201*F201*N201,2),"")</f>
        <v>346.8</v>
      </c>
    </row>
    <row r="202" spans="1:15" s="136" customFormat="1" x14ac:dyDescent="0.25">
      <c r="A202" s="150" t="s">
        <v>3649</v>
      </c>
      <c r="B202" s="151" t="s">
        <v>2758</v>
      </c>
      <c r="C202" s="137" t="s">
        <v>2759</v>
      </c>
      <c r="D202" s="138" t="s">
        <v>93</v>
      </c>
      <c r="E202" s="138">
        <v>12</v>
      </c>
      <c r="F202" s="138">
        <v>0.5</v>
      </c>
      <c r="G202" s="138"/>
      <c r="H202" s="138"/>
      <c r="I202" s="120">
        <v>20.387</v>
      </c>
      <c r="J202" s="121">
        <f t="shared" si="5"/>
        <v>122.32</v>
      </c>
      <c r="K202" s="196">
        <f>BDI!$E$17</f>
        <v>0.11260000000000001</v>
      </c>
      <c r="L202" s="90"/>
      <c r="M202" s="90"/>
      <c r="N202" s="91">
        <f>IF(ISNUMBER(I202),ROUND(I202*(1+K202),2),"")</f>
        <v>22.68</v>
      </c>
      <c r="O202" s="168">
        <f>IF(ISNUMBER(I202),ROUND(E202*F202*N202,2),"")</f>
        <v>136.08000000000001</v>
      </c>
    </row>
    <row r="203" spans="1:15" s="136" customFormat="1" x14ac:dyDescent="0.25">
      <c r="A203" s="150" t="s">
        <v>3650</v>
      </c>
      <c r="B203" s="151" t="s">
        <v>2762</v>
      </c>
      <c r="C203" s="137" t="s">
        <v>2763</v>
      </c>
      <c r="D203" s="138" t="s">
        <v>93</v>
      </c>
      <c r="E203" s="138">
        <v>12</v>
      </c>
      <c r="F203" s="138">
        <v>0.5</v>
      </c>
      <c r="G203" s="138"/>
      <c r="H203" s="138"/>
      <c r="I203" s="120">
        <v>35.643999999999998</v>
      </c>
      <c r="J203" s="121">
        <f t="shared" si="5"/>
        <v>213.86</v>
      </c>
      <c r="K203" s="196">
        <f>BDI!$E$17</f>
        <v>0.11260000000000001</v>
      </c>
      <c r="L203" s="90"/>
      <c r="M203" s="90"/>
      <c r="N203" s="91">
        <f>IF(ISNUMBER(I203),ROUND(I203*(1+K203),2),"")</f>
        <v>39.659999999999997</v>
      </c>
      <c r="O203" s="168">
        <f>IF(ISNUMBER(I203),ROUND(E203*F203*N203,2),"")</f>
        <v>237.96</v>
      </c>
    </row>
    <row r="204" spans="1:15" s="136" customFormat="1" x14ac:dyDescent="0.25">
      <c r="A204" s="150" t="s">
        <v>3651</v>
      </c>
      <c r="B204" s="151" t="s">
        <v>3198</v>
      </c>
      <c r="C204" s="137" t="s">
        <v>3199</v>
      </c>
      <c r="D204" s="138" t="s">
        <v>93</v>
      </c>
      <c r="E204" s="138">
        <v>12</v>
      </c>
      <c r="F204" s="138">
        <v>0.5</v>
      </c>
      <c r="G204" s="138"/>
      <c r="H204" s="138"/>
      <c r="I204" s="120">
        <v>57.408499999999997</v>
      </c>
      <c r="J204" s="121">
        <f t="shared" si="5"/>
        <v>344.45</v>
      </c>
      <c r="K204" s="196">
        <f>BDI!$E$17</f>
        <v>0.11260000000000001</v>
      </c>
      <c r="L204" s="90"/>
      <c r="M204" s="90"/>
      <c r="N204" s="91">
        <f>IF(ISNUMBER(I204),ROUND(I204*(1+K204),2),"")</f>
        <v>63.87</v>
      </c>
      <c r="O204" s="168">
        <f>IF(ISNUMBER(I204),ROUND(E204*F204*N204,2),"")</f>
        <v>383.22</v>
      </c>
    </row>
    <row r="205" spans="1:15" s="136" customFormat="1" x14ac:dyDescent="0.25">
      <c r="A205" s="150" t="s">
        <v>3652</v>
      </c>
      <c r="B205" s="151" t="s">
        <v>2766</v>
      </c>
      <c r="C205" s="137" t="s">
        <v>2767</v>
      </c>
      <c r="D205" s="138" t="s">
        <v>93</v>
      </c>
      <c r="E205" s="138">
        <v>12</v>
      </c>
      <c r="F205" s="138">
        <v>0.5</v>
      </c>
      <c r="G205" s="138"/>
      <c r="H205" s="138"/>
      <c r="I205" s="120">
        <v>104.82299999999999</v>
      </c>
      <c r="J205" s="121">
        <f t="shared" si="5"/>
        <v>628.94000000000005</v>
      </c>
      <c r="K205" s="196">
        <f>BDI!$E$17</f>
        <v>0.11260000000000001</v>
      </c>
      <c r="L205" s="90"/>
      <c r="M205" s="90"/>
      <c r="N205" s="91">
        <f>IF(ISNUMBER(I205),ROUND(I205*(1+K205),2),"")</f>
        <v>116.63</v>
      </c>
      <c r="O205" s="168">
        <f>IF(ISNUMBER(I205),ROUND(E205*F205*N205,2),"")</f>
        <v>699.78</v>
      </c>
    </row>
    <row r="206" spans="1:15" s="136" customFormat="1" x14ac:dyDescent="0.25">
      <c r="A206" s="150" t="s">
        <v>3653</v>
      </c>
      <c r="B206" s="151" t="s">
        <v>2764</v>
      </c>
      <c r="C206" s="137" t="s">
        <v>2765</v>
      </c>
      <c r="D206" s="138" t="s">
        <v>93</v>
      </c>
      <c r="E206" s="138">
        <v>12</v>
      </c>
      <c r="F206" s="138">
        <v>0.5</v>
      </c>
      <c r="G206" s="138"/>
      <c r="H206" s="138"/>
      <c r="I206" s="120">
        <v>74.917000000000002</v>
      </c>
      <c r="J206" s="121">
        <f t="shared" si="5"/>
        <v>449.5</v>
      </c>
      <c r="K206" s="196">
        <f>BDI!$E$17</f>
        <v>0.11260000000000001</v>
      </c>
      <c r="L206" s="90"/>
      <c r="M206" s="90"/>
      <c r="N206" s="91">
        <f>IF(ISNUMBER(I206),ROUND(I206*(1+K206),2),"")</f>
        <v>83.35</v>
      </c>
      <c r="O206" s="168">
        <f>IF(ISNUMBER(I206),ROUND(E206*F206*N206,2),"")</f>
        <v>500.1</v>
      </c>
    </row>
    <row r="207" spans="1:15" s="136" customFormat="1" x14ac:dyDescent="0.25">
      <c r="A207" s="150" t="s">
        <v>3654</v>
      </c>
      <c r="B207" s="151" t="s">
        <v>2760</v>
      </c>
      <c r="C207" s="137" t="s">
        <v>2761</v>
      </c>
      <c r="D207" s="138" t="s">
        <v>93</v>
      </c>
      <c r="E207" s="138">
        <v>12</v>
      </c>
      <c r="F207" s="138">
        <v>0.5</v>
      </c>
      <c r="G207" s="138"/>
      <c r="H207" s="138"/>
      <c r="I207" s="120">
        <v>26.542999999999999</v>
      </c>
      <c r="J207" s="121">
        <f t="shared" si="5"/>
        <v>159.26</v>
      </c>
      <c r="K207" s="196">
        <f>BDI!$E$17</f>
        <v>0.11260000000000001</v>
      </c>
      <c r="L207" s="90"/>
      <c r="M207" s="90"/>
      <c r="N207" s="91">
        <f>IF(ISNUMBER(I207),ROUND(I207*(1+K207),2),"")</f>
        <v>29.53</v>
      </c>
      <c r="O207" s="168">
        <f>IF(ISNUMBER(I207),ROUND(E207*F207*N207,2),"")</f>
        <v>177.18</v>
      </c>
    </row>
    <row r="208" spans="1:15" s="136" customFormat="1" x14ac:dyDescent="0.25">
      <c r="A208" s="150" t="s">
        <v>3655</v>
      </c>
      <c r="B208" s="151" t="s">
        <v>2768</v>
      </c>
      <c r="C208" s="137" t="s">
        <v>2769</v>
      </c>
      <c r="D208" s="138" t="s">
        <v>93</v>
      </c>
      <c r="E208" s="138">
        <v>12</v>
      </c>
      <c r="F208" s="138">
        <v>0.5</v>
      </c>
      <c r="G208" s="138"/>
      <c r="H208" s="138"/>
      <c r="I208" s="120">
        <v>120.43149999999999</v>
      </c>
      <c r="J208" s="121">
        <f t="shared" si="5"/>
        <v>722.59</v>
      </c>
      <c r="K208" s="196">
        <f>BDI!$E$17</f>
        <v>0.11260000000000001</v>
      </c>
      <c r="L208" s="90"/>
      <c r="M208" s="90"/>
      <c r="N208" s="91">
        <f>IF(ISNUMBER(I208),ROUND(I208*(1+K208),2),"")</f>
        <v>133.99</v>
      </c>
      <c r="O208" s="168">
        <f>IF(ISNUMBER(I208),ROUND(E208*F208*N208,2),"")</f>
        <v>803.94</v>
      </c>
    </row>
    <row r="209" spans="1:15" s="136" customFormat="1" x14ac:dyDescent="0.25">
      <c r="A209" s="150" t="s">
        <v>3656</v>
      </c>
      <c r="B209" s="151" t="s">
        <v>2750</v>
      </c>
      <c r="C209" s="137" t="s">
        <v>2751</v>
      </c>
      <c r="D209" s="138" t="s">
        <v>93</v>
      </c>
      <c r="E209" s="138">
        <v>12</v>
      </c>
      <c r="F209" s="138">
        <v>0.5</v>
      </c>
      <c r="G209" s="138"/>
      <c r="H209" s="138"/>
      <c r="I209" s="120">
        <v>632.66200000000003</v>
      </c>
      <c r="J209" s="121">
        <f t="shared" si="5"/>
        <v>3795.97</v>
      </c>
      <c r="K209" s="196">
        <f>BDI!$E$17</f>
        <v>0.11260000000000001</v>
      </c>
      <c r="L209" s="90"/>
      <c r="M209" s="90"/>
      <c r="N209" s="91">
        <f>IF(ISNUMBER(I209),ROUND(I209*(1+K209),2),"")</f>
        <v>703.9</v>
      </c>
      <c r="O209" s="168">
        <f>IF(ISNUMBER(I209),ROUND(E209*F209*N209,2),"")</f>
        <v>4223.3999999999996</v>
      </c>
    </row>
    <row r="210" spans="1:15" s="136" customFormat="1" x14ac:dyDescent="0.25">
      <c r="A210" s="150" t="s">
        <v>3657</v>
      </c>
      <c r="B210" s="151" t="s">
        <v>2736</v>
      </c>
      <c r="C210" s="137" t="s">
        <v>2737</v>
      </c>
      <c r="D210" s="138" t="s">
        <v>93</v>
      </c>
      <c r="E210" s="138">
        <v>12</v>
      </c>
      <c r="F210" s="138">
        <v>0.5</v>
      </c>
      <c r="G210" s="138"/>
      <c r="H210" s="138"/>
      <c r="I210" s="120">
        <v>57.721999999999994</v>
      </c>
      <c r="J210" s="121">
        <f t="shared" si="5"/>
        <v>346.33</v>
      </c>
      <c r="K210" s="196">
        <f>BDI!$E$17</f>
        <v>0.11260000000000001</v>
      </c>
      <c r="L210" s="90"/>
      <c r="M210" s="90"/>
      <c r="N210" s="91">
        <f>IF(ISNUMBER(I210),ROUND(I210*(1+K210),2),"")</f>
        <v>64.22</v>
      </c>
      <c r="O210" s="168">
        <f>IF(ISNUMBER(I210),ROUND(E210*F210*N210,2),"")</f>
        <v>385.32</v>
      </c>
    </row>
    <row r="211" spans="1:15" s="136" customFormat="1" x14ac:dyDescent="0.25">
      <c r="A211" s="150" t="s">
        <v>3658</v>
      </c>
      <c r="B211" s="151" t="s">
        <v>2738</v>
      </c>
      <c r="C211" s="137" t="s">
        <v>2739</v>
      </c>
      <c r="D211" s="138" t="s">
        <v>93</v>
      </c>
      <c r="E211" s="138">
        <v>12</v>
      </c>
      <c r="F211" s="138">
        <v>0.5</v>
      </c>
      <c r="G211" s="138"/>
      <c r="H211" s="138"/>
      <c r="I211" s="120">
        <v>73.254499999999993</v>
      </c>
      <c r="J211" s="121">
        <f t="shared" si="5"/>
        <v>439.53</v>
      </c>
      <c r="K211" s="196">
        <f>BDI!$E$17</f>
        <v>0.11260000000000001</v>
      </c>
      <c r="L211" s="90"/>
      <c r="M211" s="90"/>
      <c r="N211" s="91">
        <f>IF(ISNUMBER(I211),ROUND(I211*(1+K211),2),"")</f>
        <v>81.5</v>
      </c>
      <c r="O211" s="168">
        <f>IF(ISNUMBER(I211),ROUND(E211*F211*N211,2),"")</f>
        <v>489</v>
      </c>
    </row>
    <row r="212" spans="1:15" s="136" customFormat="1" x14ac:dyDescent="0.25">
      <c r="A212" s="150" t="s">
        <v>3659</v>
      </c>
      <c r="B212" s="151" t="s">
        <v>2742</v>
      </c>
      <c r="C212" s="137" t="s">
        <v>2743</v>
      </c>
      <c r="D212" s="138" t="s">
        <v>93</v>
      </c>
      <c r="E212" s="138">
        <v>12</v>
      </c>
      <c r="F212" s="138">
        <v>0.5</v>
      </c>
      <c r="G212" s="138"/>
      <c r="H212" s="138"/>
      <c r="I212" s="120">
        <v>106.381</v>
      </c>
      <c r="J212" s="121">
        <f t="shared" si="5"/>
        <v>638.29</v>
      </c>
      <c r="K212" s="196">
        <f>BDI!$E$17</f>
        <v>0.11260000000000001</v>
      </c>
      <c r="L212" s="90"/>
      <c r="M212" s="90"/>
      <c r="N212" s="91">
        <f>IF(ISNUMBER(I212),ROUND(I212*(1+K212),2),"")</f>
        <v>118.36</v>
      </c>
      <c r="O212" s="168">
        <f>IF(ISNUMBER(I212),ROUND(E212*F212*N212,2),"")</f>
        <v>710.16</v>
      </c>
    </row>
    <row r="213" spans="1:15" s="136" customFormat="1" x14ac:dyDescent="0.25">
      <c r="A213" s="150" t="s">
        <v>3660</v>
      </c>
      <c r="B213" s="151" t="s">
        <v>2740</v>
      </c>
      <c r="C213" s="137" t="s">
        <v>2741</v>
      </c>
      <c r="D213" s="138" t="s">
        <v>93</v>
      </c>
      <c r="E213" s="138">
        <v>12</v>
      </c>
      <c r="F213" s="138">
        <v>0.5</v>
      </c>
      <c r="G213" s="138"/>
      <c r="H213" s="138"/>
      <c r="I213" s="120">
        <v>143.65899999999999</v>
      </c>
      <c r="J213" s="121">
        <f t="shared" si="5"/>
        <v>861.95</v>
      </c>
      <c r="K213" s="196">
        <f>BDI!$E$17</f>
        <v>0.11260000000000001</v>
      </c>
      <c r="L213" s="90"/>
      <c r="M213" s="90"/>
      <c r="N213" s="91">
        <f>IF(ISNUMBER(I213),ROUND(I213*(1+K213),2),"")</f>
        <v>159.84</v>
      </c>
      <c r="O213" s="168">
        <f>IF(ISNUMBER(I213),ROUND(E213*F213*N213,2),"")</f>
        <v>959.04</v>
      </c>
    </row>
    <row r="214" spans="1:15" s="136" customFormat="1" x14ac:dyDescent="0.25">
      <c r="A214" s="150" t="s">
        <v>3661</v>
      </c>
      <c r="B214" s="151" t="s">
        <v>2744</v>
      </c>
      <c r="C214" s="137" t="s">
        <v>2745</v>
      </c>
      <c r="D214" s="138" t="s">
        <v>93</v>
      </c>
      <c r="E214" s="138">
        <v>12</v>
      </c>
      <c r="F214" s="138">
        <v>0.5</v>
      </c>
      <c r="G214" s="138"/>
      <c r="H214" s="138"/>
      <c r="I214" s="120">
        <v>208.33500000000001</v>
      </c>
      <c r="J214" s="121">
        <f t="shared" si="5"/>
        <v>1250.01</v>
      </c>
      <c r="K214" s="196">
        <f>BDI!$E$17</f>
        <v>0.11260000000000001</v>
      </c>
      <c r="L214" s="90"/>
      <c r="M214" s="90"/>
      <c r="N214" s="91">
        <f>IF(ISNUMBER(I214),ROUND(I214*(1+K214),2),"")</f>
        <v>231.79</v>
      </c>
      <c r="O214" s="168">
        <f>IF(ISNUMBER(I214),ROUND(E214*F214*N214,2),"")</f>
        <v>1390.74</v>
      </c>
    </row>
    <row r="215" spans="1:15" s="136" customFormat="1" x14ac:dyDescent="0.25">
      <c r="A215" s="150" t="s">
        <v>3662</v>
      </c>
      <c r="B215" s="151" t="s">
        <v>2746</v>
      </c>
      <c r="C215" s="137" t="s">
        <v>2747</v>
      </c>
      <c r="D215" s="138" t="s">
        <v>93</v>
      </c>
      <c r="E215" s="138">
        <v>12</v>
      </c>
      <c r="F215" s="138">
        <v>0.5</v>
      </c>
      <c r="G215" s="138"/>
      <c r="H215" s="138"/>
      <c r="I215" s="120">
        <v>293.5025</v>
      </c>
      <c r="J215" s="121">
        <f t="shared" si="5"/>
        <v>1761.02</v>
      </c>
      <c r="K215" s="196">
        <f>BDI!$E$17</f>
        <v>0.11260000000000001</v>
      </c>
      <c r="L215" s="90"/>
      <c r="M215" s="90"/>
      <c r="N215" s="91">
        <f>IF(ISNUMBER(I215),ROUND(I215*(1+K215),2),"")</f>
        <v>326.55</v>
      </c>
      <c r="O215" s="168">
        <f>IF(ISNUMBER(I215),ROUND(E215*F215*N215,2),"")</f>
        <v>1959.3</v>
      </c>
    </row>
    <row r="216" spans="1:15" s="136" customFormat="1" x14ac:dyDescent="0.25">
      <c r="A216" s="150" t="s">
        <v>3663</v>
      </c>
      <c r="B216" s="151" t="s">
        <v>2748</v>
      </c>
      <c r="C216" s="137" t="s">
        <v>2749</v>
      </c>
      <c r="D216" s="138" t="s">
        <v>93</v>
      </c>
      <c r="E216" s="138">
        <v>12</v>
      </c>
      <c r="F216" s="138">
        <v>0.5</v>
      </c>
      <c r="G216" s="138"/>
      <c r="H216" s="138"/>
      <c r="I216" s="120">
        <v>429.04849999999999</v>
      </c>
      <c r="J216" s="121">
        <f t="shared" si="5"/>
        <v>2574.29</v>
      </c>
      <c r="K216" s="196">
        <f>BDI!$E$17</f>
        <v>0.11260000000000001</v>
      </c>
      <c r="L216" s="90"/>
      <c r="M216" s="90"/>
      <c r="N216" s="91">
        <f>IF(ISNUMBER(I216),ROUND(I216*(1+K216),2),"")</f>
        <v>477.36</v>
      </c>
      <c r="O216" s="168">
        <f>IF(ISNUMBER(I216),ROUND(E216*F216*N216,2),"")</f>
        <v>2864.16</v>
      </c>
    </row>
    <row r="217" spans="1:15" s="136" customFormat="1" x14ac:dyDescent="0.25">
      <c r="A217" s="150" t="s">
        <v>3664</v>
      </c>
      <c r="B217" s="151" t="s">
        <v>2776</v>
      </c>
      <c r="C217" s="137" t="s">
        <v>2777</v>
      </c>
      <c r="D217" s="138" t="s">
        <v>20</v>
      </c>
      <c r="E217" s="138">
        <v>120</v>
      </c>
      <c r="F217" s="138">
        <v>0.5</v>
      </c>
      <c r="G217" s="138"/>
      <c r="H217" s="138"/>
      <c r="I217" s="120">
        <v>125.93</v>
      </c>
      <c r="J217" s="121">
        <f t="shared" si="5"/>
        <v>7555.8</v>
      </c>
      <c r="K217" s="196">
        <f>BDI!$E$17</f>
        <v>0.11260000000000001</v>
      </c>
      <c r="L217" s="90"/>
      <c r="M217" s="90"/>
      <c r="N217" s="91">
        <f>IF(ISNUMBER(I217),ROUND(I217*(1+K217),2),"")</f>
        <v>140.11000000000001</v>
      </c>
      <c r="O217" s="168">
        <f>IF(ISNUMBER(I217),ROUND(E217*F217*N217,2),"")</f>
        <v>8406.6</v>
      </c>
    </row>
    <row r="218" spans="1:15" s="136" customFormat="1" x14ac:dyDescent="0.25">
      <c r="A218" s="150" t="s">
        <v>3665</v>
      </c>
      <c r="B218" s="151" t="s">
        <v>2778</v>
      </c>
      <c r="C218" s="137" t="s">
        <v>2779</v>
      </c>
      <c r="D218" s="138" t="s">
        <v>20</v>
      </c>
      <c r="E218" s="138">
        <v>60</v>
      </c>
      <c r="F218" s="138">
        <v>0.5</v>
      </c>
      <c r="G218" s="138"/>
      <c r="H218" s="138"/>
      <c r="I218" s="120">
        <v>6.63</v>
      </c>
      <c r="J218" s="121">
        <f t="shared" si="5"/>
        <v>198.9</v>
      </c>
      <c r="K218" s="196">
        <f>BDI!$E$17</f>
        <v>0.11260000000000001</v>
      </c>
      <c r="L218" s="90"/>
      <c r="M218" s="90"/>
      <c r="N218" s="91">
        <f>IF(ISNUMBER(I218),ROUND(I218*(1+K218),2),"")</f>
        <v>7.38</v>
      </c>
      <c r="O218" s="168">
        <f>IF(ISNUMBER(I218),ROUND(E218*F218*N218,2),"")</f>
        <v>221.4</v>
      </c>
    </row>
    <row r="219" spans="1:15" s="136" customFormat="1" x14ac:dyDescent="0.25">
      <c r="A219" s="150" t="s">
        <v>3666</v>
      </c>
      <c r="B219" s="151" t="s">
        <v>3017</v>
      </c>
      <c r="C219" s="137" t="s">
        <v>3018</v>
      </c>
      <c r="D219" s="138" t="s">
        <v>93</v>
      </c>
      <c r="E219" s="138">
        <v>6</v>
      </c>
      <c r="F219" s="138">
        <v>0.5</v>
      </c>
      <c r="G219" s="138"/>
      <c r="H219" s="138"/>
      <c r="I219" s="120">
        <v>11.058</v>
      </c>
      <c r="J219" s="121">
        <f t="shared" si="5"/>
        <v>33.17</v>
      </c>
      <c r="K219" s="196">
        <f>BDI!$E$17</f>
        <v>0.11260000000000001</v>
      </c>
      <c r="L219" s="90"/>
      <c r="M219" s="90"/>
      <c r="N219" s="91">
        <f>IF(ISNUMBER(I219),ROUND(I219*(1+K219),2),"")</f>
        <v>12.3</v>
      </c>
      <c r="O219" s="168">
        <f>IF(ISNUMBER(I219),ROUND(E219*F219*N219,2),"")</f>
        <v>36.9</v>
      </c>
    </row>
    <row r="220" spans="1:15" s="136" customFormat="1" x14ac:dyDescent="0.25">
      <c r="A220" s="150" t="s">
        <v>3667</v>
      </c>
      <c r="B220" s="151" t="s">
        <v>2780</v>
      </c>
      <c r="C220" s="137" t="s">
        <v>2781</v>
      </c>
      <c r="D220" s="138" t="s">
        <v>93</v>
      </c>
      <c r="E220" s="138">
        <v>20</v>
      </c>
      <c r="F220" s="138">
        <v>0.5</v>
      </c>
      <c r="G220" s="138"/>
      <c r="H220" s="138"/>
      <c r="I220" s="120">
        <v>334.05799999999999</v>
      </c>
      <c r="J220" s="121">
        <f t="shared" si="5"/>
        <v>3340.58</v>
      </c>
      <c r="K220" s="196">
        <f>BDI!$E$17</f>
        <v>0.11260000000000001</v>
      </c>
      <c r="L220" s="90"/>
      <c r="M220" s="90"/>
      <c r="N220" s="91">
        <f>IF(ISNUMBER(I220),ROUND(I220*(1+K220),2),"")</f>
        <v>371.67</v>
      </c>
      <c r="O220" s="168">
        <f>IF(ISNUMBER(I220),ROUND(E220*F220*N220,2),"")</f>
        <v>3716.7</v>
      </c>
    </row>
    <row r="221" spans="1:15" s="136" customFormat="1" x14ac:dyDescent="0.25">
      <c r="A221" s="150" t="s">
        <v>3668</v>
      </c>
      <c r="B221" s="151" t="s">
        <v>2782</v>
      </c>
      <c r="C221" s="137" t="s">
        <v>2783</v>
      </c>
      <c r="D221" s="138" t="s">
        <v>93</v>
      </c>
      <c r="E221" s="138">
        <v>60</v>
      </c>
      <c r="F221" s="138">
        <v>0.5</v>
      </c>
      <c r="G221" s="138"/>
      <c r="H221" s="138"/>
      <c r="I221" s="120">
        <v>17.413499999999999</v>
      </c>
      <c r="J221" s="121">
        <f t="shared" si="5"/>
        <v>522.41</v>
      </c>
      <c r="K221" s="196">
        <f>BDI!$E$17</f>
        <v>0.11260000000000001</v>
      </c>
      <c r="L221" s="90"/>
      <c r="M221" s="90"/>
      <c r="N221" s="91">
        <f>IF(ISNUMBER(I221),ROUND(I221*(1+K221),2),"")</f>
        <v>19.37</v>
      </c>
      <c r="O221" s="168">
        <f>IF(ISNUMBER(I221),ROUND(E221*F221*N221,2),"")</f>
        <v>581.1</v>
      </c>
    </row>
    <row r="222" spans="1:15" s="136" customFormat="1" x14ac:dyDescent="0.25">
      <c r="A222" s="150" t="s">
        <v>3669</v>
      </c>
      <c r="B222" s="151" t="s">
        <v>2784</v>
      </c>
      <c r="C222" s="137" t="s">
        <v>2078</v>
      </c>
      <c r="D222" s="138" t="s">
        <v>93</v>
      </c>
      <c r="E222" s="138">
        <v>40</v>
      </c>
      <c r="F222" s="138">
        <v>0.5</v>
      </c>
      <c r="G222" s="138"/>
      <c r="H222" s="138"/>
      <c r="I222" s="120">
        <v>44.545499999999997</v>
      </c>
      <c r="J222" s="121">
        <f t="shared" si="5"/>
        <v>890.91</v>
      </c>
      <c r="K222" s="196">
        <f>BDI!$E$17</f>
        <v>0.11260000000000001</v>
      </c>
      <c r="L222" s="90"/>
      <c r="M222" s="90"/>
      <c r="N222" s="91">
        <f>IF(ISNUMBER(I222),ROUND(I222*(1+K222),2),"")</f>
        <v>49.56</v>
      </c>
      <c r="O222" s="168">
        <f>IF(ISNUMBER(I222),ROUND(E222*F222*N222,2),"")</f>
        <v>991.2</v>
      </c>
    </row>
    <row r="223" spans="1:15" s="136" customFormat="1" x14ac:dyDescent="0.25">
      <c r="A223" s="150" t="s">
        <v>3670</v>
      </c>
      <c r="B223" s="151" t="s">
        <v>2785</v>
      </c>
      <c r="C223" s="137" t="s">
        <v>2786</v>
      </c>
      <c r="D223" s="138" t="s">
        <v>93</v>
      </c>
      <c r="E223" s="138">
        <v>20</v>
      </c>
      <c r="F223" s="138">
        <v>0.5</v>
      </c>
      <c r="G223" s="138"/>
      <c r="H223" s="138"/>
      <c r="I223" s="120">
        <v>6.2794999999999996</v>
      </c>
      <c r="J223" s="121">
        <f t="shared" si="5"/>
        <v>62.8</v>
      </c>
      <c r="K223" s="196">
        <f>BDI!$E$17</f>
        <v>0.11260000000000001</v>
      </c>
      <c r="L223" s="90"/>
      <c r="M223" s="90"/>
      <c r="N223" s="91">
        <f>IF(ISNUMBER(I223),ROUND(I223*(1+K223),2),"")</f>
        <v>6.99</v>
      </c>
      <c r="O223" s="168">
        <f>IF(ISNUMBER(I223),ROUND(E223*F223*N223,2),"")</f>
        <v>69.900000000000006</v>
      </c>
    </row>
    <row r="224" spans="1:15" s="136" customFormat="1" x14ac:dyDescent="0.25">
      <c r="A224" s="150" t="s">
        <v>3671</v>
      </c>
      <c r="B224" s="151" t="s">
        <v>2787</v>
      </c>
      <c r="C224" s="137" t="s">
        <v>2788</v>
      </c>
      <c r="D224" s="138" t="s">
        <v>93</v>
      </c>
      <c r="E224" s="138">
        <v>40</v>
      </c>
      <c r="F224" s="138">
        <v>0.5</v>
      </c>
      <c r="G224" s="138"/>
      <c r="H224" s="138"/>
      <c r="I224" s="120">
        <v>10.6875</v>
      </c>
      <c r="J224" s="121">
        <f t="shared" si="5"/>
        <v>213.75</v>
      </c>
      <c r="K224" s="196">
        <f>BDI!$E$17</f>
        <v>0.11260000000000001</v>
      </c>
      <c r="L224" s="90"/>
      <c r="M224" s="90"/>
      <c r="N224" s="91">
        <f>IF(ISNUMBER(I224),ROUND(I224*(1+K224),2),"")</f>
        <v>11.89</v>
      </c>
      <c r="O224" s="168">
        <f>IF(ISNUMBER(I224),ROUND(E224*F224*N224,2),"")</f>
        <v>237.8</v>
      </c>
    </row>
    <row r="225" spans="1:15" s="136" customFormat="1" x14ac:dyDescent="0.25">
      <c r="A225" s="150" t="s">
        <v>3672</v>
      </c>
      <c r="B225" s="151" t="s">
        <v>2789</v>
      </c>
      <c r="C225" s="137" t="s">
        <v>2790</v>
      </c>
      <c r="D225" s="138" t="s">
        <v>93</v>
      </c>
      <c r="E225" s="138">
        <v>60</v>
      </c>
      <c r="F225" s="138">
        <v>0.5</v>
      </c>
      <c r="G225" s="138"/>
      <c r="H225" s="138"/>
      <c r="I225" s="120">
        <v>15.427999999999997</v>
      </c>
      <c r="J225" s="121">
        <f t="shared" si="5"/>
        <v>462.84</v>
      </c>
      <c r="K225" s="196">
        <f>BDI!$E$17</f>
        <v>0.11260000000000001</v>
      </c>
      <c r="L225" s="90"/>
      <c r="M225" s="90"/>
      <c r="N225" s="91">
        <f>IF(ISNUMBER(I225),ROUND(I225*(1+K225),2),"")</f>
        <v>17.170000000000002</v>
      </c>
      <c r="O225" s="168">
        <f>IF(ISNUMBER(I225),ROUND(E225*F225*N225,2),"")</f>
        <v>515.1</v>
      </c>
    </row>
    <row r="226" spans="1:15" s="136" customFormat="1" x14ac:dyDescent="0.25">
      <c r="A226" s="150" t="s">
        <v>3673</v>
      </c>
      <c r="B226" s="151" t="s">
        <v>3019</v>
      </c>
      <c r="C226" s="137" t="s">
        <v>3674</v>
      </c>
      <c r="D226" s="138" t="s">
        <v>93</v>
      </c>
      <c r="E226" s="138">
        <v>20</v>
      </c>
      <c r="F226" s="138">
        <v>0.5</v>
      </c>
      <c r="G226" s="138"/>
      <c r="H226" s="138"/>
      <c r="I226" s="120">
        <v>13.793999999999999</v>
      </c>
      <c r="J226" s="121">
        <f t="shared" si="5"/>
        <v>137.94</v>
      </c>
      <c r="K226" s="196">
        <f>BDI!$E$17</f>
        <v>0.11260000000000001</v>
      </c>
      <c r="L226" s="90"/>
      <c r="M226" s="90"/>
      <c r="N226" s="91">
        <f>IF(ISNUMBER(I226),ROUND(I226*(1+K226),2),"")</f>
        <v>15.35</v>
      </c>
      <c r="O226" s="168">
        <f>IF(ISNUMBER(I226),ROUND(E226*F226*N226,2),"")</f>
        <v>153.5</v>
      </c>
    </row>
    <row r="227" spans="1:15" s="136" customFormat="1" x14ac:dyDescent="0.25">
      <c r="A227" s="150" t="s">
        <v>3675</v>
      </c>
      <c r="B227" s="151" t="s">
        <v>2791</v>
      </c>
      <c r="C227" s="137" t="s">
        <v>2792</v>
      </c>
      <c r="D227" s="138" t="s">
        <v>93</v>
      </c>
      <c r="E227" s="138">
        <v>20</v>
      </c>
      <c r="F227" s="138">
        <v>0.5</v>
      </c>
      <c r="G227" s="138"/>
      <c r="H227" s="138"/>
      <c r="I227" s="120">
        <v>39.273000000000003</v>
      </c>
      <c r="J227" s="121">
        <f t="shared" si="5"/>
        <v>392.73</v>
      </c>
      <c r="K227" s="196">
        <f>BDI!$E$17</f>
        <v>0.11260000000000001</v>
      </c>
      <c r="L227" s="90"/>
      <c r="M227" s="90"/>
      <c r="N227" s="91">
        <f>IF(ISNUMBER(I227),ROUND(I227*(1+K227),2),"")</f>
        <v>43.7</v>
      </c>
      <c r="O227" s="168">
        <f>IF(ISNUMBER(I227),ROUND(E227*F227*N227,2),"")</f>
        <v>437</v>
      </c>
    </row>
    <row r="228" spans="1:15" s="136" customFormat="1" x14ac:dyDescent="0.25">
      <c r="A228" s="150" t="s">
        <v>3676</v>
      </c>
      <c r="B228" s="151" t="s">
        <v>2793</v>
      </c>
      <c r="C228" s="137" t="s">
        <v>2794</v>
      </c>
      <c r="D228" s="138" t="s">
        <v>93</v>
      </c>
      <c r="E228" s="138">
        <v>20</v>
      </c>
      <c r="F228" s="138">
        <v>0.5</v>
      </c>
      <c r="G228" s="138"/>
      <c r="H228" s="138"/>
      <c r="I228" s="120">
        <v>23.312999999999999</v>
      </c>
      <c r="J228" s="121">
        <f t="shared" si="5"/>
        <v>233.13</v>
      </c>
      <c r="K228" s="196">
        <f>BDI!$E$17</f>
        <v>0.11260000000000001</v>
      </c>
      <c r="L228" s="90"/>
      <c r="M228" s="90"/>
      <c r="N228" s="91">
        <f>IF(ISNUMBER(I228),ROUND(I228*(1+K228),2),"")</f>
        <v>25.94</v>
      </c>
      <c r="O228" s="168">
        <f>IF(ISNUMBER(I228),ROUND(E228*F228*N228,2),"")</f>
        <v>259.39999999999998</v>
      </c>
    </row>
    <row r="229" spans="1:15" s="136" customFormat="1" x14ac:dyDescent="0.25">
      <c r="A229" s="150" t="s">
        <v>3677</v>
      </c>
      <c r="B229" s="151" t="s">
        <v>2795</v>
      </c>
      <c r="C229" s="137" t="s">
        <v>2796</v>
      </c>
      <c r="D229" s="138" t="s">
        <v>93</v>
      </c>
      <c r="E229" s="138">
        <v>20</v>
      </c>
      <c r="F229" s="138">
        <v>0.5</v>
      </c>
      <c r="G229" s="138"/>
      <c r="H229" s="138"/>
      <c r="I229" s="120">
        <v>86.6875</v>
      </c>
      <c r="J229" s="121">
        <f t="shared" si="5"/>
        <v>866.88</v>
      </c>
      <c r="K229" s="196">
        <f>BDI!$E$17</f>
        <v>0.11260000000000001</v>
      </c>
      <c r="L229" s="90"/>
      <c r="M229" s="90"/>
      <c r="N229" s="91">
        <f>IF(ISNUMBER(I229),ROUND(I229*(1+K229),2),"")</f>
        <v>96.45</v>
      </c>
      <c r="O229" s="168">
        <f>IF(ISNUMBER(I229),ROUND(E229*F229*N229,2),"")</f>
        <v>964.5</v>
      </c>
    </row>
    <row r="230" spans="1:15" s="136" customFormat="1" x14ac:dyDescent="0.25">
      <c r="A230" s="150" t="s">
        <v>3678</v>
      </c>
      <c r="B230" s="151" t="s">
        <v>2797</v>
      </c>
      <c r="C230" s="137" t="s">
        <v>2798</v>
      </c>
      <c r="D230" s="138" t="s">
        <v>93</v>
      </c>
      <c r="E230" s="138">
        <v>40</v>
      </c>
      <c r="F230" s="138">
        <v>0.5</v>
      </c>
      <c r="G230" s="138"/>
      <c r="H230" s="138"/>
      <c r="I230" s="120">
        <v>55.650999999999996</v>
      </c>
      <c r="J230" s="121">
        <f t="shared" si="5"/>
        <v>1113.02</v>
      </c>
      <c r="K230" s="196">
        <f>BDI!$E$17</f>
        <v>0.11260000000000001</v>
      </c>
      <c r="L230" s="90"/>
      <c r="M230" s="90"/>
      <c r="N230" s="91">
        <f>IF(ISNUMBER(I230),ROUND(I230*(1+K230),2),"")</f>
        <v>61.92</v>
      </c>
      <c r="O230" s="168">
        <f>IF(ISNUMBER(I230),ROUND(E230*F230*N230,2),"")</f>
        <v>1238.4000000000001</v>
      </c>
    </row>
    <row r="231" spans="1:15" s="136" customFormat="1" x14ac:dyDescent="0.25">
      <c r="A231" s="150" t="s">
        <v>3679</v>
      </c>
      <c r="B231" s="151" t="s">
        <v>2801</v>
      </c>
      <c r="C231" s="137" t="s">
        <v>2802</v>
      </c>
      <c r="D231" s="138" t="s">
        <v>93</v>
      </c>
      <c r="E231" s="138">
        <v>20</v>
      </c>
      <c r="F231" s="138">
        <v>0.5</v>
      </c>
      <c r="G231" s="138"/>
      <c r="H231" s="138"/>
      <c r="I231" s="120">
        <v>12.007999999999999</v>
      </c>
      <c r="J231" s="121">
        <f t="shared" si="5"/>
        <v>120.08</v>
      </c>
      <c r="K231" s="196">
        <f>BDI!$E$17</f>
        <v>0.11260000000000001</v>
      </c>
      <c r="L231" s="90"/>
      <c r="M231" s="90"/>
      <c r="N231" s="91">
        <f>IF(ISNUMBER(I231),ROUND(I231*(1+K231),2),"")</f>
        <v>13.36</v>
      </c>
      <c r="O231" s="168">
        <f>IF(ISNUMBER(I231),ROUND(E231*F231*N231,2),"")</f>
        <v>133.6</v>
      </c>
    </row>
    <row r="232" spans="1:15" s="136" customFormat="1" x14ac:dyDescent="0.25">
      <c r="A232" s="150" t="s">
        <v>3680</v>
      </c>
      <c r="B232" s="151" t="s">
        <v>2799</v>
      </c>
      <c r="C232" s="137" t="s">
        <v>2800</v>
      </c>
      <c r="D232" s="138" t="s">
        <v>93</v>
      </c>
      <c r="E232" s="138">
        <v>20</v>
      </c>
      <c r="F232" s="138">
        <v>0.5</v>
      </c>
      <c r="G232" s="138"/>
      <c r="H232" s="138"/>
      <c r="I232" s="120">
        <v>112.1095</v>
      </c>
      <c r="J232" s="121">
        <f t="shared" si="5"/>
        <v>1121.0999999999999</v>
      </c>
      <c r="K232" s="196">
        <f>BDI!$E$17</f>
        <v>0.11260000000000001</v>
      </c>
      <c r="L232" s="90"/>
      <c r="M232" s="90"/>
      <c r="N232" s="91">
        <f>IF(ISNUMBER(I232),ROUND(I232*(1+K232),2),"")</f>
        <v>124.73</v>
      </c>
      <c r="O232" s="168">
        <f>IF(ISNUMBER(I232),ROUND(E232*F232*N232,2),"")</f>
        <v>1247.3</v>
      </c>
    </row>
    <row r="233" spans="1:15" s="136" customFormat="1" x14ac:dyDescent="0.25">
      <c r="A233" s="150" t="s">
        <v>3681</v>
      </c>
      <c r="B233" s="151" t="s">
        <v>2803</v>
      </c>
      <c r="C233" s="137" t="s">
        <v>2804</v>
      </c>
      <c r="D233" s="138" t="s">
        <v>93</v>
      </c>
      <c r="E233" s="138">
        <v>20</v>
      </c>
      <c r="F233" s="138">
        <v>0.5</v>
      </c>
      <c r="G233" s="138"/>
      <c r="H233" s="138"/>
      <c r="I233" s="120">
        <v>135.34649999999999</v>
      </c>
      <c r="J233" s="121">
        <f t="shared" si="5"/>
        <v>1353.47</v>
      </c>
      <c r="K233" s="196">
        <f>BDI!$E$17</f>
        <v>0.11260000000000001</v>
      </c>
      <c r="L233" s="90"/>
      <c r="M233" s="90"/>
      <c r="N233" s="91">
        <f>IF(ISNUMBER(I233),ROUND(I233*(1+K233),2),"")</f>
        <v>150.59</v>
      </c>
      <c r="O233" s="168">
        <f>IF(ISNUMBER(I233),ROUND(E233*F233*N233,2),"")</f>
        <v>1505.9</v>
      </c>
    </row>
    <row r="234" spans="1:15" s="136" customFormat="1" x14ac:dyDescent="0.25">
      <c r="A234" s="150" t="s">
        <v>3682</v>
      </c>
      <c r="B234" s="151" t="s">
        <v>2805</v>
      </c>
      <c r="C234" s="137" t="s">
        <v>2806</v>
      </c>
      <c r="D234" s="138" t="s">
        <v>93</v>
      </c>
      <c r="E234" s="138">
        <v>20</v>
      </c>
      <c r="F234" s="138">
        <v>0.5</v>
      </c>
      <c r="G234" s="138"/>
      <c r="H234" s="138"/>
      <c r="I234" s="120">
        <v>204.06</v>
      </c>
      <c r="J234" s="121">
        <f t="shared" si="5"/>
        <v>2040.6</v>
      </c>
      <c r="K234" s="196">
        <f>BDI!$E$17</f>
        <v>0.11260000000000001</v>
      </c>
      <c r="L234" s="90"/>
      <c r="M234" s="90"/>
      <c r="N234" s="91">
        <f>IF(ISNUMBER(I234),ROUND(I234*(1+K234),2),"")</f>
        <v>227.04</v>
      </c>
      <c r="O234" s="168">
        <f>IF(ISNUMBER(I234),ROUND(E234*F234*N234,2),"")</f>
        <v>2270.4</v>
      </c>
    </row>
    <row r="235" spans="1:15" s="136" customFormat="1" x14ac:dyDescent="0.25">
      <c r="A235" s="150" t="s">
        <v>3683</v>
      </c>
      <c r="B235" s="151" t="s">
        <v>2819</v>
      </c>
      <c r="C235" s="137" t="s">
        <v>2820</v>
      </c>
      <c r="D235" s="138" t="s">
        <v>93</v>
      </c>
      <c r="E235" s="138">
        <v>20</v>
      </c>
      <c r="F235" s="138">
        <v>0.5</v>
      </c>
      <c r="G235" s="138"/>
      <c r="H235" s="138"/>
      <c r="I235" s="120">
        <v>94.524999999999991</v>
      </c>
      <c r="J235" s="121">
        <f t="shared" si="5"/>
        <v>945.25</v>
      </c>
      <c r="K235" s="196">
        <f>BDI!$E$17</f>
        <v>0.11260000000000001</v>
      </c>
      <c r="L235" s="90"/>
      <c r="M235" s="90"/>
      <c r="N235" s="91">
        <f>IF(ISNUMBER(I235),ROUND(I235*(1+K235),2),"")</f>
        <v>105.17</v>
      </c>
      <c r="O235" s="168">
        <f>IF(ISNUMBER(I235),ROUND(E235*F235*N235,2),"")</f>
        <v>1051.7</v>
      </c>
    </row>
    <row r="236" spans="1:15" s="136" customFormat="1" x14ac:dyDescent="0.25">
      <c r="A236" s="150" t="s">
        <v>3684</v>
      </c>
      <c r="B236" s="151" t="s">
        <v>2807</v>
      </c>
      <c r="C236" s="137" t="s">
        <v>2808</v>
      </c>
      <c r="D236" s="138" t="s">
        <v>93</v>
      </c>
      <c r="E236" s="138">
        <v>160</v>
      </c>
      <c r="F236" s="138">
        <v>0.5</v>
      </c>
      <c r="G236" s="138"/>
      <c r="H236" s="138"/>
      <c r="I236" s="120">
        <v>3.4769999999999999</v>
      </c>
      <c r="J236" s="121">
        <f t="shared" si="5"/>
        <v>278.16000000000003</v>
      </c>
      <c r="K236" s="196">
        <f>BDI!$E$17</f>
        <v>0.11260000000000001</v>
      </c>
      <c r="L236" s="90"/>
      <c r="M236" s="90"/>
      <c r="N236" s="91">
        <f>IF(ISNUMBER(I236),ROUND(I236*(1+K236),2),"")</f>
        <v>3.87</v>
      </c>
      <c r="O236" s="168">
        <f>IF(ISNUMBER(I236),ROUND(E236*F236*N236,2),"")</f>
        <v>309.60000000000002</v>
      </c>
    </row>
    <row r="237" spans="1:15" s="136" customFormat="1" x14ac:dyDescent="0.25">
      <c r="A237" s="150" t="s">
        <v>3685</v>
      </c>
      <c r="B237" s="151" t="s">
        <v>2809</v>
      </c>
      <c r="C237" s="137" t="s">
        <v>2304</v>
      </c>
      <c r="D237" s="138" t="s">
        <v>93</v>
      </c>
      <c r="E237" s="138">
        <v>160</v>
      </c>
      <c r="F237" s="138">
        <v>0.5</v>
      </c>
      <c r="G237" s="138"/>
      <c r="H237" s="138"/>
      <c r="I237" s="120">
        <v>4.4554999999999998</v>
      </c>
      <c r="J237" s="121">
        <f t="shared" si="5"/>
        <v>356.44</v>
      </c>
      <c r="K237" s="196">
        <f>BDI!$E$17</f>
        <v>0.11260000000000001</v>
      </c>
      <c r="L237" s="90"/>
      <c r="M237" s="90"/>
      <c r="N237" s="91">
        <f>IF(ISNUMBER(I237),ROUND(I237*(1+K237),2),"")</f>
        <v>4.96</v>
      </c>
      <c r="O237" s="168">
        <f>IF(ISNUMBER(I237),ROUND(E237*F237*N237,2),"")</f>
        <v>396.8</v>
      </c>
    </row>
    <row r="238" spans="1:15" s="136" customFormat="1" x14ac:dyDescent="0.25">
      <c r="A238" s="150" t="s">
        <v>3686</v>
      </c>
      <c r="B238" s="151" t="s">
        <v>2810</v>
      </c>
      <c r="C238" s="137" t="s">
        <v>2305</v>
      </c>
      <c r="D238" s="138" t="s">
        <v>93</v>
      </c>
      <c r="E238" s="138">
        <v>20</v>
      </c>
      <c r="F238" s="138">
        <v>0.5</v>
      </c>
      <c r="G238" s="138"/>
      <c r="H238" s="138"/>
      <c r="I238" s="120">
        <v>10.003499999999999</v>
      </c>
      <c r="J238" s="121">
        <f t="shared" si="5"/>
        <v>100.04</v>
      </c>
      <c r="K238" s="196">
        <f>BDI!$E$17</f>
        <v>0.11260000000000001</v>
      </c>
      <c r="L238" s="90"/>
      <c r="M238" s="90"/>
      <c r="N238" s="91">
        <f>IF(ISNUMBER(I238),ROUND(I238*(1+K238),2),"")</f>
        <v>11.13</v>
      </c>
      <c r="O238" s="168">
        <f>IF(ISNUMBER(I238),ROUND(E238*F238*N238,2),"")</f>
        <v>111.3</v>
      </c>
    </row>
    <row r="239" spans="1:15" s="136" customFormat="1" x14ac:dyDescent="0.25">
      <c r="A239" s="150" t="s">
        <v>3687</v>
      </c>
      <c r="B239" s="151" t="s">
        <v>2811</v>
      </c>
      <c r="C239" s="137" t="s">
        <v>2306</v>
      </c>
      <c r="D239" s="138" t="s">
        <v>93</v>
      </c>
      <c r="E239" s="138">
        <v>20</v>
      </c>
      <c r="F239" s="138">
        <v>0.5</v>
      </c>
      <c r="G239" s="138"/>
      <c r="H239" s="138"/>
      <c r="I239" s="120">
        <v>14.563499999999999</v>
      </c>
      <c r="J239" s="121">
        <f t="shared" ref="J239:J256" si="6">IF(ISNUMBER(I239),ROUND(E239*I239*F239,2),"")</f>
        <v>145.63999999999999</v>
      </c>
      <c r="K239" s="196">
        <f>BDI!$E$17</f>
        <v>0.11260000000000001</v>
      </c>
      <c r="L239" s="90"/>
      <c r="M239" s="90"/>
      <c r="N239" s="91">
        <f>IF(ISNUMBER(I239),ROUND(I239*(1+K239),2),"")</f>
        <v>16.2</v>
      </c>
      <c r="O239" s="168">
        <f>IF(ISNUMBER(I239),ROUND(E239*F239*N239,2),"")</f>
        <v>162</v>
      </c>
    </row>
    <row r="240" spans="1:15" s="136" customFormat="1" x14ac:dyDescent="0.25">
      <c r="A240" s="150" t="s">
        <v>3688</v>
      </c>
      <c r="B240" s="151" t="s">
        <v>2812</v>
      </c>
      <c r="C240" s="137" t="s">
        <v>2307</v>
      </c>
      <c r="D240" s="138" t="s">
        <v>93</v>
      </c>
      <c r="E240" s="138">
        <v>20</v>
      </c>
      <c r="F240" s="138">
        <v>0.5</v>
      </c>
      <c r="G240" s="138"/>
      <c r="H240" s="138"/>
      <c r="I240" s="120">
        <v>16.681999999999999</v>
      </c>
      <c r="J240" s="121">
        <f t="shared" si="6"/>
        <v>166.82</v>
      </c>
      <c r="K240" s="196">
        <f>BDI!$E$17</f>
        <v>0.11260000000000001</v>
      </c>
      <c r="L240" s="90"/>
      <c r="M240" s="90"/>
      <c r="N240" s="91">
        <f>IF(ISNUMBER(I240),ROUND(I240*(1+K240),2),"")</f>
        <v>18.559999999999999</v>
      </c>
      <c r="O240" s="168">
        <f>IF(ISNUMBER(I240),ROUND(E240*F240*N240,2),"")</f>
        <v>185.6</v>
      </c>
    </row>
    <row r="241" spans="1:15" s="136" customFormat="1" x14ac:dyDescent="0.25">
      <c r="A241" s="150" t="s">
        <v>3689</v>
      </c>
      <c r="B241" s="151" t="s">
        <v>2813</v>
      </c>
      <c r="C241" s="137" t="s">
        <v>2814</v>
      </c>
      <c r="D241" s="138" t="s">
        <v>93</v>
      </c>
      <c r="E241" s="138">
        <v>20</v>
      </c>
      <c r="F241" s="138">
        <v>0.5</v>
      </c>
      <c r="G241" s="138"/>
      <c r="H241" s="138"/>
      <c r="I241" s="120">
        <v>28.148499999999999</v>
      </c>
      <c r="J241" s="121">
        <f t="shared" si="6"/>
        <v>281.49</v>
      </c>
      <c r="K241" s="196">
        <f>BDI!$E$17</f>
        <v>0.11260000000000001</v>
      </c>
      <c r="L241" s="90"/>
      <c r="M241" s="90"/>
      <c r="N241" s="91">
        <f>IF(ISNUMBER(I241),ROUND(I241*(1+K241),2),"")</f>
        <v>31.32</v>
      </c>
      <c r="O241" s="168">
        <f>IF(ISNUMBER(I241),ROUND(E241*F241*N241,2),"")</f>
        <v>313.2</v>
      </c>
    </row>
    <row r="242" spans="1:15" s="136" customFormat="1" x14ac:dyDescent="0.25">
      <c r="A242" s="150" t="s">
        <v>3690</v>
      </c>
      <c r="B242" s="151" t="s">
        <v>2815</v>
      </c>
      <c r="C242" s="137" t="s">
        <v>2816</v>
      </c>
      <c r="D242" s="138" t="s">
        <v>93</v>
      </c>
      <c r="E242" s="138">
        <v>20</v>
      </c>
      <c r="F242" s="138">
        <v>0.5</v>
      </c>
      <c r="G242" s="138"/>
      <c r="H242" s="138"/>
      <c r="I242" s="120">
        <v>47.158000000000001</v>
      </c>
      <c r="J242" s="121">
        <f t="shared" si="6"/>
        <v>471.58</v>
      </c>
      <c r="K242" s="196">
        <f>BDI!$E$17</f>
        <v>0.11260000000000001</v>
      </c>
      <c r="L242" s="90"/>
      <c r="M242" s="90"/>
      <c r="N242" s="91">
        <f>IF(ISNUMBER(I242),ROUND(I242*(1+K242),2),"")</f>
        <v>52.47</v>
      </c>
      <c r="O242" s="168">
        <f>IF(ISNUMBER(I242),ROUND(E242*F242*N242,2),"")</f>
        <v>524.70000000000005</v>
      </c>
    </row>
    <row r="243" spans="1:15" s="136" customFormat="1" x14ac:dyDescent="0.25">
      <c r="A243" s="150" t="s">
        <v>3691</v>
      </c>
      <c r="B243" s="151" t="s">
        <v>2817</v>
      </c>
      <c r="C243" s="137" t="s">
        <v>2818</v>
      </c>
      <c r="D243" s="138" t="s">
        <v>93</v>
      </c>
      <c r="E243" s="138">
        <v>20</v>
      </c>
      <c r="F243" s="138">
        <v>0.5</v>
      </c>
      <c r="G243" s="138"/>
      <c r="H243" s="138"/>
      <c r="I243" s="120">
        <v>58.918999999999997</v>
      </c>
      <c r="J243" s="121">
        <f t="shared" si="6"/>
        <v>589.19000000000005</v>
      </c>
      <c r="K243" s="196">
        <f>BDI!$E$17</f>
        <v>0.11260000000000001</v>
      </c>
      <c r="L243" s="90"/>
      <c r="M243" s="90"/>
      <c r="N243" s="91">
        <f>IF(ISNUMBER(I243),ROUND(I243*(1+K243),2),"")</f>
        <v>65.55</v>
      </c>
      <c r="O243" s="168">
        <f>IF(ISNUMBER(I243),ROUND(E243*F243*N243,2),"")</f>
        <v>655.5</v>
      </c>
    </row>
    <row r="244" spans="1:15" s="136" customFormat="1" ht="25.5" x14ac:dyDescent="0.25">
      <c r="A244" s="150" t="s">
        <v>3692</v>
      </c>
      <c r="B244" s="151" t="s">
        <v>3046</v>
      </c>
      <c r="C244" s="137" t="s">
        <v>3047</v>
      </c>
      <c r="D244" s="138" t="s">
        <v>20</v>
      </c>
      <c r="E244" s="138">
        <v>8</v>
      </c>
      <c r="F244" s="138">
        <v>0.5</v>
      </c>
      <c r="G244" s="138"/>
      <c r="H244" s="138"/>
      <c r="I244" s="120">
        <v>68.266999999999996</v>
      </c>
      <c r="J244" s="121">
        <f t="shared" si="6"/>
        <v>273.07</v>
      </c>
      <c r="K244" s="196">
        <f>BDI!$E$17</f>
        <v>0.11260000000000001</v>
      </c>
      <c r="L244" s="90"/>
      <c r="M244" s="90"/>
      <c r="N244" s="91">
        <f>IF(ISNUMBER(I244),ROUND(I244*(1+K244),2),"")</f>
        <v>75.95</v>
      </c>
      <c r="O244" s="168">
        <f>IF(ISNUMBER(I244),ROUND(E244*F244*N244,2),"")</f>
        <v>303.8</v>
      </c>
    </row>
    <row r="245" spans="1:15" s="136" customFormat="1" ht="25.5" x14ac:dyDescent="0.25">
      <c r="A245" s="150" t="s">
        <v>3693</v>
      </c>
      <c r="B245" s="151" t="s">
        <v>3048</v>
      </c>
      <c r="C245" s="137" t="s">
        <v>3049</v>
      </c>
      <c r="D245" s="138" t="s">
        <v>20</v>
      </c>
      <c r="E245" s="138">
        <v>8</v>
      </c>
      <c r="F245" s="138">
        <v>0.5</v>
      </c>
      <c r="G245" s="138"/>
      <c r="H245" s="138"/>
      <c r="I245" s="120">
        <v>91.513499999999993</v>
      </c>
      <c r="J245" s="121">
        <f t="shared" si="6"/>
        <v>366.05</v>
      </c>
      <c r="K245" s="196">
        <f>BDI!$E$17</f>
        <v>0.11260000000000001</v>
      </c>
      <c r="L245" s="90"/>
      <c r="M245" s="90"/>
      <c r="N245" s="91">
        <f>IF(ISNUMBER(I245),ROUND(I245*(1+K245),2),"")</f>
        <v>101.82</v>
      </c>
      <c r="O245" s="168">
        <f>IF(ISNUMBER(I245),ROUND(E245*F245*N245,2),"")</f>
        <v>407.28</v>
      </c>
    </row>
    <row r="246" spans="1:15" s="136" customFormat="1" x14ac:dyDescent="0.25">
      <c r="A246" s="150" t="s">
        <v>3694</v>
      </c>
      <c r="B246" s="151" t="s">
        <v>3056</v>
      </c>
      <c r="C246" s="137" t="s">
        <v>3057</v>
      </c>
      <c r="D246" s="138" t="s">
        <v>20</v>
      </c>
      <c r="E246" s="138">
        <v>8</v>
      </c>
      <c r="F246" s="138">
        <v>0.5</v>
      </c>
      <c r="G246" s="138"/>
      <c r="H246" s="138"/>
      <c r="I246" s="120">
        <v>32.784499999999994</v>
      </c>
      <c r="J246" s="121">
        <f t="shared" si="6"/>
        <v>131.13999999999999</v>
      </c>
      <c r="K246" s="196">
        <f>BDI!$E$17</f>
        <v>0.11260000000000001</v>
      </c>
      <c r="L246" s="90"/>
      <c r="M246" s="90"/>
      <c r="N246" s="91">
        <f>IF(ISNUMBER(I246),ROUND(I246*(1+K246),2),"")</f>
        <v>36.479999999999997</v>
      </c>
      <c r="O246" s="168">
        <f>IF(ISNUMBER(I246),ROUND(E246*F246*N246,2),"")</f>
        <v>145.91999999999999</v>
      </c>
    </row>
    <row r="247" spans="1:15" s="136" customFormat="1" ht="25.5" x14ac:dyDescent="0.25">
      <c r="A247" s="150" t="s">
        <v>3695</v>
      </c>
      <c r="B247" s="151" t="s">
        <v>3058</v>
      </c>
      <c r="C247" s="137" t="s">
        <v>3059</v>
      </c>
      <c r="D247" s="138" t="s">
        <v>20</v>
      </c>
      <c r="E247" s="138">
        <v>20</v>
      </c>
      <c r="F247" s="138">
        <v>0.5</v>
      </c>
      <c r="G247" s="138"/>
      <c r="H247" s="138"/>
      <c r="I247" s="120">
        <v>166.07899999999998</v>
      </c>
      <c r="J247" s="121">
        <f t="shared" si="6"/>
        <v>1660.79</v>
      </c>
      <c r="K247" s="196">
        <f>BDI!$E$17</f>
        <v>0.11260000000000001</v>
      </c>
      <c r="L247" s="90"/>
      <c r="M247" s="90"/>
      <c r="N247" s="91">
        <f>IF(ISNUMBER(I247),ROUND(I247*(1+K247),2),"")</f>
        <v>184.78</v>
      </c>
      <c r="O247" s="168">
        <f>IF(ISNUMBER(I247),ROUND(E247*F247*N247,2),"")</f>
        <v>1847.8</v>
      </c>
    </row>
    <row r="248" spans="1:15" s="136" customFormat="1" x14ac:dyDescent="0.25">
      <c r="A248" s="150" t="s">
        <v>3696</v>
      </c>
      <c r="B248" s="151" t="s">
        <v>3050</v>
      </c>
      <c r="C248" s="137" t="s">
        <v>3051</v>
      </c>
      <c r="D248" s="138" t="s">
        <v>20</v>
      </c>
      <c r="E248" s="138">
        <v>40</v>
      </c>
      <c r="F248" s="138">
        <v>0.5</v>
      </c>
      <c r="G248" s="138"/>
      <c r="H248" s="138"/>
      <c r="I248" s="120">
        <v>100.377</v>
      </c>
      <c r="J248" s="121">
        <f t="shared" si="6"/>
        <v>2007.54</v>
      </c>
      <c r="K248" s="196">
        <f>BDI!$E$17</f>
        <v>0.11260000000000001</v>
      </c>
      <c r="L248" s="90"/>
      <c r="M248" s="90"/>
      <c r="N248" s="91">
        <f>IF(ISNUMBER(I248),ROUND(I248*(1+K248),2),"")</f>
        <v>111.68</v>
      </c>
      <c r="O248" s="168">
        <f>IF(ISNUMBER(I248),ROUND(E248*F248*N248,2),"")</f>
        <v>2233.6</v>
      </c>
    </row>
    <row r="249" spans="1:15" s="136" customFormat="1" x14ac:dyDescent="0.25">
      <c r="A249" s="150" t="s">
        <v>3697</v>
      </c>
      <c r="B249" s="151" t="s">
        <v>3052</v>
      </c>
      <c r="C249" s="137" t="s">
        <v>3053</v>
      </c>
      <c r="D249" s="138" t="s">
        <v>20</v>
      </c>
      <c r="E249" s="138">
        <v>60</v>
      </c>
      <c r="F249" s="138">
        <v>0.5</v>
      </c>
      <c r="G249" s="138"/>
      <c r="H249" s="138"/>
      <c r="I249" s="120">
        <v>257.2885</v>
      </c>
      <c r="J249" s="121">
        <f t="shared" si="6"/>
        <v>7718.66</v>
      </c>
      <c r="K249" s="196">
        <f>BDI!$E$17</f>
        <v>0.11260000000000001</v>
      </c>
      <c r="L249" s="90"/>
      <c r="M249" s="90"/>
      <c r="N249" s="91">
        <f>IF(ISNUMBER(I249),ROUND(I249*(1+K249),2),"")</f>
        <v>286.26</v>
      </c>
      <c r="O249" s="168">
        <f>IF(ISNUMBER(I249),ROUND(E249*F249*N249,2),"")</f>
        <v>8587.7999999999993</v>
      </c>
    </row>
    <row r="250" spans="1:15" s="136" customFormat="1" x14ac:dyDescent="0.25">
      <c r="A250" s="150" t="s">
        <v>3698</v>
      </c>
      <c r="B250" s="151" t="s">
        <v>3054</v>
      </c>
      <c r="C250" s="137" t="s">
        <v>3055</v>
      </c>
      <c r="D250" s="138" t="s">
        <v>20</v>
      </c>
      <c r="E250" s="138">
        <v>8</v>
      </c>
      <c r="F250" s="138">
        <v>0.5</v>
      </c>
      <c r="G250" s="138"/>
      <c r="H250" s="138"/>
      <c r="I250" s="120">
        <v>361.19</v>
      </c>
      <c r="J250" s="121">
        <f t="shared" si="6"/>
        <v>1444.76</v>
      </c>
      <c r="K250" s="196">
        <f>BDI!$E$17</f>
        <v>0.11260000000000001</v>
      </c>
      <c r="L250" s="90"/>
      <c r="M250" s="90"/>
      <c r="N250" s="91">
        <f>IF(ISNUMBER(I250),ROUND(I250*(1+K250),2),"")</f>
        <v>401.86</v>
      </c>
      <c r="O250" s="168">
        <f>IF(ISNUMBER(I250),ROUND(E250*F250*N250,2),"")</f>
        <v>1607.44</v>
      </c>
    </row>
    <row r="251" spans="1:15" s="136" customFormat="1" x14ac:dyDescent="0.25">
      <c r="A251" s="150" t="s">
        <v>3699</v>
      </c>
      <c r="B251" s="151" t="s">
        <v>3042</v>
      </c>
      <c r="C251" s="137" t="s">
        <v>3043</v>
      </c>
      <c r="D251" s="138" t="s">
        <v>20</v>
      </c>
      <c r="E251" s="138">
        <v>20</v>
      </c>
      <c r="F251" s="138">
        <v>0.5</v>
      </c>
      <c r="G251" s="138"/>
      <c r="H251" s="138"/>
      <c r="I251" s="120">
        <v>12.0175</v>
      </c>
      <c r="J251" s="121">
        <f t="shared" si="6"/>
        <v>120.18</v>
      </c>
      <c r="K251" s="196">
        <f>BDI!$E$17</f>
        <v>0.11260000000000001</v>
      </c>
      <c r="L251" s="90"/>
      <c r="M251" s="90"/>
      <c r="N251" s="91">
        <f>IF(ISNUMBER(I251),ROUND(I251*(1+K251),2),"")</f>
        <v>13.37</v>
      </c>
      <c r="O251" s="168">
        <f>IF(ISNUMBER(I251),ROUND(E251*F251*N251,2),"")</f>
        <v>133.69999999999999</v>
      </c>
    </row>
    <row r="252" spans="1:15" s="136" customFormat="1" x14ac:dyDescent="0.25">
      <c r="A252" s="150" t="s">
        <v>3700</v>
      </c>
      <c r="B252" s="151" t="s">
        <v>3044</v>
      </c>
      <c r="C252" s="137" t="s">
        <v>3045</v>
      </c>
      <c r="D252" s="138" t="s">
        <v>20</v>
      </c>
      <c r="E252" s="138">
        <v>40</v>
      </c>
      <c r="F252" s="138">
        <v>0.5</v>
      </c>
      <c r="G252" s="138"/>
      <c r="H252" s="138"/>
      <c r="I252" s="120">
        <v>19.009499999999999</v>
      </c>
      <c r="J252" s="121">
        <f t="shared" si="6"/>
        <v>380.19</v>
      </c>
      <c r="K252" s="196">
        <f>BDI!$E$17</f>
        <v>0.11260000000000001</v>
      </c>
      <c r="L252" s="90"/>
      <c r="M252" s="90"/>
      <c r="N252" s="91">
        <f>IF(ISNUMBER(I252),ROUND(I252*(1+K252),2),"")</f>
        <v>21.15</v>
      </c>
      <c r="O252" s="168">
        <f>IF(ISNUMBER(I252),ROUND(E252*F252*N252,2),"")</f>
        <v>423</v>
      </c>
    </row>
    <row r="253" spans="1:15" s="136" customFormat="1" x14ac:dyDescent="0.25">
      <c r="A253" s="150" t="s">
        <v>3701</v>
      </c>
      <c r="B253" s="151" t="s">
        <v>2958</v>
      </c>
      <c r="C253" s="137" t="s">
        <v>2959</v>
      </c>
      <c r="D253" s="138" t="s">
        <v>20</v>
      </c>
      <c r="E253" s="138">
        <v>8</v>
      </c>
      <c r="F253" s="138">
        <v>0.5</v>
      </c>
      <c r="G253" s="138"/>
      <c r="H253" s="138"/>
      <c r="I253" s="120">
        <v>33.85</v>
      </c>
      <c r="J253" s="121">
        <f t="shared" si="6"/>
        <v>135.4</v>
      </c>
      <c r="K253" s="196">
        <f>BDI!$E$17</f>
        <v>0.11260000000000001</v>
      </c>
      <c r="L253" s="90"/>
      <c r="M253" s="90"/>
      <c r="N253" s="91">
        <f>IF(ISNUMBER(I253),ROUND(I253*(1+K253),2),"")</f>
        <v>37.659999999999997</v>
      </c>
      <c r="O253" s="168">
        <f>IF(ISNUMBER(I253),ROUND(E253*F253*N253,2),"")</f>
        <v>150.63999999999999</v>
      </c>
    </row>
    <row r="254" spans="1:15" s="136" customFormat="1" x14ac:dyDescent="0.25">
      <c r="A254" s="150" t="s">
        <v>3702</v>
      </c>
      <c r="B254" s="151" t="s">
        <v>2960</v>
      </c>
      <c r="C254" s="137" t="s">
        <v>2961</v>
      </c>
      <c r="D254" s="138" t="s">
        <v>20</v>
      </c>
      <c r="E254" s="138">
        <v>8</v>
      </c>
      <c r="F254" s="138">
        <v>0.5</v>
      </c>
      <c r="G254" s="138"/>
      <c r="H254" s="138"/>
      <c r="I254" s="120">
        <v>55.37</v>
      </c>
      <c r="J254" s="121">
        <f t="shared" si="6"/>
        <v>221.48</v>
      </c>
      <c r="K254" s="196">
        <f>BDI!$E$17</f>
        <v>0.11260000000000001</v>
      </c>
      <c r="L254" s="90"/>
      <c r="M254" s="90"/>
      <c r="N254" s="91">
        <f>IF(ISNUMBER(I254),ROUND(I254*(1+K254),2),"")</f>
        <v>61.6</v>
      </c>
      <c r="O254" s="168">
        <f>IF(ISNUMBER(I254),ROUND(E254*F254*N254,2),"")</f>
        <v>246.4</v>
      </c>
    </row>
    <row r="255" spans="1:15" s="136" customFormat="1" x14ac:dyDescent="0.25">
      <c r="A255" s="150" t="s">
        <v>3703</v>
      </c>
      <c r="B255" s="151" t="s">
        <v>3083</v>
      </c>
      <c r="C255" s="137" t="s">
        <v>3084</v>
      </c>
      <c r="D255" s="138" t="s">
        <v>20</v>
      </c>
      <c r="E255" s="138">
        <v>8</v>
      </c>
      <c r="F255" s="138">
        <v>0.5</v>
      </c>
      <c r="G255" s="138"/>
      <c r="H255" s="138"/>
      <c r="I255" s="120">
        <v>93.090499999999992</v>
      </c>
      <c r="J255" s="121">
        <f t="shared" si="6"/>
        <v>372.36</v>
      </c>
      <c r="K255" s="196">
        <f>BDI!$E$17</f>
        <v>0.11260000000000001</v>
      </c>
      <c r="L255" s="90"/>
      <c r="M255" s="90"/>
      <c r="N255" s="91">
        <f>IF(ISNUMBER(I255),ROUND(I255*(1+K255),2),"")</f>
        <v>103.57</v>
      </c>
      <c r="O255" s="168">
        <f>IF(ISNUMBER(I255),ROUND(E255*F255*N255,2),"")</f>
        <v>414.28</v>
      </c>
    </row>
    <row r="256" spans="1:15" s="136" customFormat="1" x14ac:dyDescent="0.25">
      <c r="A256" s="150" t="s">
        <v>3704</v>
      </c>
      <c r="B256" s="151" t="s">
        <v>3085</v>
      </c>
      <c r="C256" s="137" t="s">
        <v>3086</v>
      </c>
      <c r="D256" s="138" t="s">
        <v>20</v>
      </c>
      <c r="E256" s="138">
        <v>8</v>
      </c>
      <c r="F256" s="138">
        <v>0.5</v>
      </c>
      <c r="G256" s="138"/>
      <c r="H256" s="138"/>
      <c r="I256" s="120">
        <v>288.83800000000002</v>
      </c>
      <c r="J256" s="121">
        <f t="shared" si="6"/>
        <v>1155.3499999999999</v>
      </c>
      <c r="K256" s="196">
        <f>BDI!$E$17</f>
        <v>0.11260000000000001</v>
      </c>
      <c r="L256" s="90"/>
      <c r="M256" s="90"/>
      <c r="N256" s="91">
        <f>IF(ISNUMBER(I256),ROUND(I256*(1+K256),2),"")</f>
        <v>321.36</v>
      </c>
      <c r="O256" s="168">
        <f>IF(ISNUMBER(I256),ROUND(E256*F256*N256,2),"")</f>
        <v>1285.44</v>
      </c>
    </row>
    <row r="257" spans="1:15" s="136" customFormat="1" x14ac:dyDescent="0.25">
      <c r="A257" s="128" t="s">
        <v>3467</v>
      </c>
      <c r="B257" s="152"/>
      <c r="C257" s="153" t="s">
        <v>3445</v>
      </c>
      <c r="D257" s="154"/>
      <c r="E257" s="155" t="s">
        <v>522</v>
      </c>
      <c r="F257" s="154"/>
      <c r="G257" s="154"/>
      <c r="H257" s="154"/>
      <c r="I257" s="154"/>
      <c r="J257" s="129">
        <f>SUBTOTAL(109,J258:J283)</f>
        <v>154724.27000000002</v>
      </c>
      <c r="K257" s="154"/>
      <c r="L257" s="130"/>
      <c r="M257" s="130"/>
      <c r="N257" s="131"/>
      <c r="O257" s="169">
        <f>SUBTOTAL(109,O258:O283)</f>
        <v>172146.61</v>
      </c>
    </row>
    <row r="258" spans="1:15" s="136" customFormat="1" x14ac:dyDescent="0.25">
      <c r="A258" s="150" t="s">
        <v>3705</v>
      </c>
      <c r="B258" s="151" t="s">
        <v>2460</v>
      </c>
      <c r="C258" s="137" t="s">
        <v>1893</v>
      </c>
      <c r="D258" s="138" t="s">
        <v>20</v>
      </c>
      <c r="E258" s="138">
        <v>300</v>
      </c>
      <c r="F258" s="138">
        <v>0.5</v>
      </c>
      <c r="G258" s="138"/>
      <c r="H258" s="138"/>
      <c r="I258" s="120">
        <v>3.3344999999999998</v>
      </c>
      <c r="J258" s="121">
        <f t="shared" ref="J258:J283" si="7">IF(ISNUMBER(I258),ROUND(E258*I258*F258,2),"")</f>
        <v>500.18</v>
      </c>
      <c r="K258" s="196">
        <f>BDI!$E$17</f>
        <v>0.11260000000000001</v>
      </c>
      <c r="L258" s="90"/>
      <c r="M258" s="90"/>
      <c r="N258" s="91">
        <f>IF(ISNUMBER(I258),ROUND(I258*(1+K258),2),"")</f>
        <v>3.71</v>
      </c>
      <c r="O258" s="168">
        <f>IF(ISNUMBER(I258),ROUND(E258*F258*N258,2),"")</f>
        <v>556.5</v>
      </c>
    </row>
    <row r="259" spans="1:15" s="136" customFormat="1" x14ac:dyDescent="0.25">
      <c r="A259" s="150" t="s">
        <v>3706</v>
      </c>
      <c r="B259" s="151" t="s">
        <v>2465</v>
      </c>
      <c r="C259" s="137" t="s">
        <v>2276</v>
      </c>
      <c r="D259" s="138" t="s">
        <v>20</v>
      </c>
      <c r="E259" s="138">
        <v>600</v>
      </c>
      <c r="F259" s="138">
        <v>0.5</v>
      </c>
      <c r="G259" s="138"/>
      <c r="H259" s="138"/>
      <c r="I259" s="120">
        <v>31.7775</v>
      </c>
      <c r="J259" s="121">
        <f t="shared" si="7"/>
        <v>9533.25</v>
      </c>
      <c r="K259" s="196">
        <f>BDI!$E$17</f>
        <v>0.11260000000000001</v>
      </c>
      <c r="L259" s="90"/>
      <c r="M259" s="90"/>
      <c r="N259" s="91">
        <f>IF(ISNUMBER(I259),ROUND(I259*(1+K259),2),"")</f>
        <v>35.36</v>
      </c>
      <c r="O259" s="168">
        <f>IF(ISNUMBER(I259),ROUND(E259*F259*N259,2),"")</f>
        <v>10608</v>
      </c>
    </row>
    <row r="260" spans="1:15" s="136" customFormat="1" x14ac:dyDescent="0.25">
      <c r="A260" s="150" t="s">
        <v>3707</v>
      </c>
      <c r="B260" s="151" t="s">
        <v>2466</v>
      </c>
      <c r="C260" s="137" t="s">
        <v>1584</v>
      </c>
      <c r="D260" s="138" t="s">
        <v>20</v>
      </c>
      <c r="E260" s="138">
        <v>100</v>
      </c>
      <c r="F260" s="138">
        <v>0.5</v>
      </c>
      <c r="G260" s="138"/>
      <c r="H260" s="138"/>
      <c r="I260" s="120">
        <v>1211.8</v>
      </c>
      <c r="J260" s="121">
        <f t="shared" si="7"/>
        <v>60590</v>
      </c>
      <c r="K260" s="196">
        <f>BDI!$E$17</f>
        <v>0.11260000000000001</v>
      </c>
      <c r="L260" s="90"/>
      <c r="M260" s="90"/>
      <c r="N260" s="91">
        <f>IF(ISNUMBER(I260),ROUND(I260*(1+K260),2),"")</f>
        <v>1348.25</v>
      </c>
      <c r="O260" s="168">
        <f>IF(ISNUMBER(I260),ROUND(E260*F260*N260,2),"")</f>
        <v>67412.5</v>
      </c>
    </row>
    <row r="261" spans="1:15" s="136" customFormat="1" x14ac:dyDescent="0.25">
      <c r="A261" s="150" t="s">
        <v>3708</v>
      </c>
      <c r="B261" s="151" t="s">
        <v>2469</v>
      </c>
      <c r="C261" s="137" t="s">
        <v>2520</v>
      </c>
      <c r="D261" s="138" t="s">
        <v>20</v>
      </c>
      <c r="E261" s="138">
        <v>40</v>
      </c>
      <c r="F261" s="138">
        <v>0.5</v>
      </c>
      <c r="G261" s="138"/>
      <c r="H261" s="138"/>
      <c r="I261" s="120">
        <v>1025.98</v>
      </c>
      <c r="J261" s="121">
        <f t="shared" si="7"/>
        <v>20519.599999999999</v>
      </c>
      <c r="K261" s="196">
        <f>BDI!$E$17</f>
        <v>0.11260000000000001</v>
      </c>
      <c r="L261" s="90"/>
      <c r="M261" s="90"/>
      <c r="N261" s="91">
        <f>IF(ISNUMBER(I261),ROUND(I261*(1+K261),2),"")</f>
        <v>1141.51</v>
      </c>
      <c r="O261" s="168">
        <f>IF(ISNUMBER(I261),ROUND(E261*F261*N261,2),"")</f>
        <v>22830.2</v>
      </c>
    </row>
    <row r="262" spans="1:15" s="136" customFormat="1" x14ac:dyDescent="0.25">
      <c r="A262" s="150" t="s">
        <v>3709</v>
      </c>
      <c r="B262" s="151" t="s">
        <v>2468</v>
      </c>
      <c r="C262" s="137" t="s">
        <v>2519</v>
      </c>
      <c r="D262" s="138" t="s">
        <v>20</v>
      </c>
      <c r="E262" s="138">
        <v>60</v>
      </c>
      <c r="F262" s="138">
        <v>0.5</v>
      </c>
      <c r="G262" s="138"/>
      <c r="H262" s="138"/>
      <c r="I262" s="120">
        <v>224.11</v>
      </c>
      <c r="J262" s="121">
        <f t="shared" si="7"/>
        <v>6723.3</v>
      </c>
      <c r="K262" s="196">
        <f>BDI!$E$17</f>
        <v>0.11260000000000001</v>
      </c>
      <c r="L262" s="90"/>
      <c r="M262" s="90"/>
      <c r="N262" s="91">
        <f>IF(ISNUMBER(I262),ROUND(I262*(1+K262),2),"")</f>
        <v>249.34</v>
      </c>
      <c r="O262" s="168">
        <f>IF(ISNUMBER(I262),ROUND(E262*F262*N262,2),"")</f>
        <v>7480.2</v>
      </c>
    </row>
    <row r="263" spans="1:15" s="136" customFormat="1" x14ac:dyDescent="0.25">
      <c r="A263" s="150" t="s">
        <v>3710</v>
      </c>
      <c r="B263" s="151" t="s">
        <v>2467</v>
      </c>
      <c r="C263" s="137" t="s">
        <v>2518</v>
      </c>
      <c r="D263" s="138" t="s">
        <v>20</v>
      </c>
      <c r="E263" s="138">
        <v>60</v>
      </c>
      <c r="F263" s="138">
        <v>0.5</v>
      </c>
      <c r="G263" s="138"/>
      <c r="H263" s="138"/>
      <c r="I263" s="120">
        <v>170.9</v>
      </c>
      <c r="J263" s="121">
        <f t="shared" si="7"/>
        <v>5127</v>
      </c>
      <c r="K263" s="196">
        <f>BDI!$E$17</f>
        <v>0.11260000000000001</v>
      </c>
      <c r="L263" s="90"/>
      <c r="M263" s="90"/>
      <c r="N263" s="91">
        <f>IF(ISNUMBER(I263),ROUND(I263*(1+K263),2),"")</f>
        <v>190.14</v>
      </c>
      <c r="O263" s="168">
        <f>IF(ISNUMBER(I263),ROUND(E263*F263*N263,2),"")</f>
        <v>5704.2</v>
      </c>
    </row>
    <row r="264" spans="1:15" s="136" customFormat="1" x14ac:dyDescent="0.25">
      <c r="A264" s="150" t="s">
        <v>3711</v>
      </c>
      <c r="B264" s="151" t="s">
        <v>2476</v>
      </c>
      <c r="C264" s="137" t="s">
        <v>2527</v>
      </c>
      <c r="D264" s="138" t="s">
        <v>20</v>
      </c>
      <c r="E264" s="138">
        <v>100</v>
      </c>
      <c r="F264" s="138">
        <v>0.5</v>
      </c>
      <c r="G264" s="138"/>
      <c r="H264" s="138"/>
      <c r="I264" s="120">
        <v>3.2014999999999998</v>
      </c>
      <c r="J264" s="121">
        <f t="shared" si="7"/>
        <v>160.08000000000001</v>
      </c>
      <c r="K264" s="196">
        <f>BDI!$E$17</f>
        <v>0.11260000000000001</v>
      </c>
      <c r="L264" s="90"/>
      <c r="M264" s="90"/>
      <c r="N264" s="91">
        <f>IF(ISNUMBER(I264),ROUND(I264*(1+K264),2),"")</f>
        <v>3.56</v>
      </c>
      <c r="O264" s="168">
        <f>IF(ISNUMBER(I264),ROUND(E264*F264*N264,2),"")</f>
        <v>178</v>
      </c>
    </row>
    <row r="265" spans="1:15" s="136" customFormat="1" x14ac:dyDescent="0.25">
      <c r="A265" s="150" t="s">
        <v>3712</v>
      </c>
      <c r="B265" s="151" t="s">
        <v>2477</v>
      </c>
      <c r="C265" s="137" t="s">
        <v>2528</v>
      </c>
      <c r="D265" s="138" t="s">
        <v>20</v>
      </c>
      <c r="E265" s="138">
        <v>100</v>
      </c>
      <c r="F265" s="138">
        <v>0.5</v>
      </c>
      <c r="G265" s="138"/>
      <c r="H265" s="138"/>
      <c r="I265" s="120">
        <v>1.8</v>
      </c>
      <c r="J265" s="121">
        <f t="shared" si="7"/>
        <v>90</v>
      </c>
      <c r="K265" s="196">
        <f>BDI!$E$17</f>
        <v>0.11260000000000001</v>
      </c>
      <c r="L265" s="90"/>
      <c r="M265" s="90"/>
      <c r="N265" s="91">
        <f>IF(ISNUMBER(I265),ROUND(I265*(1+K265),2),"")</f>
        <v>2</v>
      </c>
      <c r="O265" s="168">
        <f>IF(ISNUMBER(I265),ROUND(E265*F265*N265,2),"")</f>
        <v>100</v>
      </c>
    </row>
    <row r="266" spans="1:15" s="136" customFormat="1" x14ac:dyDescent="0.25">
      <c r="A266" s="150" t="s">
        <v>3713</v>
      </c>
      <c r="B266" s="151" t="s">
        <v>2555</v>
      </c>
      <c r="C266" s="137" t="s">
        <v>1463</v>
      </c>
      <c r="D266" s="138" t="s">
        <v>20</v>
      </c>
      <c r="E266" s="138">
        <v>40</v>
      </c>
      <c r="F266" s="138">
        <v>0.5</v>
      </c>
      <c r="G266" s="138"/>
      <c r="H266" s="138"/>
      <c r="I266" s="120">
        <v>95.9</v>
      </c>
      <c r="J266" s="121">
        <f t="shared" si="7"/>
        <v>1918</v>
      </c>
      <c r="K266" s="196">
        <f>BDI!$E$17</f>
        <v>0.11260000000000001</v>
      </c>
      <c r="L266" s="90"/>
      <c r="M266" s="90"/>
      <c r="N266" s="91">
        <f>IF(ISNUMBER(I266),ROUND(I266*(1+K266),2),"")</f>
        <v>106.7</v>
      </c>
      <c r="O266" s="168">
        <f>IF(ISNUMBER(I266),ROUND(E266*F266*N266,2),"")</f>
        <v>2134</v>
      </c>
    </row>
    <row r="267" spans="1:15" s="136" customFormat="1" x14ac:dyDescent="0.25">
      <c r="A267" s="150" t="s">
        <v>3714</v>
      </c>
      <c r="B267" s="151" t="s">
        <v>2556</v>
      </c>
      <c r="C267" s="137" t="s">
        <v>2277</v>
      </c>
      <c r="D267" s="138" t="s">
        <v>20</v>
      </c>
      <c r="E267" s="138">
        <v>40</v>
      </c>
      <c r="F267" s="138">
        <v>0.5</v>
      </c>
      <c r="G267" s="138"/>
      <c r="H267" s="138"/>
      <c r="I267" s="120">
        <v>120.669</v>
      </c>
      <c r="J267" s="121">
        <f t="shared" si="7"/>
        <v>2413.38</v>
      </c>
      <c r="K267" s="196">
        <f>BDI!$E$17</f>
        <v>0.11260000000000001</v>
      </c>
      <c r="L267" s="90"/>
      <c r="M267" s="90"/>
      <c r="N267" s="91">
        <f>IF(ISNUMBER(I267),ROUND(I267*(1+K267),2),"")</f>
        <v>134.26</v>
      </c>
      <c r="O267" s="168">
        <f>IF(ISNUMBER(I267),ROUND(E267*F267*N267,2),"")</f>
        <v>2685.2</v>
      </c>
    </row>
    <row r="268" spans="1:15" s="136" customFormat="1" x14ac:dyDescent="0.25">
      <c r="A268" s="150" t="s">
        <v>3715</v>
      </c>
      <c r="B268" s="151" t="s">
        <v>2557</v>
      </c>
      <c r="C268" s="137" t="s">
        <v>1464</v>
      </c>
      <c r="D268" s="138" t="s">
        <v>20</v>
      </c>
      <c r="E268" s="138">
        <v>20</v>
      </c>
      <c r="F268" s="138">
        <v>0.5</v>
      </c>
      <c r="G268" s="138"/>
      <c r="H268" s="138"/>
      <c r="I268" s="120">
        <v>899.9</v>
      </c>
      <c r="J268" s="121">
        <f t="shared" si="7"/>
        <v>8999</v>
      </c>
      <c r="K268" s="196">
        <f>BDI!$E$17</f>
        <v>0.11260000000000001</v>
      </c>
      <c r="L268" s="90"/>
      <c r="M268" s="90"/>
      <c r="N268" s="91">
        <f>IF(ISNUMBER(I268),ROUND(I268*(1+K268),2),"")</f>
        <v>1001.23</v>
      </c>
      <c r="O268" s="168">
        <f>IF(ISNUMBER(I268),ROUND(E268*F268*N268,2),"")</f>
        <v>10012.299999999999</v>
      </c>
    </row>
    <row r="269" spans="1:15" s="136" customFormat="1" x14ac:dyDescent="0.25">
      <c r="A269" s="150" t="s">
        <v>3716</v>
      </c>
      <c r="B269" s="151" t="s">
        <v>2562</v>
      </c>
      <c r="C269" s="137" t="s">
        <v>2563</v>
      </c>
      <c r="D269" s="138" t="s">
        <v>20</v>
      </c>
      <c r="E269" s="138">
        <v>20</v>
      </c>
      <c r="F269" s="138">
        <v>0.5</v>
      </c>
      <c r="G269" s="138"/>
      <c r="H269" s="138"/>
      <c r="I269" s="120">
        <v>6.83</v>
      </c>
      <c r="J269" s="121">
        <f t="shared" si="7"/>
        <v>68.3</v>
      </c>
      <c r="K269" s="196">
        <f>BDI!$E$17</f>
        <v>0.11260000000000001</v>
      </c>
      <c r="L269" s="90"/>
      <c r="M269" s="90"/>
      <c r="N269" s="91">
        <f>IF(ISNUMBER(I269),ROUND(I269*(1+K269),2),"")</f>
        <v>7.6</v>
      </c>
      <c r="O269" s="168">
        <f>IF(ISNUMBER(I269),ROUND(E269*F269*N269,2),"")</f>
        <v>76</v>
      </c>
    </row>
    <row r="270" spans="1:15" s="136" customFormat="1" x14ac:dyDescent="0.25">
      <c r="A270" s="150" t="s">
        <v>3717</v>
      </c>
      <c r="B270" s="151" t="s">
        <v>2603</v>
      </c>
      <c r="C270" s="137" t="s">
        <v>2604</v>
      </c>
      <c r="D270" s="138" t="s">
        <v>20</v>
      </c>
      <c r="E270" s="138">
        <v>80</v>
      </c>
      <c r="F270" s="138">
        <v>0.5</v>
      </c>
      <c r="G270" s="138"/>
      <c r="H270" s="138"/>
      <c r="I270" s="120">
        <v>43.3</v>
      </c>
      <c r="J270" s="121">
        <f t="shared" si="7"/>
        <v>1732</v>
      </c>
      <c r="K270" s="196">
        <f>BDI!$E$17</f>
        <v>0.11260000000000001</v>
      </c>
      <c r="L270" s="90"/>
      <c r="M270" s="90"/>
      <c r="N270" s="91">
        <f>IF(ISNUMBER(I270),ROUND(I270*(1+K270),2),"")</f>
        <v>48.18</v>
      </c>
      <c r="O270" s="168">
        <f>IF(ISNUMBER(I270),ROUND(E270*F270*N270,2),"")</f>
        <v>1927.2</v>
      </c>
    </row>
    <row r="271" spans="1:15" s="136" customFormat="1" x14ac:dyDescent="0.25">
      <c r="A271" s="150" t="s">
        <v>3718</v>
      </c>
      <c r="B271" s="151" t="s">
        <v>2577</v>
      </c>
      <c r="C271" s="137" t="s">
        <v>2578</v>
      </c>
      <c r="D271" s="138" t="s">
        <v>20</v>
      </c>
      <c r="E271" s="138">
        <v>10</v>
      </c>
      <c r="F271" s="138">
        <v>0.5</v>
      </c>
      <c r="G271" s="138"/>
      <c r="H271" s="138"/>
      <c r="I271" s="120">
        <v>261.25</v>
      </c>
      <c r="J271" s="121">
        <f t="shared" si="7"/>
        <v>1306.25</v>
      </c>
      <c r="K271" s="196">
        <f>BDI!$E$17</f>
        <v>0.11260000000000001</v>
      </c>
      <c r="L271" s="90"/>
      <c r="M271" s="90"/>
      <c r="N271" s="91">
        <f>IF(ISNUMBER(I271),ROUND(I271*(1+K271),2),"")</f>
        <v>290.67</v>
      </c>
      <c r="O271" s="168">
        <f>IF(ISNUMBER(I271),ROUND(E271*F271*N271,2),"")</f>
        <v>1453.35</v>
      </c>
    </row>
    <row r="272" spans="1:15" s="136" customFormat="1" x14ac:dyDescent="0.25">
      <c r="A272" s="150" t="s">
        <v>3719</v>
      </c>
      <c r="B272" s="151" t="s">
        <v>2576</v>
      </c>
      <c r="C272" s="137" t="s">
        <v>1469</v>
      </c>
      <c r="D272" s="138" t="s">
        <v>20</v>
      </c>
      <c r="E272" s="138">
        <v>8</v>
      </c>
      <c r="F272" s="138">
        <v>0.5</v>
      </c>
      <c r="G272" s="138"/>
      <c r="H272" s="138"/>
      <c r="I272" s="120">
        <v>538.01</v>
      </c>
      <c r="J272" s="121">
        <f t="shared" si="7"/>
        <v>2152.04</v>
      </c>
      <c r="K272" s="196">
        <f>BDI!$E$17</f>
        <v>0.11260000000000001</v>
      </c>
      <c r="L272" s="90"/>
      <c r="M272" s="90"/>
      <c r="N272" s="91">
        <f>IF(ISNUMBER(I272),ROUND(I272*(1+K272),2),"")</f>
        <v>598.59</v>
      </c>
      <c r="O272" s="168">
        <f>IF(ISNUMBER(I272),ROUND(E272*F272*N272,2),"")</f>
        <v>2394.36</v>
      </c>
    </row>
    <row r="273" spans="1:15" s="136" customFormat="1" x14ac:dyDescent="0.25">
      <c r="A273" s="150" t="s">
        <v>3720</v>
      </c>
      <c r="B273" s="151" t="s">
        <v>2595</v>
      </c>
      <c r="C273" s="137" t="s">
        <v>2596</v>
      </c>
      <c r="D273" s="138" t="s">
        <v>20</v>
      </c>
      <c r="E273" s="138">
        <v>20</v>
      </c>
      <c r="F273" s="138">
        <v>0.5</v>
      </c>
      <c r="G273" s="138"/>
      <c r="H273" s="138"/>
      <c r="I273" s="120">
        <v>426.6</v>
      </c>
      <c r="J273" s="121">
        <f t="shared" si="7"/>
        <v>4266</v>
      </c>
      <c r="K273" s="196">
        <f>BDI!$E$17</f>
        <v>0.11260000000000001</v>
      </c>
      <c r="L273" s="90"/>
      <c r="M273" s="90"/>
      <c r="N273" s="91">
        <f>IF(ISNUMBER(I273),ROUND(I273*(1+K273),2),"")</f>
        <v>474.64</v>
      </c>
      <c r="O273" s="168">
        <f>IF(ISNUMBER(I273),ROUND(E273*F273*N273,2),"")</f>
        <v>4746.3999999999996</v>
      </c>
    </row>
    <row r="274" spans="1:15" s="136" customFormat="1" x14ac:dyDescent="0.25">
      <c r="A274" s="150" t="s">
        <v>3721</v>
      </c>
      <c r="B274" s="151" t="s">
        <v>2709</v>
      </c>
      <c r="C274" s="137" t="s">
        <v>2278</v>
      </c>
      <c r="D274" s="138" t="s">
        <v>20</v>
      </c>
      <c r="E274" s="138">
        <v>20</v>
      </c>
      <c r="F274" s="138">
        <v>0.5</v>
      </c>
      <c r="G274" s="138"/>
      <c r="H274" s="138"/>
      <c r="I274" s="120">
        <v>567</v>
      </c>
      <c r="J274" s="121">
        <f t="shared" si="7"/>
        <v>5670</v>
      </c>
      <c r="K274" s="196">
        <f>BDI!$E$17</f>
        <v>0.11260000000000001</v>
      </c>
      <c r="L274" s="90"/>
      <c r="M274" s="90"/>
      <c r="N274" s="91">
        <f>IF(ISNUMBER(I274),ROUND(I274*(1+K274),2),"")</f>
        <v>630.84</v>
      </c>
      <c r="O274" s="168">
        <f>IF(ISNUMBER(I274),ROUND(E274*F274*N274,2),"")</f>
        <v>6308.4</v>
      </c>
    </row>
    <row r="275" spans="1:15" s="136" customFormat="1" x14ac:dyDescent="0.25">
      <c r="A275" s="150" t="s">
        <v>3722</v>
      </c>
      <c r="B275" s="151" t="s">
        <v>2697</v>
      </c>
      <c r="C275" s="137" t="s">
        <v>2698</v>
      </c>
      <c r="D275" s="138" t="s">
        <v>20</v>
      </c>
      <c r="E275" s="138">
        <v>10</v>
      </c>
      <c r="F275" s="138">
        <v>0.5</v>
      </c>
      <c r="G275" s="138"/>
      <c r="H275" s="138"/>
      <c r="I275" s="120">
        <v>247.22</v>
      </c>
      <c r="J275" s="121">
        <f t="shared" si="7"/>
        <v>1236.0999999999999</v>
      </c>
      <c r="K275" s="196">
        <f>BDI!$E$17</f>
        <v>0.11260000000000001</v>
      </c>
      <c r="L275" s="90"/>
      <c r="M275" s="90"/>
      <c r="N275" s="91">
        <f>IF(ISNUMBER(I275),ROUND(I275*(1+K275),2),"")</f>
        <v>275.06</v>
      </c>
      <c r="O275" s="168">
        <f>IF(ISNUMBER(I275),ROUND(E275*F275*N275,2),"")</f>
        <v>1375.3</v>
      </c>
    </row>
    <row r="276" spans="1:15" s="136" customFormat="1" x14ac:dyDescent="0.25">
      <c r="A276" s="150" t="s">
        <v>3723</v>
      </c>
      <c r="B276" s="151" t="s">
        <v>2699</v>
      </c>
      <c r="C276" s="137" t="s">
        <v>2700</v>
      </c>
      <c r="D276" s="138" t="s">
        <v>20</v>
      </c>
      <c r="E276" s="138">
        <v>300</v>
      </c>
      <c r="F276" s="138">
        <v>0.5</v>
      </c>
      <c r="G276" s="138"/>
      <c r="H276" s="138"/>
      <c r="I276" s="120">
        <v>25.35</v>
      </c>
      <c r="J276" s="121">
        <f t="shared" si="7"/>
        <v>3802.5</v>
      </c>
      <c r="K276" s="196">
        <f>BDI!$E$17</f>
        <v>0.11260000000000001</v>
      </c>
      <c r="L276" s="90"/>
      <c r="M276" s="90"/>
      <c r="N276" s="91">
        <f>IF(ISNUMBER(I276),ROUND(I276*(1+K276),2),"")</f>
        <v>28.2</v>
      </c>
      <c r="O276" s="168">
        <f>IF(ISNUMBER(I276),ROUND(E276*F276*N276,2),"")</f>
        <v>4230</v>
      </c>
    </row>
    <row r="277" spans="1:15" s="136" customFormat="1" x14ac:dyDescent="0.25">
      <c r="A277" s="150" t="s">
        <v>3724</v>
      </c>
      <c r="B277" s="151" t="s">
        <v>2694</v>
      </c>
      <c r="C277" s="137" t="s">
        <v>2283</v>
      </c>
      <c r="D277" s="138" t="s">
        <v>20</v>
      </c>
      <c r="E277" s="138">
        <v>20</v>
      </c>
      <c r="F277" s="138">
        <v>0.5</v>
      </c>
      <c r="G277" s="138"/>
      <c r="H277" s="138"/>
      <c r="I277" s="120">
        <v>280.42</v>
      </c>
      <c r="J277" s="121">
        <f t="shared" si="7"/>
        <v>2804.2</v>
      </c>
      <c r="K277" s="196">
        <f>BDI!$E$17</f>
        <v>0.11260000000000001</v>
      </c>
      <c r="L277" s="90"/>
      <c r="M277" s="90"/>
      <c r="N277" s="91">
        <f>IF(ISNUMBER(I277),ROUND(I277*(1+K277),2),"")</f>
        <v>312</v>
      </c>
      <c r="O277" s="168">
        <f>IF(ISNUMBER(I277),ROUND(E277*F277*N277,2),"")</f>
        <v>3120</v>
      </c>
    </row>
    <row r="278" spans="1:15" s="136" customFormat="1" x14ac:dyDescent="0.25">
      <c r="A278" s="150" t="s">
        <v>3725</v>
      </c>
      <c r="B278" s="151" t="s">
        <v>2695</v>
      </c>
      <c r="C278" s="137" t="s">
        <v>2696</v>
      </c>
      <c r="D278" s="138" t="s">
        <v>20</v>
      </c>
      <c r="E278" s="138">
        <v>40</v>
      </c>
      <c r="F278" s="138">
        <v>0.5</v>
      </c>
      <c r="G278" s="138"/>
      <c r="H278" s="138"/>
      <c r="I278" s="120">
        <v>368.87</v>
      </c>
      <c r="J278" s="121">
        <f t="shared" si="7"/>
        <v>7377.4</v>
      </c>
      <c r="K278" s="196">
        <f>BDI!$E$17</f>
        <v>0.11260000000000001</v>
      </c>
      <c r="L278" s="90"/>
      <c r="M278" s="90"/>
      <c r="N278" s="91">
        <f>IF(ISNUMBER(I278),ROUND(I278*(1+K278),2),"")</f>
        <v>410.4</v>
      </c>
      <c r="O278" s="168">
        <f>IF(ISNUMBER(I278),ROUND(E278*F278*N278,2),"")</f>
        <v>8208</v>
      </c>
    </row>
    <row r="279" spans="1:15" s="136" customFormat="1" x14ac:dyDescent="0.25">
      <c r="A279" s="150" t="s">
        <v>3726</v>
      </c>
      <c r="B279" s="151" t="s">
        <v>2860</v>
      </c>
      <c r="C279" s="137" t="s">
        <v>2284</v>
      </c>
      <c r="D279" s="138" t="s">
        <v>20</v>
      </c>
      <c r="E279" s="138">
        <v>20</v>
      </c>
      <c r="F279" s="138">
        <v>0.5</v>
      </c>
      <c r="G279" s="138"/>
      <c r="H279" s="138"/>
      <c r="I279" s="120">
        <v>164.654</v>
      </c>
      <c r="J279" s="121">
        <f t="shared" si="7"/>
        <v>1646.54</v>
      </c>
      <c r="K279" s="196">
        <f>BDI!$E$17</f>
        <v>0.11260000000000001</v>
      </c>
      <c r="L279" s="90"/>
      <c r="M279" s="90"/>
      <c r="N279" s="91">
        <f>IF(ISNUMBER(I279),ROUND(I279*(1+K279),2),"")</f>
        <v>183.19</v>
      </c>
      <c r="O279" s="168">
        <f>IF(ISNUMBER(I279),ROUND(E279*F279*N279,2),"")</f>
        <v>1831.9</v>
      </c>
    </row>
    <row r="280" spans="1:15" s="136" customFormat="1" x14ac:dyDescent="0.25">
      <c r="A280" s="150" t="s">
        <v>3943</v>
      </c>
      <c r="B280" s="151" t="s">
        <v>2837</v>
      </c>
      <c r="C280" s="137" t="s">
        <v>2838</v>
      </c>
      <c r="D280" s="138" t="s">
        <v>20</v>
      </c>
      <c r="E280" s="138">
        <v>160</v>
      </c>
      <c r="F280" s="138">
        <v>0.5</v>
      </c>
      <c r="G280" s="138"/>
      <c r="H280" s="138"/>
      <c r="I280" s="120">
        <v>38.864499999999992</v>
      </c>
      <c r="J280" s="121">
        <f t="shared" si="7"/>
        <v>3109.16</v>
      </c>
      <c r="K280" s="196">
        <f>BDI!$E$17</f>
        <v>0.11260000000000001</v>
      </c>
      <c r="L280" s="90"/>
      <c r="M280" s="90"/>
      <c r="N280" s="91">
        <f>IF(ISNUMBER(I280),ROUND(I280*(1+K280),2),"")</f>
        <v>43.24</v>
      </c>
      <c r="O280" s="168">
        <f>IF(ISNUMBER(I280),ROUND(E280*F280*N280,2),"")</f>
        <v>3459.2</v>
      </c>
    </row>
    <row r="281" spans="1:15" s="136" customFormat="1" x14ac:dyDescent="0.25">
      <c r="A281" s="150" t="s">
        <v>3944</v>
      </c>
      <c r="B281" s="151" t="s">
        <v>2540</v>
      </c>
      <c r="C281" s="137" t="s">
        <v>2541</v>
      </c>
      <c r="D281" s="138" t="s">
        <v>20</v>
      </c>
      <c r="E281" s="138">
        <v>20</v>
      </c>
      <c r="F281" s="138">
        <v>0.5</v>
      </c>
      <c r="G281" s="138"/>
      <c r="H281" s="138"/>
      <c r="I281" s="120">
        <v>40.9</v>
      </c>
      <c r="J281" s="121">
        <f t="shared" si="7"/>
        <v>409</v>
      </c>
      <c r="K281" s="196">
        <f>BDI!$E$17</f>
        <v>0.11260000000000001</v>
      </c>
      <c r="L281" s="90"/>
      <c r="M281" s="90"/>
      <c r="N281" s="91">
        <f>IF(ISNUMBER(I281),ROUND(I281*(1+K281),2),"")</f>
        <v>45.51</v>
      </c>
      <c r="O281" s="168">
        <f>IF(ISNUMBER(I281),ROUND(E281*F281*N281,2),"")</f>
        <v>455.1</v>
      </c>
    </row>
    <row r="282" spans="1:15" s="136" customFormat="1" x14ac:dyDescent="0.25">
      <c r="A282" s="150" t="s">
        <v>3945</v>
      </c>
      <c r="B282" s="151" t="s">
        <v>2839</v>
      </c>
      <c r="C282" s="137" t="s">
        <v>2840</v>
      </c>
      <c r="D282" s="138" t="s">
        <v>20</v>
      </c>
      <c r="E282" s="138">
        <v>60</v>
      </c>
      <c r="F282" s="138">
        <v>0.5</v>
      </c>
      <c r="G282" s="138"/>
      <c r="H282" s="138"/>
      <c r="I282" s="120">
        <v>53.095500000000001</v>
      </c>
      <c r="J282" s="121">
        <f t="shared" si="7"/>
        <v>1592.87</v>
      </c>
      <c r="K282" s="196">
        <f>BDI!$E$17</f>
        <v>0.11260000000000001</v>
      </c>
      <c r="L282" s="90"/>
      <c r="M282" s="90"/>
      <c r="N282" s="91">
        <f>IF(ISNUMBER(I282),ROUND(I282*(1+K282),2),"")</f>
        <v>59.07</v>
      </c>
      <c r="O282" s="168">
        <f>IF(ISNUMBER(I282),ROUND(E282*F282*N282,2),"")</f>
        <v>1772.1</v>
      </c>
    </row>
    <row r="283" spans="1:15" s="136" customFormat="1" x14ac:dyDescent="0.25">
      <c r="A283" s="150" t="s">
        <v>3946</v>
      </c>
      <c r="B283" s="151" t="s">
        <v>2859</v>
      </c>
      <c r="C283" s="137" t="s">
        <v>2288</v>
      </c>
      <c r="D283" s="138" t="s">
        <v>20</v>
      </c>
      <c r="E283" s="138">
        <v>40</v>
      </c>
      <c r="F283" s="138">
        <v>0.5</v>
      </c>
      <c r="G283" s="138"/>
      <c r="H283" s="138"/>
      <c r="I283" s="120">
        <v>48.905999999999992</v>
      </c>
      <c r="J283" s="121">
        <f t="shared" si="7"/>
        <v>978.12</v>
      </c>
      <c r="K283" s="196">
        <f>BDI!$E$17</f>
        <v>0.11260000000000001</v>
      </c>
      <c r="L283" s="90"/>
      <c r="M283" s="90"/>
      <c r="N283" s="91">
        <f>IF(ISNUMBER(I283),ROUND(I283*(1+K283),2),"")</f>
        <v>54.41</v>
      </c>
      <c r="O283" s="168">
        <f>IF(ISNUMBER(I283),ROUND(E283*F283*N283,2),"")</f>
        <v>1088.2</v>
      </c>
    </row>
    <row r="284" spans="1:15" s="136" customFormat="1" x14ac:dyDescent="0.25">
      <c r="A284" s="128" t="s">
        <v>3468</v>
      </c>
      <c r="B284" s="152"/>
      <c r="C284" s="153" t="s">
        <v>3463</v>
      </c>
      <c r="D284" s="154"/>
      <c r="E284" s="155" t="s">
        <v>522</v>
      </c>
      <c r="F284" s="154"/>
      <c r="G284" s="154"/>
      <c r="H284" s="154"/>
      <c r="I284" s="154"/>
      <c r="J284" s="129">
        <f>SUBTOTAL(109,J285:J311)</f>
        <v>344715.64</v>
      </c>
      <c r="K284" s="154"/>
      <c r="L284" s="130"/>
      <c r="M284" s="130"/>
      <c r="N284" s="131"/>
      <c r="O284" s="169">
        <f>SUBTOTAL(109,O285:O311)</f>
        <v>383531.64999999997</v>
      </c>
    </row>
    <row r="285" spans="1:15" s="136" customFormat="1" x14ac:dyDescent="0.25">
      <c r="A285" s="150" t="s">
        <v>3727</v>
      </c>
      <c r="B285" s="151" t="s">
        <v>2456</v>
      </c>
      <c r="C285" s="137" t="s">
        <v>2279</v>
      </c>
      <c r="D285" s="138" t="s">
        <v>20</v>
      </c>
      <c r="E285" s="138">
        <v>80</v>
      </c>
      <c r="F285" s="138">
        <v>0.5</v>
      </c>
      <c r="G285" s="138"/>
      <c r="H285" s="138"/>
      <c r="I285" s="120">
        <v>64.569999999999993</v>
      </c>
      <c r="J285" s="121">
        <f t="shared" ref="J285:J311" si="8">IF(ISNUMBER(I285),ROUND(E285*I285*F285,2),"")</f>
        <v>2582.8000000000002</v>
      </c>
      <c r="K285" s="196">
        <f>BDI!$E$17</f>
        <v>0.11260000000000001</v>
      </c>
      <c r="L285" s="90"/>
      <c r="M285" s="90"/>
      <c r="N285" s="91">
        <f>IF(ISNUMBER(I285),ROUND(I285*(1+K285),2),"")</f>
        <v>71.84</v>
      </c>
      <c r="O285" s="168">
        <f>IF(ISNUMBER(I285),ROUND(E285*F285*N285,2),"")</f>
        <v>2873.6</v>
      </c>
    </row>
    <row r="286" spans="1:15" s="136" customFormat="1" x14ac:dyDescent="0.25">
      <c r="A286" s="150" t="s">
        <v>3728</v>
      </c>
      <c r="B286" s="151" t="s">
        <v>2457</v>
      </c>
      <c r="C286" s="137" t="s">
        <v>2280</v>
      </c>
      <c r="D286" s="138" t="s">
        <v>20</v>
      </c>
      <c r="E286" s="138">
        <v>40</v>
      </c>
      <c r="F286" s="138">
        <v>0.5</v>
      </c>
      <c r="G286" s="138"/>
      <c r="H286" s="138"/>
      <c r="I286" s="120">
        <v>58</v>
      </c>
      <c r="J286" s="121">
        <f t="shared" si="8"/>
        <v>1160</v>
      </c>
      <c r="K286" s="196">
        <f>BDI!$E$17</f>
        <v>0.11260000000000001</v>
      </c>
      <c r="L286" s="90"/>
      <c r="M286" s="90"/>
      <c r="N286" s="91">
        <f>IF(ISNUMBER(I286),ROUND(I286*(1+K286),2),"")</f>
        <v>64.53</v>
      </c>
      <c r="O286" s="168">
        <f>IF(ISNUMBER(I286),ROUND(E286*F286*N286,2),"")</f>
        <v>1290.5999999999999</v>
      </c>
    </row>
    <row r="287" spans="1:15" s="136" customFormat="1" x14ac:dyDescent="0.25">
      <c r="A287" s="150" t="s">
        <v>3729</v>
      </c>
      <c r="B287" s="151" t="s">
        <v>2701</v>
      </c>
      <c r="C287" s="137" t="s">
        <v>2702</v>
      </c>
      <c r="D287" s="138" t="s">
        <v>20</v>
      </c>
      <c r="E287" s="138">
        <v>20</v>
      </c>
      <c r="F287" s="138">
        <v>0.5</v>
      </c>
      <c r="G287" s="138"/>
      <c r="H287" s="138"/>
      <c r="I287" s="120">
        <v>28.4</v>
      </c>
      <c r="J287" s="121">
        <f t="shared" si="8"/>
        <v>284</v>
      </c>
      <c r="K287" s="196">
        <f>BDI!$E$17</f>
        <v>0.11260000000000001</v>
      </c>
      <c r="L287" s="90"/>
      <c r="M287" s="90"/>
      <c r="N287" s="91">
        <f>IF(ISNUMBER(I287),ROUND(I287*(1+K287),2),"")</f>
        <v>31.6</v>
      </c>
      <c r="O287" s="168">
        <f>IF(ISNUMBER(I287),ROUND(E287*F287*N287,2),"")</f>
        <v>316</v>
      </c>
    </row>
    <row r="288" spans="1:15" s="136" customFormat="1" x14ac:dyDescent="0.25">
      <c r="A288" s="150" t="s">
        <v>3730</v>
      </c>
      <c r="B288" s="151" t="s">
        <v>2464</v>
      </c>
      <c r="C288" s="137" t="s">
        <v>2517</v>
      </c>
      <c r="D288" s="138" t="s">
        <v>20</v>
      </c>
      <c r="E288" s="138">
        <v>40</v>
      </c>
      <c r="F288" s="138">
        <v>0.5</v>
      </c>
      <c r="G288" s="138"/>
      <c r="H288" s="138"/>
      <c r="I288" s="120">
        <v>31.68</v>
      </c>
      <c r="J288" s="121">
        <f t="shared" si="8"/>
        <v>633.6</v>
      </c>
      <c r="K288" s="196">
        <f>BDI!$E$17</f>
        <v>0.11260000000000001</v>
      </c>
      <c r="L288" s="90"/>
      <c r="M288" s="90"/>
      <c r="N288" s="91">
        <f>IF(ISNUMBER(I288),ROUND(I288*(1+K288),2),"")</f>
        <v>35.25</v>
      </c>
      <c r="O288" s="168">
        <f>IF(ISNUMBER(I288),ROUND(E288*F288*N288,2),"")</f>
        <v>705</v>
      </c>
    </row>
    <row r="289" spans="1:15" s="136" customFormat="1" x14ac:dyDescent="0.25">
      <c r="A289" s="150" t="s">
        <v>3731</v>
      </c>
      <c r="B289" s="151" t="s">
        <v>2480</v>
      </c>
      <c r="C289" s="137" t="s">
        <v>2531</v>
      </c>
      <c r="D289" s="138" t="s">
        <v>20</v>
      </c>
      <c r="E289" s="138">
        <v>40</v>
      </c>
      <c r="F289" s="138">
        <v>0.5</v>
      </c>
      <c r="G289" s="138"/>
      <c r="H289" s="138"/>
      <c r="I289" s="120">
        <v>25.137</v>
      </c>
      <c r="J289" s="121">
        <f t="shared" si="8"/>
        <v>502.74</v>
      </c>
      <c r="K289" s="196">
        <f>BDI!$E$17</f>
        <v>0.11260000000000001</v>
      </c>
      <c r="L289" s="90"/>
      <c r="M289" s="90"/>
      <c r="N289" s="91">
        <f>IF(ISNUMBER(I289),ROUND(I289*(1+K289),2),"")</f>
        <v>27.97</v>
      </c>
      <c r="O289" s="168">
        <f>IF(ISNUMBER(I289),ROUND(E289*F289*N289,2),"")</f>
        <v>559.4</v>
      </c>
    </row>
    <row r="290" spans="1:15" s="136" customFormat="1" x14ac:dyDescent="0.25">
      <c r="A290" s="150" t="s">
        <v>3732</v>
      </c>
      <c r="B290" s="151" t="s">
        <v>2558</v>
      </c>
      <c r="C290" s="137" t="s">
        <v>2281</v>
      </c>
      <c r="D290" s="138" t="s">
        <v>20</v>
      </c>
      <c r="E290" s="138">
        <v>500</v>
      </c>
      <c r="F290" s="138">
        <v>0.5</v>
      </c>
      <c r="G290" s="138"/>
      <c r="H290" s="138"/>
      <c r="I290" s="120">
        <v>318.45</v>
      </c>
      <c r="J290" s="121">
        <f t="shared" si="8"/>
        <v>79612.5</v>
      </c>
      <c r="K290" s="196">
        <f>BDI!$E$17</f>
        <v>0.11260000000000001</v>
      </c>
      <c r="L290" s="90"/>
      <c r="M290" s="90"/>
      <c r="N290" s="91">
        <f>IF(ISNUMBER(I290),ROUND(I290*(1+K290),2),"")</f>
        <v>354.31</v>
      </c>
      <c r="O290" s="168">
        <f>IF(ISNUMBER(I290),ROUND(E290*F290*N290,2),"")</f>
        <v>88577.5</v>
      </c>
    </row>
    <row r="291" spans="1:15" s="136" customFormat="1" x14ac:dyDescent="0.25">
      <c r="A291" s="150" t="s">
        <v>3733</v>
      </c>
      <c r="B291" s="151" t="s">
        <v>2564</v>
      </c>
      <c r="C291" s="137" t="s">
        <v>2565</v>
      </c>
      <c r="D291" s="138" t="s">
        <v>20</v>
      </c>
      <c r="E291" s="138">
        <v>100</v>
      </c>
      <c r="F291" s="138">
        <v>0.5</v>
      </c>
      <c r="G291" s="138"/>
      <c r="H291" s="138"/>
      <c r="I291" s="120">
        <v>19.489999999999998</v>
      </c>
      <c r="J291" s="121">
        <f t="shared" si="8"/>
        <v>974.5</v>
      </c>
      <c r="K291" s="196">
        <f>BDI!$E$17</f>
        <v>0.11260000000000001</v>
      </c>
      <c r="L291" s="90"/>
      <c r="M291" s="90"/>
      <c r="N291" s="91">
        <f>IF(ISNUMBER(I291),ROUND(I291*(1+K291),2),"")</f>
        <v>21.68</v>
      </c>
      <c r="O291" s="168">
        <f>IF(ISNUMBER(I291),ROUND(E291*F291*N291,2),"")</f>
        <v>1084</v>
      </c>
    </row>
    <row r="292" spans="1:15" s="136" customFormat="1" x14ac:dyDescent="0.25">
      <c r="A292" s="150" t="s">
        <v>3734</v>
      </c>
      <c r="B292" s="151" t="s">
        <v>2574</v>
      </c>
      <c r="C292" s="137" t="s">
        <v>2575</v>
      </c>
      <c r="D292" s="138" t="s">
        <v>20</v>
      </c>
      <c r="E292" s="138">
        <v>100</v>
      </c>
      <c r="F292" s="138">
        <v>0.5</v>
      </c>
      <c r="G292" s="138"/>
      <c r="H292" s="138"/>
      <c r="I292" s="120">
        <v>125.17</v>
      </c>
      <c r="J292" s="121">
        <f t="shared" si="8"/>
        <v>6258.5</v>
      </c>
      <c r="K292" s="196">
        <f>BDI!$E$17</f>
        <v>0.11260000000000001</v>
      </c>
      <c r="L292" s="90"/>
      <c r="M292" s="90"/>
      <c r="N292" s="91">
        <f>IF(ISNUMBER(I292),ROUND(I292*(1+K292),2),"")</f>
        <v>139.26</v>
      </c>
      <c r="O292" s="168">
        <f>IF(ISNUMBER(I292),ROUND(E292*F292*N292,2),"")</f>
        <v>6963</v>
      </c>
    </row>
    <row r="293" spans="1:15" s="136" customFormat="1" x14ac:dyDescent="0.25">
      <c r="A293" s="150" t="s">
        <v>3735</v>
      </c>
      <c r="B293" s="151" t="s">
        <v>2559</v>
      </c>
      <c r="C293" s="137" t="s">
        <v>2282</v>
      </c>
      <c r="D293" s="138" t="s">
        <v>20</v>
      </c>
      <c r="E293" s="138">
        <v>200</v>
      </c>
      <c r="F293" s="138">
        <v>0.5</v>
      </c>
      <c r="G293" s="138"/>
      <c r="H293" s="138"/>
      <c r="I293" s="120">
        <v>27.74</v>
      </c>
      <c r="J293" s="121">
        <f t="shared" si="8"/>
        <v>2774</v>
      </c>
      <c r="K293" s="196">
        <f>BDI!$E$17</f>
        <v>0.11260000000000001</v>
      </c>
      <c r="L293" s="90"/>
      <c r="M293" s="90"/>
      <c r="N293" s="91">
        <f>IF(ISNUMBER(I293),ROUND(I293*(1+K293),2),"")</f>
        <v>30.86</v>
      </c>
      <c r="O293" s="168">
        <f>IF(ISNUMBER(I293),ROUND(E293*F293*N293,2),"")</f>
        <v>3086</v>
      </c>
    </row>
    <row r="294" spans="1:15" s="136" customFormat="1" x14ac:dyDescent="0.25">
      <c r="A294" s="150" t="s">
        <v>3736</v>
      </c>
      <c r="B294" s="151" t="s">
        <v>2560</v>
      </c>
      <c r="C294" s="137" t="s">
        <v>2561</v>
      </c>
      <c r="D294" s="138" t="s">
        <v>20</v>
      </c>
      <c r="E294" s="138">
        <v>500</v>
      </c>
      <c r="F294" s="138">
        <v>0.5</v>
      </c>
      <c r="G294" s="138"/>
      <c r="H294" s="138"/>
      <c r="I294" s="120">
        <v>7.87</v>
      </c>
      <c r="J294" s="121">
        <f t="shared" si="8"/>
        <v>1967.5</v>
      </c>
      <c r="K294" s="196">
        <f>BDI!$E$17</f>
        <v>0.11260000000000001</v>
      </c>
      <c r="L294" s="90"/>
      <c r="M294" s="90"/>
      <c r="N294" s="91">
        <f>IF(ISNUMBER(I294),ROUND(I294*(1+K294),2),"")</f>
        <v>8.76</v>
      </c>
      <c r="O294" s="168">
        <f>IF(ISNUMBER(I294),ROUND(E294*F294*N294,2),"")</f>
        <v>2190</v>
      </c>
    </row>
    <row r="295" spans="1:15" s="136" customFormat="1" x14ac:dyDescent="0.25">
      <c r="A295" s="150" t="s">
        <v>3737</v>
      </c>
      <c r="B295" s="151" t="s">
        <v>2579</v>
      </c>
      <c r="C295" s="137" t="s">
        <v>2580</v>
      </c>
      <c r="D295" s="138" t="s">
        <v>20</v>
      </c>
      <c r="E295" s="138">
        <v>20</v>
      </c>
      <c r="F295" s="138">
        <v>0.5</v>
      </c>
      <c r="G295" s="138"/>
      <c r="H295" s="138"/>
      <c r="I295" s="120">
        <v>19</v>
      </c>
      <c r="J295" s="121">
        <f t="shared" si="8"/>
        <v>190</v>
      </c>
      <c r="K295" s="196">
        <f>BDI!$E$17</f>
        <v>0.11260000000000001</v>
      </c>
      <c r="L295" s="90"/>
      <c r="M295" s="90"/>
      <c r="N295" s="91">
        <f>IF(ISNUMBER(I295),ROUND(I295*(1+K295),2),"")</f>
        <v>21.14</v>
      </c>
      <c r="O295" s="168">
        <f>IF(ISNUMBER(I295),ROUND(E295*F295*N295,2),"")</f>
        <v>211.4</v>
      </c>
    </row>
    <row r="296" spans="1:15" s="136" customFormat="1" ht="25.5" x14ac:dyDescent="0.25">
      <c r="A296" s="150" t="s">
        <v>3738</v>
      </c>
      <c r="B296" s="151" t="s">
        <v>2691</v>
      </c>
      <c r="C296" s="137" t="s">
        <v>2692</v>
      </c>
      <c r="D296" s="138" t="s">
        <v>20</v>
      </c>
      <c r="E296" s="138">
        <v>100</v>
      </c>
      <c r="F296" s="138">
        <v>0.5</v>
      </c>
      <c r="G296" s="138"/>
      <c r="H296" s="138"/>
      <c r="I296" s="120">
        <v>59.9</v>
      </c>
      <c r="J296" s="121">
        <f t="shared" si="8"/>
        <v>2995</v>
      </c>
      <c r="K296" s="196">
        <f>BDI!$E$17</f>
        <v>0.11260000000000001</v>
      </c>
      <c r="L296" s="90"/>
      <c r="M296" s="90"/>
      <c r="N296" s="91">
        <f>IF(ISNUMBER(I296),ROUND(I296*(1+K296),2),"")</f>
        <v>66.64</v>
      </c>
      <c r="O296" s="168">
        <f>IF(ISNUMBER(I296),ROUND(E296*F296*N296,2),"")</f>
        <v>3332</v>
      </c>
    </row>
    <row r="297" spans="1:15" s="136" customFormat="1" ht="25.5" x14ac:dyDescent="0.25">
      <c r="A297" s="150" t="s">
        <v>3739</v>
      </c>
      <c r="B297" s="151" t="s">
        <v>2689</v>
      </c>
      <c r="C297" s="137" t="s">
        <v>2690</v>
      </c>
      <c r="D297" s="138" t="s">
        <v>20</v>
      </c>
      <c r="E297" s="138">
        <v>200</v>
      </c>
      <c r="F297" s="138">
        <v>0.5</v>
      </c>
      <c r="G297" s="138"/>
      <c r="H297" s="138"/>
      <c r="I297" s="120">
        <v>62.55</v>
      </c>
      <c r="J297" s="121">
        <f t="shared" si="8"/>
        <v>6255</v>
      </c>
      <c r="K297" s="196">
        <f>BDI!$E$17</f>
        <v>0.11260000000000001</v>
      </c>
      <c r="L297" s="90"/>
      <c r="M297" s="90"/>
      <c r="N297" s="91">
        <f>IF(ISNUMBER(I297),ROUND(I297*(1+K297),2),"")</f>
        <v>69.59</v>
      </c>
      <c r="O297" s="168">
        <f>IF(ISNUMBER(I297),ROUND(E297*F297*N297,2),"")</f>
        <v>6959</v>
      </c>
    </row>
    <row r="298" spans="1:15" s="136" customFormat="1" x14ac:dyDescent="0.25">
      <c r="A298" s="150" t="s">
        <v>3740</v>
      </c>
      <c r="B298" s="151" t="s">
        <v>2687</v>
      </c>
      <c r="C298" s="137" t="s">
        <v>2688</v>
      </c>
      <c r="D298" s="138" t="s">
        <v>20</v>
      </c>
      <c r="E298" s="138">
        <v>100</v>
      </c>
      <c r="F298" s="138">
        <v>0.5</v>
      </c>
      <c r="G298" s="138"/>
      <c r="H298" s="138"/>
      <c r="I298" s="120">
        <v>59.9</v>
      </c>
      <c r="J298" s="121">
        <f t="shared" si="8"/>
        <v>2995</v>
      </c>
      <c r="K298" s="196">
        <f>BDI!$E$17</f>
        <v>0.11260000000000001</v>
      </c>
      <c r="L298" s="90"/>
      <c r="M298" s="90"/>
      <c r="N298" s="91">
        <f>IF(ISNUMBER(I298),ROUND(I298*(1+K298),2),"")</f>
        <v>66.64</v>
      </c>
      <c r="O298" s="168">
        <f>IF(ISNUMBER(I298),ROUND(E298*F298*N298,2),"")</f>
        <v>3332</v>
      </c>
    </row>
    <row r="299" spans="1:15" s="136" customFormat="1" x14ac:dyDescent="0.25">
      <c r="A299" s="150" t="s">
        <v>3741</v>
      </c>
      <c r="B299" s="151" t="s">
        <v>2685</v>
      </c>
      <c r="C299" s="137" t="s">
        <v>2686</v>
      </c>
      <c r="D299" s="138" t="s">
        <v>20</v>
      </c>
      <c r="E299" s="138">
        <v>300</v>
      </c>
      <c r="F299" s="138">
        <v>0.5</v>
      </c>
      <c r="G299" s="138"/>
      <c r="H299" s="138"/>
      <c r="I299" s="120">
        <v>55.4</v>
      </c>
      <c r="J299" s="121">
        <f t="shared" si="8"/>
        <v>8310</v>
      </c>
      <c r="K299" s="196">
        <f>BDI!$E$17</f>
        <v>0.11260000000000001</v>
      </c>
      <c r="L299" s="90"/>
      <c r="M299" s="90"/>
      <c r="N299" s="91">
        <f>IF(ISNUMBER(I299),ROUND(I299*(1+K299),2),"")</f>
        <v>61.64</v>
      </c>
      <c r="O299" s="168">
        <f>IF(ISNUMBER(I299),ROUND(E299*F299*N299,2),"")</f>
        <v>9246</v>
      </c>
    </row>
    <row r="300" spans="1:15" s="136" customFormat="1" x14ac:dyDescent="0.25">
      <c r="A300" s="150" t="s">
        <v>3742</v>
      </c>
      <c r="B300" s="151" t="s">
        <v>2599</v>
      </c>
      <c r="C300" s="137" t="s">
        <v>1887</v>
      </c>
      <c r="D300" s="138" t="s">
        <v>20</v>
      </c>
      <c r="E300" s="138">
        <v>10</v>
      </c>
      <c r="F300" s="138">
        <v>0.5</v>
      </c>
      <c r="G300" s="138"/>
      <c r="H300" s="138"/>
      <c r="I300" s="120">
        <v>656.91</v>
      </c>
      <c r="J300" s="121">
        <f t="shared" si="8"/>
        <v>3284.55</v>
      </c>
      <c r="K300" s="196">
        <f>BDI!$E$17</f>
        <v>0.11260000000000001</v>
      </c>
      <c r="L300" s="90"/>
      <c r="M300" s="90"/>
      <c r="N300" s="91">
        <f>IF(ISNUMBER(I300),ROUND(I300*(1+K300),2),"")</f>
        <v>730.88</v>
      </c>
      <c r="O300" s="168">
        <f>IF(ISNUMBER(I300),ROUND(E300*F300*N300,2),"")</f>
        <v>3654.4</v>
      </c>
    </row>
    <row r="301" spans="1:15" s="136" customFormat="1" x14ac:dyDescent="0.25">
      <c r="A301" s="150" t="s">
        <v>3743</v>
      </c>
      <c r="B301" s="151" t="s">
        <v>2601</v>
      </c>
      <c r="C301" s="137" t="s">
        <v>1888</v>
      </c>
      <c r="D301" s="138" t="s">
        <v>20</v>
      </c>
      <c r="E301" s="138">
        <v>10</v>
      </c>
      <c r="F301" s="138">
        <v>0.5</v>
      </c>
      <c r="G301" s="138"/>
      <c r="H301" s="138"/>
      <c r="I301" s="120">
        <v>569.9</v>
      </c>
      <c r="J301" s="121">
        <f t="shared" si="8"/>
        <v>2849.5</v>
      </c>
      <c r="K301" s="196">
        <f>BDI!$E$17</f>
        <v>0.11260000000000001</v>
      </c>
      <c r="L301" s="90"/>
      <c r="M301" s="90"/>
      <c r="N301" s="91">
        <f>IF(ISNUMBER(I301),ROUND(I301*(1+K301),2),"")</f>
        <v>634.07000000000005</v>
      </c>
      <c r="O301" s="168">
        <f>IF(ISNUMBER(I301),ROUND(E301*F301*N301,2),"")</f>
        <v>3170.35</v>
      </c>
    </row>
    <row r="302" spans="1:15" s="136" customFormat="1" x14ac:dyDescent="0.25">
      <c r="A302" s="150" t="s">
        <v>3744</v>
      </c>
      <c r="B302" s="151" t="s">
        <v>2600</v>
      </c>
      <c r="C302" s="137" t="s">
        <v>1889</v>
      </c>
      <c r="D302" s="138" t="s">
        <v>20</v>
      </c>
      <c r="E302" s="138">
        <v>20</v>
      </c>
      <c r="F302" s="138">
        <v>0.5</v>
      </c>
      <c r="G302" s="138"/>
      <c r="H302" s="138"/>
      <c r="I302" s="120">
        <v>808.52</v>
      </c>
      <c r="J302" s="121">
        <f t="shared" si="8"/>
        <v>8085.2</v>
      </c>
      <c r="K302" s="196">
        <f>BDI!$E$17</f>
        <v>0.11260000000000001</v>
      </c>
      <c r="L302" s="90"/>
      <c r="M302" s="90"/>
      <c r="N302" s="91">
        <f>IF(ISNUMBER(I302),ROUND(I302*(1+K302),2),"")</f>
        <v>899.56</v>
      </c>
      <c r="O302" s="168">
        <f>IF(ISNUMBER(I302),ROUND(E302*F302*N302,2),"")</f>
        <v>8995.6</v>
      </c>
    </row>
    <row r="303" spans="1:15" s="136" customFormat="1" x14ac:dyDescent="0.25">
      <c r="A303" s="150" t="s">
        <v>3745</v>
      </c>
      <c r="B303" s="151" t="s">
        <v>2598</v>
      </c>
      <c r="C303" s="137" t="s">
        <v>1886</v>
      </c>
      <c r="D303" s="138" t="s">
        <v>20</v>
      </c>
      <c r="E303" s="138">
        <v>10</v>
      </c>
      <c r="F303" s="138">
        <v>0.5</v>
      </c>
      <c r="G303" s="138"/>
      <c r="H303" s="138"/>
      <c r="I303" s="120">
        <v>965.45</v>
      </c>
      <c r="J303" s="121">
        <f t="shared" si="8"/>
        <v>4827.25</v>
      </c>
      <c r="K303" s="196">
        <f>BDI!$E$17</f>
        <v>0.11260000000000001</v>
      </c>
      <c r="L303" s="90"/>
      <c r="M303" s="90"/>
      <c r="N303" s="91">
        <f>IF(ISNUMBER(I303),ROUND(I303*(1+K303),2),"")</f>
        <v>1074.1600000000001</v>
      </c>
      <c r="O303" s="168">
        <f>IF(ISNUMBER(I303),ROUND(E303*F303*N303,2),"")</f>
        <v>5370.8</v>
      </c>
    </row>
    <row r="304" spans="1:15" s="136" customFormat="1" x14ac:dyDescent="0.25">
      <c r="A304" s="150" t="s">
        <v>3746</v>
      </c>
      <c r="B304" s="151" t="s">
        <v>2605</v>
      </c>
      <c r="C304" s="137" t="s">
        <v>2606</v>
      </c>
      <c r="D304" s="138" t="s">
        <v>20</v>
      </c>
      <c r="E304" s="138">
        <v>300</v>
      </c>
      <c r="F304" s="138">
        <v>0.5</v>
      </c>
      <c r="G304" s="138"/>
      <c r="H304" s="138"/>
      <c r="I304" s="120">
        <v>959.56</v>
      </c>
      <c r="J304" s="121">
        <f t="shared" si="8"/>
        <v>143934</v>
      </c>
      <c r="K304" s="196">
        <f>BDI!$E$17</f>
        <v>0.11260000000000001</v>
      </c>
      <c r="L304" s="90"/>
      <c r="M304" s="90"/>
      <c r="N304" s="91">
        <f>IF(ISNUMBER(I304),ROUND(I304*(1+K304),2),"")</f>
        <v>1067.6099999999999</v>
      </c>
      <c r="O304" s="168">
        <f>IF(ISNUMBER(I304),ROUND(E304*F304*N304,2),"")</f>
        <v>160141.5</v>
      </c>
    </row>
    <row r="305" spans="1:15" s="136" customFormat="1" x14ac:dyDescent="0.25">
      <c r="A305" s="150" t="s">
        <v>3747</v>
      </c>
      <c r="B305" s="151" t="s">
        <v>2732</v>
      </c>
      <c r="C305" s="137" t="s">
        <v>1465</v>
      </c>
      <c r="D305" s="138" t="s">
        <v>20</v>
      </c>
      <c r="E305" s="138">
        <v>40</v>
      </c>
      <c r="F305" s="138">
        <v>0.5</v>
      </c>
      <c r="G305" s="138"/>
      <c r="H305" s="138"/>
      <c r="I305" s="120">
        <v>569.91</v>
      </c>
      <c r="J305" s="121">
        <f t="shared" si="8"/>
        <v>11398.2</v>
      </c>
      <c r="K305" s="196">
        <f>BDI!$E$17</f>
        <v>0.11260000000000001</v>
      </c>
      <c r="L305" s="90"/>
      <c r="M305" s="90"/>
      <c r="N305" s="91">
        <f>IF(ISNUMBER(I305),ROUND(I305*(1+K305),2),"")</f>
        <v>634.08000000000004</v>
      </c>
      <c r="O305" s="168">
        <f>IF(ISNUMBER(I305),ROUND(E305*F305*N305,2),"")</f>
        <v>12681.6</v>
      </c>
    </row>
    <row r="306" spans="1:15" s="136" customFormat="1" x14ac:dyDescent="0.25">
      <c r="A306" s="150" t="s">
        <v>3748</v>
      </c>
      <c r="B306" s="151" t="s">
        <v>2735</v>
      </c>
      <c r="C306" s="137" t="s">
        <v>1466</v>
      </c>
      <c r="D306" s="138" t="s">
        <v>20</v>
      </c>
      <c r="E306" s="138">
        <v>20</v>
      </c>
      <c r="F306" s="138">
        <v>0.5</v>
      </c>
      <c r="G306" s="138"/>
      <c r="H306" s="138"/>
      <c r="I306" s="120">
        <v>416.34</v>
      </c>
      <c r="J306" s="121">
        <f t="shared" si="8"/>
        <v>4163.3999999999996</v>
      </c>
      <c r="K306" s="196">
        <f>BDI!$E$17</f>
        <v>0.11260000000000001</v>
      </c>
      <c r="L306" s="90"/>
      <c r="M306" s="90"/>
      <c r="N306" s="91">
        <f>IF(ISNUMBER(I306),ROUND(I306*(1+K306),2),"")</f>
        <v>463.22</v>
      </c>
      <c r="O306" s="168">
        <f>IF(ISNUMBER(I306),ROUND(E306*F306*N306,2),"")</f>
        <v>4632.2</v>
      </c>
    </row>
    <row r="307" spans="1:15" s="136" customFormat="1" x14ac:dyDescent="0.25">
      <c r="A307" s="150" t="s">
        <v>3749</v>
      </c>
      <c r="B307" s="151" t="s">
        <v>2733</v>
      </c>
      <c r="C307" s="137" t="s">
        <v>2285</v>
      </c>
      <c r="D307" s="138" t="s">
        <v>20</v>
      </c>
      <c r="E307" s="138">
        <v>20</v>
      </c>
      <c r="F307" s="138">
        <v>0.5</v>
      </c>
      <c r="G307" s="138"/>
      <c r="H307" s="138"/>
      <c r="I307" s="120">
        <v>316.61</v>
      </c>
      <c r="J307" s="121">
        <f t="shared" si="8"/>
        <v>3166.1</v>
      </c>
      <c r="K307" s="196">
        <f>BDI!$E$17</f>
        <v>0.11260000000000001</v>
      </c>
      <c r="L307" s="90"/>
      <c r="M307" s="90"/>
      <c r="N307" s="91">
        <f>IF(ISNUMBER(I307),ROUND(I307*(1+K307),2),"")</f>
        <v>352.26</v>
      </c>
      <c r="O307" s="168">
        <f>IF(ISNUMBER(I307),ROUND(E307*F307*N307,2),"")</f>
        <v>3522.6</v>
      </c>
    </row>
    <row r="308" spans="1:15" s="136" customFormat="1" x14ac:dyDescent="0.25">
      <c r="A308" s="150" t="s">
        <v>3750</v>
      </c>
      <c r="B308" s="151" t="s">
        <v>2734</v>
      </c>
      <c r="C308" s="137" t="s">
        <v>1467</v>
      </c>
      <c r="D308" s="138" t="s">
        <v>20</v>
      </c>
      <c r="E308" s="138">
        <v>100</v>
      </c>
      <c r="F308" s="138">
        <v>0.5</v>
      </c>
      <c r="G308" s="138"/>
      <c r="H308" s="138"/>
      <c r="I308" s="120">
        <v>412.91</v>
      </c>
      <c r="J308" s="121">
        <f t="shared" si="8"/>
        <v>20645.5</v>
      </c>
      <c r="K308" s="196">
        <f>BDI!$E$17</f>
        <v>0.11260000000000001</v>
      </c>
      <c r="L308" s="90"/>
      <c r="M308" s="90"/>
      <c r="N308" s="91">
        <f>IF(ISNUMBER(I308),ROUND(I308*(1+K308),2),"")</f>
        <v>459.4</v>
      </c>
      <c r="O308" s="168">
        <f>IF(ISNUMBER(I308),ROUND(E308*F308*N308,2),"")</f>
        <v>22970</v>
      </c>
    </row>
    <row r="309" spans="1:15" s="136" customFormat="1" x14ac:dyDescent="0.25">
      <c r="A309" s="150" t="s">
        <v>3751</v>
      </c>
      <c r="B309" s="151" t="s">
        <v>2731</v>
      </c>
      <c r="C309" s="137" t="s">
        <v>2286</v>
      </c>
      <c r="D309" s="138" t="s">
        <v>20</v>
      </c>
      <c r="E309" s="138">
        <v>60</v>
      </c>
      <c r="F309" s="138">
        <v>0.5</v>
      </c>
      <c r="G309" s="138"/>
      <c r="H309" s="138"/>
      <c r="I309" s="120">
        <v>239.9</v>
      </c>
      <c r="J309" s="121">
        <f t="shared" si="8"/>
        <v>7197</v>
      </c>
      <c r="K309" s="196">
        <f>BDI!$E$17</f>
        <v>0.11260000000000001</v>
      </c>
      <c r="L309" s="90"/>
      <c r="M309" s="90"/>
      <c r="N309" s="91">
        <f>IF(ISNUMBER(I309),ROUND(I309*(1+K309),2),"")</f>
        <v>266.91000000000003</v>
      </c>
      <c r="O309" s="168">
        <f>IF(ISNUMBER(I309),ROUND(E309*F309*N309,2),"")</f>
        <v>8007.3</v>
      </c>
    </row>
    <row r="310" spans="1:15" s="136" customFormat="1" x14ac:dyDescent="0.25">
      <c r="A310" s="150" t="s">
        <v>3752</v>
      </c>
      <c r="B310" s="151" t="s">
        <v>2730</v>
      </c>
      <c r="C310" s="137" t="s">
        <v>2287</v>
      </c>
      <c r="D310" s="138" t="s">
        <v>20</v>
      </c>
      <c r="E310" s="138">
        <v>40</v>
      </c>
      <c r="F310" s="138">
        <v>0.5</v>
      </c>
      <c r="G310" s="138"/>
      <c r="H310" s="138"/>
      <c r="I310" s="120">
        <v>134.99</v>
      </c>
      <c r="J310" s="121">
        <f t="shared" si="8"/>
        <v>2699.8</v>
      </c>
      <c r="K310" s="196">
        <f>BDI!$E$17</f>
        <v>0.11260000000000001</v>
      </c>
      <c r="L310" s="90"/>
      <c r="M310" s="90"/>
      <c r="N310" s="91">
        <f>IF(ISNUMBER(I310),ROUND(I310*(1+K310),2),"")</f>
        <v>150.19</v>
      </c>
      <c r="O310" s="168">
        <f>IF(ISNUMBER(I310),ROUND(E310*F310*N310,2),"")</f>
        <v>3003.8</v>
      </c>
    </row>
    <row r="311" spans="1:15" s="136" customFormat="1" x14ac:dyDescent="0.25">
      <c r="A311" s="150" t="s">
        <v>3753</v>
      </c>
      <c r="B311" s="151" t="s">
        <v>3200</v>
      </c>
      <c r="C311" s="137" t="s">
        <v>3201</v>
      </c>
      <c r="D311" s="138" t="s">
        <v>20</v>
      </c>
      <c r="E311" s="138">
        <v>600</v>
      </c>
      <c r="F311" s="138">
        <v>0.5</v>
      </c>
      <c r="G311" s="138"/>
      <c r="H311" s="138"/>
      <c r="I311" s="120">
        <v>49.9</v>
      </c>
      <c r="J311" s="121">
        <f t="shared" si="8"/>
        <v>14970</v>
      </c>
      <c r="K311" s="196">
        <f>BDI!$E$17</f>
        <v>0.11260000000000001</v>
      </c>
      <c r="L311" s="90"/>
      <c r="M311" s="90"/>
      <c r="N311" s="91">
        <f>IF(ISNUMBER(I311),ROUND(I311*(1+K311),2),"")</f>
        <v>55.52</v>
      </c>
      <c r="O311" s="168">
        <f>IF(ISNUMBER(I311),ROUND(E311*F311*N311,2),"")</f>
        <v>16656</v>
      </c>
    </row>
    <row r="312" spans="1:15" s="136" customFormat="1" x14ac:dyDescent="0.25">
      <c r="A312" s="128" t="s">
        <v>3469</v>
      </c>
      <c r="B312" s="152"/>
      <c r="C312" s="153" t="s">
        <v>3446</v>
      </c>
      <c r="D312" s="154"/>
      <c r="E312" s="155" t="s">
        <v>522</v>
      </c>
      <c r="F312" s="154"/>
      <c r="G312" s="154"/>
      <c r="H312" s="154"/>
      <c r="I312" s="154"/>
      <c r="J312" s="129">
        <f>SUBTOTAL(109,J313:J320)</f>
        <v>17543.150000000001</v>
      </c>
      <c r="K312" s="154"/>
      <c r="L312" s="130"/>
      <c r="M312" s="130"/>
      <c r="N312" s="131"/>
      <c r="O312" s="169">
        <f>SUBTOTAL(109,O313:O320)</f>
        <v>19518.600000000002</v>
      </c>
    </row>
    <row r="313" spans="1:15" s="136" customFormat="1" x14ac:dyDescent="0.25">
      <c r="A313" s="150" t="s">
        <v>3754</v>
      </c>
      <c r="B313" s="151" t="s">
        <v>2481</v>
      </c>
      <c r="C313" s="137" t="s">
        <v>2289</v>
      </c>
      <c r="D313" s="138" t="s">
        <v>20</v>
      </c>
      <c r="E313" s="138">
        <v>30</v>
      </c>
      <c r="F313" s="138">
        <v>0.5</v>
      </c>
      <c r="G313" s="138"/>
      <c r="H313" s="138"/>
      <c r="I313" s="120">
        <v>83.95</v>
      </c>
      <c r="J313" s="121">
        <f t="shared" ref="J313:J320" si="9">IF(ISNUMBER(I313),ROUND(E313*I313*F313,2),"")</f>
        <v>1259.25</v>
      </c>
      <c r="K313" s="196">
        <f>BDI!$E$17</f>
        <v>0.11260000000000001</v>
      </c>
      <c r="L313" s="90"/>
      <c r="M313" s="90"/>
      <c r="N313" s="91">
        <f>IF(ISNUMBER(I313),ROUND(I313*(1+K313),2),"")</f>
        <v>93.4</v>
      </c>
      <c r="O313" s="168">
        <f>IF(ISNUMBER(I313),ROUND(E313*F313*N313,2),"")</f>
        <v>1401</v>
      </c>
    </row>
    <row r="314" spans="1:15" s="136" customFormat="1" x14ac:dyDescent="0.25">
      <c r="A314" s="150" t="s">
        <v>3755</v>
      </c>
      <c r="B314" s="151" t="s">
        <v>2602</v>
      </c>
      <c r="C314" s="137" t="s">
        <v>2290</v>
      </c>
      <c r="D314" s="138" t="s">
        <v>20</v>
      </c>
      <c r="E314" s="138">
        <v>20</v>
      </c>
      <c r="F314" s="138">
        <v>0.5</v>
      </c>
      <c r="G314" s="138"/>
      <c r="H314" s="138"/>
      <c r="I314" s="120">
        <v>170.21</v>
      </c>
      <c r="J314" s="121">
        <f t="shared" si="9"/>
        <v>1702.1</v>
      </c>
      <c r="K314" s="196">
        <f>BDI!$E$17</f>
        <v>0.11260000000000001</v>
      </c>
      <c r="L314" s="90"/>
      <c r="M314" s="90"/>
      <c r="N314" s="91">
        <f>IF(ISNUMBER(I314),ROUND(I314*(1+K314),2),"")</f>
        <v>189.38</v>
      </c>
      <c r="O314" s="168">
        <f>IF(ISNUMBER(I314),ROUND(E314*F314*N314,2),"")</f>
        <v>1893.8</v>
      </c>
    </row>
    <row r="315" spans="1:15" s="136" customFormat="1" x14ac:dyDescent="0.25">
      <c r="A315" s="150" t="s">
        <v>3756</v>
      </c>
      <c r="B315" s="151" t="s">
        <v>2609</v>
      </c>
      <c r="C315" s="137" t="s">
        <v>2610</v>
      </c>
      <c r="D315" s="138" t="s">
        <v>20</v>
      </c>
      <c r="E315" s="138">
        <v>20</v>
      </c>
      <c r="F315" s="138">
        <v>0.5</v>
      </c>
      <c r="G315" s="138"/>
      <c r="H315" s="138"/>
      <c r="I315" s="120">
        <v>75.900000000000006</v>
      </c>
      <c r="J315" s="121">
        <f t="shared" si="9"/>
        <v>759</v>
      </c>
      <c r="K315" s="196">
        <f>BDI!$E$17</f>
        <v>0.11260000000000001</v>
      </c>
      <c r="L315" s="90"/>
      <c r="M315" s="90"/>
      <c r="N315" s="91">
        <f>IF(ISNUMBER(I315),ROUND(I315*(1+K315),2),"")</f>
        <v>84.45</v>
      </c>
      <c r="O315" s="168">
        <f>IF(ISNUMBER(I315),ROUND(E315*F315*N315,2),"")</f>
        <v>844.5</v>
      </c>
    </row>
    <row r="316" spans="1:15" s="136" customFormat="1" x14ac:dyDescent="0.25">
      <c r="A316" s="150" t="s">
        <v>3757</v>
      </c>
      <c r="B316" s="151" t="s">
        <v>2607</v>
      </c>
      <c r="C316" s="137" t="s">
        <v>2608</v>
      </c>
      <c r="D316" s="138" t="s">
        <v>20</v>
      </c>
      <c r="E316" s="138">
        <v>20</v>
      </c>
      <c r="F316" s="138">
        <v>0.5</v>
      </c>
      <c r="G316" s="138"/>
      <c r="H316" s="138"/>
      <c r="I316" s="120">
        <v>6.99</v>
      </c>
      <c r="J316" s="121">
        <f t="shared" si="9"/>
        <v>69.900000000000006</v>
      </c>
      <c r="K316" s="196">
        <f>BDI!$E$17</f>
        <v>0.11260000000000001</v>
      </c>
      <c r="L316" s="90"/>
      <c r="M316" s="90"/>
      <c r="N316" s="91">
        <f>IF(ISNUMBER(I316),ROUND(I316*(1+K316),2),"")</f>
        <v>7.78</v>
      </c>
      <c r="O316" s="168">
        <f>IF(ISNUMBER(I316),ROUND(E316*F316*N316,2),"")</f>
        <v>77.8</v>
      </c>
    </row>
    <row r="317" spans="1:15" s="136" customFormat="1" x14ac:dyDescent="0.25">
      <c r="A317" s="150" t="s">
        <v>3758</v>
      </c>
      <c r="B317" s="151" t="s">
        <v>2611</v>
      </c>
      <c r="C317" s="137" t="s">
        <v>2291</v>
      </c>
      <c r="D317" s="138" t="s">
        <v>20</v>
      </c>
      <c r="E317" s="138">
        <v>80</v>
      </c>
      <c r="F317" s="138">
        <v>0.5</v>
      </c>
      <c r="G317" s="138"/>
      <c r="H317" s="138"/>
      <c r="I317" s="120">
        <v>177.35</v>
      </c>
      <c r="J317" s="121">
        <f t="shared" si="9"/>
        <v>7094</v>
      </c>
      <c r="K317" s="196">
        <f>BDI!$E$17</f>
        <v>0.11260000000000001</v>
      </c>
      <c r="L317" s="90"/>
      <c r="M317" s="90"/>
      <c r="N317" s="91">
        <f>IF(ISNUMBER(I317),ROUND(I317*(1+K317),2),"")</f>
        <v>197.32</v>
      </c>
      <c r="O317" s="168">
        <f>IF(ISNUMBER(I317),ROUND(E317*F317*N317,2),"")</f>
        <v>7892.8</v>
      </c>
    </row>
    <row r="318" spans="1:15" s="136" customFormat="1" x14ac:dyDescent="0.25">
      <c r="A318" s="150" t="s">
        <v>3759</v>
      </c>
      <c r="B318" s="151" t="s">
        <v>2612</v>
      </c>
      <c r="C318" s="137" t="s">
        <v>2292</v>
      </c>
      <c r="D318" s="138" t="s">
        <v>20</v>
      </c>
      <c r="E318" s="138">
        <v>20</v>
      </c>
      <c r="F318" s="138">
        <v>0.5</v>
      </c>
      <c r="G318" s="138"/>
      <c r="H318" s="138"/>
      <c r="I318" s="120">
        <v>187.27</v>
      </c>
      <c r="J318" s="121">
        <f t="shared" si="9"/>
        <v>1872.7</v>
      </c>
      <c r="K318" s="196">
        <f>BDI!$E$17</f>
        <v>0.11260000000000001</v>
      </c>
      <c r="L318" s="90"/>
      <c r="M318" s="90"/>
      <c r="N318" s="91">
        <f>IF(ISNUMBER(I318),ROUND(I318*(1+K318),2),"")</f>
        <v>208.36</v>
      </c>
      <c r="O318" s="168">
        <f>IF(ISNUMBER(I318),ROUND(E318*F318*N318,2),"")</f>
        <v>2083.6</v>
      </c>
    </row>
    <row r="319" spans="1:15" s="136" customFormat="1" x14ac:dyDescent="0.25">
      <c r="A319" s="150" t="s">
        <v>3760</v>
      </c>
      <c r="B319" s="151" t="s">
        <v>2613</v>
      </c>
      <c r="C319" s="137" t="s">
        <v>1895</v>
      </c>
      <c r="D319" s="138" t="s">
        <v>20</v>
      </c>
      <c r="E319" s="138">
        <v>20</v>
      </c>
      <c r="F319" s="138">
        <v>0.5</v>
      </c>
      <c r="G319" s="138"/>
      <c r="H319" s="138"/>
      <c r="I319" s="120">
        <v>298.70999999999998</v>
      </c>
      <c r="J319" s="121">
        <f t="shared" si="9"/>
        <v>2987.1</v>
      </c>
      <c r="K319" s="196">
        <f>BDI!$E$17</f>
        <v>0.11260000000000001</v>
      </c>
      <c r="L319" s="90"/>
      <c r="M319" s="90"/>
      <c r="N319" s="91">
        <f>IF(ISNUMBER(I319),ROUND(I319*(1+K319),2),"")</f>
        <v>332.34</v>
      </c>
      <c r="O319" s="168">
        <f>IF(ISNUMBER(I319),ROUND(E319*F319*N319,2),"")</f>
        <v>3323.4</v>
      </c>
    </row>
    <row r="320" spans="1:15" s="136" customFormat="1" x14ac:dyDescent="0.25">
      <c r="A320" s="150" t="s">
        <v>3761</v>
      </c>
      <c r="B320" s="151" t="s">
        <v>2693</v>
      </c>
      <c r="C320" s="137" t="s">
        <v>1896</v>
      </c>
      <c r="D320" s="138" t="s">
        <v>20</v>
      </c>
      <c r="E320" s="138">
        <v>20</v>
      </c>
      <c r="F320" s="138">
        <v>0.5</v>
      </c>
      <c r="G320" s="138"/>
      <c r="H320" s="138"/>
      <c r="I320" s="120">
        <v>179.91</v>
      </c>
      <c r="J320" s="121">
        <f t="shared" si="9"/>
        <v>1799.1</v>
      </c>
      <c r="K320" s="196">
        <f>BDI!$E$17</f>
        <v>0.11260000000000001</v>
      </c>
      <c r="L320" s="90"/>
      <c r="M320" s="90"/>
      <c r="N320" s="91">
        <f>IF(ISNUMBER(I320),ROUND(I320*(1+K320),2),"")</f>
        <v>200.17</v>
      </c>
      <c r="O320" s="168">
        <f>IF(ISNUMBER(I320),ROUND(E320*F320*N320,2),"")</f>
        <v>2001.7</v>
      </c>
    </row>
    <row r="321" spans="1:15" s="136" customFormat="1" x14ac:dyDescent="0.25">
      <c r="A321" s="128" t="s">
        <v>3470</v>
      </c>
      <c r="B321" s="152"/>
      <c r="C321" s="153" t="s">
        <v>3447</v>
      </c>
      <c r="D321" s="154"/>
      <c r="E321" s="155" t="s">
        <v>522</v>
      </c>
      <c r="F321" s="154"/>
      <c r="G321" s="154"/>
      <c r="H321" s="154"/>
      <c r="I321" s="154"/>
      <c r="J321" s="129">
        <f>SUBTOTAL(109,J322:J325)</f>
        <v>13368.740000000002</v>
      </c>
      <c r="K321" s="154"/>
      <c r="L321" s="130"/>
      <c r="M321" s="130"/>
      <c r="N321" s="131"/>
      <c r="O321" s="169">
        <f>SUBTOTAL(109,O322:O325)</f>
        <v>14874.1</v>
      </c>
    </row>
    <row r="322" spans="1:15" s="136" customFormat="1" x14ac:dyDescent="0.25">
      <c r="A322" s="150" t="s">
        <v>3762</v>
      </c>
      <c r="B322" s="151" t="s">
        <v>2470</v>
      </c>
      <c r="C322" s="137" t="s">
        <v>2521</v>
      </c>
      <c r="D322" s="138" t="s">
        <v>20</v>
      </c>
      <c r="E322" s="138">
        <v>20</v>
      </c>
      <c r="F322" s="138">
        <v>0.5</v>
      </c>
      <c r="G322" s="138"/>
      <c r="H322" s="138"/>
      <c r="I322" s="120">
        <v>310.98</v>
      </c>
      <c r="J322" s="121">
        <f t="shared" ref="J322:J325" si="10">IF(ISNUMBER(I322),ROUND(E322*I322*F322,2),"")</f>
        <v>3109.8</v>
      </c>
      <c r="K322" s="196">
        <f>BDI!$E$17</f>
        <v>0.11260000000000001</v>
      </c>
      <c r="L322" s="90"/>
      <c r="M322" s="90"/>
      <c r="N322" s="91">
        <f>IF(ISNUMBER(I322),ROUND(I322*(1+K322),2),"")</f>
        <v>346</v>
      </c>
      <c r="O322" s="168">
        <f>IF(ISNUMBER(I322),ROUND(E322*F322*N322,2),"")</f>
        <v>3460</v>
      </c>
    </row>
    <row r="323" spans="1:15" s="136" customFormat="1" x14ac:dyDescent="0.25">
      <c r="A323" s="150" t="s">
        <v>3763</v>
      </c>
      <c r="B323" s="151" t="s">
        <v>2471</v>
      </c>
      <c r="C323" s="137" t="s">
        <v>2522</v>
      </c>
      <c r="D323" s="138" t="s">
        <v>20</v>
      </c>
      <c r="E323" s="138">
        <v>20</v>
      </c>
      <c r="F323" s="138">
        <v>0.5</v>
      </c>
      <c r="G323" s="138"/>
      <c r="H323" s="138"/>
      <c r="I323" s="120">
        <v>149.1215</v>
      </c>
      <c r="J323" s="121">
        <f t="shared" si="10"/>
        <v>1491.22</v>
      </c>
      <c r="K323" s="196">
        <f>BDI!$E$17</f>
        <v>0.11260000000000001</v>
      </c>
      <c r="L323" s="90"/>
      <c r="M323" s="90"/>
      <c r="N323" s="91">
        <f>IF(ISNUMBER(I323),ROUND(I323*(1+K323),2),"")</f>
        <v>165.91</v>
      </c>
      <c r="O323" s="168">
        <f>IF(ISNUMBER(I323),ROUND(E323*F323*N323,2),"")</f>
        <v>1659.1</v>
      </c>
    </row>
    <row r="324" spans="1:15" s="136" customFormat="1" x14ac:dyDescent="0.25">
      <c r="A324" s="150" t="s">
        <v>3764</v>
      </c>
      <c r="B324" s="151" t="s">
        <v>2472</v>
      </c>
      <c r="C324" s="137" t="s">
        <v>2523</v>
      </c>
      <c r="D324" s="138" t="s">
        <v>20</v>
      </c>
      <c r="E324" s="138">
        <v>20</v>
      </c>
      <c r="F324" s="138">
        <v>0.5</v>
      </c>
      <c r="G324" s="138"/>
      <c r="H324" s="138"/>
      <c r="I324" s="120">
        <v>159.00149999999999</v>
      </c>
      <c r="J324" s="121">
        <f t="shared" si="10"/>
        <v>1590.02</v>
      </c>
      <c r="K324" s="196">
        <f>BDI!$E$17</f>
        <v>0.11260000000000001</v>
      </c>
      <c r="L324" s="90"/>
      <c r="M324" s="90"/>
      <c r="N324" s="91">
        <f>IF(ISNUMBER(I324),ROUND(I324*(1+K324),2),"")</f>
        <v>176.91</v>
      </c>
      <c r="O324" s="168">
        <f>IF(ISNUMBER(I324),ROUND(E324*F324*N324,2),"")</f>
        <v>1769.1</v>
      </c>
    </row>
    <row r="325" spans="1:15" s="136" customFormat="1" x14ac:dyDescent="0.25">
      <c r="A325" s="150" t="s">
        <v>3765</v>
      </c>
      <c r="B325" s="151" t="s">
        <v>2473</v>
      </c>
      <c r="C325" s="137" t="s">
        <v>2524</v>
      </c>
      <c r="D325" s="138" t="s">
        <v>20</v>
      </c>
      <c r="E325" s="138">
        <v>20</v>
      </c>
      <c r="F325" s="138">
        <v>0.5</v>
      </c>
      <c r="G325" s="138"/>
      <c r="H325" s="138"/>
      <c r="I325" s="120">
        <v>717.77</v>
      </c>
      <c r="J325" s="121">
        <f t="shared" si="10"/>
        <v>7177.7</v>
      </c>
      <c r="K325" s="196">
        <f>BDI!$E$17</f>
        <v>0.11260000000000001</v>
      </c>
      <c r="L325" s="90"/>
      <c r="M325" s="90"/>
      <c r="N325" s="91">
        <f>IF(ISNUMBER(I325),ROUND(I325*(1+K325),2),"")</f>
        <v>798.59</v>
      </c>
      <c r="O325" s="168">
        <f>IF(ISNUMBER(I325),ROUND(E325*F325*N325,2),"")</f>
        <v>7985.9</v>
      </c>
    </row>
    <row r="326" spans="1:15" s="136" customFormat="1" x14ac:dyDescent="0.25">
      <c r="A326" s="128" t="s">
        <v>3471</v>
      </c>
      <c r="B326" s="152"/>
      <c r="C326" s="153" t="s">
        <v>3448</v>
      </c>
      <c r="D326" s="154"/>
      <c r="E326" s="155" t="s">
        <v>522</v>
      </c>
      <c r="F326" s="154"/>
      <c r="G326" s="154"/>
      <c r="H326" s="154"/>
      <c r="I326" s="154"/>
      <c r="J326" s="129">
        <f>SUBTOTAL(109,J327:J339)</f>
        <v>64166.31</v>
      </c>
      <c r="K326" s="154"/>
      <c r="L326" s="130"/>
      <c r="M326" s="130"/>
      <c r="N326" s="131"/>
      <c r="O326" s="169">
        <f>SUBTOTAL(109,O327:O339)</f>
        <v>71391.549999999988</v>
      </c>
    </row>
    <row r="327" spans="1:15" s="136" customFormat="1" x14ac:dyDescent="0.25">
      <c r="A327" s="150" t="s">
        <v>3766</v>
      </c>
      <c r="B327" s="151" t="s">
        <v>2455</v>
      </c>
      <c r="C327" s="137" t="s">
        <v>2512</v>
      </c>
      <c r="D327" s="138" t="s">
        <v>20</v>
      </c>
      <c r="E327" s="138">
        <v>10</v>
      </c>
      <c r="F327" s="138">
        <v>0.5</v>
      </c>
      <c r="G327" s="138"/>
      <c r="H327" s="138"/>
      <c r="I327" s="120">
        <v>354.68</v>
      </c>
      <c r="J327" s="121">
        <f t="shared" ref="J327:J339" si="11">IF(ISNUMBER(I327),ROUND(E327*I327*F327,2),"")</f>
        <v>1773.4</v>
      </c>
      <c r="K327" s="196">
        <f>BDI!$E$17</f>
        <v>0.11260000000000001</v>
      </c>
      <c r="L327" s="90"/>
      <c r="M327" s="90"/>
      <c r="N327" s="91">
        <f>IF(ISNUMBER(I327),ROUND(I327*(1+K327),2),"")</f>
        <v>394.62</v>
      </c>
      <c r="O327" s="168">
        <f>IF(ISNUMBER(I327),ROUND(E327*F327*N327,2),"")</f>
        <v>1973.1</v>
      </c>
    </row>
    <row r="328" spans="1:15" s="136" customFormat="1" x14ac:dyDescent="0.25">
      <c r="A328" s="150" t="s">
        <v>3767</v>
      </c>
      <c r="B328" s="151" t="s">
        <v>2454</v>
      </c>
      <c r="C328" s="137" t="s">
        <v>2511</v>
      </c>
      <c r="D328" s="138" t="s">
        <v>20</v>
      </c>
      <c r="E328" s="138">
        <v>30</v>
      </c>
      <c r="F328" s="138">
        <v>0.5</v>
      </c>
      <c r="G328" s="138"/>
      <c r="H328" s="138"/>
      <c r="I328" s="120">
        <v>130.71</v>
      </c>
      <c r="J328" s="121">
        <f t="shared" si="11"/>
        <v>1960.65</v>
      </c>
      <c r="K328" s="196">
        <f>BDI!$E$17</f>
        <v>0.11260000000000001</v>
      </c>
      <c r="L328" s="90"/>
      <c r="M328" s="90"/>
      <c r="N328" s="91">
        <f>IF(ISNUMBER(I328),ROUND(I328*(1+K328),2),"")</f>
        <v>145.43</v>
      </c>
      <c r="O328" s="168">
        <f>IF(ISNUMBER(I328),ROUND(E328*F328*N328,2),"")</f>
        <v>2181.4499999999998</v>
      </c>
    </row>
    <row r="329" spans="1:15" s="136" customFormat="1" x14ac:dyDescent="0.25">
      <c r="A329" s="150" t="s">
        <v>3768</v>
      </c>
      <c r="B329" s="151" t="s">
        <v>2453</v>
      </c>
      <c r="C329" s="137" t="s">
        <v>2510</v>
      </c>
      <c r="D329" s="138" t="s">
        <v>20</v>
      </c>
      <c r="E329" s="138">
        <v>240</v>
      </c>
      <c r="F329" s="138">
        <v>0.5</v>
      </c>
      <c r="G329" s="138"/>
      <c r="H329" s="138"/>
      <c r="I329" s="120">
        <v>49.8</v>
      </c>
      <c r="J329" s="121">
        <f t="shared" si="11"/>
        <v>5976</v>
      </c>
      <c r="K329" s="196">
        <f>BDI!$E$17</f>
        <v>0.11260000000000001</v>
      </c>
      <c r="L329" s="90"/>
      <c r="M329" s="90"/>
      <c r="N329" s="91">
        <f>IF(ISNUMBER(I329),ROUND(I329*(1+K329),2),"")</f>
        <v>55.41</v>
      </c>
      <c r="O329" s="168">
        <f>IF(ISNUMBER(I329),ROUND(E329*F329*N329,2),"")</f>
        <v>6649.2</v>
      </c>
    </row>
    <row r="330" spans="1:15" s="136" customFormat="1" x14ac:dyDescent="0.25">
      <c r="A330" s="150" t="s">
        <v>3769</v>
      </c>
      <c r="B330" s="151" t="s">
        <v>2835</v>
      </c>
      <c r="C330" s="137" t="s">
        <v>1891</v>
      </c>
      <c r="D330" s="138" t="s">
        <v>20</v>
      </c>
      <c r="E330" s="138">
        <v>120</v>
      </c>
      <c r="F330" s="138">
        <v>0.5</v>
      </c>
      <c r="G330" s="138"/>
      <c r="H330" s="138"/>
      <c r="I330" s="120">
        <v>143</v>
      </c>
      <c r="J330" s="121">
        <f t="shared" si="11"/>
        <v>8580</v>
      </c>
      <c r="K330" s="196">
        <f>BDI!$E$17</f>
        <v>0.11260000000000001</v>
      </c>
      <c r="L330" s="90"/>
      <c r="M330" s="90"/>
      <c r="N330" s="91">
        <f>IF(ISNUMBER(I330),ROUND(I330*(1+K330),2),"")</f>
        <v>159.1</v>
      </c>
      <c r="O330" s="168">
        <f>IF(ISNUMBER(I330),ROUND(E330*F330*N330,2),"")</f>
        <v>9546</v>
      </c>
    </row>
    <row r="331" spans="1:15" s="136" customFormat="1" x14ac:dyDescent="0.25">
      <c r="A331" s="150" t="s">
        <v>3770</v>
      </c>
      <c r="B331" s="151" t="s">
        <v>2836</v>
      </c>
      <c r="C331" s="137" t="s">
        <v>1892</v>
      </c>
      <c r="D331" s="138" t="s">
        <v>20</v>
      </c>
      <c r="E331" s="138">
        <v>120</v>
      </c>
      <c r="F331" s="138">
        <v>0.5</v>
      </c>
      <c r="G331" s="138"/>
      <c r="H331" s="138"/>
      <c r="I331" s="120">
        <v>126.94</v>
      </c>
      <c r="J331" s="121">
        <f t="shared" si="11"/>
        <v>7616.4</v>
      </c>
      <c r="K331" s="196">
        <f>BDI!$E$17</f>
        <v>0.11260000000000001</v>
      </c>
      <c r="L331" s="90"/>
      <c r="M331" s="90"/>
      <c r="N331" s="91">
        <f>IF(ISNUMBER(I331),ROUND(I331*(1+K331),2),"")</f>
        <v>141.22999999999999</v>
      </c>
      <c r="O331" s="168">
        <f>IF(ISNUMBER(I331),ROUND(E331*F331*N331,2),"")</f>
        <v>8473.7999999999993</v>
      </c>
    </row>
    <row r="332" spans="1:15" s="136" customFormat="1" x14ac:dyDescent="0.25">
      <c r="A332" s="150" t="s">
        <v>3771</v>
      </c>
      <c r="B332" s="151" t="s">
        <v>2478</v>
      </c>
      <c r="C332" s="137" t="s">
        <v>2529</v>
      </c>
      <c r="D332" s="138" t="s">
        <v>20</v>
      </c>
      <c r="E332" s="138">
        <v>10</v>
      </c>
      <c r="F332" s="138">
        <v>0.5</v>
      </c>
      <c r="G332" s="138"/>
      <c r="H332" s="138"/>
      <c r="I332" s="120">
        <v>203.851</v>
      </c>
      <c r="J332" s="121">
        <f t="shared" si="11"/>
        <v>1019.26</v>
      </c>
      <c r="K332" s="196">
        <f>BDI!$E$17</f>
        <v>0.11260000000000001</v>
      </c>
      <c r="L332" s="90"/>
      <c r="M332" s="90"/>
      <c r="N332" s="91">
        <f>IF(ISNUMBER(I332),ROUND(I332*(1+K332),2),"")</f>
        <v>226.8</v>
      </c>
      <c r="O332" s="168">
        <f>IF(ISNUMBER(I332),ROUND(E332*F332*N332,2),"")</f>
        <v>1134</v>
      </c>
    </row>
    <row r="333" spans="1:15" s="136" customFormat="1" x14ac:dyDescent="0.25">
      <c r="A333" s="150" t="s">
        <v>3772</v>
      </c>
      <c r="B333" s="151" t="s">
        <v>2549</v>
      </c>
      <c r="C333" s="137" t="s">
        <v>2550</v>
      </c>
      <c r="D333" s="138" t="s">
        <v>20</v>
      </c>
      <c r="E333" s="138">
        <v>40</v>
      </c>
      <c r="F333" s="138">
        <v>0.5</v>
      </c>
      <c r="G333" s="138"/>
      <c r="H333" s="138"/>
      <c r="I333" s="120">
        <v>27.43</v>
      </c>
      <c r="J333" s="121">
        <f t="shared" si="11"/>
        <v>548.6</v>
      </c>
      <c r="K333" s="196">
        <f>BDI!$E$17</f>
        <v>0.11260000000000001</v>
      </c>
      <c r="L333" s="90"/>
      <c r="M333" s="90"/>
      <c r="N333" s="91">
        <f>IF(ISNUMBER(I333),ROUND(I333*(1+K333),2),"")</f>
        <v>30.52</v>
      </c>
      <c r="O333" s="168">
        <f>IF(ISNUMBER(I333),ROUND(E333*F333*N333,2),"")</f>
        <v>610.4</v>
      </c>
    </row>
    <row r="334" spans="1:15" s="136" customFormat="1" x14ac:dyDescent="0.25">
      <c r="A334" s="150" t="s">
        <v>3773</v>
      </c>
      <c r="B334" s="151" t="s">
        <v>2551</v>
      </c>
      <c r="C334" s="137" t="s">
        <v>2552</v>
      </c>
      <c r="D334" s="138" t="s">
        <v>20</v>
      </c>
      <c r="E334" s="138">
        <v>40</v>
      </c>
      <c r="F334" s="138">
        <v>0.5</v>
      </c>
      <c r="G334" s="138"/>
      <c r="H334" s="138"/>
      <c r="I334" s="120">
        <v>99.25</v>
      </c>
      <c r="J334" s="121">
        <f t="shared" si="11"/>
        <v>1985</v>
      </c>
      <c r="K334" s="196">
        <f>BDI!$E$17</f>
        <v>0.11260000000000001</v>
      </c>
      <c r="L334" s="90"/>
      <c r="M334" s="90"/>
      <c r="N334" s="91">
        <f>IF(ISNUMBER(I334),ROUND(I334*(1+K334),2),"")</f>
        <v>110.43</v>
      </c>
      <c r="O334" s="168">
        <f>IF(ISNUMBER(I334),ROUND(E334*F334*N334,2),"")</f>
        <v>2208.6</v>
      </c>
    </row>
    <row r="335" spans="1:15" s="136" customFormat="1" x14ac:dyDescent="0.25">
      <c r="A335" s="150" t="s">
        <v>3774</v>
      </c>
      <c r="B335" s="151" t="s">
        <v>2683</v>
      </c>
      <c r="C335" s="137" t="s">
        <v>2684</v>
      </c>
      <c r="D335" s="138" t="s">
        <v>20</v>
      </c>
      <c r="E335" s="138">
        <v>100</v>
      </c>
      <c r="F335" s="138">
        <v>0.5</v>
      </c>
      <c r="G335" s="138"/>
      <c r="H335" s="138"/>
      <c r="I335" s="120">
        <v>56.92</v>
      </c>
      <c r="J335" s="121">
        <f t="shared" si="11"/>
        <v>2846</v>
      </c>
      <c r="K335" s="196">
        <f>BDI!$E$17</f>
        <v>0.11260000000000001</v>
      </c>
      <c r="L335" s="90"/>
      <c r="M335" s="90"/>
      <c r="N335" s="91">
        <f>IF(ISNUMBER(I335),ROUND(I335*(1+K335),2),"")</f>
        <v>63.33</v>
      </c>
      <c r="O335" s="168">
        <f>IF(ISNUMBER(I335),ROUND(E335*F335*N335,2),"")</f>
        <v>3166.5</v>
      </c>
    </row>
    <row r="336" spans="1:15" s="136" customFormat="1" x14ac:dyDescent="0.25">
      <c r="A336" s="150" t="s">
        <v>3775</v>
      </c>
      <c r="B336" s="151" t="s">
        <v>2681</v>
      </c>
      <c r="C336" s="137" t="s">
        <v>2682</v>
      </c>
      <c r="D336" s="138" t="s">
        <v>20</v>
      </c>
      <c r="E336" s="138">
        <v>600</v>
      </c>
      <c r="F336" s="138">
        <v>0.5</v>
      </c>
      <c r="G336" s="138"/>
      <c r="H336" s="138"/>
      <c r="I336" s="120">
        <v>57.46</v>
      </c>
      <c r="J336" s="121">
        <f t="shared" si="11"/>
        <v>17238</v>
      </c>
      <c r="K336" s="196">
        <f>BDI!$E$17</f>
        <v>0.11260000000000001</v>
      </c>
      <c r="L336" s="90"/>
      <c r="M336" s="90"/>
      <c r="N336" s="91">
        <f>IF(ISNUMBER(I336),ROUND(I336*(1+K336),2),"")</f>
        <v>63.93</v>
      </c>
      <c r="O336" s="168">
        <f>IF(ISNUMBER(I336),ROUND(E336*F336*N336,2),"")</f>
        <v>19179</v>
      </c>
    </row>
    <row r="337" spans="1:15" s="136" customFormat="1" x14ac:dyDescent="0.25">
      <c r="A337" s="150" t="s">
        <v>3776</v>
      </c>
      <c r="B337" s="151" t="s">
        <v>2547</v>
      </c>
      <c r="C337" s="137" t="s">
        <v>2548</v>
      </c>
      <c r="D337" s="138" t="s">
        <v>20</v>
      </c>
      <c r="E337" s="138">
        <v>40</v>
      </c>
      <c r="F337" s="138">
        <v>0.5</v>
      </c>
      <c r="G337" s="138"/>
      <c r="H337" s="138"/>
      <c r="I337" s="120">
        <v>6.66</v>
      </c>
      <c r="J337" s="121">
        <f t="shared" si="11"/>
        <v>133.19999999999999</v>
      </c>
      <c r="K337" s="196">
        <f>BDI!$E$17</f>
        <v>0.11260000000000001</v>
      </c>
      <c r="L337" s="90"/>
      <c r="M337" s="90"/>
      <c r="N337" s="91">
        <f>IF(ISNUMBER(I337),ROUND(I337*(1+K337),2),"")</f>
        <v>7.41</v>
      </c>
      <c r="O337" s="168">
        <f>IF(ISNUMBER(I337),ROUND(E337*F337*N337,2),"")</f>
        <v>148.19999999999999</v>
      </c>
    </row>
    <row r="338" spans="1:15" s="136" customFormat="1" x14ac:dyDescent="0.25">
      <c r="A338" s="150" t="s">
        <v>3777</v>
      </c>
      <c r="B338" s="151" t="s">
        <v>2841</v>
      </c>
      <c r="C338" s="137" t="s">
        <v>1468</v>
      </c>
      <c r="D338" s="138" t="s">
        <v>20</v>
      </c>
      <c r="E338" s="138">
        <v>60</v>
      </c>
      <c r="F338" s="138">
        <v>0.5</v>
      </c>
      <c r="G338" s="138"/>
      <c r="H338" s="138"/>
      <c r="I338" s="120">
        <v>469.56</v>
      </c>
      <c r="J338" s="121">
        <f t="shared" si="11"/>
        <v>14086.8</v>
      </c>
      <c r="K338" s="196">
        <f>BDI!$E$17</f>
        <v>0.11260000000000001</v>
      </c>
      <c r="L338" s="90"/>
      <c r="M338" s="90"/>
      <c r="N338" s="91">
        <f>IF(ISNUMBER(I338),ROUND(I338*(1+K338),2),"")</f>
        <v>522.42999999999995</v>
      </c>
      <c r="O338" s="168">
        <f>IF(ISNUMBER(I338),ROUND(E338*F338*N338,2),"")</f>
        <v>15672.9</v>
      </c>
    </row>
    <row r="339" spans="1:15" s="136" customFormat="1" x14ac:dyDescent="0.25">
      <c r="A339" s="150" t="s">
        <v>3778</v>
      </c>
      <c r="B339" s="151" t="s">
        <v>2710</v>
      </c>
      <c r="C339" s="137" t="s">
        <v>2711</v>
      </c>
      <c r="D339" s="138" t="s">
        <v>20</v>
      </c>
      <c r="E339" s="138">
        <v>40</v>
      </c>
      <c r="F339" s="138">
        <v>0.5</v>
      </c>
      <c r="G339" s="138"/>
      <c r="H339" s="138"/>
      <c r="I339" s="120">
        <v>20.149999999999999</v>
      </c>
      <c r="J339" s="121">
        <f t="shared" si="11"/>
        <v>403</v>
      </c>
      <c r="K339" s="196">
        <f>BDI!$E$17</f>
        <v>0.11260000000000001</v>
      </c>
      <c r="L339" s="90"/>
      <c r="M339" s="90"/>
      <c r="N339" s="91">
        <f>IF(ISNUMBER(I339),ROUND(I339*(1+K339),2),"")</f>
        <v>22.42</v>
      </c>
      <c r="O339" s="168">
        <f>IF(ISNUMBER(I339),ROUND(E339*F339*N339,2),"")</f>
        <v>448.4</v>
      </c>
    </row>
    <row r="340" spans="1:15" s="136" customFormat="1" x14ac:dyDescent="0.25">
      <c r="A340" s="128" t="s">
        <v>3472</v>
      </c>
      <c r="B340" s="152"/>
      <c r="C340" s="153" t="s">
        <v>3461</v>
      </c>
      <c r="D340" s="154"/>
      <c r="E340" s="155" t="s">
        <v>522</v>
      </c>
      <c r="F340" s="154"/>
      <c r="G340" s="154"/>
      <c r="H340" s="154"/>
      <c r="I340" s="154"/>
      <c r="J340" s="129">
        <f>SUBTOTAL(109,J341:J347)</f>
        <v>6635.2800000000007</v>
      </c>
      <c r="K340" s="154"/>
      <c r="L340" s="130"/>
      <c r="M340" s="130"/>
      <c r="N340" s="131"/>
      <c r="O340" s="169">
        <f>SUBTOTAL(109,O341:O347)</f>
        <v>7382.4</v>
      </c>
    </row>
    <row r="341" spans="1:15" s="136" customFormat="1" x14ac:dyDescent="0.25">
      <c r="A341" s="150" t="s">
        <v>3779</v>
      </c>
      <c r="B341" s="151" t="s">
        <v>2479</v>
      </c>
      <c r="C341" s="137" t="s">
        <v>2530</v>
      </c>
      <c r="D341" s="138" t="s">
        <v>20</v>
      </c>
      <c r="E341" s="138">
        <v>40</v>
      </c>
      <c r="F341" s="138">
        <v>0.5</v>
      </c>
      <c r="G341" s="138"/>
      <c r="H341" s="138"/>
      <c r="I341" s="120">
        <v>23.55</v>
      </c>
      <c r="J341" s="121">
        <f t="shared" ref="J341:J347" si="12">IF(ISNUMBER(I341),ROUND(E341*I341*F341,2),"")</f>
        <v>471</v>
      </c>
      <c r="K341" s="196">
        <f>BDI!$E$17</f>
        <v>0.11260000000000001</v>
      </c>
      <c r="L341" s="90"/>
      <c r="M341" s="90"/>
      <c r="N341" s="91">
        <f>IF(ISNUMBER(I341),ROUND(I341*(1+K341),2),"")</f>
        <v>26.2</v>
      </c>
      <c r="O341" s="168">
        <f>IF(ISNUMBER(I341),ROUND(E341*F341*N341,2),"")</f>
        <v>524</v>
      </c>
    </row>
    <row r="342" spans="1:15" s="136" customFormat="1" x14ac:dyDescent="0.25">
      <c r="A342" s="150" t="s">
        <v>3780</v>
      </c>
      <c r="B342" s="151" t="s">
        <v>2482</v>
      </c>
      <c r="C342" s="137" t="s">
        <v>2532</v>
      </c>
      <c r="D342" s="138" t="s">
        <v>20</v>
      </c>
      <c r="E342" s="138">
        <v>30</v>
      </c>
      <c r="F342" s="138">
        <v>0.5</v>
      </c>
      <c r="G342" s="138"/>
      <c r="H342" s="138"/>
      <c r="I342" s="120">
        <v>181.36</v>
      </c>
      <c r="J342" s="121">
        <f t="shared" si="12"/>
        <v>2720.4</v>
      </c>
      <c r="K342" s="196">
        <f>BDI!$E$17</f>
        <v>0.11260000000000001</v>
      </c>
      <c r="L342" s="90"/>
      <c r="M342" s="90"/>
      <c r="N342" s="91">
        <f>IF(ISNUMBER(I342),ROUND(I342*(1+K342),2),"")</f>
        <v>201.78</v>
      </c>
      <c r="O342" s="168">
        <f>IF(ISNUMBER(I342),ROUND(E342*F342*N342,2),"")</f>
        <v>3026.7</v>
      </c>
    </row>
    <row r="343" spans="1:15" s="136" customFormat="1" x14ac:dyDescent="0.25">
      <c r="A343" s="150" t="s">
        <v>3781</v>
      </c>
      <c r="B343" s="151" t="s">
        <v>2483</v>
      </c>
      <c r="C343" s="137" t="s">
        <v>2533</v>
      </c>
      <c r="D343" s="138" t="s">
        <v>20</v>
      </c>
      <c r="E343" s="138">
        <v>12</v>
      </c>
      <c r="F343" s="138">
        <v>0.5</v>
      </c>
      <c r="G343" s="138"/>
      <c r="H343" s="138"/>
      <c r="I343" s="120">
        <v>36.8125</v>
      </c>
      <c r="J343" s="121">
        <f t="shared" si="12"/>
        <v>220.88</v>
      </c>
      <c r="K343" s="196">
        <f>BDI!$E$17</f>
        <v>0.11260000000000001</v>
      </c>
      <c r="L343" s="90"/>
      <c r="M343" s="90"/>
      <c r="N343" s="91">
        <f>IF(ISNUMBER(I343),ROUND(I343*(1+K343),2),"")</f>
        <v>40.96</v>
      </c>
      <c r="O343" s="168">
        <f>IF(ISNUMBER(I343),ROUND(E343*F343*N343,2),"")</f>
        <v>245.76</v>
      </c>
    </row>
    <row r="344" spans="1:15" s="136" customFormat="1" x14ac:dyDescent="0.25">
      <c r="A344" s="150" t="s">
        <v>3782</v>
      </c>
      <c r="B344" s="151" t="s">
        <v>2587</v>
      </c>
      <c r="C344" s="137" t="s">
        <v>2588</v>
      </c>
      <c r="D344" s="138" t="s">
        <v>20</v>
      </c>
      <c r="E344" s="138">
        <v>6</v>
      </c>
      <c r="F344" s="138">
        <v>0.5</v>
      </c>
      <c r="G344" s="138"/>
      <c r="H344" s="138"/>
      <c r="I344" s="120">
        <v>119.7</v>
      </c>
      <c r="J344" s="121">
        <f t="shared" si="12"/>
        <v>359.1</v>
      </c>
      <c r="K344" s="196">
        <f>BDI!$E$17</f>
        <v>0.11260000000000001</v>
      </c>
      <c r="L344" s="90"/>
      <c r="M344" s="90"/>
      <c r="N344" s="91">
        <f>IF(ISNUMBER(I344),ROUND(I344*(1+K344),2),"")</f>
        <v>133.18</v>
      </c>
      <c r="O344" s="168">
        <f>IF(ISNUMBER(I344),ROUND(E344*F344*N344,2),"")</f>
        <v>399.54</v>
      </c>
    </row>
    <row r="345" spans="1:15" s="136" customFormat="1" x14ac:dyDescent="0.25">
      <c r="A345" s="150" t="s">
        <v>3783</v>
      </c>
      <c r="B345" s="151" t="s">
        <v>2589</v>
      </c>
      <c r="C345" s="137" t="s">
        <v>2590</v>
      </c>
      <c r="D345" s="138" t="s">
        <v>20</v>
      </c>
      <c r="E345" s="138">
        <v>60</v>
      </c>
      <c r="F345" s="138">
        <v>0.5</v>
      </c>
      <c r="G345" s="138"/>
      <c r="H345" s="138"/>
      <c r="I345" s="120">
        <v>29.47</v>
      </c>
      <c r="J345" s="121">
        <f t="shared" si="12"/>
        <v>884.1</v>
      </c>
      <c r="K345" s="196">
        <f>BDI!$E$17</f>
        <v>0.11260000000000001</v>
      </c>
      <c r="L345" s="90"/>
      <c r="M345" s="90"/>
      <c r="N345" s="91">
        <f>IF(ISNUMBER(I345),ROUND(I345*(1+K345),2),"")</f>
        <v>32.79</v>
      </c>
      <c r="O345" s="168">
        <f>IF(ISNUMBER(I345),ROUND(E345*F345*N345,2),"")</f>
        <v>983.7</v>
      </c>
    </row>
    <row r="346" spans="1:15" s="136" customFormat="1" x14ac:dyDescent="0.25">
      <c r="A346" s="150" t="s">
        <v>3784</v>
      </c>
      <c r="B346" s="151" t="s">
        <v>2591</v>
      </c>
      <c r="C346" s="137" t="s">
        <v>2592</v>
      </c>
      <c r="D346" s="138" t="s">
        <v>20</v>
      </c>
      <c r="E346" s="138">
        <v>20</v>
      </c>
      <c r="F346" s="138">
        <v>0.5</v>
      </c>
      <c r="G346" s="138"/>
      <c r="H346" s="138"/>
      <c r="I346" s="120">
        <v>36.479999999999997</v>
      </c>
      <c r="J346" s="121">
        <f t="shared" si="12"/>
        <v>364.8</v>
      </c>
      <c r="K346" s="196">
        <f>BDI!$E$17</f>
        <v>0.11260000000000001</v>
      </c>
      <c r="L346" s="90"/>
      <c r="M346" s="90"/>
      <c r="N346" s="91">
        <f>IF(ISNUMBER(I346),ROUND(I346*(1+K346),2),"")</f>
        <v>40.590000000000003</v>
      </c>
      <c r="O346" s="168">
        <f>IF(ISNUMBER(I346),ROUND(E346*F346*N346,2),"")</f>
        <v>405.9</v>
      </c>
    </row>
    <row r="347" spans="1:15" s="136" customFormat="1" x14ac:dyDescent="0.25">
      <c r="A347" s="150" t="s">
        <v>3785</v>
      </c>
      <c r="B347" s="151" t="s">
        <v>2593</v>
      </c>
      <c r="C347" s="137" t="s">
        <v>2594</v>
      </c>
      <c r="D347" s="138" t="s">
        <v>20</v>
      </c>
      <c r="E347" s="138">
        <v>40</v>
      </c>
      <c r="F347" s="138">
        <v>0.5</v>
      </c>
      <c r="G347" s="138"/>
      <c r="H347" s="138"/>
      <c r="I347" s="120">
        <v>80.75</v>
      </c>
      <c r="J347" s="121">
        <f t="shared" si="12"/>
        <v>1615</v>
      </c>
      <c r="K347" s="196">
        <f>BDI!$E$17</f>
        <v>0.11260000000000001</v>
      </c>
      <c r="L347" s="90"/>
      <c r="M347" s="90"/>
      <c r="N347" s="91">
        <f>IF(ISNUMBER(I347),ROUND(I347*(1+K347),2),"")</f>
        <v>89.84</v>
      </c>
      <c r="O347" s="168">
        <f>IF(ISNUMBER(I347),ROUND(E347*F347*N347,2),"")</f>
        <v>1796.8</v>
      </c>
    </row>
    <row r="348" spans="1:15" s="136" customFormat="1" x14ac:dyDescent="0.25">
      <c r="A348" s="128" t="s">
        <v>3473</v>
      </c>
      <c r="B348" s="152"/>
      <c r="C348" s="153" t="s">
        <v>3449</v>
      </c>
      <c r="D348" s="154"/>
      <c r="E348" s="155" t="s">
        <v>522</v>
      </c>
      <c r="F348" s="154"/>
      <c r="G348" s="154"/>
      <c r="H348" s="154"/>
      <c r="I348" s="154"/>
      <c r="J348" s="129">
        <f>SUBTOTAL(109,J349:J353)</f>
        <v>90606.399999999994</v>
      </c>
      <c r="K348" s="154"/>
      <c r="L348" s="130"/>
      <c r="M348" s="130"/>
      <c r="N348" s="131"/>
      <c r="O348" s="169">
        <f>SUBTOTAL(109,O349:O353)</f>
        <v>100808.1</v>
      </c>
    </row>
    <row r="349" spans="1:15" s="136" customFormat="1" x14ac:dyDescent="0.25">
      <c r="A349" s="150" t="s">
        <v>3786</v>
      </c>
      <c r="B349" s="151" t="s">
        <v>2880</v>
      </c>
      <c r="C349" s="137" t="s">
        <v>2881</v>
      </c>
      <c r="D349" s="138" t="s">
        <v>20</v>
      </c>
      <c r="E349" s="138">
        <v>20</v>
      </c>
      <c r="F349" s="138">
        <v>0.5</v>
      </c>
      <c r="G349" s="138"/>
      <c r="H349" s="138"/>
      <c r="I349" s="120">
        <v>4179.7815000000001</v>
      </c>
      <c r="J349" s="121">
        <f t="shared" ref="J349:J353" si="13">IF(ISNUMBER(I349),ROUND(E349*I349*F349,2),"")</f>
        <v>41797.82</v>
      </c>
      <c r="K349" s="196">
        <f>BDI!$E$17</f>
        <v>0.11260000000000001</v>
      </c>
      <c r="L349" s="90"/>
      <c r="M349" s="90"/>
      <c r="N349" s="91">
        <f>IF(ISNUMBER(I349),ROUND(I349*(1+K349),2),"")</f>
        <v>4650.42</v>
      </c>
      <c r="O349" s="168">
        <f>IF(ISNUMBER(I349),ROUND(E349*F349*N349,2),"")</f>
        <v>46504.2</v>
      </c>
    </row>
    <row r="350" spans="1:15" s="136" customFormat="1" x14ac:dyDescent="0.25">
      <c r="A350" s="150" t="s">
        <v>3787</v>
      </c>
      <c r="B350" s="151" t="s">
        <v>2463</v>
      </c>
      <c r="C350" s="137" t="s">
        <v>1894</v>
      </c>
      <c r="D350" s="138" t="s">
        <v>20</v>
      </c>
      <c r="E350" s="138">
        <v>20</v>
      </c>
      <c r="F350" s="138">
        <v>0.5</v>
      </c>
      <c r="G350" s="138"/>
      <c r="H350" s="138"/>
      <c r="I350" s="120">
        <v>805.18</v>
      </c>
      <c r="J350" s="121">
        <f t="shared" si="13"/>
        <v>8051.8</v>
      </c>
      <c r="K350" s="196">
        <f>BDI!$E$17</f>
        <v>0.11260000000000001</v>
      </c>
      <c r="L350" s="90"/>
      <c r="M350" s="90"/>
      <c r="N350" s="91">
        <f>IF(ISNUMBER(I350),ROUND(I350*(1+K350),2),"")</f>
        <v>895.84</v>
      </c>
      <c r="O350" s="168">
        <f>IF(ISNUMBER(I350),ROUND(E350*F350*N350,2),"")</f>
        <v>8958.4</v>
      </c>
    </row>
    <row r="351" spans="1:15" s="136" customFormat="1" x14ac:dyDescent="0.25">
      <c r="A351" s="150" t="s">
        <v>3788</v>
      </c>
      <c r="B351" s="151" t="s">
        <v>2546</v>
      </c>
      <c r="C351" s="137" t="s">
        <v>1885</v>
      </c>
      <c r="D351" s="138" t="s">
        <v>20</v>
      </c>
      <c r="E351" s="138">
        <v>200</v>
      </c>
      <c r="F351" s="138">
        <v>0.5</v>
      </c>
      <c r="G351" s="138"/>
      <c r="H351" s="138"/>
      <c r="I351" s="120">
        <v>309.89999999999998</v>
      </c>
      <c r="J351" s="121">
        <f t="shared" si="13"/>
        <v>30990</v>
      </c>
      <c r="K351" s="196">
        <f>BDI!$E$17</f>
        <v>0.11260000000000001</v>
      </c>
      <c r="L351" s="90"/>
      <c r="M351" s="90"/>
      <c r="N351" s="91">
        <f>IF(ISNUMBER(I351),ROUND(I351*(1+K351),2),"")</f>
        <v>344.79</v>
      </c>
      <c r="O351" s="168">
        <f>IF(ISNUMBER(I351),ROUND(E351*F351*N351,2),"")</f>
        <v>34479</v>
      </c>
    </row>
    <row r="352" spans="1:15" s="136" customFormat="1" x14ac:dyDescent="0.25">
      <c r="A352" s="150" t="s">
        <v>3789</v>
      </c>
      <c r="B352" s="151" t="s">
        <v>2542</v>
      </c>
      <c r="C352" s="137" t="s">
        <v>2543</v>
      </c>
      <c r="D352" s="138" t="s">
        <v>20</v>
      </c>
      <c r="E352" s="138">
        <v>50</v>
      </c>
      <c r="F352" s="138">
        <v>0.5</v>
      </c>
      <c r="G352" s="138"/>
      <c r="H352" s="138"/>
      <c r="I352" s="120">
        <v>57.550999999999995</v>
      </c>
      <c r="J352" s="121">
        <f t="shared" si="13"/>
        <v>1438.78</v>
      </c>
      <c r="K352" s="196">
        <f>BDI!$E$17</f>
        <v>0.11260000000000001</v>
      </c>
      <c r="L352" s="90"/>
      <c r="M352" s="90"/>
      <c r="N352" s="91">
        <f>IF(ISNUMBER(I352),ROUND(I352*(1+K352),2),"")</f>
        <v>64.03</v>
      </c>
      <c r="O352" s="168">
        <f>IF(ISNUMBER(I352),ROUND(E352*F352*N352,2),"")</f>
        <v>1600.75</v>
      </c>
    </row>
    <row r="353" spans="1:15" s="136" customFormat="1" x14ac:dyDescent="0.25">
      <c r="A353" s="150" t="s">
        <v>3790</v>
      </c>
      <c r="B353" s="151" t="s">
        <v>2544</v>
      </c>
      <c r="C353" s="137" t="s">
        <v>2545</v>
      </c>
      <c r="D353" s="138" t="s">
        <v>20</v>
      </c>
      <c r="E353" s="138">
        <v>50</v>
      </c>
      <c r="F353" s="138">
        <v>0.5</v>
      </c>
      <c r="G353" s="138"/>
      <c r="H353" s="138"/>
      <c r="I353" s="120">
        <v>333.12</v>
      </c>
      <c r="J353" s="121">
        <f t="shared" si="13"/>
        <v>8328</v>
      </c>
      <c r="K353" s="196">
        <f>BDI!$E$17</f>
        <v>0.11260000000000001</v>
      </c>
      <c r="L353" s="90"/>
      <c r="M353" s="90"/>
      <c r="N353" s="91">
        <f>IF(ISNUMBER(I353),ROUND(I353*(1+K353),2),"")</f>
        <v>370.63</v>
      </c>
      <c r="O353" s="168">
        <f>IF(ISNUMBER(I353),ROUND(E353*F353*N353,2),"")</f>
        <v>9265.75</v>
      </c>
    </row>
    <row r="354" spans="1:15" s="136" customFormat="1" x14ac:dyDescent="0.25">
      <c r="A354" s="128" t="s">
        <v>3474</v>
      </c>
      <c r="B354" s="152"/>
      <c r="C354" s="153" t="s">
        <v>3462</v>
      </c>
      <c r="D354" s="154"/>
      <c r="E354" s="155" t="s">
        <v>522</v>
      </c>
      <c r="F354" s="154"/>
      <c r="G354" s="154"/>
      <c r="H354" s="154"/>
      <c r="I354" s="154"/>
      <c r="J354" s="129">
        <f>SUBTOTAL(109,J355:J382)</f>
        <v>604643.89999999991</v>
      </c>
      <c r="K354" s="154"/>
      <c r="L354" s="130"/>
      <c r="M354" s="130"/>
      <c r="N354" s="131"/>
      <c r="O354" s="169">
        <f>SUBTOTAL(109,O355:O382)</f>
        <v>672726.51</v>
      </c>
    </row>
    <row r="355" spans="1:15" s="136" customFormat="1" x14ac:dyDescent="0.25">
      <c r="A355" s="150" t="s">
        <v>3791</v>
      </c>
      <c r="B355" s="151" t="s">
        <v>2922</v>
      </c>
      <c r="C355" s="137" t="s">
        <v>3948</v>
      </c>
      <c r="D355" s="138" t="s">
        <v>20</v>
      </c>
      <c r="E355" s="138">
        <v>5</v>
      </c>
      <c r="F355" s="138">
        <v>0.5</v>
      </c>
      <c r="G355" s="138"/>
      <c r="H355" s="138"/>
      <c r="I355" s="120">
        <v>3248.99</v>
      </c>
      <c r="J355" s="121">
        <f t="shared" ref="J355:J382" si="14">IF(ISNUMBER(I355),ROUND(E355*I355*F355,2),"")</f>
        <v>8122.48</v>
      </c>
      <c r="K355" s="196">
        <f>BDI!$E$17</f>
        <v>0.11260000000000001</v>
      </c>
      <c r="L355" s="90"/>
      <c r="M355" s="90"/>
      <c r="N355" s="91">
        <f>IF(ISNUMBER(I355),ROUND(I355*(1+K355),2),"")</f>
        <v>3614.83</v>
      </c>
      <c r="O355" s="168">
        <f>IF(ISNUMBER(I355),ROUND(E355*F355*N355,2),"")</f>
        <v>9037.08</v>
      </c>
    </row>
    <row r="356" spans="1:15" s="136" customFormat="1" x14ac:dyDescent="0.25">
      <c r="A356" s="150" t="s">
        <v>3792</v>
      </c>
      <c r="B356" s="151" t="s">
        <v>2923</v>
      </c>
      <c r="C356" s="137" t="s">
        <v>3949</v>
      </c>
      <c r="D356" s="138" t="s">
        <v>20</v>
      </c>
      <c r="E356" s="138">
        <v>6</v>
      </c>
      <c r="F356" s="138">
        <v>0.5</v>
      </c>
      <c r="G356" s="138"/>
      <c r="H356" s="138"/>
      <c r="I356" s="120">
        <v>11646.35</v>
      </c>
      <c r="J356" s="121">
        <f t="shared" si="14"/>
        <v>34939.050000000003</v>
      </c>
      <c r="K356" s="196">
        <f>BDI!$E$17</f>
        <v>0.11260000000000001</v>
      </c>
      <c r="L356" s="90"/>
      <c r="M356" s="90"/>
      <c r="N356" s="91">
        <f>IF(ISNUMBER(I356),ROUND(I356*(1+K356),2),"")</f>
        <v>12957.73</v>
      </c>
      <c r="O356" s="168">
        <f>IF(ISNUMBER(I356),ROUND(E356*F356*N356,2),"")</f>
        <v>38873.19</v>
      </c>
    </row>
    <row r="357" spans="1:15" s="136" customFormat="1" x14ac:dyDescent="0.25">
      <c r="A357" s="150" t="s">
        <v>3793</v>
      </c>
      <c r="B357" s="151" t="s">
        <v>3202</v>
      </c>
      <c r="C357" s="137" t="s">
        <v>3947</v>
      </c>
      <c r="D357" s="138" t="s">
        <v>20</v>
      </c>
      <c r="E357" s="138">
        <v>3</v>
      </c>
      <c r="F357" s="138">
        <v>0.5</v>
      </c>
      <c r="G357" s="138"/>
      <c r="H357" s="138"/>
      <c r="I357" s="120">
        <v>11646.35</v>
      </c>
      <c r="J357" s="121">
        <f t="shared" si="14"/>
        <v>17469.53</v>
      </c>
      <c r="K357" s="196">
        <f>BDI!$E$17</f>
        <v>0.11260000000000001</v>
      </c>
      <c r="L357" s="90"/>
      <c r="M357" s="90"/>
      <c r="N357" s="91">
        <f>IF(ISNUMBER(I357),ROUND(I357*(1+K357),2),"")</f>
        <v>12957.73</v>
      </c>
      <c r="O357" s="168">
        <f>IF(ISNUMBER(I357),ROUND(E357*F357*N357,2),"")</f>
        <v>19436.599999999999</v>
      </c>
    </row>
    <row r="358" spans="1:15" s="136" customFormat="1" x14ac:dyDescent="0.25">
      <c r="A358" s="150" t="s">
        <v>3794</v>
      </c>
      <c r="B358" s="151" t="s">
        <v>2884</v>
      </c>
      <c r="C358" s="137" t="s">
        <v>2885</v>
      </c>
      <c r="D358" s="138" t="s">
        <v>20</v>
      </c>
      <c r="E358" s="138">
        <v>3</v>
      </c>
      <c r="F358" s="138">
        <v>0.5</v>
      </c>
      <c r="G358" s="138"/>
      <c r="H358" s="138"/>
      <c r="I358" s="120">
        <v>1008.3</v>
      </c>
      <c r="J358" s="121">
        <f t="shared" si="14"/>
        <v>1512.45</v>
      </c>
      <c r="K358" s="196">
        <f>BDI!$E$17</f>
        <v>0.11260000000000001</v>
      </c>
      <c r="L358" s="90"/>
      <c r="M358" s="90"/>
      <c r="N358" s="91">
        <f>IF(ISNUMBER(I358),ROUND(I358*(1+K358),2),"")</f>
        <v>1121.83</v>
      </c>
      <c r="O358" s="168">
        <f>IF(ISNUMBER(I358),ROUND(E358*F358*N358,2),"")</f>
        <v>1682.75</v>
      </c>
    </row>
    <row r="359" spans="1:15" s="136" customFormat="1" x14ac:dyDescent="0.25">
      <c r="A359" s="150" t="s">
        <v>3795</v>
      </c>
      <c r="B359" s="151" t="s">
        <v>2902</v>
      </c>
      <c r="C359" s="137" t="s">
        <v>2903</v>
      </c>
      <c r="D359" s="138" t="s">
        <v>20</v>
      </c>
      <c r="E359" s="138">
        <v>3</v>
      </c>
      <c r="F359" s="138">
        <v>0.5</v>
      </c>
      <c r="G359" s="138"/>
      <c r="H359" s="138"/>
      <c r="I359" s="120">
        <v>6395.23</v>
      </c>
      <c r="J359" s="121">
        <f t="shared" si="14"/>
        <v>9592.85</v>
      </c>
      <c r="K359" s="196">
        <f>BDI!$E$17</f>
        <v>0.11260000000000001</v>
      </c>
      <c r="L359" s="90"/>
      <c r="M359" s="90"/>
      <c r="N359" s="91">
        <f>IF(ISNUMBER(I359),ROUND(I359*(1+K359),2),"")</f>
        <v>7115.33</v>
      </c>
      <c r="O359" s="168">
        <f>IF(ISNUMBER(I359),ROUND(E359*F359*N359,2),"")</f>
        <v>10673</v>
      </c>
    </row>
    <row r="360" spans="1:15" s="136" customFormat="1" x14ac:dyDescent="0.25">
      <c r="A360" s="150" t="s">
        <v>3796</v>
      </c>
      <c r="B360" s="151" t="s">
        <v>2918</v>
      </c>
      <c r="C360" s="137" t="s">
        <v>2919</v>
      </c>
      <c r="D360" s="138" t="s">
        <v>20</v>
      </c>
      <c r="E360" s="138">
        <v>3</v>
      </c>
      <c r="F360" s="138">
        <v>0.5</v>
      </c>
      <c r="G360" s="138"/>
      <c r="H360" s="138"/>
      <c r="I360" s="120">
        <v>8653.7199999999993</v>
      </c>
      <c r="J360" s="121">
        <f t="shared" si="14"/>
        <v>12980.58</v>
      </c>
      <c r="K360" s="196">
        <f>BDI!$E$17</f>
        <v>0.11260000000000001</v>
      </c>
      <c r="L360" s="90"/>
      <c r="M360" s="90"/>
      <c r="N360" s="91">
        <f>IF(ISNUMBER(I360),ROUND(I360*(1+K360),2),"")</f>
        <v>9628.1299999999992</v>
      </c>
      <c r="O360" s="168">
        <f>IF(ISNUMBER(I360),ROUND(E360*F360*N360,2),"")</f>
        <v>14442.2</v>
      </c>
    </row>
    <row r="361" spans="1:15" s="136" customFormat="1" x14ac:dyDescent="0.25">
      <c r="A361" s="150" t="s">
        <v>3797</v>
      </c>
      <c r="B361" s="151" t="s">
        <v>2920</v>
      </c>
      <c r="C361" s="137" t="s">
        <v>2921</v>
      </c>
      <c r="D361" s="138" t="s">
        <v>20</v>
      </c>
      <c r="E361" s="138">
        <v>4</v>
      </c>
      <c r="F361" s="138">
        <v>0.5</v>
      </c>
      <c r="G361" s="138"/>
      <c r="H361" s="138"/>
      <c r="I361" s="120">
        <v>9460.19</v>
      </c>
      <c r="J361" s="121">
        <f t="shared" si="14"/>
        <v>18920.38</v>
      </c>
      <c r="K361" s="196">
        <f>BDI!$E$17</f>
        <v>0.11260000000000001</v>
      </c>
      <c r="L361" s="90"/>
      <c r="M361" s="90"/>
      <c r="N361" s="91">
        <f>IF(ISNUMBER(I361),ROUND(I361*(1+K361),2),"")</f>
        <v>10525.41</v>
      </c>
      <c r="O361" s="168">
        <f>IF(ISNUMBER(I361),ROUND(E361*F361*N361,2),"")</f>
        <v>21050.82</v>
      </c>
    </row>
    <row r="362" spans="1:15" s="136" customFormat="1" x14ac:dyDescent="0.25">
      <c r="A362" s="150" t="s">
        <v>3798</v>
      </c>
      <c r="B362" s="151" t="s">
        <v>2904</v>
      </c>
      <c r="C362" s="137" t="s">
        <v>2905</v>
      </c>
      <c r="D362" s="138" t="s">
        <v>20</v>
      </c>
      <c r="E362" s="138">
        <v>4</v>
      </c>
      <c r="F362" s="138">
        <v>0.5</v>
      </c>
      <c r="G362" s="138"/>
      <c r="H362" s="138"/>
      <c r="I362" s="120">
        <v>6454.15</v>
      </c>
      <c r="J362" s="121">
        <f t="shared" si="14"/>
        <v>12908.3</v>
      </c>
      <c r="K362" s="196">
        <f>BDI!$E$17</f>
        <v>0.11260000000000001</v>
      </c>
      <c r="L362" s="90"/>
      <c r="M362" s="90"/>
      <c r="N362" s="91">
        <f>IF(ISNUMBER(I362),ROUND(I362*(1+K362),2),"")</f>
        <v>7180.89</v>
      </c>
      <c r="O362" s="168">
        <f>IF(ISNUMBER(I362),ROUND(E362*F362*N362,2),"")</f>
        <v>14361.78</v>
      </c>
    </row>
    <row r="363" spans="1:15" s="136" customFormat="1" x14ac:dyDescent="0.25">
      <c r="A363" s="150" t="s">
        <v>3799</v>
      </c>
      <c r="B363" s="151" t="s">
        <v>2906</v>
      </c>
      <c r="C363" s="137" t="s">
        <v>2907</v>
      </c>
      <c r="D363" s="138" t="s">
        <v>20</v>
      </c>
      <c r="E363" s="138">
        <v>4</v>
      </c>
      <c r="F363" s="138">
        <v>0.5</v>
      </c>
      <c r="G363" s="138"/>
      <c r="H363" s="138"/>
      <c r="I363" s="120">
        <v>1936.75</v>
      </c>
      <c r="J363" s="121">
        <f t="shared" si="14"/>
        <v>3873.5</v>
      </c>
      <c r="K363" s="196">
        <f>BDI!$E$17</f>
        <v>0.11260000000000001</v>
      </c>
      <c r="L363" s="90"/>
      <c r="M363" s="90"/>
      <c r="N363" s="91">
        <f>IF(ISNUMBER(I363),ROUND(I363*(1+K363),2),"")</f>
        <v>2154.83</v>
      </c>
      <c r="O363" s="168">
        <f>IF(ISNUMBER(I363),ROUND(E363*F363*N363,2),"")</f>
        <v>4309.66</v>
      </c>
    </row>
    <row r="364" spans="1:15" s="136" customFormat="1" x14ac:dyDescent="0.25">
      <c r="A364" s="150" t="s">
        <v>3800</v>
      </c>
      <c r="B364" s="151" t="s">
        <v>2908</v>
      </c>
      <c r="C364" s="137" t="s">
        <v>2909</v>
      </c>
      <c r="D364" s="138" t="s">
        <v>20</v>
      </c>
      <c r="E364" s="138">
        <v>6</v>
      </c>
      <c r="F364" s="138">
        <v>0.5</v>
      </c>
      <c r="G364" s="138"/>
      <c r="H364" s="138"/>
      <c r="I364" s="120">
        <v>4849.1000000000004</v>
      </c>
      <c r="J364" s="121">
        <f t="shared" si="14"/>
        <v>14547.3</v>
      </c>
      <c r="K364" s="196">
        <f>BDI!$E$17</f>
        <v>0.11260000000000001</v>
      </c>
      <c r="L364" s="90"/>
      <c r="M364" s="90"/>
      <c r="N364" s="91">
        <f>IF(ISNUMBER(I364),ROUND(I364*(1+K364),2),"")</f>
        <v>5395.11</v>
      </c>
      <c r="O364" s="168">
        <f>IF(ISNUMBER(I364),ROUND(E364*F364*N364,2),"")</f>
        <v>16185.33</v>
      </c>
    </row>
    <row r="365" spans="1:15" s="136" customFormat="1" x14ac:dyDescent="0.25">
      <c r="A365" s="150" t="s">
        <v>3801</v>
      </c>
      <c r="B365" s="151" t="s">
        <v>2910</v>
      </c>
      <c r="C365" s="137" t="s">
        <v>2911</v>
      </c>
      <c r="D365" s="138" t="s">
        <v>20</v>
      </c>
      <c r="E365" s="138">
        <v>8</v>
      </c>
      <c r="F365" s="138">
        <v>0.5</v>
      </c>
      <c r="G365" s="138"/>
      <c r="H365" s="138"/>
      <c r="I365" s="120">
        <v>5572.77</v>
      </c>
      <c r="J365" s="121">
        <f t="shared" si="14"/>
        <v>22291.08</v>
      </c>
      <c r="K365" s="196">
        <f>BDI!$E$17</f>
        <v>0.11260000000000001</v>
      </c>
      <c r="L365" s="90"/>
      <c r="M365" s="90"/>
      <c r="N365" s="91">
        <f>IF(ISNUMBER(I365),ROUND(I365*(1+K365),2),"")</f>
        <v>6200.26</v>
      </c>
      <c r="O365" s="168">
        <f>IF(ISNUMBER(I365),ROUND(E365*F365*N365,2),"")</f>
        <v>24801.040000000001</v>
      </c>
    </row>
    <row r="366" spans="1:15" s="136" customFormat="1" x14ac:dyDescent="0.25">
      <c r="A366" s="150" t="s">
        <v>3802</v>
      </c>
      <c r="B366" s="151" t="s">
        <v>2912</v>
      </c>
      <c r="C366" s="137" t="s">
        <v>2913</v>
      </c>
      <c r="D366" s="138" t="s">
        <v>20</v>
      </c>
      <c r="E366" s="138">
        <v>12</v>
      </c>
      <c r="F366" s="138">
        <v>0.5</v>
      </c>
      <c r="G366" s="138"/>
      <c r="H366" s="138"/>
      <c r="I366" s="120">
        <v>4317.58</v>
      </c>
      <c r="J366" s="121">
        <f t="shared" si="14"/>
        <v>25905.48</v>
      </c>
      <c r="K366" s="196">
        <f>BDI!$E$17</f>
        <v>0.11260000000000001</v>
      </c>
      <c r="L366" s="90"/>
      <c r="M366" s="90"/>
      <c r="N366" s="91">
        <f>IF(ISNUMBER(I366),ROUND(I366*(1+K366),2),"")</f>
        <v>4803.74</v>
      </c>
      <c r="O366" s="168">
        <f>IF(ISNUMBER(I366),ROUND(E366*F366*N366,2),"")</f>
        <v>28822.44</v>
      </c>
    </row>
    <row r="367" spans="1:15" s="136" customFormat="1" x14ac:dyDescent="0.25">
      <c r="A367" s="150" t="s">
        <v>3803</v>
      </c>
      <c r="B367" s="151" t="s">
        <v>2914</v>
      </c>
      <c r="C367" s="137" t="s">
        <v>2915</v>
      </c>
      <c r="D367" s="138" t="s">
        <v>20</v>
      </c>
      <c r="E367" s="138">
        <v>4</v>
      </c>
      <c r="F367" s="138">
        <v>0.5</v>
      </c>
      <c r="G367" s="138"/>
      <c r="H367" s="138"/>
      <c r="I367" s="120">
        <v>6649.57</v>
      </c>
      <c r="J367" s="121">
        <f t="shared" si="14"/>
        <v>13299.14</v>
      </c>
      <c r="K367" s="196">
        <f>BDI!$E$17</f>
        <v>0.11260000000000001</v>
      </c>
      <c r="L367" s="90"/>
      <c r="M367" s="90"/>
      <c r="N367" s="91">
        <f>IF(ISNUMBER(I367),ROUND(I367*(1+K367),2),"")</f>
        <v>7398.31</v>
      </c>
      <c r="O367" s="168">
        <f>IF(ISNUMBER(I367),ROUND(E367*F367*N367,2),"")</f>
        <v>14796.62</v>
      </c>
    </row>
    <row r="368" spans="1:15" s="136" customFormat="1" x14ac:dyDescent="0.25">
      <c r="A368" s="150" t="s">
        <v>3804</v>
      </c>
      <c r="B368" s="151" t="s">
        <v>2916</v>
      </c>
      <c r="C368" s="137" t="s">
        <v>2917</v>
      </c>
      <c r="D368" s="138" t="s">
        <v>20</v>
      </c>
      <c r="E368" s="138">
        <v>4</v>
      </c>
      <c r="F368" s="138">
        <v>0.5</v>
      </c>
      <c r="G368" s="138"/>
      <c r="H368" s="138"/>
      <c r="I368" s="120">
        <v>4656.17</v>
      </c>
      <c r="J368" s="121">
        <f t="shared" si="14"/>
        <v>9312.34</v>
      </c>
      <c r="K368" s="196">
        <f>BDI!$E$17</f>
        <v>0.11260000000000001</v>
      </c>
      <c r="L368" s="90"/>
      <c r="M368" s="90"/>
      <c r="N368" s="91">
        <f>IF(ISNUMBER(I368),ROUND(I368*(1+K368),2),"")</f>
        <v>5180.45</v>
      </c>
      <c r="O368" s="168">
        <f>IF(ISNUMBER(I368),ROUND(E368*F368*N368,2),"")</f>
        <v>10360.9</v>
      </c>
    </row>
    <row r="369" spans="1:15" s="136" customFormat="1" x14ac:dyDescent="0.25">
      <c r="A369" s="150" t="s">
        <v>3805</v>
      </c>
      <c r="B369" s="151" t="s">
        <v>2898</v>
      </c>
      <c r="C369" s="137" t="s">
        <v>2899</v>
      </c>
      <c r="D369" s="138" t="s">
        <v>20</v>
      </c>
      <c r="E369" s="138">
        <v>2</v>
      </c>
      <c r="F369" s="138">
        <v>0.5</v>
      </c>
      <c r="G369" s="138"/>
      <c r="H369" s="138"/>
      <c r="I369" s="120">
        <v>22107.85</v>
      </c>
      <c r="J369" s="121">
        <f t="shared" si="14"/>
        <v>22107.85</v>
      </c>
      <c r="K369" s="196">
        <f>BDI!$E$17</f>
        <v>0.11260000000000001</v>
      </c>
      <c r="L369" s="90"/>
      <c r="M369" s="90"/>
      <c r="N369" s="91">
        <f>IF(ISNUMBER(I369),ROUND(I369*(1+K369),2),"")</f>
        <v>24597.19</v>
      </c>
      <c r="O369" s="168">
        <f>IF(ISNUMBER(I369),ROUND(E369*F369*N369,2),"")</f>
        <v>24597.19</v>
      </c>
    </row>
    <row r="370" spans="1:15" s="136" customFormat="1" x14ac:dyDescent="0.25">
      <c r="A370" s="150" t="s">
        <v>3806</v>
      </c>
      <c r="B370" s="151" t="s">
        <v>2900</v>
      </c>
      <c r="C370" s="137" t="s">
        <v>2901</v>
      </c>
      <c r="D370" s="138" t="s">
        <v>20</v>
      </c>
      <c r="E370" s="138">
        <v>6</v>
      </c>
      <c r="F370" s="138">
        <v>0.5</v>
      </c>
      <c r="G370" s="138"/>
      <c r="H370" s="138"/>
      <c r="I370" s="120">
        <v>27660.43</v>
      </c>
      <c r="J370" s="121">
        <f t="shared" si="14"/>
        <v>82981.289999999994</v>
      </c>
      <c r="K370" s="196">
        <f>BDI!$E$17</f>
        <v>0.11260000000000001</v>
      </c>
      <c r="L370" s="90"/>
      <c r="M370" s="90"/>
      <c r="N370" s="91">
        <f>IF(ISNUMBER(I370),ROUND(I370*(1+K370),2),"")</f>
        <v>30774.99</v>
      </c>
      <c r="O370" s="168">
        <f>IF(ISNUMBER(I370),ROUND(E370*F370*N370,2),"")</f>
        <v>92324.97</v>
      </c>
    </row>
    <row r="371" spans="1:15" s="136" customFormat="1" x14ac:dyDescent="0.25">
      <c r="A371" s="150" t="s">
        <v>3807</v>
      </c>
      <c r="B371" s="151" t="s">
        <v>2886</v>
      </c>
      <c r="C371" s="137" t="s">
        <v>2887</v>
      </c>
      <c r="D371" s="138" t="s">
        <v>20</v>
      </c>
      <c r="E371" s="138">
        <v>2</v>
      </c>
      <c r="F371" s="138">
        <v>0.5</v>
      </c>
      <c r="G371" s="138"/>
      <c r="H371" s="138"/>
      <c r="I371" s="120">
        <v>3509.79</v>
      </c>
      <c r="J371" s="121">
        <f t="shared" si="14"/>
        <v>3509.79</v>
      </c>
      <c r="K371" s="196">
        <f>BDI!$E$17</f>
        <v>0.11260000000000001</v>
      </c>
      <c r="L371" s="90"/>
      <c r="M371" s="90"/>
      <c r="N371" s="91">
        <f>IF(ISNUMBER(I371),ROUND(I371*(1+K371),2),"")</f>
        <v>3904.99</v>
      </c>
      <c r="O371" s="168">
        <f>IF(ISNUMBER(I371),ROUND(E371*F371*N371,2),"")</f>
        <v>3904.99</v>
      </c>
    </row>
    <row r="372" spans="1:15" s="136" customFormat="1" x14ac:dyDescent="0.25">
      <c r="A372" s="150" t="s">
        <v>3808</v>
      </c>
      <c r="B372" s="151" t="s">
        <v>2888</v>
      </c>
      <c r="C372" s="137" t="s">
        <v>2889</v>
      </c>
      <c r="D372" s="138" t="s">
        <v>20</v>
      </c>
      <c r="E372" s="138">
        <v>6</v>
      </c>
      <c r="F372" s="138">
        <v>0.5</v>
      </c>
      <c r="G372" s="138"/>
      <c r="H372" s="138"/>
      <c r="I372" s="120">
        <v>5160.8999999999996</v>
      </c>
      <c r="J372" s="121">
        <f t="shared" si="14"/>
        <v>15482.7</v>
      </c>
      <c r="K372" s="196">
        <f>BDI!$E$17</f>
        <v>0.11260000000000001</v>
      </c>
      <c r="L372" s="90"/>
      <c r="M372" s="90"/>
      <c r="N372" s="91">
        <f>IF(ISNUMBER(I372),ROUND(I372*(1+K372),2),"")</f>
        <v>5742.02</v>
      </c>
      <c r="O372" s="168">
        <f>IF(ISNUMBER(I372),ROUND(E372*F372*N372,2),"")</f>
        <v>17226.060000000001</v>
      </c>
    </row>
    <row r="373" spans="1:15" s="136" customFormat="1" x14ac:dyDescent="0.25">
      <c r="A373" s="150" t="s">
        <v>3809</v>
      </c>
      <c r="B373" s="151" t="s">
        <v>2890</v>
      </c>
      <c r="C373" s="137" t="s">
        <v>2891</v>
      </c>
      <c r="D373" s="138" t="s">
        <v>20</v>
      </c>
      <c r="E373" s="138">
        <v>15</v>
      </c>
      <c r="F373" s="138">
        <v>0.5</v>
      </c>
      <c r="G373" s="138"/>
      <c r="H373" s="138"/>
      <c r="I373" s="120">
        <v>5747.4</v>
      </c>
      <c r="J373" s="121">
        <f t="shared" si="14"/>
        <v>43105.5</v>
      </c>
      <c r="K373" s="196">
        <f>BDI!$E$17</f>
        <v>0.11260000000000001</v>
      </c>
      <c r="L373" s="90"/>
      <c r="M373" s="90"/>
      <c r="N373" s="91">
        <f>IF(ISNUMBER(I373),ROUND(I373*(1+K373),2),"")</f>
        <v>6394.56</v>
      </c>
      <c r="O373" s="168">
        <f>IF(ISNUMBER(I373),ROUND(E373*F373*N373,2),"")</f>
        <v>47959.199999999997</v>
      </c>
    </row>
    <row r="374" spans="1:15" s="136" customFormat="1" x14ac:dyDescent="0.25">
      <c r="A374" s="150" t="s">
        <v>3810</v>
      </c>
      <c r="B374" s="151" t="s">
        <v>2892</v>
      </c>
      <c r="C374" s="137" t="s">
        <v>2893</v>
      </c>
      <c r="D374" s="138" t="s">
        <v>20</v>
      </c>
      <c r="E374" s="138">
        <v>4</v>
      </c>
      <c r="F374" s="138">
        <v>0.5</v>
      </c>
      <c r="G374" s="138"/>
      <c r="H374" s="138"/>
      <c r="I374" s="120">
        <v>7593.4</v>
      </c>
      <c r="J374" s="121">
        <f t="shared" si="14"/>
        <v>15186.8</v>
      </c>
      <c r="K374" s="196">
        <f>BDI!$E$17</f>
        <v>0.11260000000000001</v>
      </c>
      <c r="L374" s="90"/>
      <c r="M374" s="90"/>
      <c r="N374" s="91">
        <f>IF(ISNUMBER(I374),ROUND(I374*(1+K374),2),"")</f>
        <v>8448.42</v>
      </c>
      <c r="O374" s="168">
        <f>IF(ISNUMBER(I374),ROUND(E374*F374*N374,2),"")</f>
        <v>16896.84</v>
      </c>
    </row>
    <row r="375" spans="1:15" s="136" customFormat="1" x14ac:dyDescent="0.25">
      <c r="A375" s="150" t="s">
        <v>3811</v>
      </c>
      <c r="B375" s="151" t="s">
        <v>2894</v>
      </c>
      <c r="C375" s="137" t="s">
        <v>2895</v>
      </c>
      <c r="D375" s="138" t="s">
        <v>20</v>
      </c>
      <c r="E375" s="138">
        <v>15</v>
      </c>
      <c r="F375" s="138">
        <v>0.5</v>
      </c>
      <c r="G375" s="138"/>
      <c r="H375" s="138"/>
      <c r="I375" s="120">
        <v>13700.75</v>
      </c>
      <c r="J375" s="121">
        <f t="shared" si="14"/>
        <v>102755.63</v>
      </c>
      <c r="K375" s="196">
        <f>BDI!$E$17</f>
        <v>0.11260000000000001</v>
      </c>
      <c r="L375" s="90"/>
      <c r="M375" s="90"/>
      <c r="N375" s="91">
        <f>IF(ISNUMBER(I375),ROUND(I375*(1+K375),2),"")</f>
        <v>15243.45</v>
      </c>
      <c r="O375" s="168">
        <f>IF(ISNUMBER(I375),ROUND(E375*F375*N375,2),"")</f>
        <v>114325.88</v>
      </c>
    </row>
    <row r="376" spans="1:15" s="136" customFormat="1" x14ac:dyDescent="0.25">
      <c r="A376" s="150" t="s">
        <v>3812</v>
      </c>
      <c r="B376" s="151" t="s">
        <v>2896</v>
      </c>
      <c r="C376" s="137" t="s">
        <v>2897</v>
      </c>
      <c r="D376" s="138" t="s">
        <v>20</v>
      </c>
      <c r="E376" s="138">
        <v>2</v>
      </c>
      <c r="F376" s="138">
        <v>0.5</v>
      </c>
      <c r="G376" s="138"/>
      <c r="H376" s="138"/>
      <c r="I376" s="120">
        <v>21169.48</v>
      </c>
      <c r="J376" s="121">
        <f t="shared" si="14"/>
        <v>21169.48</v>
      </c>
      <c r="K376" s="196">
        <f>BDI!$E$17</f>
        <v>0.11260000000000001</v>
      </c>
      <c r="L376" s="90"/>
      <c r="M376" s="90"/>
      <c r="N376" s="91">
        <f>IF(ISNUMBER(I376),ROUND(I376*(1+K376),2),"")</f>
        <v>23553.16</v>
      </c>
      <c r="O376" s="168">
        <f>IF(ISNUMBER(I376),ROUND(E376*F376*N376,2),"")</f>
        <v>23553.16</v>
      </c>
    </row>
    <row r="377" spans="1:15" s="136" customFormat="1" x14ac:dyDescent="0.25">
      <c r="A377" s="150" t="s">
        <v>3813</v>
      </c>
      <c r="B377" s="151" t="s">
        <v>2924</v>
      </c>
      <c r="C377" s="137" t="s">
        <v>2925</v>
      </c>
      <c r="D377" s="138" t="s">
        <v>20</v>
      </c>
      <c r="E377" s="138">
        <v>2</v>
      </c>
      <c r="F377" s="138">
        <v>0.5</v>
      </c>
      <c r="G377" s="138"/>
      <c r="H377" s="138"/>
      <c r="I377" s="120">
        <v>6299</v>
      </c>
      <c r="J377" s="121">
        <f t="shared" si="14"/>
        <v>6299</v>
      </c>
      <c r="K377" s="196">
        <f>BDI!$E$17</f>
        <v>0.11260000000000001</v>
      </c>
      <c r="L377" s="90"/>
      <c r="M377" s="90"/>
      <c r="N377" s="91">
        <f>IF(ISNUMBER(I377),ROUND(I377*(1+K377),2),"")</f>
        <v>7008.27</v>
      </c>
      <c r="O377" s="168">
        <f>IF(ISNUMBER(I377),ROUND(E377*F377*N377,2),"")</f>
        <v>7008.27</v>
      </c>
    </row>
    <row r="378" spans="1:15" s="136" customFormat="1" x14ac:dyDescent="0.25">
      <c r="A378" s="150" t="s">
        <v>3814</v>
      </c>
      <c r="B378" s="151" t="s">
        <v>2926</v>
      </c>
      <c r="C378" s="137" t="s">
        <v>2927</v>
      </c>
      <c r="D378" s="138" t="s">
        <v>20</v>
      </c>
      <c r="E378" s="138">
        <v>11</v>
      </c>
      <c r="F378" s="138">
        <v>0.5</v>
      </c>
      <c r="G378" s="138"/>
      <c r="H378" s="138"/>
      <c r="I378" s="120">
        <v>10901.1</v>
      </c>
      <c r="J378" s="121">
        <f t="shared" si="14"/>
        <v>59956.05</v>
      </c>
      <c r="K378" s="196">
        <f>BDI!$E$17</f>
        <v>0.11260000000000001</v>
      </c>
      <c r="L378" s="90"/>
      <c r="M378" s="90"/>
      <c r="N378" s="91">
        <f>IF(ISNUMBER(I378),ROUND(I378*(1+K378),2),"")</f>
        <v>12128.56</v>
      </c>
      <c r="O378" s="168">
        <f>IF(ISNUMBER(I378),ROUND(E378*F378*N378,2),"")</f>
        <v>66707.08</v>
      </c>
    </row>
    <row r="379" spans="1:15" s="136" customFormat="1" x14ac:dyDescent="0.25">
      <c r="A379" s="150" t="s">
        <v>3815</v>
      </c>
      <c r="B379" s="151" t="s">
        <v>2928</v>
      </c>
      <c r="C379" s="137" t="s">
        <v>2929</v>
      </c>
      <c r="D379" s="138" t="s">
        <v>20</v>
      </c>
      <c r="E379" s="138">
        <v>3</v>
      </c>
      <c r="F379" s="138">
        <v>0.5</v>
      </c>
      <c r="G379" s="138"/>
      <c r="H379" s="138"/>
      <c r="I379" s="120">
        <v>12719.73</v>
      </c>
      <c r="J379" s="121">
        <f t="shared" si="14"/>
        <v>19079.599999999999</v>
      </c>
      <c r="K379" s="196">
        <f>BDI!$E$17</f>
        <v>0.11260000000000001</v>
      </c>
      <c r="L379" s="90"/>
      <c r="M379" s="90"/>
      <c r="N379" s="91">
        <f>IF(ISNUMBER(I379),ROUND(I379*(1+K379),2),"")</f>
        <v>14151.97</v>
      </c>
      <c r="O379" s="168">
        <f>IF(ISNUMBER(I379),ROUND(E379*F379*N379,2),"")</f>
        <v>21227.96</v>
      </c>
    </row>
    <row r="380" spans="1:15" s="136" customFormat="1" x14ac:dyDescent="0.25">
      <c r="A380" s="150" t="s">
        <v>3816</v>
      </c>
      <c r="B380" s="151" t="s">
        <v>3190</v>
      </c>
      <c r="C380" s="137" t="s">
        <v>3191</v>
      </c>
      <c r="D380" s="138" t="s">
        <v>20</v>
      </c>
      <c r="E380" s="138">
        <v>150</v>
      </c>
      <c r="F380" s="138">
        <v>0.5</v>
      </c>
      <c r="G380" s="138"/>
      <c r="H380" s="138"/>
      <c r="I380" s="120">
        <v>39.9</v>
      </c>
      <c r="J380" s="121">
        <f t="shared" si="14"/>
        <v>2992.5</v>
      </c>
      <c r="K380" s="196">
        <f>BDI!$E$17</f>
        <v>0.11260000000000001</v>
      </c>
      <c r="L380" s="90"/>
      <c r="M380" s="90"/>
      <c r="N380" s="91">
        <f>IF(ISNUMBER(I380),ROUND(I380*(1+K380),2),"")</f>
        <v>44.39</v>
      </c>
      <c r="O380" s="168">
        <f>IF(ISNUMBER(I380),ROUND(E380*F380*N380,2),"")</f>
        <v>3329.25</v>
      </c>
    </row>
    <row r="381" spans="1:15" s="136" customFormat="1" x14ac:dyDescent="0.25">
      <c r="A381" s="150" t="s">
        <v>3817</v>
      </c>
      <c r="B381" s="151" t="s">
        <v>3192</v>
      </c>
      <c r="C381" s="137" t="s">
        <v>3193</v>
      </c>
      <c r="D381" s="138" t="s">
        <v>20</v>
      </c>
      <c r="E381" s="138">
        <v>150</v>
      </c>
      <c r="F381" s="138">
        <v>0.5</v>
      </c>
      <c r="G381" s="138"/>
      <c r="H381" s="138"/>
      <c r="I381" s="120">
        <v>47</v>
      </c>
      <c r="J381" s="121">
        <f t="shared" si="14"/>
        <v>3525</v>
      </c>
      <c r="K381" s="196">
        <f>BDI!$E$17</f>
        <v>0.11260000000000001</v>
      </c>
      <c r="L381" s="90"/>
      <c r="M381" s="90"/>
      <c r="N381" s="91">
        <f>IF(ISNUMBER(I381),ROUND(I381*(1+K381),2),"")</f>
        <v>52.29</v>
      </c>
      <c r="O381" s="168">
        <f>IF(ISNUMBER(I381),ROUND(E381*F381*N381,2),"")</f>
        <v>3921.75</v>
      </c>
    </row>
    <row r="382" spans="1:15" s="136" customFormat="1" x14ac:dyDescent="0.25">
      <c r="A382" s="150" t="s">
        <v>3950</v>
      </c>
      <c r="B382" s="151" t="s">
        <v>3194</v>
      </c>
      <c r="C382" s="137" t="s">
        <v>3195</v>
      </c>
      <c r="D382" s="138" t="s">
        <v>20</v>
      </c>
      <c r="E382" s="138">
        <v>150</v>
      </c>
      <c r="F382" s="138">
        <v>0.5</v>
      </c>
      <c r="G382" s="138"/>
      <c r="H382" s="138"/>
      <c r="I382" s="120">
        <v>10.91</v>
      </c>
      <c r="J382" s="121">
        <f t="shared" si="14"/>
        <v>818.25</v>
      </c>
      <c r="K382" s="196">
        <f>BDI!$E$17</f>
        <v>0.11260000000000001</v>
      </c>
      <c r="L382" s="90"/>
      <c r="M382" s="90"/>
      <c r="N382" s="91">
        <f>IF(ISNUMBER(I382),ROUND(I382*(1+K382),2),"")</f>
        <v>12.14</v>
      </c>
      <c r="O382" s="168">
        <f>IF(ISNUMBER(I382),ROUND(E382*F382*N382,2),"")</f>
        <v>910.5</v>
      </c>
    </row>
    <row r="383" spans="1:15" s="136" customFormat="1" x14ac:dyDescent="0.25">
      <c r="A383" s="128" t="s">
        <v>3475</v>
      </c>
      <c r="B383" s="152"/>
      <c r="C383" s="153" t="s">
        <v>3450</v>
      </c>
      <c r="D383" s="154"/>
      <c r="E383" s="155" t="s">
        <v>522</v>
      </c>
      <c r="F383" s="154"/>
      <c r="G383" s="154"/>
      <c r="H383" s="154"/>
      <c r="I383" s="154"/>
      <c r="J383" s="129">
        <f>SUBTOTAL(109,J384:J391)</f>
        <v>22367.97</v>
      </c>
      <c r="K383" s="154"/>
      <c r="L383" s="130"/>
      <c r="M383" s="130"/>
      <c r="N383" s="131"/>
      <c r="O383" s="169">
        <f>SUBTOTAL(109,O384:O391)</f>
        <v>24886.63</v>
      </c>
    </row>
    <row r="384" spans="1:15" s="136" customFormat="1" x14ac:dyDescent="0.25">
      <c r="A384" s="150" t="s">
        <v>3818</v>
      </c>
      <c r="B384" s="151" t="s">
        <v>2581</v>
      </c>
      <c r="C384" s="137" t="s">
        <v>2582</v>
      </c>
      <c r="D384" s="138" t="s">
        <v>20</v>
      </c>
      <c r="E384" s="138">
        <v>30</v>
      </c>
      <c r="F384" s="138">
        <v>0.5</v>
      </c>
      <c r="G384" s="138"/>
      <c r="H384" s="138"/>
      <c r="I384" s="120">
        <v>319.18</v>
      </c>
      <c r="J384" s="121">
        <f t="shared" ref="J384:J391" si="15">IF(ISNUMBER(I384),ROUND(E384*I384*F384,2),"")</f>
        <v>4787.7</v>
      </c>
      <c r="K384" s="196">
        <f>BDI!$E$17</f>
        <v>0.11260000000000001</v>
      </c>
      <c r="L384" s="90"/>
      <c r="M384" s="90"/>
      <c r="N384" s="91">
        <f>IF(ISNUMBER(I384),ROUND(I384*(1+K384),2),"")</f>
        <v>355.12</v>
      </c>
      <c r="O384" s="168">
        <f>IF(ISNUMBER(I384),ROUND(E384*F384*N384,2),"")</f>
        <v>5326.8</v>
      </c>
    </row>
    <row r="385" spans="1:15" s="136" customFormat="1" x14ac:dyDescent="0.25">
      <c r="A385" s="150" t="s">
        <v>3819</v>
      </c>
      <c r="B385" s="151" t="s">
        <v>2583</v>
      </c>
      <c r="C385" s="137" t="s">
        <v>2584</v>
      </c>
      <c r="D385" s="138" t="s">
        <v>20</v>
      </c>
      <c r="E385" s="138">
        <v>15</v>
      </c>
      <c r="F385" s="138">
        <v>0.5</v>
      </c>
      <c r="G385" s="138"/>
      <c r="H385" s="138"/>
      <c r="I385" s="120">
        <v>93.2</v>
      </c>
      <c r="J385" s="121">
        <f t="shared" si="15"/>
        <v>699</v>
      </c>
      <c r="K385" s="196">
        <f>BDI!$E$17</f>
        <v>0.11260000000000001</v>
      </c>
      <c r="L385" s="90"/>
      <c r="M385" s="90"/>
      <c r="N385" s="91">
        <f>IF(ISNUMBER(I385),ROUND(I385*(1+K385),2),"")</f>
        <v>103.69</v>
      </c>
      <c r="O385" s="168">
        <f>IF(ISNUMBER(I385),ROUND(E385*F385*N385,2),"")</f>
        <v>777.68</v>
      </c>
    </row>
    <row r="386" spans="1:15" s="136" customFormat="1" x14ac:dyDescent="0.25">
      <c r="A386" s="150" t="s">
        <v>3820</v>
      </c>
      <c r="B386" s="151" t="s">
        <v>2585</v>
      </c>
      <c r="C386" s="137" t="s">
        <v>2586</v>
      </c>
      <c r="D386" s="138" t="s">
        <v>20</v>
      </c>
      <c r="E386" s="138">
        <v>6</v>
      </c>
      <c r="F386" s="138">
        <v>0.5</v>
      </c>
      <c r="G386" s="138"/>
      <c r="H386" s="138"/>
      <c r="I386" s="120">
        <v>97.023499999999984</v>
      </c>
      <c r="J386" s="121">
        <f t="shared" si="15"/>
        <v>291.07</v>
      </c>
      <c r="K386" s="196">
        <f>BDI!$E$17</f>
        <v>0.11260000000000001</v>
      </c>
      <c r="L386" s="90"/>
      <c r="M386" s="90"/>
      <c r="N386" s="91">
        <f>IF(ISNUMBER(I386),ROUND(I386*(1+K386),2),"")</f>
        <v>107.95</v>
      </c>
      <c r="O386" s="168">
        <f>IF(ISNUMBER(I386),ROUND(E386*F386*N386,2),"")</f>
        <v>323.85000000000002</v>
      </c>
    </row>
    <row r="387" spans="1:15" s="136" customFormat="1" x14ac:dyDescent="0.25">
      <c r="A387" s="150" t="s">
        <v>3821</v>
      </c>
      <c r="B387" s="151" t="s">
        <v>2616</v>
      </c>
      <c r="C387" s="137" t="s">
        <v>2617</v>
      </c>
      <c r="D387" s="138" t="s">
        <v>20</v>
      </c>
      <c r="E387" s="138">
        <v>10</v>
      </c>
      <c r="F387" s="138">
        <v>0.5</v>
      </c>
      <c r="G387" s="138"/>
      <c r="H387" s="138"/>
      <c r="I387" s="120">
        <v>76.849999999999994</v>
      </c>
      <c r="J387" s="121">
        <f t="shared" si="15"/>
        <v>384.25</v>
      </c>
      <c r="K387" s="196">
        <f>BDI!$E$17</f>
        <v>0.11260000000000001</v>
      </c>
      <c r="L387" s="90"/>
      <c r="M387" s="90"/>
      <c r="N387" s="91">
        <f>IF(ISNUMBER(I387),ROUND(I387*(1+K387),2),"")</f>
        <v>85.5</v>
      </c>
      <c r="O387" s="168">
        <f>IF(ISNUMBER(I387),ROUND(E387*F387*N387,2),"")</f>
        <v>427.5</v>
      </c>
    </row>
    <row r="388" spans="1:15" s="136" customFormat="1" x14ac:dyDescent="0.25">
      <c r="A388" s="150" t="s">
        <v>3822</v>
      </c>
      <c r="B388" s="151" t="s">
        <v>2614</v>
      </c>
      <c r="C388" s="137" t="s">
        <v>2615</v>
      </c>
      <c r="D388" s="138" t="s">
        <v>20</v>
      </c>
      <c r="E388" s="138">
        <v>10</v>
      </c>
      <c r="F388" s="138">
        <v>0.5</v>
      </c>
      <c r="G388" s="138"/>
      <c r="H388" s="138"/>
      <c r="I388" s="120">
        <v>109.91</v>
      </c>
      <c r="J388" s="121">
        <f t="shared" si="15"/>
        <v>549.54999999999995</v>
      </c>
      <c r="K388" s="196">
        <f>BDI!$E$17</f>
        <v>0.11260000000000001</v>
      </c>
      <c r="L388" s="90"/>
      <c r="M388" s="90"/>
      <c r="N388" s="91">
        <f>IF(ISNUMBER(I388),ROUND(I388*(1+K388),2),"")</f>
        <v>122.29</v>
      </c>
      <c r="O388" s="168">
        <f>IF(ISNUMBER(I388),ROUND(E388*F388*N388,2),"")</f>
        <v>611.45000000000005</v>
      </c>
    </row>
    <row r="389" spans="1:15" s="136" customFormat="1" x14ac:dyDescent="0.25">
      <c r="A389" s="150" t="s">
        <v>3823</v>
      </c>
      <c r="B389" s="151" t="s">
        <v>2707</v>
      </c>
      <c r="C389" s="137" t="s">
        <v>2708</v>
      </c>
      <c r="D389" s="138" t="s">
        <v>20</v>
      </c>
      <c r="E389" s="138">
        <v>10</v>
      </c>
      <c r="F389" s="138">
        <v>0.5</v>
      </c>
      <c r="G389" s="138"/>
      <c r="H389" s="138"/>
      <c r="I389" s="120">
        <v>485.23</v>
      </c>
      <c r="J389" s="121">
        <f t="shared" si="15"/>
        <v>2426.15</v>
      </c>
      <c r="K389" s="196">
        <f>BDI!$E$17</f>
        <v>0.11260000000000001</v>
      </c>
      <c r="L389" s="90"/>
      <c r="M389" s="90"/>
      <c r="N389" s="91">
        <f>IF(ISNUMBER(I389),ROUND(I389*(1+K389),2),"")</f>
        <v>539.87</v>
      </c>
      <c r="O389" s="168">
        <f>IF(ISNUMBER(I389),ROUND(E389*F389*N389,2),"")</f>
        <v>2699.35</v>
      </c>
    </row>
    <row r="390" spans="1:15" s="136" customFormat="1" x14ac:dyDescent="0.25">
      <c r="A390" s="150" t="s">
        <v>3824</v>
      </c>
      <c r="B390" s="151" t="s">
        <v>2705</v>
      </c>
      <c r="C390" s="137" t="s">
        <v>2706</v>
      </c>
      <c r="D390" s="138" t="s">
        <v>20</v>
      </c>
      <c r="E390" s="138">
        <v>10</v>
      </c>
      <c r="F390" s="138">
        <v>0.5</v>
      </c>
      <c r="G390" s="138"/>
      <c r="H390" s="138"/>
      <c r="I390" s="120">
        <v>2286.0500000000002</v>
      </c>
      <c r="J390" s="121">
        <f t="shared" si="15"/>
        <v>11430.25</v>
      </c>
      <c r="K390" s="196">
        <f>BDI!$E$17</f>
        <v>0.11260000000000001</v>
      </c>
      <c r="L390" s="90"/>
      <c r="M390" s="90"/>
      <c r="N390" s="91">
        <f>IF(ISNUMBER(I390),ROUND(I390*(1+K390),2),"")</f>
        <v>2543.46</v>
      </c>
      <c r="O390" s="168">
        <f>IF(ISNUMBER(I390),ROUND(E390*F390*N390,2),"")</f>
        <v>12717.3</v>
      </c>
    </row>
    <row r="391" spans="1:15" s="136" customFormat="1" x14ac:dyDescent="0.25">
      <c r="A391" s="150" t="s">
        <v>3825</v>
      </c>
      <c r="B391" s="151" t="s">
        <v>2718</v>
      </c>
      <c r="C391" s="137" t="s">
        <v>2719</v>
      </c>
      <c r="D391" s="138" t="s">
        <v>20</v>
      </c>
      <c r="E391" s="138">
        <v>20</v>
      </c>
      <c r="F391" s="138">
        <v>0.5</v>
      </c>
      <c r="G391" s="138"/>
      <c r="H391" s="138"/>
      <c r="I391" s="120">
        <v>180</v>
      </c>
      <c r="J391" s="121">
        <f t="shared" si="15"/>
        <v>1800</v>
      </c>
      <c r="K391" s="196">
        <f>BDI!$E$17</f>
        <v>0.11260000000000001</v>
      </c>
      <c r="L391" s="90"/>
      <c r="M391" s="90"/>
      <c r="N391" s="91">
        <f>IF(ISNUMBER(I391),ROUND(I391*(1+K391),2),"")</f>
        <v>200.27</v>
      </c>
      <c r="O391" s="168">
        <f>IF(ISNUMBER(I391),ROUND(E391*F391*N391,2),"")</f>
        <v>2002.7</v>
      </c>
    </row>
    <row r="392" spans="1:15" s="136" customFormat="1" x14ac:dyDescent="0.25">
      <c r="A392" s="128" t="s">
        <v>3476</v>
      </c>
      <c r="B392" s="152"/>
      <c r="C392" s="153" t="s">
        <v>3451</v>
      </c>
      <c r="D392" s="154"/>
      <c r="E392" s="155" t="s">
        <v>522</v>
      </c>
      <c r="F392" s="154"/>
      <c r="G392" s="154"/>
      <c r="H392" s="154"/>
      <c r="I392" s="154"/>
      <c r="J392" s="129">
        <f>SUBTOTAL(109,J393:J398)</f>
        <v>49221</v>
      </c>
      <c r="K392" s="154"/>
      <c r="L392" s="130"/>
      <c r="M392" s="130"/>
      <c r="N392" s="131"/>
      <c r="O392" s="169">
        <f>SUBTOTAL(109,O393:O398)</f>
        <v>54763.24</v>
      </c>
    </row>
    <row r="393" spans="1:15" s="136" customFormat="1" x14ac:dyDescent="0.25">
      <c r="A393" s="150" t="s">
        <v>3826</v>
      </c>
      <c r="B393" s="151" t="s">
        <v>2821</v>
      </c>
      <c r="C393" s="137" t="s">
        <v>2822</v>
      </c>
      <c r="D393" s="138" t="s">
        <v>20</v>
      </c>
      <c r="E393" s="138">
        <v>30</v>
      </c>
      <c r="F393" s="138">
        <v>0.5</v>
      </c>
      <c r="G393" s="138"/>
      <c r="H393" s="138"/>
      <c r="I393" s="120">
        <v>281</v>
      </c>
      <c r="J393" s="121">
        <f t="shared" ref="J393:J398" si="16">IF(ISNUMBER(I393),ROUND(E393*I393*F393,2),"")</f>
        <v>4215</v>
      </c>
      <c r="K393" s="196">
        <f>BDI!$E$17</f>
        <v>0.11260000000000001</v>
      </c>
      <c r="L393" s="90"/>
      <c r="M393" s="90"/>
      <c r="N393" s="91">
        <f>IF(ISNUMBER(I393),ROUND(I393*(1+K393),2),"")</f>
        <v>312.64</v>
      </c>
      <c r="O393" s="168">
        <f>IF(ISNUMBER(I393),ROUND(E393*F393*N393,2),"")</f>
        <v>4689.6000000000004</v>
      </c>
    </row>
    <row r="394" spans="1:15" s="136" customFormat="1" x14ac:dyDescent="0.25">
      <c r="A394" s="150" t="s">
        <v>3827</v>
      </c>
      <c r="B394" s="151" t="s">
        <v>2827</v>
      </c>
      <c r="C394" s="137" t="s">
        <v>2828</v>
      </c>
      <c r="D394" s="138" t="s">
        <v>20</v>
      </c>
      <c r="E394" s="138">
        <v>8</v>
      </c>
      <c r="F394" s="138">
        <v>0.5</v>
      </c>
      <c r="G394" s="138"/>
      <c r="H394" s="138"/>
      <c r="I394" s="120">
        <v>3932.75</v>
      </c>
      <c r="J394" s="121">
        <f t="shared" si="16"/>
        <v>15731</v>
      </c>
      <c r="K394" s="196">
        <f>BDI!$E$17</f>
        <v>0.11260000000000001</v>
      </c>
      <c r="L394" s="90"/>
      <c r="M394" s="90"/>
      <c r="N394" s="91">
        <f>IF(ISNUMBER(I394),ROUND(I394*(1+K394),2),"")</f>
        <v>4375.58</v>
      </c>
      <c r="O394" s="168">
        <f>IF(ISNUMBER(I394),ROUND(E394*F394*N394,2),"")</f>
        <v>17502.32</v>
      </c>
    </row>
    <row r="395" spans="1:15" s="136" customFormat="1" x14ac:dyDescent="0.25">
      <c r="A395" s="150" t="s">
        <v>3828</v>
      </c>
      <c r="B395" s="151" t="s">
        <v>2825</v>
      </c>
      <c r="C395" s="137" t="s">
        <v>2826</v>
      </c>
      <c r="D395" s="138" t="s">
        <v>20</v>
      </c>
      <c r="E395" s="138">
        <v>8</v>
      </c>
      <c r="F395" s="138">
        <v>0.5</v>
      </c>
      <c r="G395" s="138"/>
      <c r="H395" s="138"/>
      <c r="I395" s="120">
        <v>2790</v>
      </c>
      <c r="J395" s="121">
        <f t="shared" si="16"/>
        <v>11160</v>
      </c>
      <c r="K395" s="196">
        <f>BDI!$E$17</f>
        <v>0.11260000000000001</v>
      </c>
      <c r="L395" s="90"/>
      <c r="M395" s="90"/>
      <c r="N395" s="91">
        <f>IF(ISNUMBER(I395),ROUND(I395*(1+K395),2),"")</f>
        <v>3104.15</v>
      </c>
      <c r="O395" s="168">
        <f>IF(ISNUMBER(I395),ROUND(E395*F395*N395,2),"")</f>
        <v>12416.6</v>
      </c>
    </row>
    <row r="396" spans="1:15" s="136" customFormat="1" x14ac:dyDescent="0.25">
      <c r="A396" s="150" t="s">
        <v>3829</v>
      </c>
      <c r="B396" s="151" t="s">
        <v>2831</v>
      </c>
      <c r="C396" s="137" t="s">
        <v>2832</v>
      </c>
      <c r="D396" s="138" t="s">
        <v>20</v>
      </c>
      <c r="E396" s="138">
        <v>8</v>
      </c>
      <c r="F396" s="138">
        <v>0.5</v>
      </c>
      <c r="G396" s="138"/>
      <c r="H396" s="138"/>
      <c r="I396" s="120">
        <v>2290</v>
      </c>
      <c r="J396" s="121">
        <f t="shared" si="16"/>
        <v>9160</v>
      </c>
      <c r="K396" s="196">
        <f>BDI!$E$17</f>
        <v>0.11260000000000001</v>
      </c>
      <c r="L396" s="90"/>
      <c r="M396" s="90"/>
      <c r="N396" s="91">
        <f>IF(ISNUMBER(I396),ROUND(I396*(1+K396),2),"")</f>
        <v>2547.85</v>
      </c>
      <c r="O396" s="168">
        <f>IF(ISNUMBER(I396),ROUND(E396*F396*N396,2),"")</f>
        <v>10191.4</v>
      </c>
    </row>
    <row r="397" spans="1:15" s="136" customFormat="1" x14ac:dyDescent="0.25">
      <c r="A397" s="150" t="s">
        <v>3830</v>
      </c>
      <c r="B397" s="151" t="s">
        <v>2833</v>
      </c>
      <c r="C397" s="137" t="s">
        <v>2834</v>
      </c>
      <c r="D397" s="138" t="s">
        <v>20</v>
      </c>
      <c r="E397" s="138">
        <v>5</v>
      </c>
      <c r="F397" s="138">
        <v>0.5</v>
      </c>
      <c r="G397" s="138"/>
      <c r="H397" s="138"/>
      <c r="I397" s="120">
        <v>1254</v>
      </c>
      <c r="J397" s="121">
        <f t="shared" si="16"/>
        <v>3135</v>
      </c>
      <c r="K397" s="196">
        <f>BDI!$E$17</f>
        <v>0.11260000000000001</v>
      </c>
      <c r="L397" s="90"/>
      <c r="M397" s="90"/>
      <c r="N397" s="91">
        <f>IF(ISNUMBER(I397),ROUND(I397*(1+K397),2),"")</f>
        <v>1395.2</v>
      </c>
      <c r="O397" s="168">
        <f>IF(ISNUMBER(I397),ROUND(E397*F397*N397,2),"")</f>
        <v>3488</v>
      </c>
    </row>
    <row r="398" spans="1:15" s="136" customFormat="1" x14ac:dyDescent="0.25">
      <c r="A398" s="150" t="s">
        <v>3831</v>
      </c>
      <c r="B398" s="151" t="s">
        <v>2823</v>
      </c>
      <c r="C398" s="137" t="s">
        <v>2824</v>
      </c>
      <c r="D398" s="138" t="s">
        <v>20</v>
      </c>
      <c r="E398" s="138">
        <v>8</v>
      </c>
      <c r="F398" s="138">
        <v>0.5</v>
      </c>
      <c r="G398" s="138"/>
      <c r="H398" s="138"/>
      <c r="I398" s="120">
        <v>1455</v>
      </c>
      <c r="J398" s="121">
        <f t="shared" si="16"/>
        <v>5820</v>
      </c>
      <c r="K398" s="196">
        <f>BDI!$E$17</f>
        <v>0.11260000000000001</v>
      </c>
      <c r="L398" s="90"/>
      <c r="M398" s="90"/>
      <c r="N398" s="91">
        <f>IF(ISNUMBER(I398),ROUND(I398*(1+K398),2),"")</f>
        <v>1618.83</v>
      </c>
      <c r="O398" s="168">
        <f>IF(ISNUMBER(I398),ROUND(E398*F398*N398,2),"")</f>
        <v>6475.32</v>
      </c>
    </row>
    <row r="399" spans="1:15" s="136" customFormat="1" x14ac:dyDescent="0.25">
      <c r="A399" s="128" t="s">
        <v>3477</v>
      </c>
      <c r="B399" s="152"/>
      <c r="C399" s="153" t="s">
        <v>3464</v>
      </c>
      <c r="D399" s="154"/>
      <c r="E399" s="155" t="s">
        <v>522</v>
      </c>
      <c r="F399" s="154"/>
      <c r="G399" s="154"/>
      <c r="H399" s="154"/>
      <c r="I399" s="154"/>
      <c r="J399" s="129">
        <f>SUBTOTAL(109,J400:J403)</f>
        <v>40685.17</v>
      </c>
      <c r="K399" s="154"/>
      <c r="L399" s="130"/>
      <c r="M399" s="130"/>
      <c r="N399" s="131"/>
      <c r="O399" s="169">
        <f>SUBTOTAL(109,O400:O403)</f>
        <v>45266.549999999996</v>
      </c>
    </row>
    <row r="400" spans="1:15" s="136" customFormat="1" x14ac:dyDescent="0.25">
      <c r="A400" s="150" t="s">
        <v>3832</v>
      </c>
      <c r="B400" s="151" t="s">
        <v>2486</v>
      </c>
      <c r="C400" s="137" t="s">
        <v>2536</v>
      </c>
      <c r="D400" s="138" t="s">
        <v>20</v>
      </c>
      <c r="E400" s="138">
        <v>10</v>
      </c>
      <c r="F400" s="138">
        <v>0.5</v>
      </c>
      <c r="G400" s="138"/>
      <c r="H400" s="138"/>
      <c r="I400" s="120">
        <v>332.63299999999998</v>
      </c>
      <c r="J400" s="121">
        <f t="shared" ref="J400:J403" si="17">IF(ISNUMBER(I400),ROUND(E400*I400*F400,2),"")</f>
        <v>1663.17</v>
      </c>
      <c r="K400" s="196">
        <f>BDI!$E$17</f>
        <v>0.11260000000000001</v>
      </c>
      <c r="L400" s="90"/>
      <c r="M400" s="90"/>
      <c r="N400" s="91">
        <f>IF(ISNUMBER(I400),ROUND(I400*(1+K400),2),"")</f>
        <v>370.09</v>
      </c>
      <c r="O400" s="168">
        <f>IF(ISNUMBER(I400),ROUND(E400*F400*N400,2),"")</f>
        <v>1850.45</v>
      </c>
    </row>
    <row r="401" spans="1:15" s="136" customFormat="1" x14ac:dyDescent="0.25">
      <c r="A401" s="150" t="s">
        <v>3833</v>
      </c>
      <c r="B401" s="151" t="s">
        <v>2942</v>
      </c>
      <c r="C401" s="137" t="s">
        <v>2943</v>
      </c>
      <c r="D401" s="138" t="s">
        <v>20</v>
      </c>
      <c r="E401" s="138">
        <v>40</v>
      </c>
      <c r="F401" s="138">
        <v>0.5</v>
      </c>
      <c r="G401" s="138"/>
      <c r="H401" s="138"/>
      <c r="I401" s="120">
        <v>5.4339999999999993</v>
      </c>
      <c r="J401" s="121">
        <f t="shared" si="17"/>
        <v>108.68</v>
      </c>
      <c r="K401" s="196">
        <f>BDI!$E$17</f>
        <v>0.11260000000000001</v>
      </c>
      <c r="L401" s="90"/>
      <c r="M401" s="90"/>
      <c r="N401" s="91">
        <f>IF(ISNUMBER(I401),ROUND(I401*(1+K401),2),"")</f>
        <v>6.05</v>
      </c>
      <c r="O401" s="168">
        <f>IF(ISNUMBER(I401),ROUND(E401*F401*N401,2),"")</f>
        <v>121</v>
      </c>
    </row>
    <row r="402" spans="1:15" s="136" customFormat="1" x14ac:dyDescent="0.25">
      <c r="A402" s="150" t="s">
        <v>3834</v>
      </c>
      <c r="B402" s="151" t="s">
        <v>2566</v>
      </c>
      <c r="C402" s="137" t="s">
        <v>2567</v>
      </c>
      <c r="D402" s="138" t="s">
        <v>20</v>
      </c>
      <c r="E402" s="138">
        <v>100</v>
      </c>
      <c r="F402" s="138">
        <v>0.5</v>
      </c>
      <c r="G402" s="138"/>
      <c r="H402" s="138"/>
      <c r="I402" s="120">
        <v>771.47</v>
      </c>
      <c r="J402" s="121">
        <f t="shared" si="17"/>
        <v>38573.5</v>
      </c>
      <c r="K402" s="196">
        <f>BDI!$E$17</f>
        <v>0.11260000000000001</v>
      </c>
      <c r="L402" s="90"/>
      <c r="M402" s="90"/>
      <c r="N402" s="91">
        <f>IF(ISNUMBER(I402),ROUND(I402*(1+K402),2),"")</f>
        <v>858.34</v>
      </c>
      <c r="O402" s="168">
        <f>IF(ISNUMBER(I402),ROUND(E402*F402*N402,2),"")</f>
        <v>42917</v>
      </c>
    </row>
    <row r="403" spans="1:15" s="136" customFormat="1" x14ac:dyDescent="0.25">
      <c r="A403" s="150" t="s">
        <v>3835</v>
      </c>
      <c r="B403" s="151" t="s">
        <v>2944</v>
      </c>
      <c r="C403" s="137" t="s">
        <v>2945</v>
      </c>
      <c r="D403" s="138" t="s">
        <v>20</v>
      </c>
      <c r="E403" s="138">
        <v>20</v>
      </c>
      <c r="F403" s="138">
        <v>0.5</v>
      </c>
      <c r="G403" s="138"/>
      <c r="H403" s="138"/>
      <c r="I403" s="120">
        <v>33.981500000000004</v>
      </c>
      <c r="J403" s="121">
        <f t="shared" si="17"/>
        <v>339.82</v>
      </c>
      <c r="K403" s="196">
        <f>BDI!$E$17</f>
        <v>0.11260000000000001</v>
      </c>
      <c r="L403" s="90"/>
      <c r="M403" s="90"/>
      <c r="N403" s="91">
        <f>IF(ISNUMBER(I403),ROUND(I403*(1+K403),2),"")</f>
        <v>37.81</v>
      </c>
      <c r="O403" s="168">
        <f>IF(ISNUMBER(I403),ROUND(E403*F403*N403,2),"")</f>
        <v>378.1</v>
      </c>
    </row>
    <row r="404" spans="1:15" s="136" customFormat="1" x14ac:dyDescent="0.25">
      <c r="A404" s="128" t="s">
        <v>3478</v>
      </c>
      <c r="B404" s="152"/>
      <c r="C404" s="153" t="s">
        <v>3452</v>
      </c>
      <c r="D404" s="154"/>
      <c r="E404" s="155" t="s">
        <v>522</v>
      </c>
      <c r="F404" s="154"/>
      <c r="G404" s="154"/>
      <c r="H404" s="154"/>
      <c r="I404" s="154"/>
      <c r="J404" s="129">
        <f>SUBTOTAL(109,J405:J406)</f>
        <v>55530.5</v>
      </c>
      <c r="K404" s="154"/>
      <c r="L404" s="130"/>
      <c r="M404" s="130"/>
      <c r="N404" s="131"/>
      <c r="O404" s="169">
        <f>SUBTOTAL(109,O405:O406)</f>
        <v>61783.5</v>
      </c>
    </row>
    <row r="405" spans="1:15" s="136" customFormat="1" x14ac:dyDescent="0.25">
      <c r="A405" s="150" t="s">
        <v>3836</v>
      </c>
      <c r="B405" s="151" t="s">
        <v>2474</v>
      </c>
      <c r="C405" s="137" t="s">
        <v>2525</v>
      </c>
      <c r="D405" s="138" t="s">
        <v>20</v>
      </c>
      <c r="E405" s="138">
        <v>100</v>
      </c>
      <c r="F405" s="138">
        <v>0.5</v>
      </c>
      <c r="G405" s="138"/>
      <c r="H405" s="138"/>
      <c r="I405" s="120">
        <v>35.61</v>
      </c>
      <c r="J405" s="121">
        <f t="shared" ref="J405:J406" si="18">IF(ISNUMBER(I405),ROUND(E405*I405*F405,2),"")</f>
        <v>1780.5</v>
      </c>
      <c r="K405" s="196">
        <f>BDI!$E$17</f>
        <v>0.11260000000000001</v>
      </c>
      <c r="L405" s="90"/>
      <c r="M405" s="90"/>
      <c r="N405" s="91">
        <f>IF(ISNUMBER(I405),ROUND(I405*(1+K405),2),"")</f>
        <v>39.619999999999997</v>
      </c>
      <c r="O405" s="168">
        <f>IF(ISNUMBER(I405),ROUND(E405*F405*N405,2),"")</f>
        <v>1981</v>
      </c>
    </row>
    <row r="406" spans="1:15" s="136" customFormat="1" x14ac:dyDescent="0.25">
      <c r="A406" s="150" t="s">
        <v>3837</v>
      </c>
      <c r="B406" s="151" t="s">
        <v>2475</v>
      </c>
      <c r="C406" s="137" t="s">
        <v>2526</v>
      </c>
      <c r="D406" s="138" t="s">
        <v>20</v>
      </c>
      <c r="E406" s="138">
        <v>250</v>
      </c>
      <c r="F406" s="138">
        <v>0.5</v>
      </c>
      <c r="G406" s="138"/>
      <c r="H406" s="138"/>
      <c r="I406" s="120">
        <v>430</v>
      </c>
      <c r="J406" s="121">
        <f t="shared" si="18"/>
        <v>53750</v>
      </c>
      <c r="K406" s="196">
        <f>BDI!$E$17</f>
        <v>0.11260000000000001</v>
      </c>
      <c r="L406" s="90"/>
      <c r="M406" s="90"/>
      <c r="N406" s="91">
        <f>IF(ISNUMBER(I406),ROUND(I406*(1+K406),2),"")</f>
        <v>478.42</v>
      </c>
      <c r="O406" s="168">
        <f>IF(ISNUMBER(I406),ROUND(E406*F406*N406,2),"")</f>
        <v>59802.5</v>
      </c>
    </row>
    <row r="407" spans="1:15" s="160" customFormat="1" x14ac:dyDescent="0.25">
      <c r="A407" s="132" t="s">
        <v>3488</v>
      </c>
      <c r="B407" s="156"/>
      <c r="C407" s="157" t="s">
        <v>3453</v>
      </c>
      <c r="D407" s="158"/>
      <c r="E407" s="158" t="s">
        <v>522</v>
      </c>
      <c r="F407" s="158"/>
      <c r="G407" s="158"/>
      <c r="H407" s="158"/>
      <c r="I407" s="158"/>
      <c r="J407" s="161"/>
      <c r="K407" s="158"/>
      <c r="L407" s="133"/>
      <c r="M407" s="162">
        <f>SUBTOTAL(109,M408:M409)</f>
        <v>1947.9</v>
      </c>
      <c r="N407" s="134"/>
      <c r="O407" s="163"/>
    </row>
    <row r="408" spans="1:15" s="136" customFormat="1" x14ac:dyDescent="0.25">
      <c r="A408" s="128" t="s">
        <v>3479</v>
      </c>
      <c r="B408" s="152"/>
      <c r="C408" s="153" t="s">
        <v>3453</v>
      </c>
      <c r="D408" s="154"/>
      <c r="E408" s="155" t="s">
        <v>522</v>
      </c>
      <c r="F408" s="154"/>
      <c r="G408" s="154"/>
      <c r="H408" s="154"/>
      <c r="I408" s="154"/>
      <c r="J408" s="129"/>
      <c r="K408" s="154"/>
      <c r="L408" s="130"/>
      <c r="M408" s="129">
        <f>SUBTOTAL(109,M409:M409)</f>
        <v>1947.9</v>
      </c>
      <c r="N408" s="131"/>
      <c r="O408" s="169"/>
    </row>
    <row r="409" spans="1:15" s="136" customFormat="1" x14ac:dyDescent="0.25">
      <c r="A409" s="150" t="s">
        <v>3838</v>
      </c>
      <c r="B409" s="151" t="s">
        <v>1575</v>
      </c>
      <c r="C409" s="137" t="s">
        <v>2295</v>
      </c>
      <c r="D409" s="138" t="s">
        <v>20</v>
      </c>
      <c r="E409" s="138">
        <v>3</v>
      </c>
      <c r="F409" s="138"/>
      <c r="G409" s="138">
        <v>5</v>
      </c>
      <c r="H409" s="90">
        <f>IF(ISNUMBER(G409),1/(G409*12),"")</f>
        <v>1.6666666666666666E-2</v>
      </c>
      <c r="I409" s="120">
        <v>1298.6500000000001</v>
      </c>
      <c r="J409" s="121"/>
      <c r="K409" s="90"/>
      <c r="L409" s="121">
        <f>IF(ISNUMBER(I409),ROUND(E409*H409*I409,2),"")</f>
        <v>64.930000000000007</v>
      </c>
      <c r="M409" s="121">
        <f>IF(ISNUMBER(I409),ROUND(L409*30,2),"")</f>
        <v>1947.9</v>
      </c>
      <c r="N409" s="91"/>
      <c r="O409" s="168"/>
    </row>
    <row r="410" spans="1:15" s="160" customFormat="1" x14ac:dyDescent="0.25">
      <c r="A410" s="132" t="s">
        <v>3489</v>
      </c>
      <c r="B410" s="156"/>
      <c r="C410" s="157" t="s">
        <v>3487</v>
      </c>
      <c r="D410" s="158"/>
      <c r="E410" s="158" t="s">
        <v>522</v>
      </c>
      <c r="F410" s="158"/>
      <c r="G410" s="158"/>
      <c r="H410" s="158"/>
      <c r="I410" s="158"/>
      <c r="J410" s="161"/>
      <c r="K410" s="158"/>
      <c r="L410" s="158"/>
      <c r="M410" s="162">
        <f>SUBTOTAL(109,M411:M515)</f>
        <v>52320.30000000001</v>
      </c>
      <c r="N410" s="134"/>
      <c r="O410" s="163"/>
    </row>
    <row r="411" spans="1:15" s="136" customFormat="1" x14ac:dyDescent="0.25">
      <c r="A411" s="128" t="s">
        <v>3480</v>
      </c>
      <c r="B411" s="152"/>
      <c r="C411" s="153" t="s">
        <v>3454</v>
      </c>
      <c r="D411" s="154"/>
      <c r="E411" s="155" t="s">
        <v>522</v>
      </c>
      <c r="F411" s="154"/>
      <c r="G411" s="154"/>
      <c r="H411" s="154"/>
      <c r="I411" s="154"/>
      <c r="J411" s="129"/>
      <c r="K411" s="154"/>
      <c r="L411" s="154"/>
      <c r="M411" s="129">
        <f>SUBTOTAL(109,M412:M413)</f>
        <v>1257.5999999999999</v>
      </c>
      <c r="N411" s="131"/>
      <c r="O411" s="169"/>
    </row>
    <row r="412" spans="1:15" s="136" customFormat="1" x14ac:dyDescent="0.25">
      <c r="A412" s="150" t="s">
        <v>3839</v>
      </c>
      <c r="B412" s="151" t="s">
        <v>1627</v>
      </c>
      <c r="C412" s="137" t="s">
        <v>2301</v>
      </c>
      <c r="D412" s="138" t="s">
        <v>20</v>
      </c>
      <c r="E412" s="138">
        <v>1</v>
      </c>
      <c r="F412" s="138"/>
      <c r="G412" s="138">
        <v>10</v>
      </c>
      <c r="H412" s="90">
        <f t="shared" ref="H412:H473" si="19">IF(ISNUMBER(G412),1/(G412*12),"")</f>
        <v>8.3333333333333332E-3</v>
      </c>
      <c r="I412" s="120">
        <v>4033.48</v>
      </c>
      <c r="J412" s="121"/>
      <c r="K412" s="90"/>
      <c r="L412" s="121">
        <f>IF(ISNUMBER(I412),ROUND(E412*H412*I412,2),"")</f>
        <v>33.61</v>
      </c>
      <c r="M412" s="121">
        <f>IF(ISNUMBER(I412),ROUND(L412*30,2),"")</f>
        <v>1008.3</v>
      </c>
      <c r="N412" s="91"/>
      <c r="O412" s="168"/>
    </row>
    <row r="413" spans="1:15" s="136" customFormat="1" x14ac:dyDescent="0.25">
      <c r="A413" s="150" t="s">
        <v>3840</v>
      </c>
      <c r="B413" s="151" t="s">
        <v>3139</v>
      </c>
      <c r="C413" s="137" t="s">
        <v>3140</v>
      </c>
      <c r="D413" s="138" t="s">
        <v>1477</v>
      </c>
      <c r="E413" s="138">
        <v>2</v>
      </c>
      <c r="F413" s="138"/>
      <c r="G413" s="138">
        <v>5</v>
      </c>
      <c r="H413" s="90">
        <f t="shared" si="19"/>
        <v>1.6666666666666666E-2</v>
      </c>
      <c r="I413" s="120">
        <v>249.23</v>
      </c>
      <c r="J413" s="121"/>
      <c r="K413" s="90"/>
      <c r="L413" s="121">
        <f>IF(ISNUMBER(I413),ROUND(E413*H413*I413,2),"")</f>
        <v>8.31</v>
      </c>
      <c r="M413" s="121">
        <f>IF(ISNUMBER(I413),ROUND(L413*30,2),"")</f>
        <v>249.3</v>
      </c>
      <c r="N413" s="91"/>
      <c r="O413" s="168"/>
    </row>
    <row r="414" spans="1:15" s="136" customFormat="1" x14ac:dyDescent="0.25">
      <c r="A414" s="128" t="s">
        <v>3481</v>
      </c>
      <c r="B414" s="152"/>
      <c r="C414" s="153" t="s">
        <v>3455</v>
      </c>
      <c r="D414" s="154"/>
      <c r="E414" s="155" t="s">
        <v>522</v>
      </c>
      <c r="F414" s="154"/>
      <c r="G414" s="154"/>
      <c r="H414" s="154"/>
      <c r="I414" s="154"/>
      <c r="J414" s="129"/>
      <c r="K414" s="154"/>
      <c r="L414" s="154"/>
      <c r="M414" s="129">
        <f>SUBTOTAL(109,M415:M441)</f>
        <v>1647.2999999999995</v>
      </c>
      <c r="N414" s="131"/>
      <c r="O414" s="169"/>
    </row>
    <row r="415" spans="1:15" s="136" customFormat="1" x14ac:dyDescent="0.25">
      <c r="A415" s="150" t="s">
        <v>3841</v>
      </c>
      <c r="B415" s="151" t="s">
        <v>1564</v>
      </c>
      <c r="C415" s="137" t="s">
        <v>1565</v>
      </c>
      <c r="D415" s="138" t="s">
        <v>20</v>
      </c>
      <c r="E415" s="138">
        <v>3</v>
      </c>
      <c r="F415" s="138"/>
      <c r="G415" s="138">
        <v>5</v>
      </c>
      <c r="H415" s="90">
        <f t="shared" si="19"/>
        <v>1.6666666666666666E-2</v>
      </c>
      <c r="I415" s="120">
        <v>27.1</v>
      </c>
      <c r="J415" s="121"/>
      <c r="K415" s="90"/>
      <c r="L415" s="121">
        <f>IF(ISNUMBER(I415),ROUND(E415*H415*I415,2),"")</f>
        <v>1.36</v>
      </c>
      <c r="M415" s="121">
        <f>IF(ISNUMBER(I415),ROUND(L415*30,2),"")</f>
        <v>40.799999999999997</v>
      </c>
      <c r="N415" s="91"/>
      <c r="O415" s="168"/>
    </row>
    <row r="416" spans="1:15" s="136" customFormat="1" x14ac:dyDescent="0.25">
      <c r="A416" s="150" t="s">
        <v>3842</v>
      </c>
      <c r="B416" s="151" t="s">
        <v>1568</v>
      </c>
      <c r="C416" s="137" t="s">
        <v>1569</v>
      </c>
      <c r="D416" s="138" t="s">
        <v>20</v>
      </c>
      <c r="E416" s="138">
        <v>1</v>
      </c>
      <c r="F416" s="138"/>
      <c r="G416" s="138">
        <v>5</v>
      </c>
      <c r="H416" s="90">
        <f t="shared" si="19"/>
        <v>1.6666666666666666E-2</v>
      </c>
      <c r="I416" s="120">
        <v>22.3535</v>
      </c>
      <c r="J416" s="121"/>
      <c r="K416" s="90"/>
      <c r="L416" s="121">
        <f>IF(ISNUMBER(I416),ROUND(E416*H416*I416,2),"")</f>
        <v>0.37</v>
      </c>
      <c r="M416" s="121">
        <f>IF(ISNUMBER(I416),ROUND(L416*30,2),"")</f>
        <v>11.1</v>
      </c>
      <c r="N416" s="91"/>
      <c r="O416" s="168"/>
    </row>
    <row r="417" spans="1:15" s="136" customFormat="1" x14ac:dyDescent="0.25">
      <c r="A417" s="150" t="s">
        <v>3843</v>
      </c>
      <c r="B417" s="151" t="s">
        <v>1570</v>
      </c>
      <c r="C417" s="137" t="s">
        <v>1571</v>
      </c>
      <c r="D417" s="138" t="s">
        <v>20</v>
      </c>
      <c r="E417" s="138">
        <v>1</v>
      </c>
      <c r="F417" s="138"/>
      <c r="G417" s="138">
        <v>5</v>
      </c>
      <c r="H417" s="90">
        <f t="shared" si="19"/>
        <v>1.6666666666666666E-2</v>
      </c>
      <c r="I417" s="120">
        <v>15.9</v>
      </c>
      <c r="J417" s="121"/>
      <c r="K417" s="90"/>
      <c r="L417" s="121">
        <f>IF(ISNUMBER(I417),ROUND(E417*H417*I417,2),"")</f>
        <v>0.27</v>
      </c>
      <c r="M417" s="121">
        <f>IF(ISNUMBER(I417),ROUND(L417*30,2),"")</f>
        <v>8.1</v>
      </c>
      <c r="N417" s="91"/>
      <c r="O417" s="168"/>
    </row>
    <row r="418" spans="1:15" s="136" customFormat="1" x14ac:dyDescent="0.25">
      <c r="A418" s="150" t="s">
        <v>3844</v>
      </c>
      <c r="B418" s="151" t="s">
        <v>1566</v>
      </c>
      <c r="C418" s="137" t="s">
        <v>1567</v>
      </c>
      <c r="D418" s="138" t="s">
        <v>20</v>
      </c>
      <c r="E418" s="138">
        <v>3</v>
      </c>
      <c r="F418" s="138"/>
      <c r="G418" s="138">
        <v>5</v>
      </c>
      <c r="H418" s="90">
        <f t="shared" si="19"/>
        <v>1.6666666666666666E-2</v>
      </c>
      <c r="I418" s="120">
        <v>20.082999999999998</v>
      </c>
      <c r="J418" s="121"/>
      <c r="K418" s="90"/>
      <c r="L418" s="121">
        <f>IF(ISNUMBER(I418),ROUND(E418*H418*I418,2),"")</f>
        <v>1</v>
      </c>
      <c r="M418" s="121">
        <f>IF(ISNUMBER(I418),ROUND(L418*30,2),"")</f>
        <v>30</v>
      </c>
      <c r="N418" s="91"/>
      <c r="O418" s="168"/>
    </row>
    <row r="419" spans="1:15" s="136" customFormat="1" x14ac:dyDescent="0.25">
      <c r="A419" s="150" t="s">
        <v>3845</v>
      </c>
      <c r="B419" s="151" t="s">
        <v>1529</v>
      </c>
      <c r="C419" s="137" t="s">
        <v>1530</v>
      </c>
      <c r="D419" s="138" t="s">
        <v>20</v>
      </c>
      <c r="E419" s="138">
        <v>1</v>
      </c>
      <c r="F419" s="138"/>
      <c r="G419" s="138">
        <v>5</v>
      </c>
      <c r="H419" s="90">
        <f t="shared" si="19"/>
        <v>1.6666666666666666E-2</v>
      </c>
      <c r="I419" s="120">
        <v>20.073499999999999</v>
      </c>
      <c r="J419" s="121"/>
      <c r="K419" s="90"/>
      <c r="L419" s="121">
        <f>IF(ISNUMBER(I419),ROUND(E419*H419*I419,2),"")</f>
        <v>0.33</v>
      </c>
      <c r="M419" s="121">
        <f>IF(ISNUMBER(I419),ROUND(L419*30,2),"")</f>
        <v>9.9</v>
      </c>
      <c r="N419" s="91"/>
      <c r="O419" s="168"/>
    </row>
    <row r="420" spans="1:15" s="136" customFormat="1" x14ac:dyDescent="0.25">
      <c r="A420" s="150" t="s">
        <v>3846</v>
      </c>
      <c r="B420" s="151" t="s">
        <v>1531</v>
      </c>
      <c r="C420" s="137" t="s">
        <v>2293</v>
      </c>
      <c r="D420" s="138" t="s">
        <v>20</v>
      </c>
      <c r="E420" s="138">
        <v>2</v>
      </c>
      <c r="F420" s="138"/>
      <c r="G420" s="138">
        <v>5</v>
      </c>
      <c r="H420" s="90">
        <f t="shared" si="19"/>
        <v>1.6666666666666666E-2</v>
      </c>
      <c r="I420" s="120">
        <v>31.900999999999996</v>
      </c>
      <c r="J420" s="121"/>
      <c r="K420" s="90"/>
      <c r="L420" s="121">
        <f>IF(ISNUMBER(I420),ROUND(E420*H420*I420,2),"")</f>
        <v>1.06</v>
      </c>
      <c r="M420" s="121">
        <f>IF(ISNUMBER(I420),ROUND(L420*30,2),"")</f>
        <v>31.8</v>
      </c>
      <c r="N420" s="91"/>
      <c r="O420" s="168"/>
    </row>
    <row r="421" spans="1:15" s="136" customFormat="1" x14ac:dyDescent="0.25">
      <c r="A421" s="150" t="s">
        <v>3847</v>
      </c>
      <c r="B421" s="151" t="s">
        <v>1612</v>
      </c>
      <c r="C421" s="137" t="s">
        <v>3395</v>
      </c>
      <c r="D421" s="138" t="s">
        <v>20</v>
      </c>
      <c r="E421" s="138">
        <v>1</v>
      </c>
      <c r="F421" s="138"/>
      <c r="G421" s="138">
        <v>5</v>
      </c>
      <c r="H421" s="90">
        <f t="shared" si="19"/>
        <v>1.6666666666666666E-2</v>
      </c>
      <c r="I421" s="120">
        <v>74.14</v>
      </c>
      <c r="J421" s="121"/>
      <c r="K421" s="90"/>
      <c r="L421" s="121">
        <f>IF(ISNUMBER(I421),ROUND(E421*H421*I421,2),"")</f>
        <v>1.24</v>
      </c>
      <c r="M421" s="121">
        <f>IF(ISNUMBER(I421),ROUND(L421*30,2),"")</f>
        <v>37.200000000000003</v>
      </c>
      <c r="N421" s="91"/>
      <c r="O421" s="168"/>
    </row>
    <row r="422" spans="1:15" s="136" customFormat="1" x14ac:dyDescent="0.25">
      <c r="A422" s="150" t="s">
        <v>3848</v>
      </c>
      <c r="B422" s="151" t="s">
        <v>1556</v>
      </c>
      <c r="C422" s="137" t="s">
        <v>3394</v>
      </c>
      <c r="D422" s="138" t="s">
        <v>20</v>
      </c>
      <c r="E422" s="138">
        <v>2</v>
      </c>
      <c r="F422" s="138"/>
      <c r="G422" s="138">
        <v>5</v>
      </c>
      <c r="H422" s="90">
        <f t="shared" si="19"/>
        <v>1.6666666666666666E-2</v>
      </c>
      <c r="I422" s="120">
        <v>98.84</v>
      </c>
      <c r="J422" s="121"/>
      <c r="K422" s="90"/>
      <c r="L422" s="121">
        <f>IF(ISNUMBER(I422),ROUND(E422*H422*I422,2),"")</f>
        <v>3.29</v>
      </c>
      <c r="M422" s="121">
        <f>IF(ISNUMBER(I422),ROUND(L422*30,2),"")</f>
        <v>98.7</v>
      </c>
      <c r="N422" s="91"/>
      <c r="O422" s="168"/>
    </row>
    <row r="423" spans="1:15" s="136" customFormat="1" x14ac:dyDescent="0.25">
      <c r="A423" s="150" t="s">
        <v>3849</v>
      </c>
      <c r="B423" s="151" t="s">
        <v>1618</v>
      </c>
      <c r="C423" s="137" t="s">
        <v>2300</v>
      </c>
      <c r="D423" s="138" t="s">
        <v>20</v>
      </c>
      <c r="E423" s="138">
        <v>4</v>
      </c>
      <c r="F423" s="138"/>
      <c r="G423" s="138">
        <v>5</v>
      </c>
      <c r="H423" s="90">
        <f t="shared" si="19"/>
        <v>1.6666666666666666E-2</v>
      </c>
      <c r="I423" s="120">
        <v>34.503999999999998</v>
      </c>
      <c r="J423" s="121"/>
      <c r="K423" s="90"/>
      <c r="L423" s="121">
        <f>IF(ISNUMBER(I423),ROUND(E423*H423*I423,2),"")</f>
        <v>2.2999999999999998</v>
      </c>
      <c r="M423" s="121">
        <f>IF(ISNUMBER(I423),ROUND(L423*30,2),"")</f>
        <v>69</v>
      </c>
      <c r="N423" s="91"/>
      <c r="O423" s="168"/>
    </row>
    <row r="424" spans="1:15" s="136" customFormat="1" x14ac:dyDescent="0.25">
      <c r="A424" s="150" t="s">
        <v>3850</v>
      </c>
      <c r="B424" s="151" t="s">
        <v>1542</v>
      </c>
      <c r="C424" s="137" t="s">
        <v>2294</v>
      </c>
      <c r="D424" s="138" t="s">
        <v>20</v>
      </c>
      <c r="E424" s="138">
        <v>2</v>
      </c>
      <c r="F424" s="138"/>
      <c r="G424" s="138">
        <v>5</v>
      </c>
      <c r="H424" s="90">
        <f t="shared" si="19"/>
        <v>1.6666666666666666E-2</v>
      </c>
      <c r="I424" s="120">
        <v>41</v>
      </c>
      <c r="J424" s="121"/>
      <c r="K424" s="90"/>
      <c r="L424" s="121">
        <f>IF(ISNUMBER(I424),ROUND(E424*H424*I424,2),"")</f>
        <v>1.37</v>
      </c>
      <c r="M424" s="121">
        <f>IF(ISNUMBER(I424),ROUND(L424*30,2),"")</f>
        <v>41.1</v>
      </c>
      <c r="N424" s="91"/>
      <c r="O424" s="168"/>
    </row>
    <row r="425" spans="1:15" s="136" customFormat="1" x14ac:dyDescent="0.25">
      <c r="A425" s="150" t="s">
        <v>3851</v>
      </c>
      <c r="B425" s="151" t="s">
        <v>1543</v>
      </c>
      <c r="C425" s="137" t="s">
        <v>1544</v>
      </c>
      <c r="D425" s="138" t="s">
        <v>20</v>
      </c>
      <c r="E425" s="138">
        <v>3</v>
      </c>
      <c r="F425" s="138"/>
      <c r="G425" s="138">
        <v>5</v>
      </c>
      <c r="H425" s="90">
        <f t="shared" si="19"/>
        <v>1.6666666666666666E-2</v>
      </c>
      <c r="I425" s="120">
        <v>61.8</v>
      </c>
      <c r="J425" s="121"/>
      <c r="K425" s="90"/>
      <c r="L425" s="121">
        <f>IF(ISNUMBER(I425),ROUND(E425*H425*I425,2),"")</f>
        <v>3.09</v>
      </c>
      <c r="M425" s="121">
        <f>IF(ISNUMBER(I425),ROUND(L425*30,2),"")</f>
        <v>92.7</v>
      </c>
      <c r="N425" s="91"/>
      <c r="O425" s="168"/>
    </row>
    <row r="426" spans="1:15" s="136" customFormat="1" x14ac:dyDescent="0.25">
      <c r="A426" s="150" t="s">
        <v>3852</v>
      </c>
      <c r="B426" s="151" t="s">
        <v>1605</v>
      </c>
      <c r="C426" s="137" t="s">
        <v>1606</v>
      </c>
      <c r="D426" s="138" t="s">
        <v>20</v>
      </c>
      <c r="E426" s="138">
        <v>2</v>
      </c>
      <c r="F426" s="138"/>
      <c r="G426" s="138">
        <v>5</v>
      </c>
      <c r="H426" s="90">
        <f t="shared" si="19"/>
        <v>1.6666666666666666E-2</v>
      </c>
      <c r="I426" s="120">
        <v>218.09</v>
      </c>
      <c r="J426" s="121"/>
      <c r="K426" s="90"/>
      <c r="L426" s="121">
        <f>IF(ISNUMBER(I426),ROUND(E426*H426*I426,2),"")</f>
        <v>7.27</v>
      </c>
      <c r="M426" s="121">
        <f>IF(ISNUMBER(I426),ROUND(L426*30,2),"")</f>
        <v>218.1</v>
      </c>
      <c r="N426" s="91"/>
      <c r="O426" s="168"/>
    </row>
    <row r="427" spans="1:15" s="136" customFormat="1" x14ac:dyDescent="0.25">
      <c r="A427" s="150" t="s">
        <v>3853</v>
      </c>
      <c r="B427" s="151" t="s">
        <v>1621</v>
      </c>
      <c r="C427" s="137" t="s">
        <v>1622</v>
      </c>
      <c r="D427" s="138" t="s">
        <v>1576</v>
      </c>
      <c r="E427" s="138">
        <v>2</v>
      </c>
      <c r="F427" s="138"/>
      <c r="G427" s="138">
        <v>5</v>
      </c>
      <c r="H427" s="90">
        <f t="shared" si="19"/>
        <v>1.6666666666666666E-2</v>
      </c>
      <c r="I427" s="120">
        <v>49.713499999999996</v>
      </c>
      <c r="J427" s="121"/>
      <c r="K427" s="90"/>
      <c r="L427" s="121">
        <f>IF(ISNUMBER(I427),ROUND(E427*H427*I427,2),"")</f>
        <v>1.66</v>
      </c>
      <c r="M427" s="121">
        <f>IF(ISNUMBER(I427),ROUND(L427*30,2),"")</f>
        <v>49.8</v>
      </c>
      <c r="N427" s="91"/>
      <c r="O427" s="168"/>
    </row>
    <row r="428" spans="1:15" s="136" customFormat="1" x14ac:dyDescent="0.25">
      <c r="A428" s="150" t="s">
        <v>3854</v>
      </c>
      <c r="B428" s="151" t="s">
        <v>1520</v>
      </c>
      <c r="C428" s="137" t="s">
        <v>1521</v>
      </c>
      <c r="D428" s="138" t="s">
        <v>20</v>
      </c>
      <c r="E428" s="138">
        <v>2</v>
      </c>
      <c r="F428" s="138"/>
      <c r="G428" s="138">
        <v>5</v>
      </c>
      <c r="H428" s="90">
        <f t="shared" si="19"/>
        <v>1.6666666666666666E-2</v>
      </c>
      <c r="I428" s="120">
        <v>57.79</v>
      </c>
      <c r="J428" s="121"/>
      <c r="K428" s="90"/>
      <c r="L428" s="121">
        <f>IF(ISNUMBER(I428),ROUND(E428*H428*I428,2),"")</f>
        <v>1.93</v>
      </c>
      <c r="M428" s="121">
        <f>IF(ISNUMBER(I428),ROUND(L428*30,2),"")</f>
        <v>57.9</v>
      </c>
      <c r="N428" s="91"/>
      <c r="O428" s="168"/>
    </row>
    <row r="429" spans="1:15" s="136" customFormat="1" x14ac:dyDescent="0.25">
      <c r="A429" s="150" t="s">
        <v>3855</v>
      </c>
      <c r="B429" s="151" t="s">
        <v>1525</v>
      </c>
      <c r="C429" s="137" t="s">
        <v>1526</v>
      </c>
      <c r="D429" s="138" t="s">
        <v>20</v>
      </c>
      <c r="E429" s="138">
        <v>4</v>
      </c>
      <c r="F429" s="138"/>
      <c r="G429" s="138">
        <v>5</v>
      </c>
      <c r="H429" s="90">
        <f t="shared" si="19"/>
        <v>1.6666666666666666E-2</v>
      </c>
      <c r="I429" s="120">
        <v>40.159999999999997</v>
      </c>
      <c r="J429" s="121"/>
      <c r="K429" s="90"/>
      <c r="L429" s="121">
        <f>IF(ISNUMBER(I429),ROUND(E429*H429*I429,2),"")</f>
        <v>2.68</v>
      </c>
      <c r="M429" s="121">
        <f>IF(ISNUMBER(I429),ROUND(L429*30,2),"")</f>
        <v>80.400000000000006</v>
      </c>
      <c r="N429" s="91"/>
      <c r="O429" s="168"/>
    </row>
    <row r="430" spans="1:15" s="136" customFormat="1" x14ac:dyDescent="0.25">
      <c r="A430" s="150" t="s">
        <v>3856</v>
      </c>
      <c r="B430" s="151" t="s">
        <v>1527</v>
      </c>
      <c r="C430" s="137" t="s">
        <v>1528</v>
      </c>
      <c r="D430" s="138" t="s">
        <v>20</v>
      </c>
      <c r="E430" s="138">
        <v>1</v>
      </c>
      <c r="F430" s="138"/>
      <c r="G430" s="138">
        <v>5</v>
      </c>
      <c r="H430" s="90">
        <f t="shared" si="19"/>
        <v>1.6666666666666666E-2</v>
      </c>
      <c r="I430" s="120">
        <v>29.3</v>
      </c>
      <c r="J430" s="121"/>
      <c r="K430" s="90"/>
      <c r="L430" s="121">
        <f>IF(ISNUMBER(I430),ROUND(E430*H430*I430,2),"")</f>
        <v>0.49</v>
      </c>
      <c r="M430" s="121">
        <f>IF(ISNUMBER(I430),ROUND(L430*30,2),"")</f>
        <v>14.7</v>
      </c>
      <c r="N430" s="91"/>
      <c r="O430" s="168"/>
    </row>
    <row r="431" spans="1:15" s="136" customFormat="1" x14ac:dyDescent="0.25">
      <c r="A431" s="150" t="s">
        <v>3857</v>
      </c>
      <c r="B431" s="151" t="s">
        <v>1631</v>
      </c>
      <c r="C431" s="137" t="s">
        <v>1632</v>
      </c>
      <c r="D431" s="138" t="s">
        <v>20</v>
      </c>
      <c r="E431" s="138">
        <v>2</v>
      </c>
      <c r="F431" s="138"/>
      <c r="G431" s="138">
        <v>5</v>
      </c>
      <c r="H431" s="90">
        <f t="shared" si="19"/>
        <v>1.6666666666666666E-2</v>
      </c>
      <c r="I431" s="120">
        <v>45.79</v>
      </c>
      <c r="J431" s="121"/>
      <c r="K431" s="90"/>
      <c r="L431" s="121">
        <f>IF(ISNUMBER(I431),ROUND(E431*H431*I431,2),"")</f>
        <v>1.53</v>
      </c>
      <c r="M431" s="121">
        <f>IF(ISNUMBER(I431),ROUND(L431*30,2),"")</f>
        <v>45.9</v>
      </c>
      <c r="N431" s="91"/>
      <c r="O431" s="168"/>
    </row>
    <row r="432" spans="1:15" s="136" customFormat="1" x14ac:dyDescent="0.25">
      <c r="A432" s="150" t="s">
        <v>3858</v>
      </c>
      <c r="B432" s="151" t="s">
        <v>1536</v>
      </c>
      <c r="C432" s="137" t="s">
        <v>1537</v>
      </c>
      <c r="D432" s="138" t="s">
        <v>20</v>
      </c>
      <c r="E432" s="138">
        <v>1</v>
      </c>
      <c r="F432" s="138"/>
      <c r="G432" s="138">
        <v>5</v>
      </c>
      <c r="H432" s="90">
        <f t="shared" si="19"/>
        <v>1.6666666666666666E-2</v>
      </c>
      <c r="I432" s="120">
        <v>45.85</v>
      </c>
      <c r="J432" s="121"/>
      <c r="K432" s="90"/>
      <c r="L432" s="121">
        <f>IF(ISNUMBER(I432),ROUND(E432*H432*I432,2),"")</f>
        <v>0.76</v>
      </c>
      <c r="M432" s="121">
        <f>IF(ISNUMBER(I432),ROUND(L432*30,2),"")</f>
        <v>22.8</v>
      </c>
      <c r="N432" s="91"/>
      <c r="O432" s="168"/>
    </row>
    <row r="433" spans="1:15" s="136" customFormat="1" x14ac:dyDescent="0.25">
      <c r="A433" s="150" t="s">
        <v>3859</v>
      </c>
      <c r="B433" s="151" t="s">
        <v>1615</v>
      </c>
      <c r="C433" s="137" t="s">
        <v>1616</v>
      </c>
      <c r="D433" s="138" t="s">
        <v>20</v>
      </c>
      <c r="E433" s="138">
        <v>1</v>
      </c>
      <c r="F433" s="138"/>
      <c r="G433" s="138">
        <v>5</v>
      </c>
      <c r="H433" s="90">
        <f t="shared" si="19"/>
        <v>1.6666666666666666E-2</v>
      </c>
      <c r="I433" s="120">
        <v>353.29</v>
      </c>
      <c r="J433" s="121"/>
      <c r="K433" s="90"/>
      <c r="L433" s="121">
        <f>IF(ISNUMBER(I433),ROUND(E433*H433*I433,2),"")</f>
        <v>5.89</v>
      </c>
      <c r="M433" s="121">
        <f>IF(ISNUMBER(I433),ROUND(L433*30,2),"")</f>
        <v>176.7</v>
      </c>
      <c r="N433" s="91"/>
      <c r="O433" s="168"/>
    </row>
    <row r="434" spans="1:15" s="136" customFormat="1" x14ac:dyDescent="0.25">
      <c r="A434" s="150" t="s">
        <v>3860</v>
      </c>
      <c r="B434" s="151" t="s">
        <v>1613</v>
      </c>
      <c r="C434" s="137" t="s">
        <v>1614</v>
      </c>
      <c r="D434" s="138" t="s">
        <v>20</v>
      </c>
      <c r="E434" s="138">
        <v>1</v>
      </c>
      <c r="F434" s="138"/>
      <c r="G434" s="138">
        <v>5</v>
      </c>
      <c r="H434" s="90">
        <f t="shared" si="19"/>
        <v>1.6666666666666666E-2</v>
      </c>
      <c r="I434" s="120">
        <v>173.03</v>
      </c>
      <c r="J434" s="121"/>
      <c r="K434" s="90"/>
      <c r="L434" s="121">
        <f>IF(ISNUMBER(I434),ROUND(E434*H434*I434,2),"")</f>
        <v>2.88</v>
      </c>
      <c r="M434" s="121">
        <f>IF(ISNUMBER(I434),ROUND(L434*30,2),"")</f>
        <v>86.4</v>
      </c>
      <c r="N434" s="91"/>
      <c r="O434" s="168"/>
    </row>
    <row r="435" spans="1:15" s="136" customFormat="1" x14ac:dyDescent="0.25">
      <c r="A435" s="150" t="s">
        <v>3861</v>
      </c>
      <c r="B435" s="151" t="s">
        <v>1545</v>
      </c>
      <c r="C435" s="137" t="s">
        <v>1546</v>
      </c>
      <c r="D435" s="138" t="s">
        <v>20</v>
      </c>
      <c r="E435" s="138">
        <v>3</v>
      </c>
      <c r="F435" s="138"/>
      <c r="G435" s="138">
        <v>5</v>
      </c>
      <c r="H435" s="90">
        <f t="shared" si="19"/>
        <v>1.6666666666666666E-2</v>
      </c>
      <c r="I435" s="120">
        <v>54.35</v>
      </c>
      <c r="J435" s="121"/>
      <c r="K435" s="90"/>
      <c r="L435" s="121">
        <f>IF(ISNUMBER(I435),ROUND(E435*H435*I435,2),"")</f>
        <v>2.72</v>
      </c>
      <c r="M435" s="121">
        <f>IF(ISNUMBER(I435),ROUND(L435*30,2),"")</f>
        <v>81.599999999999994</v>
      </c>
      <c r="N435" s="91"/>
      <c r="O435" s="168"/>
    </row>
    <row r="436" spans="1:15" s="136" customFormat="1" x14ac:dyDescent="0.25">
      <c r="A436" s="150" t="s">
        <v>3862</v>
      </c>
      <c r="B436" s="151" t="s">
        <v>1547</v>
      </c>
      <c r="C436" s="137" t="s">
        <v>1548</v>
      </c>
      <c r="D436" s="138" t="s">
        <v>20</v>
      </c>
      <c r="E436" s="138">
        <v>2</v>
      </c>
      <c r="F436" s="138"/>
      <c r="G436" s="138">
        <v>5</v>
      </c>
      <c r="H436" s="90">
        <f t="shared" si="19"/>
        <v>1.6666666666666666E-2</v>
      </c>
      <c r="I436" s="120">
        <v>22.82</v>
      </c>
      <c r="J436" s="121"/>
      <c r="K436" s="90"/>
      <c r="L436" s="121">
        <f>IF(ISNUMBER(I436),ROUND(E436*H436*I436,2),"")</f>
        <v>0.76</v>
      </c>
      <c r="M436" s="121">
        <f>IF(ISNUMBER(I436),ROUND(L436*30,2),"")</f>
        <v>22.8</v>
      </c>
      <c r="N436" s="91"/>
      <c r="O436" s="168"/>
    </row>
    <row r="437" spans="1:15" s="136" customFormat="1" x14ac:dyDescent="0.25">
      <c r="A437" s="150" t="s">
        <v>3863</v>
      </c>
      <c r="B437" s="151" t="s">
        <v>1549</v>
      </c>
      <c r="C437" s="137" t="s">
        <v>1550</v>
      </c>
      <c r="D437" s="138" t="s">
        <v>20</v>
      </c>
      <c r="E437" s="138">
        <v>3</v>
      </c>
      <c r="F437" s="138"/>
      <c r="G437" s="138">
        <v>5</v>
      </c>
      <c r="H437" s="90">
        <f t="shared" si="19"/>
        <v>1.6666666666666666E-2</v>
      </c>
      <c r="I437" s="120">
        <v>94.95</v>
      </c>
      <c r="J437" s="121"/>
      <c r="K437" s="90"/>
      <c r="L437" s="121">
        <f>IF(ISNUMBER(I437),ROUND(E437*H437*I437,2),"")</f>
        <v>4.75</v>
      </c>
      <c r="M437" s="121">
        <f>IF(ISNUMBER(I437),ROUND(L437*30,2),"")</f>
        <v>142.5</v>
      </c>
      <c r="N437" s="91"/>
      <c r="O437" s="168"/>
    </row>
    <row r="438" spans="1:15" s="136" customFormat="1" x14ac:dyDescent="0.25">
      <c r="A438" s="150" t="s">
        <v>3864</v>
      </c>
      <c r="B438" s="151" t="s">
        <v>1551</v>
      </c>
      <c r="C438" s="137" t="s">
        <v>1552</v>
      </c>
      <c r="D438" s="138" t="s">
        <v>20</v>
      </c>
      <c r="E438" s="138">
        <v>1</v>
      </c>
      <c r="F438" s="138"/>
      <c r="G438" s="138">
        <v>5</v>
      </c>
      <c r="H438" s="90">
        <f t="shared" si="19"/>
        <v>1.6666666666666666E-2</v>
      </c>
      <c r="I438" s="120">
        <v>40.346499999999999</v>
      </c>
      <c r="J438" s="121"/>
      <c r="K438" s="90"/>
      <c r="L438" s="121">
        <f>IF(ISNUMBER(I438),ROUND(E438*H438*I438,2),"")</f>
        <v>0.67</v>
      </c>
      <c r="M438" s="121">
        <f>IF(ISNUMBER(I438),ROUND(L438*30,2),"")</f>
        <v>20.100000000000001</v>
      </c>
      <c r="N438" s="91"/>
      <c r="O438" s="168"/>
    </row>
    <row r="439" spans="1:15" s="136" customFormat="1" x14ac:dyDescent="0.25">
      <c r="A439" s="150" t="s">
        <v>3865</v>
      </c>
      <c r="B439" s="151" t="s">
        <v>1553</v>
      </c>
      <c r="C439" s="137" t="s">
        <v>1554</v>
      </c>
      <c r="D439" s="138" t="s">
        <v>20</v>
      </c>
      <c r="E439" s="138">
        <v>1</v>
      </c>
      <c r="F439" s="138"/>
      <c r="G439" s="138">
        <v>5</v>
      </c>
      <c r="H439" s="90">
        <f t="shared" si="19"/>
        <v>1.6666666666666666E-2</v>
      </c>
      <c r="I439" s="120">
        <v>45.999000000000002</v>
      </c>
      <c r="J439" s="121"/>
      <c r="K439" s="90"/>
      <c r="L439" s="121">
        <f>IF(ISNUMBER(I439),ROUND(E439*H439*I439,2),"")</f>
        <v>0.77</v>
      </c>
      <c r="M439" s="121">
        <f>IF(ISNUMBER(I439),ROUND(L439*30,2),"")</f>
        <v>23.1</v>
      </c>
      <c r="N439" s="91"/>
      <c r="O439" s="168"/>
    </row>
    <row r="440" spans="1:15" s="136" customFormat="1" x14ac:dyDescent="0.25">
      <c r="A440" s="150" t="s">
        <v>3866</v>
      </c>
      <c r="B440" s="151" t="s">
        <v>1637</v>
      </c>
      <c r="C440" s="137" t="s">
        <v>1638</v>
      </c>
      <c r="D440" s="138" t="s">
        <v>20</v>
      </c>
      <c r="E440" s="138">
        <v>1</v>
      </c>
      <c r="F440" s="138"/>
      <c r="G440" s="138">
        <v>10</v>
      </c>
      <c r="H440" s="90">
        <f t="shared" si="19"/>
        <v>8.3333333333333332E-3</v>
      </c>
      <c r="I440" s="120">
        <v>413.7</v>
      </c>
      <c r="J440" s="121"/>
      <c r="K440" s="90"/>
      <c r="L440" s="121">
        <f>IF(ISNUMBER(I440),ROUND(E440*H440*I440,2),"")</f>
        <v>3.45</v>
      </c>
      <c r="M440" s="121">
        <f>IF(ISNUMBER(I440),ROUND(L440*30,2),"")</f>
        <v>103.5</v>
      </c>
      <c r="N440" s="91"/>
      <c r="O440" s="168"/>
    </row>
    <row r="441" spans="1:15" s="136" customFormat="1" x14ac:dyDescent="0.25">
      <c r="A441" s="150" t="s">
        <v>3867</v>
      </c>
      <c r="B441" s="151" t="s">
        <v>1639</v>
      </c>
      <c r="C441" s="137" t="s">
        <v>1640</v>
      </c>
      <c r="D441" s="138" t="s">
        <v>579</v>
      </c>
      <c r="E441" s="138">
        <v>2</v>
      </c>
      <c r="F441" s="138"/>
      <c r="G441" s="138">
        <v>5</v>
      </c>
      <c r="H441" s="90">
        <f t="shared" si="19"/>
        <v>1.6666666666666666E-2</v>
      </c>
      <c r="I441" s="120">
        <v>30.68</v>
      </c>
      <c r="J441" s="121"/>
      <c r="K441" s="90"/>
      <c r="L441" s="121">
        <f>IF(ISNUMBER(I441),ROUND(E441*H441*I441,2),"")</f>
        <v>1.02</v>
      </c>
      <c r="M441" s="121">
        <f>IF(ISNUMBER(I441),ROUND(L441*30,2),"")</f>
        <v>30.6</v>
      </c>
      <c r="N441" s="91"/>
      <c r="O441" s="168"/>
    </row>
    <row r="442" spans="1:15" s="136" customFormat="1" x14ac:dyDescent="0.25">
      <c r="A442" s="128" t="s">
        <v>3482</v>
      </c>
      <c r="B442" s="152"/>
      <c r="C442" s="153" t="s">
        <v>3456</v>
      </c>
      <c r="D442" s="154"/>
      <c r="E442" s="155" t="s">
        <v>522</v>
      </c>
      <c r="F442" s="154"/>
      <c r="G442" s="154"/>
      <c r="H442" s="154"/>
      <c r="I442" s="154"/>
      <c r="J442" s="129"/>
      <c r="K442" s="154"/>
      <c r="L442" s="154"/>
      <c r="M442" s="129">
        <f>SUBTOTAL(109,M443:M456)</f>
        <v>21839.399999999998</v>
      </c>
      <c r="N442" s="131"/>
      <c r="O442" s="169"/>
    </row>
    <row r="443" spans="1:15" s="136" customFormat="1" x14ac:dyDescent="0.25">
      <c r="A443" s="150" t="s">
        <v>3868</v>
      </c>
      <c r="B443" s="151" t="s">
        <v>3097</v>
      </c>
      <c r="C443" s="137" t="s">
        <v>3098</v>
      </c>
      <c r="D443" s="138" t="s">
        <v>20</v>
      </c>
      <c r="E443" s="138">
        <v>1</v>
      </c>
      <c r="F443" s="138"/>
      <c r="G443" s="138">
        <v>10</v>
      </c>
      <c r="H443" s="90">
        <f t="shared" si="19"/>
        <v>8.3333333333333332E-3</v>
      </c>
      <c r="I443" s="120">
        <v>5184.42</v>
      </c>
      <c r="J443" s="121"/>
      <c r="K443" s="90"/>
      <c r="L443" s="121">
        <f>IF(ISNUMBER(I443),ROUND(E443*H443*I443,2),"")</f>
        <v>43.2</v>
      </c>
      <c r="M443" s="121">
        <f>IF(ISNUMBER(I443),ROUND(L443*30,2),"")</f>
        <v>1296</v>
      </c>
      <c r="N443" s="91"/>
      <c r="O443" s="168"/>
    </row>
    <row r="444" spans="1:15" s="136" customFormat="1" x14ac:dyDescent="0.25">
      <c r="A444" s="150" t="s">
        <v>3869</v>
      </c>
      <c r="B444" s="151" t="s">
        <v>3137</v>
      </c>
      <c r="C444" s="137" t="s">
        <v>3138</v>
      </c>
      <c r="D444" s="138" t="s">
        <v>20</v>
      </c>
      <c r="E444" s="138">
        <v>1</v>
      </c>
      <c r="F444" s="138"/>
      <c r="G444" s="138">
        <v>10</v>
      </c>
      <c r="H444" s="90">
        <f t="shared" si="19"/>
        <v>8.3333333333333332E-3</v>
      </c>
      <c r="I444" s="120">
        <v>4500</v>
      </c>
      <c r="J444" s="121"/>
      <c r="K444" s="90"/>
      <c r="L444" s="121">
        <f>IF(ISNUMBER(I444),ROUND(E444*H444*I444,2),"")</f>
        <v>37.5</v>
      </c>
      <c r="M444" s="121">
        <f>IF(ISNUMBER(I444),ROUND(L444*30,2),"")</f>
        <v>1125</v>
      </c>
      <c r="N444" s="91"/>
      <c r="O444" s="168"/>
    </row>
    <row r="445" spans="1:15" s="136" customFormat="1" x14ac:dyDescent="0.25">
      <c r="A445" s="150" t="s">
        <v>3870</v>
      </c>
      <c r="B445" s="151" t="s">
        <v>3101</v>
      </c>
      <c r="C445" s="137" t="s">
        <v>3102</v>
      </c>
      <c r="D445" s="138" t="s">
        <v>20</v>
      </c>
      <c r="E445" s="138">
        <v>1</v>
      </c>
      <c r="F445" s="138"/>
      <c r="G445" s="138">
        <v>10</v>
      </c>
      <c r="H445" s="90">
        <f t="shared" si="19"/>
        <v>8.3333333333333332E-3</v>
      </c>
      <c r="I445" s="120">
        <v>2851.01</v>
      </c>
      <c r="J445" s="121"/>
      <c r="K445" s="90"/>
      <c r="L445" s="121">
        <f>IF(ISNUMBER(I445),ROUND(E445*H445*I445,2),"")</f>
        <v>23.76</v>
      </c>
      <c r="M445" s="121">
        <f>IF(ISNUMBER(I445),ROUND(L445*30,2),"")</f>
        <v>712.8</v>
      </c>
      <c r="N445" s="91"/>
      <c r="O445" s="168"/>
    </row>
    <row r="446" spans="1:15" s="136" customFormat="1" x14ac:dyDescent="0.25">
      <c r="A446" s="150" t="s">
        <v>3871</v>
      </c>
      <c r="B446" s="151" t="s">
        <v>2930</v>
      </c>
      <c r="C446" s="137" t="s">
        <v>2931</v>
      </c>
      <c r="D446" s="138" t="s">
        <v>20</v>
      </c>
      <c r="E446" s="138">
        <v>1</v>
      </c>
      <c r="F446" s="138"/>
      <c r="G446" s="138">
        <v>10</v>
      </c>
      <c r="H446" s="90">
        <f t="shared" si="19"/>
        <v>8.3333333333333332E-3</v>
      </c>
      <c r="I446" s="120">
        <v>4699.8999999999996</v>
      </c>
      <c r="J446" s="121"/>
      <c r="K446" s="90"/>
      <c r="L446" s="121">
        <f>IF(ISNUMBER(I446),ROUND(E446*H446*I446,2),"")</f>
        <v>39.17</v>
      </c>
      <c r="M446" s="121">
        <f>IF(ISNUMBER(I446),ROUND(L446*30,2),"")</f>
        <v>1175.0999999999999</v>
      </c>
      <c r="N446" s="91"/>
      <c r="O446" s="168"/>
    </row>
    <row r="447" spans="1:15" s="136" customFormat="1" x14ac:dyDescent="0.25">
      <c r="A447" s="150" t="s">
        <v>3872</v>
      </c>
      <c r="B447" s="151" t="s">
        <v>3189</v>
      </c>
      <c r="C447" s="137" t="s">
        <v>3873</v>
      </c>
      <c r="D447" s="138" t="s">
        <v>20</v>
      </c>
      <c r="E447" s="138">
        <v>5</v>
      </c>
      <c r="F447" s="138"/>
      <c r="G447" s="138">
        <v>5</v>
      </c>
      <c r="H447" s="90">
        <f t="shared" si="19"/>
        <v>1.6666666666666666E-2</v>
      </c>
      <c r="I447" s="120">
        <v>582.42999999999995</v>
      </c>
      <c r="J447" s="121"/>
      <c r="K447" s="90"/>
      <c r="L447" s="121">
        <f>IF(ISNUMBER(I447),ROUND(E447*H447*I447,2),"")</f>
        <v>48.54</v>
      </c>
      <c r="M447" s="121">
        <f>IF(ISNUMBER(I447),ROUND(L447*30,2),"")</f>
        <v>1456.2</v>
      </c>
      <c r="N447" s="91"/>
      <c r="O447" s="168"/>
    </row>
    <row r="448" spans="1:15" s="136" customFormat="1" x14ac:dyDescent="0.25">
      <c r="A448" s="150" t="s">
        <v>3874</v>
      </c>
      <c r="B448" s="151" t="s">
        <v>3187</v>
      </c>
      <c r="C448" s="137" t="s">
        <v>3875</v>
      </c>
      <c r="D448" s="138" t="s">
        <v>20</v>
      </c>
      <c r="E448" s="138">
        <v>5</v>
      </c>
      <c r="F448" s="138"/>
      <c r="G448" s="138">
        <v>5</v>
      </c>
      <c r="H448" s="90">
        <f t="shared" si="19"/>
        <v>1.6666666666666666E-2</v>
      </c>
      <c r="I448" s="120">
        <v>1175</v>
      </c>
      <c r="J448" s="121"/>
      <c r="K448" s="90"/>
      <c r="L448" s="121">
        <f>IF(ISNUMBER(I448),ROUND(E448*H448*I448,2),"")</f>
        <v>97.92</v>
      </c>
      <c r="M448" s="121">
        <f>IF(ISNUMBER(I448),ROUND(L448*30,2),"")</f>
        <v>2937.6</v>
      </c>
      <c r="N448" s="91"/>
      <c r="O448" s="168"/>
    </row>
    <row r="449" spans="1:15" s="136" customFormat="1" x14ac:dyDescent="0.25">
      <c r="A449" s="150" t="s">
        <v>3876</v>
      </c>
      <c r="B449" s="151" t="s">
        <v>3188</v>
      </c>
      <c r="C449" s="137" t="s">
        <v>3877</v>
      </c>
      <c r="D449" s="138" t="s">
        <v>20</v>
      </c>
      <c r="E449" s="138">
        <v>5</v>
      </c>
      <c r="F449" s="138"/>
      <c r="G449" s="138">
        <v>5</v>
      </c>
      <c r="H449" s="90">
        <f t="shared" si="19"/>
        <v>1.6666666666666666E-2</v>
      </c>
      <c r="I449" s="120">
        <v>3505.4</v>
      </c>
      <c r="J449" s="121"/>
      <c r="K449" s="90"/>
      <c r="L449" s="121">
        <f>IF(ISNUMBER(I449),ROUND(E449*H449*I449,2),"")</f>
        <v>292.12</v>
      </c>
      <c r="M449" s="121">
        <f>IF(ISNUMBER(I449),ROUND(L449*30,2),"")</f>
        <v>8763.6</v>
      </c>
      <c r="N449" s="91"/>
      <c r="O449" s="168"/>
    </row>
    <row r="450" spans="1:15" s="136" customFormat="1" x14ac:dyDescent="0.25">
      <c r="A450" s="150" t="s">
        <v>3878</v>
      </c>
      <c r="B450" s="151" t="s">
        <v>1644</v>
      </c>
      <c r="C450" s="137" t="s">
        <v>1645</v>
      </c>
      <c r="D450" s="138" t="s">
        <v>20</v>
      </c>
      <c r="E450" s="138">
        <v>1</v>
      </c>
      <c r="F450" s="138"/>
      <c r="G450" s="138">
        <v>10</v>
      </c>
      <c r="H450" s="90">
        <f t="shared" si="19"/>
        <v>8.3333333333333332E-3</v>
      </c>
      <c r="I450" s="120">
        <v>4549.53</v>
      </c>
      <c r="J450" s="121"/>
      <c r="K450" s="90"/>
      <c r="L450" s="121">
        <f>IF(ISNUMBER(I450),ROUND(E450*H450*I450,2),"")</f>
        <v>37.909999999999997</v>
      </c>
      <c r="M450" s="121">
        <f>IF(ISNUMBER(I450),ROUND(L450*30,2),"")</f>
        <v>1137.3</v>
      </c>
      <c r="N450" s="91"/>
      <c r="O450" s="168"/>
    </row>
    <row r="451" spans="1:15" s="136" customFormat="1" x14ac:dyDescent="0.25">
      <c r="A451" s="150" t="s">
        <v>3879</v>
      </c>
      <c r="B451" s="151" t="s">
        <v>1633</v>
      </c>
      <c r="C451" s="137" t="s">
        <v>1634</v>
      </c>
      <c r="D451" s="138" t="s">
        <v>20</v>
      </c>
      <c r="E451" s="138">
        <v>1</v>
      </c>
      <c r="F451" s="138"/>
      <c r="G451" s="138">
        <v>10</v>
      </c>
      <c r="H451" s="90">
        <f t="shared" si="19"/>
        <v>8.3333333333333332E-3</v>
      </c>
      <c r="I451" s="120">
        <v>1498.41</v>
      </c>
      <c r="J451" s="121"/>
      <c r="K451" s="90"/>
      <c r="L451" s="121">
        <f>IF(ISNUMBER(I451),ROUND(E451*H451*I451,2),"")</f>
        <v>12.49</v>
      </c>
      <c r="M451" s="121">
        <f>IF(ISNUMBER(I451),ROUND(L451*30,2),"")</f>
        <v>374.7</v>
      </c>
      <c r="N451" s="91"/>
      <c r="O451" s="168"/>
    </row>
    <row r="452" spans="1:15" s="136" customFormat="1" x14ac:dyDescent="0.25">
      <c r="A452" s="150" t="s">
        <v>3880</v>
      </c>
      <c r="B452" s="151" t="s">
        <v>1572</v>
      </c>
      <c r="C452" s="137" t="s">
        <v>1573</v>
      </c>
      <c r="D452" s="138" t="s">
        <v>20</v>
      </c>
      <c r="E452" s="138">
        <v>1</v>
      </c>
      <c r="F452" s="138"/>
      <c r="G452" s="138">
        <v>10</v>
      </c>
      <c r="H452" s="90">
        <f t="shared" si="19"/>
        <v>8.3333333333333332E-3</v>
      </c>
      <c r="I452" s="120">
        <v>7117.61</v>
      </c>
      <c r="J452" s="121"/>
      <c r="K452" s="90"/>
      <c r="L452" s="121">
        <f>IF(ISNUMBER(I452),ROUND(E452*H452*I452,2),"")</f>
        <v>59.31</v>
      </c>
      <c r="M452" s="121">
        <f>IF(ISNUMBER(I452),ROUND(L452*30,2),"")</f>
        <v>1779.3</v>
      </c>
      <c r="N452" s="91"/>
      <c r="O452" s="168"/>
    </row>
    <row r="453" spans="1:15" s="136" customFormat="1" x14ac:dyDescent="0.25">
      <c r="A453" s="150" t="s">
        <v>3881</v>
      </c>
      <c r="B453" s="151" t="s">
        <v>1637</v>
      </c>
      <c r="C453" s="137" t="s">
        <v>1638</v>
      </c>
      <c r="D453" s="138" t="s">
        <v>20</v>
      </c>
      <c r="E453" s="138">
        <v>1</v>
      </c>
      <c r="F453" s="138"/>
      <c r="G453" s="138">
        <v>10</v>
      </c>
      <c r="H453" s="90">
        <f t="shared" si="19"/>
        <v>8.3333333333333332E-3</v>
      </c>
      <c r="I453" s="120">
        <v>413.7</v>
      </c>
      <c r="J453" s="121"/>
      <c r="K453" s="90"/>
      <c r="L453" s="121">
        <f>IF(ISNUMBER(I453),ROUND(E453*H453*I453,2),"")</f>
        <v>3.45</v>
      </c>
      <c r="M453" s="121">
        <f>IF(ISNUMBER(I453),ROUND(L453*30,2),"")</f>
        <v>103.5</v>
      </c>
      <c r="N453" s="91"/>
      <c r="O453" s="168"/>
    </row>
    <row r="454" spans="1:15" s="136" customFormat="1" x14ac:dyDescent="0.25">
      <c r="A454" s="150" t="s">
        <v>3882</v>
      </c>
      <c r="B454" s="151" t="s">
        <v>1523</v>
      </c>
      <c r="C454" s="137" t="s">
        <v>1524</v>
      </c>
      <c r="D454" s="138" t="s">
        <v>20</v>
      </c>
      <c r="E454" s="138">
        <v>1</v>
      </c>
      <c r="F454" s="138"/>
      <c r="G454" s="138">
        <v>10</v>
      </c>
      <c r="H454" s="90">
        <f t="shared" si="19"/>
        <v>8.3333333333333332E-3</v>
      </c>
      <c r="I454" s="120">
        <v>367.23</v>
      </c>
      <c r="J454" s="121"/>
      <c r="K454" s="90"/>
      <c r="L454" s="121">
        <f>IF(ISNUMBER(I454),ROUND(E454*H454*I454,2),"")</f>
        <v>3.06</v>
      </c>
      <c r="M454" s="121">
        <f>IF(ISNUMBER(I454),ROUND(L454*30,2),"")</f>
        <v>91.8</v>
      </c>
      <c r="N454" s="91"/>
      <c r="O454" s="168"/>
    </row>
    <row r="455" spans="1:15" s="136" customFormat="1" x14ac:dyDescent="0.25">
      <c r="A455" s="150" t="s">
        <v>3883</v>
      </c>
      <c r="B455" s="151" t="s">
        <v>1532</v>
      </c>
      <c r="C455" s="137" t="s">
        <v>1533</v>
      </c>
      <c r="D455" s="138" t="s">
        <v>20</v>
      </c>
      <c r="E455" s="138">
        <v>1</v>
      </c>
      <c r="F455" s="138"/>
      <c r="G455" s="138">
        <v>10</v>
      </c>
      <c r="H455" s="90">
        <f t="shared" si="19"/>
        <v>8.3333333333333332E-3</v>
      </c>
      <c r="I455" s="120">
        <v>2946.69</v>
      </c>
      <c r="J455" s="121"/>
      <c r="K455" s="90"/>
      <c r="L455" s="121">
        <f>IF(ISNUMBER(I455),ROUND(E455*H455*I455,2),"")</f>
        <v>24.56</v>
      </c>
      <c r="M455" s="121">
        <f>IF(ISNUMBER(I455),ROUND(L455*30,2),"")</f>
        <v>736.8</v>
      </c>
      <c r="N455" s="91"/>
      <c r="O455" s="168"/>
    </row>
    <row r="456" spans="1:15" s="136" customFormat="1" x14ac:dyDescent="0.25">
      <c r="A456" s="150" t="s">
        <v>3884</v>
      </c>
      <c r="B456" s="151" t="s">
        <v>1628</v>
      </c>
      <c r="C456" s="137" t="s">
        <v>1629</v>
      </c>
      <c r="D456" s="138" t="s">
        <v>20</v>
      </c>
      <c r="E456" s="138">
        <v>2</v>
      </c>
      <c r="F456" s="138"/>
      <c r="G456" s="138">
        <v>10</v>
      </c>
      <c r="H456" s="90">
        <f t="shared" si="19"/>
        <v>8.3333333333333332E-3</v>
      </c>
      <c r="I456" s="120">
        <v>299.20999999999998</v>
      </c>
      <c r="J456" s="121"/>
      <c r="K456" s="90"/>
      <c r="L456" s="121">
        <f>IF(ISNUMBER(I456),ROUND(E456*H456*I456,2),"")</f>
        <v>4.99</v>
      </c>
      <c r="M456" s="121">
        <f>IF(ISNUMBER(I456),ROUND(L456*30,2),"")</f>
        <v>149.69999999999999</v>
      </c>
      <c r="N456" s="91"/>
      <c r="O456" s="168"/>
    </row>
    <row r="457" spans="1:15" s="136" customFormat="1" x14ac:dyDescent="0.25">
      <c r="A457" s="128" t="s">
        <v>3483</v>
      </c>
      <c r="B457" s="152"/>
      <c r="C457" s="153" t="s">
        <v>3457</v>
      </c>
      <c r="D457" s="154"/>
      <c r="E457" s="155" t="s">
        <v>522</v>
      </c>
      <c r="F457" s="154"/>
      <c r="G457" s="154"/>
      <c r="H457" s="154"/>
      <c r="I457" s="154"/>
      <c r="J457" s="129"/>
      <c r="K457" s="154"/>
      <c r="L457" s="154"/>
      <c r="M457" s="129">
        <f>SUBTOTAL(109,M458:M467)</f>
        <v>9005.4</v>
      </c>
      <c r="N457" s="131"/>
      <c r="O457" s="169"/>
    </row>
    <row r="458" spans="1:15" s="136" customFormat="1" x14ac:dyDescent="0.25">
      <c r="A458" s="150" t="s">
        <v>3885</v>
      </c>
      <c r="B458" s="151" t="s">
        <v>3165</v>
      </c>
      <c r="C458" s="137" t="s">
        <v>3166</v>
      </c>
      <c r="D458" s="138" t="s">
        <v>20</v>
      </c>
      <c r="E458" s="138">
        <v>1</v>
      </c>
      <c r="F458" s="138"/>
      <c r="G458" s="138">
        <v>10</v>
      </c>
      <c r="H458" s="90">
        <f t="shared" si="19"/>
        <v>8.3333333333333332E-3</v>
      </c>
      <c r="I458" s="120">
        <v>636.5</v>
      </c>
      <c r="J458" s="121"/>
      <c r="K458" s="90"/>
      <c r="L458" s="121">
        <f>IF(ISNUMBER(I458),ROUND(E458*H458*I458,2),"")</f>
        <v>5.3</v>
      </c>
      <c r="M458" s="121">
        <f>IF(ISNUMBER(I458),ROUND(L458*30,2),"")</f>
        <v>159</v>
      </c>
      <c r="N458" s="91"/>
      <c r="O458" s="168"/>
    </row>
    <row r="459" spans="1:15" s="136" customFormat="1" x14ac:dyDescent="0.25">
      <c r="A459" s="150" t="s">
        <v>3886</v>
      </c>
      <c r="B459" s="151" t="s">
        <v>2241</v>
      </c>
      <c r="C459" s="137" t="s">
        <v>2073</v>
      </c>
      <c r="D459" s="138" t="s">
        <v>20</v>
      </c>
      <c r="E459" s="138">
        <v>2</v>
      </c>
      <c r="F459" s="138"/>
      <c r="G459" s="138">
        <v>10</v>
      </c>
      <c r="H459" s="90">
        <f t="shared" si="19"/>
        <v>8.3333333333333332E-3</v>
      </c>
      <c r="I459" s="120">
        <v>621.75</v>
      </c>
      <c r="J459" s="121"/>
      <c r="K459" s="90"/>
      <c r="L459" s="121">
        <f>IF(ISNUMBER(I459),ROUND(E459*H459*I459,2),"")</f>
        <v>10.36</v>
      </c>
      <c r="M459" s="121">
        <f>IF(ISNUMBER(I459),ROUND(L459*30,2),"")</f>
        <v>310.8</v>
      </c>
      <c r="N459" s="91"/>
      <c r="O459" s="168"/>
    </row>
    <row r="460" spans="1:15" s="136" customFormat="1" x14ac:dyDescent="0.25">
      <c r="A460" s="150" t="s">
        <v>3887</v>
      </c>
      <c r="B460" s="151" t="s">
        <v>1597</v>
      </c>
      <c r="C460" s="137" t="s">
        <v>2296</v>
      </c>
      <c r="D460" s="138" t="s">
        <v>20</v>
      </c>
      <c r="E460" s="138">
        <v>1</v>
      </c>
      <c r="F460" s="138"/>
      <c r="G460" s="138">
        <v>10</v>
      </c>
      <c r="H460" s="90">
        <f t="shared" si="19"/>
        <v>8.3333333333333332E-3</v>
      </c>
      <c r="I460" s="120">
        <v>9526.6200000000008</v>
      </c>
      <c r="J460" s="121"/>
      <c r="K460" s="90"/>
      <c r="L460" s="121">
        <f>IF(ISNUMBER(I460),ROUND(E460*H460*I460,2),"")</f>
        <v>79.39</v>
      </c>
      <c r="M460" s="121">
        <f>IF(ISNUMBER(I460),ROUND(L460*30,2),"")</f>
        <v>2381.6999999999998</v>
      </c>
      <c r="N460" s="91"/>
      <c r="O460" s="168"/>
    </row>
    <row r="461" spans="1:15" s="136" customFormat="1" x14ac:dyDescent="0.25">
      <c r="A461" s="150" t="s">
        <v>3888</v>
      </c>
      <c r="B461" s="151" t="s">
        <v>3169</v>
      </c>
      <c r="C461" s="137" t="s">
        <v>3170</v>
      </c>
      <c r="D461" s="138" t="s">
        <v>20</v>
      </c>
      <c r="E461" s="138">
        <v>1</v>
      </c>
      <c r="F461" s="138"/>
      <c r="G461" s="138">
        <v>10</v>
      </c>
      <c r="H461" s="90">
        <f t="shared" si="19"/>
        <v>8.3333333333333332E-3</v>
      </c>
      <c r="I461" s="120">
        <v>153.9</v>
      </c>
      <c r="J461" s="121"/>
      <c r="K461" s="90"/>
      <c r="L461" s="121">
        <f>IF(ISNUMBER(I461),ROUND(E461*H461*I461,2),"")</f>
        <v>1.28</v>
      </c>
      <c r="M461" s="121">
        <f>IF(ISNUMBER(I461),ROUND(L461*30,2),"")</f>
        <v>38.4</v>
      </c>
      <c r="N461" s="91"/>
      <c r="O461" s="168"/>
    </row>
    <row r="462" spans="1:15" s="136" customFormat="1" ht="25.5" x14ac:dyDescent="0.25">
      <c r="A462" s="150" t="s">
        <v>3889</v>
      </c>
      <c r="B462" s="151" t="s">
        <v>3099</v>
      </c>
      <c r="C462" s="137" t="s">
        <v>3100</v>
      </c>
      <c r="D462" s="138" t="s">
        <v>20</v>
      </c>
      <c r="E462" s="138">
        <v>1</v>
      </c>
      <c r="F462" s="138"/>
      <c r="G462" s="138">
        <v>10</v>
      </c>
      <c r="H462" s="90">
        <f t="shared" si="19"/>
        <v>8.3333333333333332E-3</v>
      </c>
      <c r="I462" s="120">
        <v>4814</v>
      </c>
      <c r="J462" s="121"/>
      <c r="K462" s="90"/>
      <c r="L462" s="121">
        <f>IF(ISNUMBER(I462),ROUND(E462*H462*I462,2),"")</f>
        <v>40.119999999999997</v>
      </c>
      <c r="M462" s="121">
        <f>IF(ISNUMBER(I462),ROUND(L462*30,2),"")</f>
        <v>1203.5999999999999</v>
      </c>
      <c r="N462" s="91"/>
      <c r="O462" s="168"/>
    </row>
    <row r="463" spans="1:15" s="136" customFormat="1" x14ac:dyDescent="0.25">
      <c r="A463" s="150" t="s">
        <v>3890</v>
      </c>
      <c r="B463" s="151" t="s">
        <v>2244</v>
      </c>
      <c r="C463" s="137" t="s">
        <v>2076</v>
      </c>
      <c r="D463" s="138" t="s">
        <v>20</v>
      </c>
      <c r="E463" s="138">
        <v>1</v>
      </c>
      <c r="F463" s="138"/>
      <c r="G463" s="138">
        <v>10</v>
      </c>
      <c r="H463" s="90">
        <f t="shared" si="19"/>
        <v>8.3333333333333332E-3</v>
      </c>
      <c r="I463" s="120">
        <v>5066.28</v>
      </c>
      <c r="J463" s="121"/>
      <c r="K463" s="90"/>
      <c r="L463" s="121">
        <f>IF(ISNUMBER(I463),ROUND(E463*H463*I463,2),"")</f>
        <v>42.22</v>
      </c>
      <c r="M463" s="121">
        <f>IF(ISNUMBER(I463),ROUND(L463*30,2),"")</f>
        <v>1266.5999999999999</v>
      </c>
      <c r="N463" s="91"/>
      <c r="O463" s="168"/>
    </row>
    <row r="464" spans="1:15" s="136" customFormat="1" x14ac:dyDescent="0.25">
      <c r="A464" s="150" t="s">
        <v>3891</v>
      </c>
      <c r="B464" s="151" t="s">
        <v>2242</v>
      </c>
      <c r="C464" s="137" t="s">
        <v>2074</v>
      </c>
      <c r="D464" s="138" t="s">
        <v>20</v>
      </c>
      <c r="E464" s="138">
        <v>2</v>
      </c>
      <c r="F464" s="138"/>
      <c r="G464" s="138">
        <v>10</v>
      </c>
      <c r="H464" s="90">
        <f t="shared" si="19"/>
        <v>8.3333333333333332E-3</v>
      </c>
      <c r="I464" s="120">
        <v>321.17</v>
      </c>
      <c r="J464" s="121"/>
      <c r="K464" s="90"/>
      <c r="L464" s="121">
        <f>IF(ISNUMBER(I464),ROUND(E464*H464*I464,2),"")</f>
        <v>5.35</v>
      </c>
      <c r="M464" s="121">
        <f>IF(ISNUMBER(I464),ROUND(L464*30,2),"")</f>
        <v>160.5</v>
      </c>
      <c r="N464" s="91"/>
      <c r="O464" s="168"/>
    </row>
    <row r="465" spans="1:15" s="136" customFormat="1" x14ac:dyDescent="0.25">
      <c r="A465" s="150" t="s">
        <v>3892</v>
      </c>
      <c r="B465" s="151" t="s">
        <v>1559</v>
      </c>
      <c r="C465" s="137" t="s">
        <v>3396</v>
      </c>
      <c r="D465" s="138" t="s">
        <v>20</v>
      </c>
      <c r="E465" s="138">
        <v>5</v>
      </c>
      <c r="F465" s="138"/>
      <c r="G465" s="138">
        <v>5</v>
      </c>
      <c r="H465" s="90">
        <f t="shared" si="19"/>
        <v>1.6666666666666666E-2</v>
      </c>
      <c r="I465" s="120">
        <v>27.77</v>
      </c>
      <c r="J465" s="121"/>
      <c r="K465" s="90"/>
      <c r="L465" s="121">
        <f>IF(ISNUMBER(I465),ROUND(E465*H465*I465,2),"")</f>
        <v>2.31</v>
      </c>
      <c r="M465" s="121">
        <f>IF(ISNUMBER(I465),ROUND(L465*30,2),"")</f>
        <v>69.3</v>
      </c>
      <c r="N465" s="91"/>
      <c r="O465" s="168"/>
    </row>
    <row r="466" spans="1:15" s="136" customFormat="1" x14ac:dyDescent="0.25">
      <c r="A466" s="150" t="s">
        <v>3893</v>
      </c>
      <c r="B466" s="151" t="s">
        <v>2243</v>
      </c>
      <c r="C466" s="137" t="s">
        <v>2075</v>
      </c>
      <c r="D466" s="138" t="s">
        <v>20</v>
      </c>
      <c r="E466" s="138">
        <v>2</v>
      </c>
      <c r="F466" s="138"/>
      <c r="G466" s="138">
        <v>5</v>
      </c>
      <c r="H466" s="90">
        <f t="shared" si="19"/>
        <v>1.6666666666666666E-2</v>
      </c>
      <c r="I466" s="120">
        <v>59.46</v>
      </c>
      <c r="J466" s="121"/>
      <c r="K466" s="90"/>
      <c r="L466" s="121">
        <f>IF(ISNUMBER(I466),ROUND(E466*H466*I466,2),"")</f>
        <v>1.98</v>
      </c>
      <c r="M466" s="121">
        <f>IF(ISNUMBER(I466),ROUND(L466*30,2),"")</f>
        <v>59.4</v>
      </c>
      <c r="N466" s="91"/>
      <c r="O466" s="168"/>
    </row>
    <row r="467" spans="1:15" s="136" customFormat="1" x14ac:dyDescent="0.25">
      <c r="A467" s="150" t="s">
        <v>3894</v>
      </c>
      <c r="B467" s="151" t="s">
        <v>3171</v>
      </c>
      <c r="C467" s="137" t="s">
        <v>3172</v>
      </c>
      <c r="D467" s="138" t="s">
        <v>20</v>
      </c>
      <c r="E467" s="138">
        <v>1</v>
      </c>
      <c r="F467" s="138"/>
      <c r="G467" s="138">
        <v>10</v>
      </c>
      <c r="H467" s="90">
        <f t="shared" si="19"/>
        <v>8.3333333333333332E-3</v>
      </c>
      <c r="I467" s="120">
        <v>13423.95</v>
      </c>
      <c r="J467" s="121"/>
      <c r="K467" s="90"/>
      <c r="L467" s="121">
        <f>IF(ISNUMBER(I467),ROUND(E467*H467*I467,2),"")</f>
        <v>111.87</v>
      </c>
      <c r="M467" s="121">
        <f>IF(ISNUMBER(I467),ROUND(L467*30,2),"")</f>
        <v>3356.1</v>
      </c>
      <c r="N467" s="91"/>
      <c r="O467" s="168"/>
    </row>
    <row r="468" spans="1:15" s="136" customFormat="1" x14ac:dyDescent="0.25">
      <c r="A468" s="128" t="s">
        <v>3484</v>
      </c>
      <c r="B468" s="152"/>
      <c r="C468" s="153" t="s">
        <v>3458</v>
      </c>
      <c r="D468" s="154"/>
      <c r="E468" s="155" t="s">
        <v>522</v>
      </c>
      <c r="F468" s="154"/>
      <c r="G468" s="154"/>
      <c r="H468" s="154"/>
      <c r="I468" s="154"/>
      <c r="J468" s="129"/>
      <c r="K468" s="154"/>
      <c r="L468" s="154"/>
      <c r="M468" s="129">
        <f>SUBTOTAL(109,M469:M470)</f>
        <v>2253</v>
      </c>
      <c r="N468" s="131"/>
      <c r="O468" s="169"/>
    </row>
    <row r="469" spans="1:15" s="136" customFormat="1" x14ac:dyDescent="0.25">
      <c r="A469" s="150" t="s">
        <v>3895</v>
      </c>
      <c r="B469" s="151" t="s">
        <v>1560</v>
      </c>
      <c r="C469" s="137" t="s">
        <v>1561</v>
      </c>
      <c r="D469" s="138" t="s">
        <v>20</v>
      </c>
      <c r="E469" s="138">
        <v>2</v>
      </c>
      <c r="F469" s="138"/>
      <c r="G469" s="138">
        <v>5</v>
      </c>
      <c r="H469" s="90">
        <f t="shared" si="19"/>
        <v>1.6666666666666666E-2</v>
      </c>
      <c r="I469" s="120">
        <v>1576.66</v>
      </c>
      <c r="J469" s="121"/>
      <c r="K469" s="90"/>
      <c r="L469" s="121">
        <f>IF(ISNUMBER(I469),ROUND(E469*H469*I469,2),"")</f>
        <v>52.56</v>
      </c>
      <c r="M469" s="121">
        <f>IF(ISNUMBER(I469),ROUND(L469*30,2),"")</f>
        <v>1576.8</v>
      </c>
      <c r="N469" s="91"/>
      <c r="O469" s="168"/>
    </row>
    <row r="470" spans="1:15" s="136" customFormat="1" x14ac:dyDescent="0.25">
      <c r="A470" s="150" t="s">
        <v>3896</v>
      </c>
      <c r="B470" s="151" t="s">
        <v>1562</v>
      </c>
      <c r="C470" s="137" t="s">
        <v>1563</v>
      </c>
      <c r="D470" s="138" t="s">
        <v>20</v>
      </c>
      <c r="E470" s="138">
        <v>1</v>
      </c>
      <c r="F470" s="138"/>
      <c r="G470" s="138">
        <v>10</v>
      </c>
      <c r="H470" s="90">
        <f t="shared" si="19"/>
        <v>8.3333333333333332E-3</v>
      </c>
      <c r="I470" s="120">
        <v>2705.23</v>
      </c>
      <c r="J470" s="121"/>
      <c r="K470" s="90"/>
      <c r="L470" s="121">
        <f>IF(ISNUMBER(I470),ROUND(E470*H470*I470,2),"")</f>
        <v>22.54</v>
      </c>
      <c r="M470" s="121">
        <f>IF(ISNUMBER(I470),ROUND(L470*30,2),"")</f>
        <v>676.2</v>
      </c>
      <c r="N470" s="91"/>
      <c r="O470" s="168"/>
    </row>
    <row r="471" spans="1:15" s="136" customFormat="1" x14ac:dyDescent="0.25">
      <c r="A471" s="128" t="s">
        <v>3485</v>
      </c>
      <c r="B471" s="152"/>
      <c r="C471" s="153" t="s">
        <v>3459</v>
      </c>
      <c r="D471" s="154"/>
      <c r="E471" s="155" t="s">
        <v>522</v>
      </c>
      <c r="F471" s="154"/>
      <c r="G471" s="154"/>
      <c r="H471" s="154"/>
      <c r="I471" s="154"/>
      <c r="J471" s="129"/>
      <c r="K471" s="154"/>
      <c r="L471" s="154"/>
      <c r="M471" s="129">
        <f>SUBTOTAL(109,M472:M515)</f>
        <v>16317.599999999999</v>
      </c>
      <c r="N471" s="131"/>
      <c r="O471" s="169"/>
    </row>
    <row r="472" spans="1:15" s="136" customFormat="1" x14ac:dyDescent="0.25">
      <c r="A472" s="150" t="s">
        <v>3897</v>
      </c>
      <c r="B472" s="151" t="s">
        <v>3105</v>
      </c>
      <c r="C472" s="137" t="s">
        <v>3106</v>
      </c>
      <c r="D472" s="138" t="s">
        <v>20</v>
      </c>
      <c r="E472" s="138">
        <v>4</v>
      </c>
      <c r="F472" s="138"/>
      <c r="G472" s="138">
        <v>5</v>
      </c>
      <c r="H472" s="90">
        <f t="shared" si="19"/>
        <v>1.6666666666666666E-2</v>
      </c>
      <c r="I472" s="120">
        <v>537.1</v>
      </c>
      <c r="J472" s="121"/>
      <c r="K472" s="90"/>
      <c r="L472" s="121">
        <f>IF(ISNUMBER(I472),ROUND(E472*H472*I472,2),"")</f>
        <v>35.81</v>
      </c>
      <c r="M472" s="121">
        <f>IF(ISNUMBER(I472),ROUND(L472*30,2),"")</f>
        <v>1074.3</v>
      </c>
      <c r="N472" s="91"/>
      <c r="O472" s="168"/>
    </row>
    <row r="473" spans="1:15" s="136" customFormat="1" x14ac:dyDescent="0.25">
      <c r="A473" s="150" t="s">
        <v>3898</v>
      </c>
      <c r="B473" s="151" t="s">
        <v>3103</v>
      </c>
      <c r="C473" s="137" t="s">
        <v>3104</v>
      </c>
      <c r="D473" s="138" t="s">
        <v>20</v>
      </c>
      <c r="E473" s="138">
        <v>6</v>
      </c>
      <c r="F473" s="138"/>
      <c r="G473" s="138">
        <v>5</v>
      </c>
      <c r="H473" s="90">
        <f t="shared" si="19"/>
        <v>1.6666666666666666E-2</v>
      </c>
      <c r="I473" s="120">
        <v>131.41999999999999</v>
      </c>
      <c r="J473" s="121"/>
      <c r="K473" s="90"/>
      <c r="L473" s="121">
        <f>IF(ISNUMBER(I473),ROUND(E473*H473*I473,2),"")</f>
        <v>13.14</v>
      </c>
      <c r="M473" s="121">
        <f>IF(ISNUMBER(I473),ROUND(L473*30,2),"")</f>
        <v>394.2</v>
      </c>
      <c r="N473" s="91"/>
      <c r="O473" s="168"/>
    </row>
    <row r="474" spans="1:15" s="136" customFormat="1" x14ac:dyDescent="0.25">
      <c r="A474" s="150" t="s">
        <v>3899</v>
      </c>
      <c r="B474" s="151" t="s">
        <v>3135</v>
      </c>
      <c r="C474" s="137" t="s">
        <v>3136</v>
      </c>
      <c r="D474" s="138" t="s">
        <v>20</v>
      </c>
      <c r="E474" s="138">
        <v>1</v>
      </c>
      <c r="F474" s="138"/>
      <c r="G474" s="138">
        <v>5</v>
      </c>
      <c r="H474" s="90">
        <f t="shared" ref="H474:H518" si="20">IF(ISNUMBER(G474),1/(G474*12),"")</f>
        <v>1.6666666666666666E-2</v>
      </c>
      <c r="I474" s="120">
        <v>209.9</v>
      </c>
      <c r="J474" s="121"/>
      <c r="K474" s="90"/>
      <c r="L474" s="121">
        <f>IF(ISNUMBER(I474),ROUND(E474*H474*I474,2),"")</f>
        <v>3.5</v>
      </c>
      <c r="M474" s="121">
        <f>IF(ISNUMBER(I474),ROUND(L474*30,2),"")</f>
        <v>105</v>
      </c>
      <c r="N474" s="91"/>
      <c r="O474" s="168"/>
    </row>
    <row r="475" spans="1:15" s="136" customFormat="1" x14ac:dyDescent="0.25">
      <c r="A475" s="150" t="s">
        <v>3900</v>
      </c>
      <c r="B475" s="151" t="s">
        <v>3133</v>
      </c>
      <c r="C475" s="137" t="s">
        <v>3134</v>
      </c>
      <c r="D475" s="138" t="s">
        <v>20</v>
      </c>
      <c r="E475" s="138">
        <v>1</v>
      </c>
      <c r="F475" s="138"/>
      <c r="G475" s="138">
        <v>5</v>
      </c>
      <c r="H475" s="90">
        <f t="shared" si="20"/>
        <v>1.6666666666666666E-2</v>
      </c>
      <c r="I475" s="120">
        <v>429.01</v>
      </c>
      <c r="J475" s="121"/>
      <c r="K475" s="90"/>
      <c r="L475" s="121">
        <f>IF(ISNUMBER(I475),ROUND(E475*H475*I475,2),"")</f>
        <v>7.15</v>
      </c>
      <c r="M475" s="121">
        <f>IF(ISNUMBER(I475),ROUND(L475*30,2),"")</f>
        <v>214.5</v>
      </c>
      <c r="N475" s="91"/>
      <c r="O475" s="168"/>
    </row>
    <row r="476" spans="1:15" s="136" customFormat="1" x14ac:dyDescent="0.25">
      <c r="A476" s="150" t="s">
        <v>3901</v>
      </c>
      <c r="B476" s="151" t="s">
        <v>3109</v>
      </c>
      <c r="C476" s="137" t="s">
        <v>3110</v>
      </c>
      <c r="D476" s="138" t="s">
        <v>20</v>
      </c>
      <c r="E476" s="138">
        <v>2</v>
      </c>
      <c r="F476" s="138"/>
      <c r="G476" s="138">
        <v>5</v>
      </c>
      <c r="H476" s="90">
        <f t="shared" si="20"/>
        <v>1.6666666666666666E-2</v>
      </c>
      <c r="I476" s="120">
        <v>153.19</v>
      </c>
      <c r="J476" s="121"/>
      <c r="K476" s="90"/>
      <c r="L476" s="121">
        <f>IF(ISNUMBER(I476),ROUND(E476*H476*I476,2),"")</f>
        <v>5.1100000000000003</v>
      </c>
      <c r="M476" s="121">
        <f>IF(ISNUMBER(I476),ROUND(L476*30,2),"")</f>
        <v>153.30000000000001</v>
      </c>
      <c r="N476" s="91"/>
      <c r="O476" s="168"/>
    </row>
    <row r="477" spans="1:15" s="136" customFormat="1" x14ac:dyDescent="0.25">
      <c r="A477" s="150" t="s">
        <v>3902</v>
      </c>
      <c r="B477" s="151" t="s">
        <v>3111</v>
      </c>
      <c r="C477" s="137" t="s">
        <v>3112</v>
      </c>
      <c r="D477" s="138" t="s">
        <v>20</v>
      </c>
      <c r="E477" s="138">
        <v>2</v>
      </c>
      <c r="F477" s="138"/>
      <c r="G477" s="138">
        <v>5</v>
      </c>
      <c r="H477" s="90">
        <f t="shared" si="20"/>
        <v>1.6666666666666666E-2</v>
      </c>
      <c r="I477" s="120">
        <v>132.02000000000001</v>
      </c>
      <c r="J477" s="121"/>
      <c r="K477" s="90"/>
      <c r="L477" s="121">
        <f>IF(ISNUMBER(I477),ROUND(E477*H477*I477,2),"")</f>
        <v>4.4000000000000004</v>
      </c>
      <c r="M477" s="121">
        <f>IF(ISNUMBER(I477),ROUND(L477*30,2),"")</f>
        <v>132</v>
      </c>
      <c r="N477" s="91"/>
      <c r="O477" s="168"/>
    </row>
    <row r="478" spans="1:15" s="136" customFormat="1" x14ac:dyDescent="0.25">
      <c r="A478" s="150" t="s">
        <v>3903</v>
      </c>
      <c r="B478" s="151" t="s">
        <v>3113</v>
      </c>
      <c r="C478" s="137" t="s">
        <v>3114</v>
      </c>
      <c r="D478" s="138" t="s">
        <v>20</v>
      </c>
      <c r="E478" s="138">
        <v>2</v>
      </c>
      <c r="F478" s="138"/>
      <c r="G478" s="138">
        <v>5</v>
      </c>
      <c r="H478" s="90">
        <f t="shared" si="20"/>
        <v>1.6666666666666666E-2</v>
      </c>
      <c r="I478" s="120">
        <v>155.19999999999999</v>
      </c>
      <c r="J478" s="121"/>
      <c r="K478" s="90"/>
      <c r="L478" s="121">
        <f>IF(ISNUMBER(I478),ROUND(E478*H478*I478,2),"")</f>
        <v>5.17</v>
      </c>
      <c r="M478" s="121">
        <f>IF(ISNUMBER(I478),ROUND(L478*30,2),"")</f>
        <v>155.1</v>
      </c>
      <c r="N478" s="91"/>
      <c r="O478" s="168"/>
    </row>
    <row r="479" spans="1:15" s="136" customFormat="1" x14ac:dyDescent="0.25">
      <c r="A479" s="150" t="s">
        <v>3904</v>
      </c>
      <c r="B479" s="151" t="s">
        <v>3115</v>
      </c>
      <c r="C479" s="137" t="s">
        <v>3116</v>
      </c>
      <c r="D479" s="138" t="s">
        <v>20</v>
      </c>
      <c r="E479" s="138">
        <v>2</v>
      </c>
      <c r="F479" s="138"/>
      <c r="G479" s="138">
        <v>5</v>
      </c>
      <c r="H479" s="90">
        <f t="shared" si="20"/>
        <v>1.6666666666666666E-2</v>
      </c>
      <c r="I479" s="120">
        <v>214.9</v>
      </c>
      <c r="J479" s="121"/>
      <c r="K479" s="90"/>
      <c r="L479" s="121">
        <f>IF(ISNUMBER(I479),ROUND(E479*H479*I479,2),"")</f>
        <v>7.16</v>
      </c>
      <c r="M479" s="121">
        <f>IF(ISNUMBER(I479),ROUND(L479*30,2),"")</f>
        <v>214.8</v>
      </c>
      <c r="N479" s="91"/>
      <c r="O479" s="168"/>
    </row>
    <row r="480" spans="1:15" s="136" customFormat="1" x14ac:dyDescent="0.25">
      <c r="A480" s="150" t="s">
        <v>3905</v>
      </c>
      <c r="B480" s="151" t="s">
        <v>3117</v>
      </c>
      <c r="C480" s="137" t="s">
        <v>3118</v>
      </c>
      <c r="D480" s="138" t="s">
        <v>20</v>
      </c>
      <c r="E480" s="138">
        <v>2</v>
      </c>
      <c r="F480" s="138"/>
      <c r="G480" s="138">
        <v>5</v>
      </c>
      <c r="H480" s="90">
        <f t="shared" si="20"/>
        <v>1.6666666666666666E-2</v>
      </c>
      <c r="I480" s="120">
        <v>318.54000000000002</v>
      </c>
      <c r="J480" s="121"/>
      <c r="K480" s="90"/>
      <c r="L480" s="121">
        <f>IF(ISNUMBER(I480),ROUND(E480*H480*I480,2),"")</f>
        <v>10.62</v>
      </c>
      <c r="M480" s="121">
        <f>IF(ISNUMBER(I480),ROUND(L480*30,2),"")</f>
        <v>318.60000000000002</v>
      </c>
      <c r="N480" s="91"/>
      <c r="O480" s="168"/>
    </row>
    <row r="481" spans="1:15" s="136" customFormat="1" x14ac:dyDescent="0.25">
      <c r="A481" s="150" t="s">
        <v>3906</v>
      </c>
      <c r="B481" s="151" t="s">
        <v>3119</v>
      </c>
      <c r="C481" s="137" t="s">
        <v>3120</v>
      </c>
      <c r="D481" s="138" t="s">
        <v>20</v>
      </c>
      <c r="E481" s="138">
        <v>2</v>
      </c>
      <c r="F481" s="138"/>
      <c r="G481" s="138">
        <v>5</v>
      </c>
      <c r="H481" s="90">
        <f t="shared" si="20"/>
        <v>1.6666666666666666E-2</v>
      </c>
      <c r="I481" s="120">
        <v>667.2</v>
      </c>
      <c r="J481" s="121"/>
      <c r="K481" s="90"/>
      <c r="L481" s="121">
        <f>IF(ISNUMBER(I481),ROUND(E481*H481*I481,2),"")</f>
        <v>22.24</v>
      </c>
      <c r="M481" s="121">
        <f>IF(ISNUMBER(I481),ROUND(L481*30,2),"")</f>
        <v>667.2</v>
      </c>
      <c r="N481" s="91"/>
      <c r="O481" s="168"/>
    </row>
    <row r="482" spans="1:15" s="136" customFormat="1" x14ac:dyDescent="0.25">
      <c r="A482" s="150" t="s">
        <v>3907</v>
      </c>
      <c r="B482" s="151" t="s">
        <v>3121</v>
      </c>
      <c r="C482" s="137" t="s">
        <v>3122</v>
      </c>
      <c r="D482" s="138" t="s">
        <v>20</v>
      </c>
      <c r="E482" s="138">
        <v>2</v>
      </c>
      <c r="F482" s="138"/>
      <c r="G482" s="138">
        <v>5</v>
      </c>
      <c r="H482" s="90">
        <f t="shared" si="20"/>
        <v>1.6666666666666666E-2</v>
      </c>
      <c r="I482" s="120">
        <v>1014.8</v>
      </c>
      <c r="J482" s="121"/>
      <c r="K482" s="90"/>
      <c r="L482" s="121">
        <f>IF(ISNUMBER(I482),ROUND(E482*H482*I482,2),"")</f>
        <v>33.83</v>
      </c>
      <c r="M482" s="121">
        <f>IF(ISNUMBER(I482),ROUND(L482*30,2),"")</f>
        <v>1014.9</v>
      </c>
      <c r="N482" s="91"/>
      <c r="O482" s="168"/>
    </row>
    <row r="483" spans="1:15" s="136" customFormat="1" x14ac:dyDescent="0.25">
      <c r="A483" s="150" t="s">
        <v>3908</v>
      </c>
      <c r="B483" s="151" t="s">
        <v>3107</v>
      </c>
      <c r="C483" s="137" t="s">
        <v>3108</v>
      </c>
      <c r="D483" s="138" t="s">
        <v>20</v>
      </c>
      <c r="E483" s="138">
        <v>2</v>
      </c>
      <c r="F483" s="138"/>
      <c r="G483" s="138">
        <v>5</v>
      </c>
      <c r="H483" s="90">
        <f t="shared" si="20"/>
        <v>1.6666666666666666E-2</v>
      </c>
      <c r="I483" s="120">
        <v>107.9</v>
      </c>
      <c r="J483" s="121"/>
      <c r="K483" s="90"/>
      <c r="L483" s="121">
        <f>IF(ISNUMBER(I483),ROUND(E483*H483*I483,2),"")</f>
        <v>3.6</v>
      </c>
      <c r="M483" s="121">
        <f>IF(ISNUMBER(I483),ROUND(L483*30,2),"")</f>
        <v>108</v>
      </c>
      <c r="N483" s="91"/>
      <c r="O483" s="168"/>
    </row>
    <row r="484" spans="1:15" s="136" customFormat="1" x14ac:dyDescent="0.25">
      <c r="A484" s="150" t="s">
        <v>3909</v>
      </c>
      <c r="B484" s="151" t="s">
        <v>3123</v>
      </c>
      <c r="C484" s="137" t="s">
        <v>3124</v>
      </c>
      <c r="D484" s="138" t="s">
        <v>20</v>
      </c>
      <c r="E484" s="138">
        <v>1</v>
      </c>
      <c r="F484" s="138"/>
      <c r="G484" s="138">
        <v>5</v>
      </c>
      <c r="H484" s="90">
        <f t="shared" si="20"/>
        <v>1.6666666666666666E-2</v>
      </c>
      <c r="I484" s="120">
        <v>731.1</v>
      </c>
      <c r="J484" s="121"/>
      <c r="K484" s="90"/>
      <c r="L484" s="121">
        <f>IF(ISNUMBER(I484),ROUND(E484*H484*I484,2),"")</f>
        <v>12.19</v>
      </c>
      <c r="M484" s="121">
        <f>IF(ISNUMBER(I484),ROUND(L484*30,2),"")</f>
        <v>365.7</v>
      </c>
      <c r="N484" s="91"/>
      <c r="O484" s="168"/>
    </row>
    <row r="485" spans="1:15" s="136" customFormat="1" x14ac:dyDescent="0.25">
      <c r="A485" s="150" t="s">
        <v>3910</v>
      </c>
      <c r="B485" s="151" t="s">
        <v>3127</v>
      </c>
      <c r="C485" s="137" t="s">
        <v>3128</v>
      </c>
      <c r="D485" s="138" t="s">
        <v>20</v>
      </c>
      <c r="E485" s="138">
        <v>2</v>
      </c>
      <c r="F485" s="138"/>
      <c r="G485" s="138">
        <v>5</v>
      </c>
      <c r="H485" s="90">
        <f t="shared" si="20"/>
        <v>1.6666666666666666E-2</v>
      </c>
      <c r="I485" s="120">
        <v>145.69999999999999</v>
      </c>
      <c r="J485" s="121"/>
      <c r="K485" s="90"/>
      <c r="L485" s="121">
        <f>IF(ISNUMBER(I485),ROUND(E485*H485*I485,2),"")</f>
        <v>4.8600000000000003</v>
      </c>
      <c r="M485" s="121">
        <f>IF(ISNUMBER(I485),ROUND(L485*30,2),"")</f>
        <v>145.80000000000001</v>
      </c>
      <c r="N485" s="91"/>
      <c r="O485" s="168"/>
    </row>
    <row r="486" spans="1:15" s="136" customFormat="1" x14ac:dyDescent="0.25">
      <c r="A486" s="150" t="s">
        <v>3911</v>
      </c>
      <c r="B486" s="151" t="s">
        <v>3129</v>
      </c>
      <c r="C486" s="137" t="s">
        <v>3130</v>
      </c>
      <c r="D486" s="138" t="s">
        <v>20</v>
      </c>
      <c r="E486" s="138">
        <v>2</v>
      </c>
      <c r="F486" s="138"/>
      <c r="G486" s="138">
        <v>5</v>
      </c>
      <c r="H486" s="90">
        <f t="shared" si="20"/>
        <v>1.6666666666666666E-2</v>
      </c>
      <c r="I486" s="120">
        <v>52.74</v>
      </c>
      <c r="J486" s="121"/>
      <c r="K486" s="90"/>
      <c r="L486" s="121">
        <f>IF(ISNUMBER(I486),ROUND(E486*H486*I486,2),"")</f>
        <v>1.76</v>
      </c>
      <c r="M486" s="121">
        <f>IF(ISNUMBER(I486),ROUND(L486*30,2),"")</f>
        <v>52.8</v>
      </c>
      <c r="N486" s="91"/>
      <c r="O486" s="168"/>
    </row>
    <row r="487" spans="1:15" s="136" customFormat="1" x14ac:dyDescent="0.25">
      <c r="A487" s="150" t="s">
        <v>3912</v>
      </c>
      <c r="B487" s="151" t="s">
        <v>1623</v>
      </c>
      <c r="C487" s="137" t="s">
        <v>1624</v>
      </c>
      <c r="D487" s="138" t="s">
        <v>20</v>
      </c>
      <c r="E487" s="138">
        <v>2</v>
      </c>
      <c r="F487" s="138"/>
      <c r="G487" s="138">
        <v>5</v>
      </c>
      <c r="H487" s="90">
        <f t="shared" si="20"/>
        <v>1.6666666666666666E-2</v>
      </c>
      <c r="I487" s="120">
        <v>373.64449999999999</v>
      </c>
      <c r="J487" s="121"/>
      <c r="K487" s="90"/>
      <c r="L487" s="121">
        <f>IF(ISNUMBER(I487),ROUND(E487*H487*I487,2),"")</f>
        <v>12.45</v>
      </c>
      <c r="M487" s="121">
        <f>IF(ISNUMBER(I487),ROUND(L487*30,2),"")</f>
        <v>373.5</v>
      </c>
      <c r="N487" s="91"/>
      <c r="O487" s="168"/>
    </row>
    <row r="488" spans="1:15" s="136" customFormat="1" x14ac:dyDescent="0.25">
      <c r="A488" s="150" t="s">
        <v>3913</v>
      </c>
      <c r="B488" s="151" t="s">
        <v>1625</v>
      </c>
      <c r="C488" s="137" t="s">
        <v>1626</v>
      </c>
      <c r="D488" s="138" t="s">
        <v>20</v>
      </c>
      <c r="E488" s="138">
        <v>2</v>
      </c>
      <c r="F488" s="138"/>
      <c r="G488" s="138">
        <v>5</v>
      </c>
      <c r="H488" s="90">
        <f t="shared" si="20"/>
        <v>1.6666666666666666E-2</v>
      </c>
      <c r="I488" s="120">
        <v>1574.6</v>
      </c>
      <c r="J488" s="121"/>
      <c r="K488" s="90"/>
      <c r="L488" s="121">
        <f>IF(ISNUMBER(I488),ROUND(E488*H488*I488,2),"")</f>
        <v>52.49</v>
      </c>
      <c r="M488" s="121">
        <f>IF(ISNUMBER(I488),ROUND(L488*30,2),"")</f>
        <v>1574.7</v>
      </c>
      <c r="N488" s="91"/>
      <c r="O488" s="168"/>
    </row>
    <row r="489" spans="1:15" s="136" customFormat="1" x14ac:dyDescent="0.25">
      <c r="A489" s="150" t="s">
        <v>3914</v>
      </c>
      <c r="B489" s="151" t="s">
        <v>1607</v>
      </c>
      <c r="C489" s="137" t="s">
        <v>2297</v>
      </c>
      <c r="D489" s="138" t="s">
        <v>20</v>
      </c>
      <c r="E489" s="138">
        <v>2</v>
      </c>
      <c r="F489" s="138"/>
      <c r="G489" s="138">
        <v>5</v>
      </c>
      <c r="H489" s="90">
        <f t="shared" si="20"/>
        <v>1.6666666666666666E-2</v>
      </c>
      <c r="I489" s="120">
        <v>38.56</v>
      </c>
      <c r="J489" s="121"/>
      <c r="K489" s="90"/>
      <c r="L489" s="121">
        <f>IF(ISNUMBER(I489),ROUND(E489*H489*I489,2),"")</f>
        <v>1.29</v>
      </c>
      <c r="M489" s="121">
        <f>IF(ISNUMBER(I489),ROUND(L489*30,2),"")</f>
        <v>38.700000000000003</v>
      </c>
      <c r="N489" s="91"/>
      <c r="O489" s="168"/>
    </row>
    <row r="490" spans="1:15" s="136" customFormat="1" x14ac:dyDescent="0.25">
      <c r="A490" s="150" t="s">
        <v>3915</v>
      </c>
      <c r="B490" s="151" t="s">
        <v>3125</v>
      </c>
      <c r="C490" s="137" t="s">
        <v>3126</v>
      </c>
      <c r="D490" s="138" t="s">
        <v>20</v>
      </c>
      <c r="E490" s="138">
        <v>1</v>
      </c>
      <c r="F490" s="138"/>
      <c r="G490" s="138">
        <v>5</v>
      </c>
      <c r="H490" s="90">
        <f t="shared" si="20"/>
        <v>1.6666666666666666E-2</v>
      </c>
      <c r="I490" s="120">
        <v>222.75</v>
      </c>
      <c r="J490" s="121"/>
      <c r="K490" s="90"/>
      <c r="L490" s="121">
        <f>IF(ISNUMBER(I490),ROUND(E490*H490*I490,2),"")</f>
        <v>3.71</v>
      </c>
      <c r="M490" s="121">
        <f>IF(ISNUMBER(I490),ROUND(L490*30,2),"")</f>
        <v>111.3</v>
      </c>
      <c r="N490" s="91"/>
      <c r="O490" s="168"/>
    </row>
    <row r="491" spans="1:15" s="136" customFormat="1" x14ac:dyDescent="0.25">
      <c r="A491" s="150" t="s">
        <v>3916</v>
      </c>
      <c r="B491" s="151" t="s">
        <v>1630</v>
      </c>
      <c r="C491" s="137" t="s">
        <v>2302</v>
      </c>
      <c r="D491" s="138" t="s">
        <v>20</v>
      </c>
      <c r="E491" s="138">
        <v>1</v>
      </c>
      <c r="F491" s="138"/>
      <c r="G491" s="138">
        <v>5</v>
      </c>
      <c r="H491" s="90">
        <f t="shared" si="20"/>
        <v>1.6666666666666666E-2</v>
      </c>
      <c r="I491" s="120">
        <v>95.99</v>
      </c>
      <c r="J491" s="121"/>
      <c r="K491" s="90"/>
      <c r="L491" s="121">
        <f>IF(ISNUMBER(I491),ROUND(E491*H491*I491,2),"")</f>
        <v>1.6</v>
      </c>
      <c r="M491" s="121">
        <f>IF(ISNUMBER(I491),ROUND(L491*30,2),"")</f>
        <v>48</v>
      </c>
      <c r="N491" s="91"/>
      <c r="O491" s="168"/>
    </row>
    <row r="492" spans="1:15" s="136" customFormat="1" x14ac:dyDescent="0.25">
      <c r="A492" s="150" t="s">
        <v>3917</v>
      </c>
      <c r="B492" s="151" t="s">
        <v>2239</v>
      </c>
      <c r="C492" s="137" t="s">
        <v>2071</v>
      </c>
      <c r="D492" s="138" t="s">
        <v>20</v>
      </c>
      <c r="E492" s="138">
        <v>1</v>
      </c>
      <c r="F492" s="138"/>
      <c r="G492" s="138">
        <v>5</v>
      </c>
      <c r="H492" s="90">
        <f t="shared" si="20"/>
        <v>1.6666666666666666E-2</v>
      </c>
      <c r="I492" s="120">
        <v>369.85</v>
      </c>
      <c r="J492" s="121"/>
      <c r="K492" s="90"/>
      <c r="L492" s="121">
        <f>IF(ISNUMBER(I492),ROUND(E492*H492*I492,2),"")</f>
        <v>6.16</v>
      </c>
      <c r="M492" s="121">
        <f>IF(ISNUMBER(I492),ROUND(L492*30,2),"")</f>
        <v>184.8</v>
      </c>
      <c r="N492" s="91"/>
      <c r="O492" s="168"/>
    </row>
    <row r="493" spans="1:15" s="136" customFormat="1" x14ac:dyDescent="0.25">
      <c r="A493" s="150" t="s">
        <v>3918</v>
      </c>
      <c r="B493" s="151" t="s">
        <v>2240</v>
      </c>
      <c r="C493" s="137" t="s">
        <v>2072</v>
      </c>
      <c r="D493" s="138" t="s">
        <v>20</v>
      </c>
      <c r="E493" s="138">
        <v>2</v>
      </c>
      <c r="F493" s="138"/>
      <c r="G493" s="138">
        <v>5</v>
      </c>
      <c r="H493" s="90">
        <f t="shared" si="20"/>
        <v>1.6666666666666666E-2</v>
      </c>
      <c r="I493" s="120">
        <v>4222.43</v>
      </c>
      <c r="J493" s="121"/>
      <c r="K493" s="90"/>
      <c r="L493" s="121">
        <f>IF(ISNUMBER(I493),ROUND(E493*H493*I493,2),"")</f>
        <v>140.75</v>
      </c>
      <c r="M493" s="121">
        <f>IF(ISNUMBER(I493),ROUND(L493*30,2),"")</f>
        <v>4222.5</v>
      </c>
      <c r="N493" s="91"/>
      <c r="O493" s="168"/>
    </row>
    <row r="494" spans="1:15" s="136" customFormat="1" x14ac:dyDescent="0.25">
      <c r="A494" s="150" t="s">
        <v>3919</v>
      </c>
      <c r="B494" s="151" t="s">
        <v>3173</v>
      </c>
      <c r="C494" s="137" t="s">
        <v>3174</v>
      </c>
      <c r="D494" s="138" t="s">
        <v>20</v>
      </c>
      <c r="E494" s="138">
        <v>1</v>
      </c>
      <c r="F494" s="138"/>
      <c r="G494" s="138">
        <v>5</v>
      </c>
      <c r="H494" s="90">
        <f t="shared" si="20"/>
        <v>1.6666666666666666E-2</v>
      </c>
      <c r="I494" s="120">
        <v>65.08</v>
      </c>
      <c r="J494" s="121"/>
      <c r="K494" s="90"/>
      <c r="L494" s="121">
        <f>IF(ISNUMBER(I494),ROUND(E494*H494*I494,2),"")</f>
        <v>1.08</v>
      </c>
      <c r="M494" s="121">
        <f>IF(ISNUMBER(I494),ROUND(L494*30,2),"")</f>
        <v>32.4</v>
      </c>
      <c r="N494" s="91"/>
      <c r="O494" s="168"/>
    </row>
    <row r="495" spans="1:15" s="136" customFormat="1" x14ac:dyDescent="0.25">
      <c r="A495" s="150" t="s">
        <v>3920</v>
      </c>
      <c r="B495" s="151" t="s">
        <v>3175</v>
      </c>
      <c r="C495" s="137" t="s">
        <v>3176</v>
      </c>
      <c r="D495" s="138" t="s">
        <v>20</v>
      </c>
      <c r="E495" s="138">
        <v>1</v>
      </c>
      <c r="F495" s="138"/>
      <c r="G495" s="138">
        <v>5</v>
      </c>
      <c r="H495" s="90">
        <f t="shared" si="20"/>
        <v>1.6666666666666666E-2</v>
      </c>
      <c r="I495" s="120">
        <v>93.5</v>
      </c>
      <c r="J495" s="121"/>
      <c r="K495" s="90"/>
      <c r="L495" s="121">
        <f>IF(ISNUMBER(I495),ROUND(E495*H495*I495,2),"")</f>
        <v>1.56</v>
      </c>
      <c r="M495" s="121">
        <f>IF(ISNUMBER(I495),ROUND(L495*30,2),"")</f>
        <v>46.8</v>
      </c>
      <c r="N495" s="91"/>
      <c r="O495" s="168"/>
    </row>
    <row r="496" spans="1:15" s="136" customFormat="1" x14ac:dyDescent="0.25">
      <c r="A496" s="150" t="s">
        <v>3921</v>
      </c>
      <c r="B496" s="151" t="s">
        <v>3177</v>
      </c>
      <c r="C496" s="137" t="s">
        <v>3178</v>
      </c>
      <c r="D496" s="138" t="s">
        <v>20</v>
      </c>
      <c r="E496" s="138">
        <v>1</v>
      </c>
      <c r="F496" s="138"/>
      <c r="G496" s="138">
        <v>5</v>
      </c>
      <c r="H496" s="90">
        <f t="shared" si="20"/>
        <v>1.6666666666666666E-2</v>
      </c>
      <c r="I496" s="120">
        <v>43.87</v>
      </c>
      <c r="J496" s="121"/>
      <c r="K496" s="90"/>
      <c r="L496" s="121">
        <f>IF(ISNUMBER(I496),ROUND(E496*H496*I496,2),"")</f>
        <v>0.73</v>
      </c>
      <c r="M496" s="121">
        <f>IF(ISNUMBER(I496),ROUND(L496*30,2),"")</f>
        <v>21.9</v>
      </c>
      <c r="N496" s="91"/>
      <c r="O496" s="168"/>
    </row>
    <row r="497" spans="1:15" s="136" customFormat="1" x14ac:dyDescent="0.25">
      <c r="A497" s="150" t="s">
        <v>3922</v>
      </c>
      <c r="B497" s="151" t="s">
        <v>3181</v>
      </c>
      <c r="C497" s="137" t="s">
        <v>3182</v>
      </c>
      <c r="D497" s="138" t="s">
        <v>20</v>
      </c>
      <c r="E497" s="138">
        <v>1</v>
      </c>
      <c r="F497" s="138"/>
      <c r="G497" s="138">
        <v>5</v>
      </c>
      <c r="H497" s="90">
        <f t="shared" si="20"/>
        <v>1.6666666666666666E-2</v>
      </c>
      <c r="I497" s="120">
        <v>196.8</v>
      </c>
      <c r="J497" s="121"/>
      <c r="K497" s="90"/>
      <c r="L497" s="121">
        <f>IF(ISNUMBER(I497),ROUND(E497*H497*I497,2),"")</f>
        <v>3.28</v>
      </c>
      <c r="M497" s="121">
        <f>IF(ISNUMBER(I497),ROUND(L497*30,2),"")</f>
        <v>98.4</v>
      </c>
      <c r="N497" s="91"/>
      <c r="O497" s="168"/>
    </row>
    <row r="498" spans="1:15" s="136" customFormat="1" x14ac:dyDescent="0.25">
      <c r="A498" s="150" t="s">
        <v>3923</v>
      </c>
      <c r="B498" s="151" t="s">
        <v>3179</v>
      </c>
      <c r="C498" s="137" t="s">
        <v>3180</v>
      </c>
      <c r="D498" s="138" t="s">
        <v>20</v>
      </c>
      <c r="E498" s="138">
        <v>1</v>
      </c>
      <c r="F498" s="138"/>
      <c r="G498" s="138">
        <v>5</v>
      </c>
      <c r="H498" s="90">
        <f t="shared" si="20"/>
        <v>1.6666666666666666E-2</v>
      </c>
      <c r="I498" s="120">
        <v>110.97</v>
      </c>
      <c r="J498" s="121"/>
      <c r="K498" s="90"/>
      <c r="L498" s="121">
        <f>IF(ISNUMBER(I498),ROUND(E498*H498*I498,2),"")</f>
        <v>1.85</v>
      </c>
      <c r="M498" s="121">
        <f>IF(ISNUMBER(I498),ROUND(L498*30,2),"")</f>
        <v>55.5</v>
      </c>
      <c r="N498" s="91"/>
      <c r="O498" s="168"/>
    </row>
    <row r="499" spans="1:15" s="136" customFormat="1" x14ac:dyDescent="0.25">
      <c r="A499" s="150" t="s">
        <v>3924</v>
      </c>
      <c r="B499" s="151" t="s">
        <v>3183</v>
      </c>
      <c r="C499" s="137" t="s">
        <v>3184</v>
      </c>
      <c r="D499" s="138" t="s">
        <v>20</v>
      </c>
      <c r="E499" s="138">
        <v>1</v>
      </c>
      <c r="F499" s="138"/>
      <c r="G499" s="138">
        <v>5</v>
      </c>
      <c r="H499" s="90">
        <f t="shared" si="20"/>
        <v>1.6666666666666666E-2</v>
      </c>
      <c r="I499" s="120">
        <v>397.01</v>
      </c>
      <c r="J499" s="121"/>
      <c r="K499" s="90"/>
      <c r="L499" s="121">
        <f>IF(ISNUMBER(I499),ROUND(E499*H499*I499,2),"")</f>
        <v>6.62</v>
      </c>
      <c r="M499" s="121">
        <f>IF(ISNUMBER(I499),ROUND(L499*30,2),"")</f>
        <v>198.6</v>
      </c>
      <c r="N499" s="91"/>
      <c r="O499" s="168"/>
    </row>
    <row r="500" spans="1:15" s="136" customFormat="1" x14ac:dyDescent="0.25">
      <c r="A500" s="150" t="s">
        <v>3925</v>
      </c>
      <c r="B500" s="151" t="s">
        <v>3185</v>
      </c>
      <c r="C500" s="137" t="s">
        <v>3186</v>
      </c>
      <c r="D500" s="138" t="s">
        <v>20</v>
      </c>
      <c r="E500" s="138">
        <v>1</v>
      </c>
      <c r="F500" s="138"/>
      <c r="G500" s="138">
        <v>5</v>
      </c>
      <c r="H500" s="90">
        <f t="shared" si="20"/>
        <v>1.6666666666666666E-2</v>
      </c>
      <c r="I500" s="120">
        <v>508.78</v>
      </c>
      <c r="J500" s="121"/>
      <c r="K500" s="90"/>
      <c r="L500" s="121">
        <f>IF(ISNUMBER(I500),ROUND(E500*H500*I500,2),"")</f>
        <v>8.48</v>
      </c>
      <c r="M500" s="121">
        <f>IF(ISNUMBER(I500),ROUND(L500*30,2),"")</f>
        <v>254.4</v>
      </c>
      <c r="N500" s="91"/>
      <c r="O500" s="168"/>
    </row>
    <row r="501" spans="1:15" s="136" customFormat="1" x14ac:dyDescent="0.25">
      <c r="A501" s="150" t="s">
        <v>3926</v>
      </c>
      <c r="B501" s="151" t="s">
        <v>3131</v>
      </c>
      <c r="C501" s="137" t="s">
        <v>3132</v>
      </c>
      <c r="D501" s="138" t="s">
        <v>20</v>
      </c>
      <c r="E501" s="138">
        <v>1</v>
      </c>
      <c r="F501" s="138"/>
      <c r="G501" s="138">
        <v>5</v>
      </c>
      <c r="H501" s="90">
        <f t="shared" si="20"/>
        <v>1.6666666666666666E-2</v>
      </c>
      <c r="I501" s="120">
        <v>230.76</v>
      </c>
      <c r="J501" s="121"/>
      <c r="K501" s="90"/>
      <c r="L501" s="121">
        <f>IF(ISNUMBER(I501),ROUND(E501*H501*I501,2),"")</f>
        <v>3.85</v>
      </c>
      <c r="M501" s="121">
        <f>IF(ISNUMBER(I501),ROUND(L501*30,2),"")</f>
        <v>115.5</v>
      </c>
      <c r="N501" s="91"/>
      <c r="O501" s="168"/>
    </row>
    <row r="502" spans="1:15" s="136" customFormat="1" x14ac:dyDescent="0.25">
      <c r="A502" s="150" t="s">
        <v>3927</v>
      </c>
      <c r="B502" s="151" t="s">
        <v>1516</v>
      </c>
      <c r="C502" s="137" t="s">
        <v>3928</v>
      </c>
      <c r="D502" s="138" t="s">
        <v>20</v>
      </c>
      <c r="E502" s="138">
        <v>2</v>
      </c>
      <c r="F502" s="138"/>
      <c r="G502" s="138">
        <v>5</v>
      </c>
      <c r="H502" s="90">
        <f t="shared" si="20"/>
        <v>1.6666666666666666E-2</v>
      </c>
      <c r="I502" s="120">
        <v>64.849999999999994</v>
      </c>
      <c r="J502" s="121"/>
      <c r="K502" s="90"/>
      <c r="L502" s="121">
        <f>IF(ISNUMBER(I502),ROUND(E502*H502*I502,2),"")</f>
        <v>2.16</v>
      </c>
      <c r="M502" s="121">
        <f>IF(ISNUMBER(I502),ROUND(L502*30,2),"")</f>
        <v>64.8</v>
      </c>
      <c r="N502" s="91"/>
      <c r="O502" s="168"/>
    </row>
    <row r="503" spans="1:15" s="136" customFormat="1" x14ac:dyDescent="0.25">
      <c r="A503" s="150" t="s">
        <v>3929</v>
      </c>
      <c r="B503" s="151" t="s">
        <v>1517</v>
      </c>
      <c r="C503" s="137" t="s">
        <v>1518</v>
      </c>
      <c r="D503" s="138" t="s">
        <v>20</v>
      </c>
      <c r="E503" s="138">
        <v>10</v>
      </c>
      <c r="F503" s="138"/>
      <c r="G503" s="138">
        <v>5</v>
      </c>
      <c r="H503" s="90">
        <f t="shared" si="20"/>
        <v>1.6666666666666666E-2</v>
      </c>
      <c r="I503" s="120">
        <v>229.95</v>
      </c>
      <c r="J503" s="121"/>
      <c r="K503" s="90"/>
      <c r="L503" s="121">
        <f>IF(ISNUMBER(I503),ROUND(E503*H503*I503,2),"")</f>
        <v>38.33</v>
      </c>
      <c r="M503" s="121">
        <f>IF(ISNUMBER(I503),ROUND(L503*30,2),"")</f>
        <v>1149.9000000000001</v>
      </c>
      <c r="N503" s="91"/>
      <c r="O503" s="168"/>
    </row>
    <row r="504" spans="1:15" s="136" customFormat="1" x14ac:dyDescent="0.25">
      <c r="A504" s="150" t="s">
        <v>3930</v>
      </c>
      <c r="B504" s="151" t="s">
        <v>1609</v>
      </c>
      <c r="C504" s="137" t="s">
        <v>2299</v>
      </c>
      <c r="D504" s="138" t="s">
        <v>20</v>
      </c>
      <c r="E504" s="138">
        <v>1</v>
      </c>
      <c r="F504" s="138"/>
      <c r="G504" s="138">
        <v>5</v>
      </c>
      <c r="H504" s="90">
        <f t="shared" si="20"/>
        <v>1.6666666666666666E-2</v>
      </c>
      <c r="I504" s="120">
        <v>212.38</v>
      </c>
      <c r="J504" s="121"/>
      <c r="K504" s="90"/>
      <c r="L504" s="121">
        <f>IF(ISNUMBER(I504),ROUND(E504*H504*I504,2),"")</f>
        <v>3.54</v>
      </c>
      <c r="M504" s="121">
        <f>IF(ISNUMBER(I504),ROUND(L504*30,2),"")</f>
        <v>106.2</v>
      </c>
      <c r="N504" s="91"/>
      <c r="O504" s="168"/>
    </row>
    <row r="505" spans="1:15" s="136" customFormat="1" x14ac:dyDescent="0.25">
      <c r="A505" s="150" t="s">
        <v>3931</v>
      </c>
      <c r="B505" s="151" t="s">
        <v>1608</v>
      </c>
      <c r="C505" s="137" t="s">
        <v>2298</v>
      </c>
      <c r="D505" s="138" t="s">
        <v>20</v>
      </c>
      <c r="E505" s="138">
        <v>2</v>
      </c>
      <c r="F505" s="138"/>
      <c r="G505" s="138">
        <v>5</v>
      </c>
      <c r="H505" s="90">
        <f t="shared" si="20"/>
        <v>1.6666666666666666E-2</v>
      </c>
      <c r="I505" s="120">
        <v>279.32</v>
      </c>
      <c r="J505" s="121"/>
      <c r="K505" s="90"/>
      <c r="L505" s="121">
        <f>IF(ISNUMBER(I505),ROUND(E505*H505*I505,2),"")</f>
        <v>9.31</v>
      </c>
      <c r="M505" s="121">
        <f>IF(ISNUMBER(I505),ROUND(L505*30,2),"")</f>
        <v>279.3</v>
      </c>
      <c r="N505" s="91"/>
      <c r="O505" s="168"/>
    </row>
    <row r="506" spans="1:15" s="136" customFormat="1" x14ac:dyDescent="0.25">
      <c r="A506" s="150" t="s">
        <v>3932</v>
      </c>
      <c r="B506" s="151" t="s">
        <v>1610</v>
      </c>
      <c r="C506" s="137" t="s">
        <v>1611</v>
      </c>
      <c r="D506" s="138" t="s">
        <v>20</v>
      </c>
      <c r="E506" s="138">
        <v>2</v>
      </c>
      <c r="F506" s="138"/>
      <c r="G506" s="138">
        <v>5</v>
      </c>
      <c r="H506" s="90">
        <f t="shared" si="20"/>
        <v>1.6666666666666666E-2</v>
      </c>
      <c r="I506" s="120">
        <v>15.63</v>
      </c>
      <c r="J506" s="121"/>
      <c r="K506" s="90"/>
      <c r="L506" s="121">
        <f>IF(ISNUMBER(I506),ROUND(E506*H506*I506,2),"")</f>
        <v>0.52</v>
      </c>
      <c r="M506" s="121">
        <f>IF(ISNUMBER(I506),ROUND(L506*30,2),"")</f>
        <v>15.6</v>
      </c>
      <c r="N506" s="91"/>
      <c r="O506" s="168"/>
    </row>
    <row r="507" spans="1:15" s="136" customFormat="1" x14ac:dyDescent="0.25">
      <c r="A507" s="150" t="s">
        <v>3933</v>
      </c>
      <c r="B507" s="151" t="s">
        <v>1617</v>
      </c>
      <c r="C507" s="137" t="s">
        <v>3934</v>
      </c>
      <c r="D507" s="138" t="s">
        <v>20</v>
      </c>
      <c r="E507" s="138">
        <v>2</v>
      </c>
      <c r="F507" s="138"/>
      <c r="G507" s="138">
        <v>5</v>
      </c>
      <c r="H507" s="90">
        <f t="shared" si="20"/>
        <v>1.6666666666666666E-2</v>
      </c>
      <c r="I507" s="120">
        <v>115.16</v>
      </c>
      <c r="J507" s="121"/>
      <c r="K507" s="90"/>
      <c r="L507" s="121">
        <f>IF(ISNUMBER(I507),ROUND(E507*H507*I507,2),"")</f>
        <v>3.84</v>
      </c>
      <c r="M507" s="121">
        <f>IF(ISNUMBER(I507),ROUND(L507*30,2),"")</f>
        <v>115.2</v>
      </c>
      <c r="N507" s="91"/>
      <c r="O507" s="168"/>
    </row>
    <row r="508" spans="1:15" s="136" customFormat="1" x14ac:dyDescent="0.25">
      <c r="A508" s="150" t="s">
        <v>3935</v>
      </c>
      <c r="B508" s="151" t="s">
        <v>1534</v>
      </c>
      <c r="C508" s="137" t="s">
        <v>1535</v>
      </c>
      <c r="D508" s="138" t="s">
        <v>20</v>
      </c>
      <c r="E508" s="138">
        <v>1</v>
      </c>
      <c r="F508" s="138"/>
      <c r="G508" s="138">
        <v>5</v>
      </c>
      <c r="H508" s="90">
        <f t="shared" si="20"/>
        <v>1.6666666666666666E-2</v>
      </c>
      <c r="I508" s="120">
        <v>302.01</v>
      </c>
      <c r="J508" s="121"/>
      <c r="K508" s="90"/>
      <c r="L508" s="121">
        <f>IF(ISNUMBER(I508),ROUND(E508*H508*I508,2),"")</f>
        <v>5.03</v>
      </c>
      <c r="M508" s="121">
        <f>IF(ISNUMBER(I508),ROUND(L508*30,2),"")</f>
        <v>150.9</v>
      </c>
      <c r="N508" s="91"/>
      <c r="O508" s="168"/>
    </row>
    <row r="509" spans="1:15" s="136" customFormat="1" x14ac:dyDescent="0.25">
      <c r="A509" s="150" t="s">
        <v>3936</v>
      </c>
      <c r="B509" s="151" t="s">
        <v>3167</v>
      </c>
      <c r="C509" s="137" t="s">
        <v>3168</v>
      </c>
      <c r="D509" s="138" t="s">
        <v>20</v>
      </c>
      <c r="E509" s="138">
        <v>4</v>
      </c>
      <c r="F509" s="138"/>
      <c r="G509" s="138">
        <v>5</v>
      </c>
      <c r="H509" s="90">
        <f t="shared" si="20"/>
        <v>1.6666666666666666E-2</v>
      </c>
      <c r="I509" s="120">
        <v>565.76299999999992</v>
      </c>
      <c r="J509" s="121"/>
      <c r="K509" s="90"/>
      <c r="L509" s="121">
        <f>IF(ISNUMBER(I509),ROUND(E509*H509*I509,2),"")</f>
        <v>37.72</v>
      </c>
      <c r="M509" s="121">
        <f>IF(ISNUMBER(I509),ROUND(L509*30,2),"")</f>
        <v>1131.5999999999999</v>
      </c>
      <c r="N509" s="91"/>
      <c r="O509" s="168"/>
    </row>
    <row r="510" spans="1:15" s="136" customFormat="1" x14ac:dyDescent="0.25">
      <c r="A510" s="150" t="s">
        <v>3937</v>
      </c>
      <c r="B510" s="151" t="s">
        <v>1538</v>
      </c>
      <c r="C510" s="137" t="s">
        <v>1539</v>
      </c>
      <c r="D510" s="138" t="s">
        <v>20</v>
      </c>
      <c r="E510" s="138">
        <v>1</v>
      </c>
      <c r="F510" s="138"/>
      <c r="G510" s="138">
        <v>5</v>
      </c>
      <c r="H510" s="90">
        <f t="shared" si="20"/>
        <v>1.6666666666666666E-2</v>
      </c>
      <c r="I510" s="120">
        <v>69.430000000000007</v>
      </c>
      <c r="J510" s="121"/>
      <c r="K510" s="90"/>
      <c r="L510" s="121">
        <f>IF(ISNUMBER(I510),ROUND(E510*H510*I510,2),"")</f>
        <v>1.1599999999999999</v>
      </c>
      <c r="M510" s="121">
        <f>IF(ISNUMBER(I510),ROUND(L510*30,2),"")</f>
        <v>34.799999999999997</v>
      </c>
      <c r="N510" s="91"/>
      <c r="O510" s="168"/>
    </row>
    <row r="511" spans="1:15" s="136" customFormat="1" x14ac:dyDescent="0.25">
      <c r="A511" s="150" t="s">
        <v>3938</v>
      </c>
      <c r="B511" s="151" t="s">
        <v>1540</v>
      </c>
      <c r="C511" s="137" t="s">
        <v>1541</v>
      </c>
      <c r="D511" s="138" t="s">
        <v>20</v>
      </c>
      <c r="E511" s="138">
        <v>1</v>
      </c>
      <c r="F511" s="138"/>
      <c r="G511" s="138">
        <v>5</v>
      </c>
      <c r="H511" s="90">
        <f t="shared" si="20"/>
        <v>1.6666666666666666E-2</v>
      </c>
      <c r="I511" s="120">
        <v>26.13</v>
      </c>
      <c r="J511" s="121"/>
      <c r="K511" s="90"/>
      <c r="L511" s="121">
        <f>IF(ISNUMBER(I511),ROUND(E511*H511*I511,2),"")</f>
        <v>0.44</v>
      </c>
      <c r="M511" s="121">
        <f>IF(ISNUMBER(I511),ROUND(L511*30,2),"")</f>
        <v>13.2</v>
      </c>
      <c r="N511" s="91"/>
      <c r="O511" s="168"/>
    </row>
    <row r="512" spans="1:15" s="136" customFormat="1" x14ac:dyDescent="0.25">
      <c r="A512" s="150" t="s">
        <v>3939</v>
      </c>
      <c r="B512" s="151" t="s">
        <v>1635</v>
      </c>
      <c r="C512" s="137" t="s">
        <v>1636</v>
      </c>
      <c r="D512" s="138" t="s">
        <v>20</v>
      </c>
      <c r="E512" s="138">
        <v>2</v>
      </c>
      <c r="F512" s="138"/>
      <c r="G512" s="138">
        <v>5</v>
      </c>
      <c r="H512" s="90">
        <f t="shared" si="20"/>
        <v>1.6666666666666666E-2</v>
      </c>
      <c r="I512" s="120">
        <v>51.36</v>
      </c>
      <c r="J512" s="121"/>
      <c r="K512" s="90"/>
      <c r="L512" s="121">
        <f>IF(ISNUMBER(I512),ROUND(E512*H512*I512,2),"")</f>
        <v>1.71</v>
      </c>
      <c r="M512" s="121">
        <f>IF(ISNUMBER(I512),ROUND(L512*30,2),"")</f>
        <v>51.3</v>
      </c>
      <c r="N512" s="91"/>
      <c r="O512" s="168"/>
    </row>
    <row r="513" spans="1:15" s="136" customFormat="1" x14ac:dyDescent="0.25">
      <c r="A513" s="150" t="s">
        <v>3940</v>
      </c>
      <c r="B513" s="151" t="s">
        <v>1619</v>
      </c>
      <c r="C513" s="137" t="s">
        <v>1620</v>
      </c>
      <c r="D513" s="138" t="s">
        <v>20</v>
      </c>
      <c r="E513" s="138">
        <v>1</v>
      </c>
      <c r="F513" s="138"/>
      <c r="G513" s="138">
        <v>5</v>
      </c>
      <c r="H513" s="90">
        <f t="shared" si="20"/>
        <v>1.6666666666666666E-2</v>
      </c>
      <c r="I513" s="120">
        <v>148.16999999999999</v>
      </c>
      <c r="J513" s="121"/>
      <c r="K513" s="90"/>
      <c r="L513" s="121">
        <f>IF(ISNUMBER(I513),ROUND(E513*H513*I513,2),"")</f>
        <v>2.4700000000000002</v>
      </c>
      <c r="M513" s="121">
        <f>IF(ISNUMBER(I513),ROUND(L513*30,2),"")</f>
        <v>74.099999999999994</v>
      </c>
      <c r="N513" s="91"/>
      <c r="O513" s="168"/>
    </row>
    <row r="514" spans="1:15" s="136" customFormat="1" x14ac:dyDescent="0.25">
      <c r="A514" s="150" t="s">
        <v>3941</v>
      </c>
      <c r="B514" s="151" t="s">
        <v>1641</v>
      </c>
      <c r="C514" s="137" t="s">
        <v>1642</v>
      </c>
      <c r="D514" s="138" t="s">
        <v>20</v>
      </c>
      <c r="E514" s="138">
        <v>1</v>
      </c>
      <c r="F514" s="138"/>
      <c r="G514" s="138">
        <v>5</v>
      </c>
      <c r="H514" s="90">
        <f t="shared" si="20"/>
        <v>1.6666666666666666E-2</v>
      </c>
      <c r="I514" s="120">
        <v>1072.4074999999998</v>
      </c>
      <c r="J514" s="121"/>
      <c r="K514" s="90"/>
      <c r="L514" s="121">
        <f>IF(ISNUMBER(I514),ROUND(E514*H514*I514,2),"")</f>
        <v>17.87</v>
      </c>
      <c r="M514" s="121">
        <f>IF(ISNUMBER(I514),ROUND(L514*30,2),"")</f>
        <v>536.1</v>
      </c>
      <c r="N514" s="91"/>
      <c r="O514" s="168"/>
    </row>
    <row r="515" spans="1:15" s="136" customFormat="1" x14ac:dyDescent="0.25">
      <c r="A515" s="150" t="s">
        <v>3942</v>
      </c>
      <c r="B515" s="151" t="s">
        <v>1557</v>
      </c>
      <c r="C515" s="137" t="s">
        <v>1558</v>
      </c>
      <c r="D515" s="138" t="s">
        <v>20</v>
      </c>
      <c r="E515" s="138">
        <v>2</v>
      </c>
      <c r="F515" s="138"/>
      <c r="G515" s="138">
        <v>5</v>
      </c>
      <c r="H515" s="90">
        <f t="shared" si="20"/>
        <v>1.6666666666666666E-2</v>
      </c>
      <c r="I515" s="120">
        <v>101.39</v>
      </c>
      <c r="J515" s="121"/>
      <c r="K515" s="90"/>
      <c r="L515" s="121">
        <f>IF(ISNUMBER(I515),ROUND(E515*H515*I515,2),"")</f>
        <v>3.38</v>
      </c>
      <c r="M515" s="121">
        <f>IF(ISNUMBER(I515),ROUND(L515*30,2),"")</f>
        <v>101.4</v>
      </c>
      <c r="N515" s="91"/>
      <c r="O515" s="168"/>
    </row>
    <row r="516" spans="1:15" s="160" customFormat="1" x14ac:dyDescent="0.25">
      <c r="A516" s="132" t="s">
        <v>3490</v>
      </c>
      <c r="B516" s="156"/>
      <c r="C516" s="157" t="s">
        <v>3460</v>
      </c>
      <c r="D516" s="158"/>
      <c r="E516" s="158" t="s">
        <v>522</v>
      </c>
      <c r="F516" s="158"/>
      <c r="G516" s="158"/>
      <c r="H516" s="158"/>
      <c r="I516" s="158"/>
      <c r="J516" s="161"/>
      <c r="K516" s="158"/>
      <c r="L516" s="158"/>
      <c r="M516" s="162">
        <f>SUBTOTAL(109,M517:M519)</f>
        <v>102687.29999999999</v>
      </c>
      <c r="N516" s="134"/>
      <c r="O516" s="163"/>
    </row>
    <row r="517" spans="1:15" s="136" customFormat="1" x14ac:dyDescent="0.25">
      <c r="A517" s="128" t="s">
        <v>3486</v>
      </c>
      <c r="B517" s="152"/>
      <c r="C517" s="153" t="s">
        <v>3460</v>
      </c>
      <c r="D517" s="154"/>
      <c r="E517" s="155" t="s">
        <v>522</v>
      </c>
      <c r="F517" s="154"/>
      <c r="G517" s="154"/>
      <c r="H517" s="154"/>
      <c r="I517" s="154"/>
      <c r="J517" s="129"/>
      <c r="K517" s="154"/>
      <c r="L517" s="154"/>
      <c r="M517" s="129">
        <f>SUBTOTAL(109,M518:M519)</f>
        <v>102687.29999999999</v>
      </c>
      <c r="N517" s="131"/>
      <c r="O517" s="169"/>
    </row>
    <row r="518" spans="1:15" s="136" customFormat="1" x14ac:dyDescent="0.25">
      <c r="A518" s="150" t="s">
        <v>3486</v>
      </c>
      <c r="B518" s="151" t="s">
        <v>1643</v>
      </c>
      <c r="C518" s="137" t="s">
        <v>2303</v>
      </c>
      <c r="D518" s="138" t="s">
        <v>20</v>
      </c>
      <c r="E518" s="138">
        <v>1</v>
      </c>
      <c r="F518" s="138"/>
      <c r="G518" s="138">
        <v>4</v>
      </c>
      <c r="H518" s="90">
        <f t="shared" si="20"/>
        <v>2.0833333333333332E-2</v>
      </c>
      <c r="I518" s="120">
        <v>59092</v>
      </c>
      <c r="J518" s="121"/>
      <c r="K518" s="90"/>
      <c r="L518" s="121">
        <f>IF(ISNUMBER(I518),ROUND(E518*H518*I518,2),"")</f>
        <v>1231.08</v>
      </c>
      <c r="M518" s="121">
        <f>IF(ISNUMBER(I518),ROUND(L518*30,2),"")</f>
        <v>36932.400000000001</v>
      </c>
      <c r="N518" s="91"/>
      <c r="O518" s="168"/>
    </row>
    <row r="519" spans="1:15" s="136" customFormat="1" x14ac:dyDescent="0.25">
      <c r="A519" s="150" t="s">
        <v>3954</v>
      </c>
      <c r="B519" s="151" t="s">
        <v>2245</v>
      </c>
      <c r="C519" s="137" t="s">
        <v>2077</v>
      </c>
      <c r="D519" s="138" t="s">
        <v>20</v>
      </c>
      <c r="E519" s="138">
        <v>2</v>
      </c>
      <c r="F519" s="138"/>
      <c r="G519" s="138">
        <v>5</v>
      </c>
      <c r="H519" s="90">
        <f t="shared" ref="H519" si="21">IF(ISNUMBER(G519),1/(G519*12),"")</f>
        <v>1.6666666666666666E-2</v>
      </c>
      <c r="I519" s="120">
        <v>65755</v>
      </c>
      <c r="J519" s="121"/>
      <c r="K519" s="90"/>
      <c r="L519" s="121">
        <f>IF(ISNUMBER(I519),ROUND(E519*H519*I519,2),"")</f>
        <v>2191.83</v>
      </c>
      <c r="M519" s="121">
        <f>IF(ISNUMBER(I519),ROUND(L519*30,2),"")</f>
        <v>65754.899999999994</v>
      </c>
      <c r="N519" s="91"/>
      <c r="O519" s="168"/>
    </row>
    <row r="520" spans="1:15" s="136" customFormat="1" ht="15.75" thickBot="1" x14ac:dyDescent="0.3">
      <c r="A520" s="139"/>
      <c r="B520" s="164"/>
      <c r="C520" s="165"/>
      <c r="D520" s="140"/>
      <c r="E520" s="140"/>
      <c r="F520" s="140"/>
      <c r="G520" s="140"/>
      <c r="H520" s="140"/>
      <c r="I520" s="140"/>
      <c r="J520" s="140"/>
      <c r="K520" s="140"/>
      <c r="L520" s="166"/>
      <c r="M520" s="166"/>
      <c r="N520" s="167"/>
      <c r="O520" s="171"/>
    </row>
    <row r="521" spans="1:15" s="136" customFormat="1" ht="15.75" thickBot="1" x14ac:dyDescent="0.3">
      <c r="A521" s="141"/>
      <c r="B521" s="142"/>
      <c r="C521" s="142"/>
      <c r="D521" s="92"/>
      <c r="E521" s="143"/>
      <c r="F521" s="143"/>
      <c r="G521" s="143"/>
      <c r="H521" s="143"/>
      <c r="I521" s="143"/>
      <c r="J521" s="143"/>
      <c r="K521" s="143"/>
      <c r="L521" s="144"/>
      <c r="M521" s="144"/>
      <c r="N521" s="144" t="s">
        <v>7</v>
      </c>
      <c r="O521" s="172">
        <f ca="1">SUBTOTAL(109,O6:O519)+SUBTOTAL(109,M6:M519)</f>
        <v>2409122.0299999998</v>
      </c>
    </row>
    <row r="522" spans="1:15" x14ac:dyDescent="0.25">
      <c r="A522" s="3"/>
      <c r="B522" s="3"/>
      <c r="C522" s="82"/>
      <c r="D522" s="3"/>
      <c r="E522" s="122"/>
      <c r="F522" s="122"/>
      <c r="G522" s="122"/>
      <c r="H522" s="122"/>
      <c r="I522" s="122"/>
      <c r="J522" s="122"/>
      <c r="K522" s="122"/>
      <c r="L522" s="123"/>
      <c r="M522" s="123"/>
      <c r="N522" s="123"/>
      <c r="O522" s="124"/>
    </row>
    <row r="523" spans="1:15" ht="15" customHeight="1" x14ac:dyDescent="0.25">
      <c r="A523" s="3"/>
      <c r="B523" s="3"/>
      <c r="C523" s="125"/>
      <c r="D523" s="126"/>
      <c r="E523" s="126"/>
      <c r="F523" s="126"/>
      <c r="G523" s="126"/>
      <c r="H523" s="126"/>
      <c r="I523" s="126"/>
      <c r="J523" s="126"/>
      <c r="K523" s="126"/>
      <c r="L523" s="126"/>
      <c r="M523" s="126"/>
      <c r="N523" s="126"/>
      <c r="O523" s="127"/>
    </row>
    <row r="524" spans="1:15" x14ac:dyDescent="0.25">
      <c r="C524" s="125"/>
      <c r="D524" s="126"/>
      <c r="E524" s="126"/>
      <c r="F524" s="126"/>
      <c r="G524" s="126"/>
      <c r="H524" s="126"/>
      <c r="I524" s="135"/>
      <c r="J524" s="126"/>
      <c r="K524" s="126"/>
      <c r="L524" s="126"/>
      <c r="M524" s="126"/>
      <c r="N524" s="126"/>
    </row>
    <row r="525" spans="1:15" ht="15" customHeight="1" x14ac:dyDescent="0.25">
      <c r="C525" s="125"/>
      <c r="D525" s="126"/>
      <c r="E525" s="126"/>
      <c r="F525" s="126"/>
      <c r="G525" s="126"/>
      <c r="H525" s="126"/>
      <c r="I525" s="126"/>
      <c r="J525" s="126"/>
      <c r="K525" s="126"/>
      <c r="L525" s="126"/>
      <c r="M525" s="126"/>
      <c r="N525" s="126"/>
    </row>
    <row r="526" spans="1:15" ht="15" customHeight="1" x14ac:dyDescent="0.25">
      <c r="C526" s="125"/>
      <c r="D526" s="126"/>
      <c r="E526" s="126"/>
      <c r="F526" s="126"/>
      <c r="G526" s="126"/>
      <c r="H526" s="126"/>
      <c r="I526" s="126"/>
      <c r="J526" s="126"/>
      <c r="K526" s="126"/>
      <c r="L526" s="126"/>
      <c r="M526" s="126"/>
      <c r="N526" s="126"/>
    </row>
    <row r="527" spans="1:15" x14ac:dyDescent="0.25">
      <c r="C527" s="125"/>
      <c r="D527" s="126"/>
      <c r="E527" s="126"/>
      <c r="F527" s="126"/>
      <c r="G527" s="126"/>
      <c r="H527" s="126"/>
      <c r="I527" s="126"/>
      <c r="J527" s="126"/>
      <c r="K527" s="126"/>
      <c r="L527" s="126"/>
      <c r="M527" s="126"/>
      <c r="N527" s="126"/>
    </row>
    <row r="528" spans="1:15" x14ac:dyDescent="0.25">
      <c r="C528" s="125"/>
    </row>
  </sheetData>
  <autoFilter ref="A5:O521"/>
  <conditionalFormatting sqref="C19:C22 C8:C11 C13:C14 C16:C17">
    <cfRule type="duplicateValues" dxfId="47" priority="61"/>
  </conditionalFormatting>
  <conditionalFormatting sqref="C6">
    <cfRule type="duplicateValues" dxfId="46" priority="59"/>
  </conditionalFormatting>
  <conditionalFormatting sqref="C520">
    <cfRule type="duplicateValues" dxfId="45" priority="62"/>
  </conditionalFormatting>
  <conditionalFormatting sqref="C7">
    <cfRule type="duplicateValues" dxfId="44" priority="51"/>
  </conditionalFormatting>
  <conditionalFormatting sqref="C12">
    <cfRule type="duplicateValues" dxfId="43" priority="50"/>
  </conditionalFormatting>
  <conditionalFormatting sqref="C15">
    <cfRule type="duplicateValues" dxfId="42" priority="49"/>
  </conditionalFormatting>
  <conditionalFormatting sqref="C18">
    <cfRule type="duplicateValues" dxfId="41" priority="48"/>
  </conditionalFormatting>
  <conditionalFormatting sqref="C38">
    <cfRule type="duplicateValues" dxfId="40" priority="47"/>
  </conditionalFormatting>
  <conditionalFormatting sqref="C42">
    <cfRule type="duplicateValues" dxfId="39" priority="46"/>
  </conditionalFormatting>
  <conditionalFormatting sqref="C43">
    <cfRule type="duplicateValues" dxfId="38" priority="45"/>
  </conditionalFormatting>
  <conditionalFormatting sqref="C46">
    <cfRule type="duplicateValues" dxfId="37" priority="44"/>
  </conditionalFormatting>
  <conditionalFormatting sqref="C64">
    <cfRule type="duplicateValues" dxfId="36" priority="43"/>
  </conditionalFormatting>
  <conditionalFormatting sqref="C110">
    <cfRule type="duplicateValues" dxfId="35" priority="42"/>
  </conditionalFormatting>
  <conditionalFormatting sqref="C257">
    <cfRule type="duplicateValues" dxfId="34" priority="41"/>
  </conditionalFormatting>
  <conditionalFormatting sqref="C284">
    <cfRule type="duplicateValues" dxfId="33" priority="40"/>
  </conditionalFormatting>
  <conditionalFormatting sqref="C312">
    <cfRule type="duplicateValues" dxfId="32" priority="39"/>
  </conditionalFormatting>
  <conditionalFormatting sqref="C321">
    <cfRule type="duplicateValues" dxfId="31" priority="38"/>
  </conditionalFormatting>
  <conditionalFormatting sqref="C349">
    <cfRule type="duplicateValues" dxfId="30" priority="35"/>
  </conditionalFormatting>
  <conditionalFormatting sqref="C399">
    <cfRule type="duplicateValues" dxfId="29" priority="31"/>
  </conditionalFormatting>
  <conditionalFormatting sqref="C404">
    <cfRule type="duplicateValues" dxfId="28" priority="30"/>
  </conditionalFormatting>
  <conditionalFormatting sqref="C407">
    <cfRule type="duplicateValues" dxfId="27" priority="29"/>
  </conditionalFormatting>
  <conditionalFormatting sqref="C408">
    <cfRule type="duplicateValues" dxfId="26" priority="28"/>
  </conditionalFormatting>
  <conditionalFormatting sqref="C410">
    <cfRule type="duplicateValues" dxfId="25" priority="27"/>
  </conditionalFormatting>
  <conditionalFormatting sqref="C411">
    <cfRule type="duplicateValues" dxfId="24" priority="26"/>
  </conditionalFormatting>
  <conditionalFormatting sqref="C414">
    <cfRule type="duplicateValues" dxfId="23" priority="25"/>
  </conditionalFormatting>
  <conditionalFormatting sqref="C442">
    <cfRule type="duplicateValues" dxfId="22" priority="24"/>
  </conditionalFormatting>
  <conditionalFormatting sqref="C457">
    <cfRule type="duplicateValues" dxfId="21" priority="23"/>
  </conditionalFormatting>
  <conditionalFormatting sqref="C468">
    <cfRule type="duplicateValues" dxfId="20" priority="22"/>
  </conditionalFormatting>
  <conditionalFormatting sqref="C471">
    <cfRule type="duplicateValues" dxfId="19" priority="21"/>
  </conditionalFormatting>
  <conditionalFormatting sqref="C516">
    <cfRule type="duplicateValues" dxfId="18" priority="19"/>
  </conditionalFormatting>
  <conditionalFormatting sqref="C517">
    <cfRule type="duplicateValues" dxfId="17" priority="18"/>
  </conditionalFormatting>
  <conditionalFormatting sqref="C326">
    <cfRule type="duplicateValues" dxfId="16" priority="17"/>
  </conditionalFormatting>
  <conditionalFormatting sqref="C335">
    <cfRule type="duplicateValues" dxfId="15" priority="16"/>
  </conditionalFormatting>
  <conditionalFormatting sqref="C340">
    <cfRule type="duplicateValues" dxfId="14" priority="15"/>
  </conditionalFormatting>
  <conditionalFormatting sqref="C343">
    <cfRule type="duplicateValues" dxfId="13" priority="14"/>
  </conditionalFormatting>
  <conditionalFormatting sqref="C349">
    <cfRule type="duplicateValues" dxfId="12" priority="13"/>
  </conditionalFormatting>
  <conditionalFormatting sqref="C348">
    <cfRule type="duplicateValues" dxfId="11" priority="12"/>
  </conditionalFormatting>
  <conditionalFormatting sqref="C355">
    <cfRule type="duplicateValues" dxfId="10" priority="11"/>
  </conditionalFormatting>
  <conditionalFormatting sqref="C354">
    <cfRule type="duplicateValues" dxfId="9" priority="10"/>
  </conditionalFormatting>
  <conditionalFormatting sqref="C377">
    <cfRule type="duplicateValues" dxfId="8" priority="9"/>
  </conditionalFormatting>
  <conditionalFormatting sqref="C383">
    <cfRule type="duplicateValues" dxfId="7" priority="8"/>
  </conditionalFormatting>
  <conditionalFormatting sqref="C387">
    <cfRule type="duplicateValues" dxfId="6" priority="7"/>
  </conditionalFormatting>
  <conditionalFormatting sqref="C392">
    <cfRule type="duplicateValues" dxfId="5" priority="6"/>
  </conditionalFormatting>
  <conditionalFormatting sqref="C394">
    <cfRule type="duplicateValues" dxfId="4" priority="5"/>
  </conditionalFormatting>
  <conditionalFormatting sqref="C401:C402">
    <cfRule type="duplicateValues" dxfId="3" priority="4"/>
  </conditionalFormatting>
  <conditionalFormatting sqref="C406">
    <cfRule type="duplicateValues" dxfId="2" priority="3"/>
  </conditionalFormatting>
  <conditionalFormatting sqref="C280:C283">
    <cfRule type="duplicateValues" dxfId="1" priority="2"/>
  </conditionalFormatting>
  <conditionalFormatting sqref="C382">
    <cfRule type="duplicateValues" dxfId="0" priority="1"/>
  </conditionalFormatting>
  <printOptions horizontalCentered="1"/>
  <pageMargins left="0.19685039370078741" right="0.19685039370078741" top="0.78740157480314965" bottom="0.59055118110236227" header="0.19685039370078741" footer="0.19685039370078741"/>
  <pageSetup paperSize="9" scale="33" fitToHeight="0"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80" zoomScaleNormal="80" workbookViewId="0">
      <selection activeCell="E8" sqref="E8"/>
    </sheetView>
  </sheetViews>
  <sheetFormatPr defaultRowHeight="15" x14ac:dyDescent="0.25"/>
  <cols>
    <col min="1" max="1" width="15.7109375" style="119" customWidth="1"/>
    <col min="2" max="2" width="50.7109375" style="119" customWidth="1"/>
    <col min="3" max="3" width="15.7109375" style="119" customWidth="1"/>
    <col min="4" max="7" width="20.7109375" style="119" customWidth="1"/>
    <col min="8" max="8" width="9.140625" style="119"/>
    <col min="9" max="9" width="16.7109375" style="119" customWidth="1"/>
    <col min="10" max="16384" width="9.140625" style="119"/>
  </cols>
  <sheetData>
    <row r="1" spans="1:7" ht="24.95" customHeight="1" x14ac:dyDescent="0.25">
      <c r="A1" s="78" t="str">
        <f>'Orçamentária-TR'!A1</f>
        <v>Manutenção Hidrossanitária</v>
      </c>
      <c r="B1" s="78"/>
      <c r="C1" s="78"/>
      <c r="D1" s="78"/>
      <c r="E1" s="78"/>
      <c r="F1" s="79"/>
      <c r="G1" s="79"/>
    </row>
    <row r="2" spans="1:7" ht="24.95" customHeight="1" x14ac:dyDescent="0.25">
      <c r="A2" s="79" t="s">
        <v>3958</v>
      </c>
      <c r="B2" s="79"/>
      <c r="C2" s="79"/>
      <c r="D2" s="79"/>
      <c r="E2" s="79"/>
      <c r="F2" s="197"/>
      <c r="G2" s="197"/>
    </row>
    <row r="3" spans="1:7" ht="20.100000000000001" customHeight="1" x14ac:dyDescent="0.25">
      <c r="A3" s="80" t="str">
        <f>'Orçamentária-TR'!A3</f>
        <v>Data: Abril de 2022</v>
      </c>
      <c r="B3" s="80"/>
      <c r="C3" s="80"/>
      <c r="D3" s="80"/>
      <c r="E3" s="80"/>
      <c r="F3" s="80"/>
      <c r="G3" s="80"/>
    </row>
    <row r="4" spans="1:7" ht="20.100000000000001" customHeight="1" thickBot="1" x14ac:dyDescent="0.3">
      <c r="A4" s="80"/>
      <c r="B4" s="216"/>
      <c r="C4" s="216"/>
      <c r="D4" s="217"/>
      <c r="E4" s="216"/>
      <c r="F4" s="216"/>
      <c r="G4" s="216"/>
    </row>
    <row r="5" spans="1:7" ht="20.100000000000001" customHeight="1" x14ac:dyDescent="0.25">
      <c r="A5" s="245" t="s">
        <v>1</v>
      </c>
      <c r="B5" s="247" t="s">
        <v>2</v>
      </c>
      <c r="C5" s="249" t="s">
        <v>3959</v>
      </c>
      <c r="D5" s="251" t="s">
        <v>3960</v>
      </c>
      <c r="E5" s="251"/>
      <c r="F5" s="251" t="s">
        <v>3961</v>
      </c>
      <c r="G5" s="252"/>
    </row>
    <row r="6" spans="1:7" ht="60" customHeight="1" x14ac:dyDescent="0.25">
      <c r="A6" s="246"/>
      <c r="B6" s="248"/>
      <c r="C6" s="250"/>
      <c r="D6" s="198" t="s">
        <v>3962</v>
      </c>
      <c r="E6" s="198" t="s">
        <v>3963</v>
      </c>
      <c r="F6" s="198" t="s">
        <v>3962</v>
      </c>
      <c r="G6" s="199" t="s">
        <v>3963</v>
      </c>
    </row>
    <row r="7" spans="1:7" s="205" customFormat="1" ht="24.95" customHeight="1" x14ac:dyDescent="0.25">
      <c r="A7" s="200">
        <v>1</v>
      </c>
      <c r="B7" s="201" t="s">
        <v>3964</v>
      </c>
      <c r="C7" s="202" t="s">
        <v>3965</v>
      </c>
      <c r="D7" s="203">
        <f>'Orçamentária-TR'!S7</f>
        <v>0</v>
      </c>
      <c r="E7" s="203">
        <f>D7</f>
        <v>0</v>
      </c>
      <c r="F7" s="203">
        <f>'Orçamentária-TR'!S7</f>
        <v>0</v>
      </c>
      <c r="G7" s="204">
        <f>F7</f>
        <v>0</v>
      </c>
    </row>
    <row r="8" spans="1:7" s="205" customFormat="1" ht="24.95" customHeight="1" x14ac:dyDescent="0.25">
      <c r="A8" s="200">
        <v>2</v>
      </c>
      <c r="B8" s="201" t="s">
        <v>3966</v>
      </c>
      <c r="C8" s="206">
        <v>0.8</v>
      </c>
      <c r="D8" s="203">
        <f ca="1">'Orçamentária-TR'!J6</f>
        <v>290889.11</v>
      </c>
      <c r="E8" s="203">
        <f ca="1">C8*D8</f>
        <v>232711.288</v>
      </c>
      <c r="F8" s="203">
        <f ca="1">'Orçamentária-TR'!O6</f>
        <v>330330.12000000005</v>
      </c>
      <c r="G8" s="204">
        <f ca="1">F8*C8</f>
        <v>264264.09600000008</v>
      </c>
    </row>
    <row r="9" spans="1:7" s="205" customFormat="1" ht="24.95" customHeight="1" x14ac:dyDescent="0.25">
      <c r="A9" s="200">
        <v>3</v>
      </c>
      <c r="B9" s="201" t="s">
        <v>3967</v>
      </c>
      <c r="C9" s="206">
        <v>0.5</v>
      </c>
      <c r="D9" s="203">
        <f>'Orçamentária-TR'!J42</f>
        <v>1727337.02</v>
      </c>
      <c r="E9" s="203">
        <f>C9*D9</f>
        <v>863668.51</v>
      </c>
      <c r="F9" s="203">
        <f>'Orçamentária-TR'!O42</f>
        <v>1921836.4100000008</v>
      </c>
      <c r="G9" s="204">
        <f>C9*F9</f>
        <v>960918.20500000042</v>
      </c>
    </row>
    <row r="10" spans="1:7" s="205" customFormat="1" ht="24.95" customHeight="1" x14ac:dyDescent="0.25">
      <c r="A10" s="200">
        <v>4</v>
      </c>
      <c r="B10" s="201" t="s">
        <v>3968</v>
      </c>
      <c r="C10" s="202" t="s">
        <v>3965</v>
      </c>
      <c r="D10" s="203">
        <f>'Orçamentária-TR'!M407</f>
        <v>1947.9</v>
      </c>
      <c r="E10" s="203">
        <f t="shared" ref="E10:E11" si="0">D10</f>
        <v>1947.9</v>
      </c>
      <c r="F10" s="203">
        <f>'Orçamentária-TR'!M407</f>
        <v>1947.9</v>
      </c>
      <c r="G10" s="204">
        <f t="shared" ref="G10:G11" si="1">F10</f>
        <v>1947.9</v>
      </c>
    </row>
    <row r="11" spans="1:7" s="205" customFormat="1" ht="24.95" customHeight="1" x14ac:dyDescent="0.25">
      <c r="A11" s="200">
        <v>5</v>
      </c>
      <c r="B11" s="201" t="s">
        <v>3969</v>
      </c>
      <c r="C11" s="202" t="s">
        <v>3965</v>
      </c>
      <c r="D11" s="203">
        <f>'Orçamentária-TR'!M410</f>
        <v>52320.30000000001</v>
      </c>
      <c r="E11" s="203">
        <f t="shared" si="0"/>
        <v>52320.30000000001</v>
      </c>
      <c r="F11" s="203">
        <f>'Orçamentária-TR'!M410</f>
        <v>52320.30000000001</v>
      </c>
      <c r="G11" s="204">
        <f t="shared" si="1"/>
        <v>52320.30000000001</v>
      </c>
    </row>
    <row r="12" spans="1:7" s="205" customFormat="1" ht="24.95" customHeight="1" thickBot="1" x14ac:dyDescent="0.3">
      <c r="A12" s="207">
        <v>6</v>
      </c>
      <c r="B12" s="208" t="s">
        <v>3970</v>
      </c>
      <c r="C12" s="209" t="s">
        <v>3965</v>
      </c>
      <c r="D12" s="210">
        <f>'Orçamentária-TR'!M516</f>
        <v>102687.29999999999</v>
      </c>
      <c r="E12" s="210">
        <f>D12</f>
        <v>102687.29999999999</v>
      </c>
      <c r="F12" s="210">
        <f>'Orçamentária-TR'!M516</f>
        <v>102687.29999999999</v>
      </c>
      <c r="G12" s="211">
        <f>F12</f>
        <v>102687.29999999999</v>
      </c>
    </row>
    <row r="13" spans="1:7" s="205" customFormat="1" ht="30" customHeight="1" thickBot="1" x14ac:dyDescent="0.3">
      <c r="A13" s="212" t="s">
        <v>3971</v>
      </c>
      <c r="B13" s="213"/>
      <c r="C13" s="213"/>
      <c r="D13" s="213"/>
      <c r="E13" s="214">
        <f ca="1">SUM(E7:E12)</f>
        <v>1253335.298</v>
      </c>
      <c r="F13" s="213"/>
      <c r="G13" s="214">
        <f ca="1">SUM(G7:G12)</f>
        <v>1382137.8010000004</v>
      </c>
    </row>
    <row r="17" spans="6:6" x14ac:dyDescent="0.25">
      <c r="F17" s="215" t="s">
        <v>522</v>
      </c>
    </row>
  </sheetData>
  <mergeCells count="5">
    <mergeCell ref="A5:A6"/>
    <mergeCell ref="B5:B6"/>
    <mergeCell ref="C5:C6"/>
    <mergeCell ref="D5:E5"/>
    <mergeCell ref="F5:G5"/>
  </mergeCells>
  <printOptions horizontalCentered="1"/>
  <pageMargins left="0.23622047244094491" right="0.23622047244094491" top="1.5748031496062993" bottom="0.78740157480314965" header="0.31496062992125984" footer="0.31496062992125984"/>
  <pageSetup paperSize="9" scale="70" orientation="landscape" r:id="rId1"/>
  <headerFooter>
    <oddHeader>&amp;C&amp;10&amp;G
Secretaria de Infraestrutura
Serviço de Orçamentos</oddHeader>
    <oddFooter>&amp;C&amp;10&amp;G
Senado Federal | Via N2 | Bloco 14 | CEP 70165-900 | Brasília-DF
Telefones: +55 (61) 3303-4760 / 4776 / 3470 | seorc@senado.leg.br&amp;R&amp;10&amp;A
&amp;P /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pageSetUpPr fitToPage="1"/>
  </sheetPr>
  <dimension ref="A1:E41"/>
  <sheetViews>
    <sheetView zoomScale="80" zoomScaleNormal="80" workbookViewId="0">
      <selection activeCell="K20" sqref="K20"/>
    </sheetView>
  </sheetViews>
  <sheetFormatPr defaultRowHeight="15" x14ac:dyDescent="0.25"/>
  <cols>
    <col min="1" max="1" width="30.7109375" customWidth="1"/>
    <col min="2" max="2" width="25.7109375" customWidth="1"/>
    <col min="3" max="3" width="5.5703125" customWidth="1"/>
    <col min="4" max="4" width="30.7109375" customWidth="1"/>
    <col min="5" max="5" width="25.7109375" customWidth="1"/>
  </cols>
  <sheetData>
    <row r="1" spans="1:5" ht="24.95" customHeight="1" x14ac:dyDescent="0.25">
      <c r="A1" s="89" t="s">
        <v>3384</v>
      </c>
      <c r="B1" s="83"/>
      <c r="C1" s="83"/>
      <c r="D1" s="83"/>
      <c r="E1" s="83"/>
    </row>
    <row r="2" spans="1:5" ht="24.95" customHeight="1" x14ac:dyDescent="0.25">
      <c r="A2" s="79" t="s">
        <v>1646</v>
      </c>
      <c r="B2" s="79"/>
      <c r="C2" s="79"/>
      <c r="D2" s="79"/>
      <c r="E2" s="79"/>
    </row>
    <row r="3" spans="1:5" ht="18" customHeight="1" thickBot="1" x14ac:dyDescent="0.3">
      <c r="A3" s="85"/>
      <c r="B3" s="85"/>
      <c r="C3" s="86"/>
      <c r="D3" s="85"/>
      <c r="E3" s="85"/>
    </row>
    <row r="4" spans="1:5" s="136" customFormat="1" ht="24.95" customHeight="1" thickBot="1" x14ac:dyDescent="0.3">
      <c r="A4" s="173" t="s">
        <v>1647</v>
      </c>
      <c r="B4" s="174"/>
      <c r="C4" s="175"/>
      <c r="D4" s="173" t="s">
        <v>1648</v>
      </c>
      <c r="E4" s="174"/>
    </row>
    <row r="5" spans="1:5" s="136" customFormat="1" ht="20.100000000000001" customHeight="1" x14ac:dyDescent="0.25">
      <c r="A5" s="253" t="s">
        <v>1649</v>
      </c>
      <c r="B5" s="191" t="s">
        <v>3956</v>
      </c>
      <c r="C5" s="176"/>
      <c r="D5" s="253" t="s">
        <v>1649</v>
      </c>
      <c r="E5" s="191" t="s">
        <v>3956</v>
      </c>
    </row>
    <row r="6" spans="1:5" s="136" customFormat="1" ht="20.100000000000001" customHeight="1" x14ac:dyDescent="0.25">
      <c r="A6" s="254"/>
      <c r="B6" s="192" t="s">
        <v>3957</v>
      </c>
      <c r="C6" s="176"/>
      <c r="D6" s="254"/>
      <c r="E6" s="192" t="s">
        <v>3957</v>
      </c>
    </row>
    <row r="7" spans="1:5" s="136" customFormat="1" ht="20.100000000000001" customHeight="1" x14ac:dyDescent="0.25">
      <c r="A7" s="255"/>
      <c r="B7" s="193" t="s">
        <v>1650</v>
      </c>
      <c r="C7" s="176"/>
      <c r="D7" s="255"/>
      <c r="E7" s="193" t="s">
        <v>1650</v>
      </c>
    </row>
    <row r="8" spans="1:5" s="136" customFormat="1" ht="20.100000000000001" customHeight="1" x14ac:dyDescent="0.25">
      <c r="A8" s="177" t="s">
        <v>1651</v>
      </c>
      <c r="B8" s="194">
        <v>3.5000000000000003E-2</v>
      </c>
      <c r="C8" s="178"/>
      <c r="D8" s="177" t="s">
        <v>1651</v>
      </c>
      <c r="E8" s="194">
        <v>1.7500000000000002E-2</v>
      </c>
    </row>
    <row r="9" spans="1:5" s="136" customFormat="1" ht="20.100000000000001" customHeight="1" x14ac:dyDescent="0.25">
      <c r="A9" s="177" t="s">
        <v>1652</v>
      </c>
      <c r="B9" s="194">
        <v>8.0000000000000002E-3</v>
      </c>
      <c r="C9" s="178"/>
      <c r="D9" s="177" t="s">
        <v>1652</v>
      </c>
      <c r="E9" s="194">
        <v>3.8999999999999998E-3</v>
      </c>
    </row>
    <row r="10" spans="1:5" s="136" customFormat="1" ht="20.100000000000001" customHeight="1" x14ac:dyDescent="0.25">
      <c r="A10" s="177" t="s">
        <v>1653</v>
      </c>
      <c r="B10" s="194">
        <v>1.2500000000000001E-2</v>
      </c>
      <c r="C10" s="178"/>
      <c r="D10" s="177" t="s">
        <v>1653</v>
      </c>
      <c r="E10" s="194">
        <v>5.5999999999999999E-3</v>
      </c>
    </row>
    <row r="11" spans="1:5" s="136" customFormat="1" ht="20.100000000000001" customHeight="1" x14ac:dyDescent="0.25">
      <c r="A11" s="177" t="s">
        <v>1654</v>
      </c>
      <c r="B11" s="194">
        <v>7.6E-3</v>
      </c>
      <c r="C11" s="178"/>
      <c r="D11" s="177" t="s">
        <v>1654</v>
      </c>
      <c r="E11" s="194">
        <v>8.5000000000000006E-3</v>
      </c>
    </row>
    <row r="12" spans="1:5" s="136" customFormat="1" ht="20.100000000000001" customHeight="1" x14ac:dyDescent="0.25">
      <c r="A12" s="177" t="s">
        <v>102</v>
      </c>
      <c r="B12" s="194">
        <v>6.7799999999999999E-2</v>
      </c>
      <c r="C12" s="178"/>
      <c r="D12" s="177" t="s">
        <v>102</v>
      </c>
      <c r="E12" s="194">
        <v>3.5000000000000003E-2</v>
      </c>
    </row>
    <row r="13" spans="1:5" s="136" customFormat="1" ht="20.100000000000001" customHeight="1" x14ac:dyDescent="0.25">
      <c r="A13" s="177" t="s">
        <v>1655</v>
      </c>
      <c r="B13" s="194">
        <v>6.4999999999999997E-3</v>
      </c>
      <c r="C13" s="178"/>
      <c r="D13" s="177" t="s">
        <v>1655</v>
      </c>
      <c r="E13" s="194">
        <v>6.4999999999999997E-3</v>
      </c>
    </row>
    <row r="14" spans="1:5" s="136" customFormat="1" ht="20.100000000000001" customHeight="1" x14ac:dyDescent="0.25">
      <c r="A14" s="177" t="s">
        <v>1656</v>
      </c>
      <c r="B14" s="194">
        <v>0.03</v>
      </c>
      <c r="C14" s="178"/>
      <c r="D14" s="177" t="s">
        <v>1656</v>
      </c>
      <c r="E14" s="194">
        <v>0.03</v>
      </c>
    </row>
    <row r="15" spans="1:5" s="136" customFormat="1" ht="20.100000000000001" customHeight="1" x14ac:dyDescent="0.25">
      <c r="A15" s="177" t="s">
        <v>1657</v>
      </c>
      <c r="B15" s="194">
        <v>0</v>
      </c>
      <c r="C15" s="178"/>
      <c r="D15" s="177" t="s">
        <v>1657</v>
      </c>
      <c r="E15" s="194">
        <v>0</v>
      </c>
    </row>
    <row r="16" spans="1:5" s="136" customFormat="1" ht="20.100000000000001" customHeight="1" x14ac:dyDescent="0.25">
      <c r="A16" s="177" t="s">
        <v>1658</v>
      </c>
      <c r="B16" s="194">
        <v>0.01</v>
      </c>
      <c r="C16" s="178"/>
      <c r="D16" s="177" t="s">
        <v>1658</v>
      </c>
      <c r="E16" s="194">
        <v>0</v>
      </c>
    </row>
    <row r="17" spans="1:5" s="136" customFormat="1" ht="24.95" customHeight="1" thickBot="1" x14ac:dyDescent="0.3">
      <c r="A17" s="179" t="s">
        <v>1647</v>
      </c>
      <c r="B17" s="195">
        <f>ROUND(((1+B8+B9+B10)*(1+B11)*(1+B12))/(1-(B13+B14+B15+B16))-1,4)</f>
        <v>0.191</v>
      </c>
      <c r="C17" s="178"/>
      <c r="D17" s="180" t="s">
        <v>1648</v>
      </c>
      <c r="E17" s="195">
        <f>ROUND(((1+E8+E9+E10)*(1+E11)*(1+E12))/(1-(E13+E14+E15+E16))-1,4)</f>
        <v>0.11260000000000001</v>
      </c>
    </row>
    <row r="18" spans="1:5" s="136" customFormat="1" x14ac:dyDescent="0.25">
      <c r="A18" s="181"/>
      <c r="B18" s="178"/>
      <c r="C18" s="185"/>
      <c r="D18" s="185"/>
      <c r="E18" s="178"/>
    </row>
    <row r="19" spans="1:5" s="136" customFormat="1" x14ac:dyDescent="0.25">
      <c r="A19" s="182"/>
      <c r="B19" s="183"/>
      <c r="C19" s="178"/>
      <c r="D19" s="182"/>
      <c r="E19" s="183"/>
    </row>
    <row r="20" spans="1:5" s="136" customFormat="1" x14ac:dyDescent="0.25">
      <c r="D20" s="184"/>
    </row>
    <row r="21" spans="1:5" s="136" customFormat="1" x14ac:dyDescent="0.25"/>
    <row r="22" spans="1:5" s="136" customFormat="1" x14ac:dyDescent="0.25"/>
    <row r="23" spans="1:5" s="136" customFormat="1" x14ac:dyDescent="0.25"/>
    <row r="24" spans="1:5" s="136" customFormat="1" x14ac:dyDescent="0.25"/>
    <row r="25" spans="1:5" s="136" customFormat="1" x14ac:dyDescent="0.25"/>
    <row r="26" spans="1:5" s="136" customFormat="1" x14ac:dyDescent="0.25"/>
    <row r="27" spans="1:5" s="136" customFormat="1" x14ac:dyDescent="0.25"/>
    <row r="28" spans="1:5" s="136" customFormat="1" x14ac:dyDescent="0.25"/>
    <row r="29" spans="1:5" s="136" customFormat="1" x14ac:dyDescent="0.25"/>
    <row r="30" spans="1:5" s="136" customFormat="1" x14ac:dyDescent="0.25"/>
    <row r="31" spans="1:5" s="136" customFormat="1" x14ac:dyDescent="0.25"/>
    <row r="32" spans="1:5" s="136" customFormat="1" x14ac:dyDescent="0.25"/>
    <row r="33" spans="1:5" s="136" customFormat="1" x14ac:dyDescent="0.25"/>
    <row r="34" spans="1:5" s="136" customFormat="1" x14ac:dyDescent="0.25"/>
    <row r="35" spans="1:5" s="136" customFormat="1" x14ac:dyDescent="0.25"/>
    <row r="36" spans="1:5" s="136" customFormat="1" x14ac:dyDescent="0.25"/>
    <row r="37" spans="1:5" s="136" customFormat="1" x14ac:dyDescent="0.25"/>
    <row r="38" spans="1:5" s="136" customFormat="1" x14ac:dyDescent="0.25"/>
    <row r="39" spans="1:5" s="136" customFormat="1" ht="15.75" x14ac:dyDescent="0.25">
      <c r="A39" s="256" t="s">
        <v>1659</v>
      </c>
      <c r="B39" s="256"/>
      <c r="C39" s="256"/>
      <c r="D39" s="256"/>
      <c r="E39" s="256"/>
    </row>
    <row r="40" spans="1:5" x14ac:dyDescent="0.25">
      <c r="A40" s="81"/>
      <c r="B40" s="81"/>
      <c r="C40" s="81"/>
      <c r="D40" s="81"/>
      <c r="E40" s="81"/>
    </row>
    <row r="41" spans="1:5" x14ac:dyDescent="0.25">
      <c r="A41" s="81"/>
      <c r="B41" s="81"/>
      <c r="C41" s="81"/>
      <c r="D41" s="81"/>
      <c r="E41" s="81"/>
    </row>
  </sheetData>
  <mergeCells count="3">
    <mergeCell ref="A5:A7"/>
    <mergeCell ref="D5:D7"/>
    <mergeCell ref="A39:E39"/>
  </mergeCells>
  <printOptions horizontalCentered="1"/>
  <pageMargins left="0.19685039370078741" right="0.19685039370078741" top="1.3779527559055118" bottom="0.59055118110236227" header="0.19685039370078741" footer="0.19685039370078741"/>
  <pageSetup paperSize="9" scale="53" orientation="landscape" horizontalDpi="4294967295" verticalDpi="4294967295" r:id="rId1"/>
  <headerFooter>
    <oddHeader>&amp;C&amp;10&amp;G
Secretaria de Infraestrutura
Serviço de Orçamentos&amp;R&amp;10&amp;D</oddHeader>
    <oddFooter>&amp;C&amp;"Arial,Normal"&amp;8&amp;G
Senado Federal | Via N2 | Bloco 14 | CEP 70165-900 | Brasília-DF
Telefones: +55 (61) 3303-4760 / 4776 / 3470 | seorc@senado.leg.br&amp;R&amp;"Arial,Normal"&amp;8&amp;A
&amp;P /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Composições</vt:lpstr>
      <vt:lpstr>Orçamentária-TR</vt:lpstr>
      <vt:lpstr>Orçamentária-RESUMO</vt:lpstr>
      <vt:lpstr>BDI</vt:lpstr>
      <vt:lpstr>Composições!Area_de_impressao</vt:lpstr>
      <vt:lpstr>'Orçamentária-RESUMO'!Area_de_impressao</vt:lpstr>
      <vt:lpstr>'Orçamentária-TR'!Area_de_impressao</vt:lpstr>
      <vt:lpstr>Composições!Titulos_de_impressao</vt:lpstr>
      <vt:lpstr>'Orçamentária-TR'!Titulos_de_impressao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Thauler</dc:creator>
  <cp:lastModifiedBy>Thauler Ferreira Bispo de Souza</cp:lastModifiedBy>
  <cp:lastPrinted>2022-06-08T20:10:27Z</cp:lastPrinted>
  <dcterms:created xsi:type="dcterms:W3CDTF">2020-07-07T13:57:42Z</dcterms:created>
  <dcterms:modified xsi:type="dcterms:W3CDTF">2022-09-28T20:38:28Z</dcterms:modified>
</cp:coreProperties>
</file>